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colors11.xml" ContentType="application/vnd.ms-office.chartcolorstyle+xml"/>
  <Override PartName="/xl/charts/style11.xml" ContentType="application/vnd.ms-office.chartstyle+xml"/>
  <Override PartName="/xl/charts/chart16.xml" ContentType="application/vnd.openxmlformats-officedocument.drawingml.chart+xml"/>
  <Override PartName="/xl/charts/colors10.xml" ContentType="application/vnd.ms-office.chartcolorstyle+xml"/>
  <Override PartName="/xl/charts/style10.xml" ContentType="application/vnd.ms-office.chartstyle+xml"/>
  <Override PartName="/xl/worksheets/sheet3.xml" ContentType="application/vnd.openxmlformats-officedocument.spreadsheetml.worksheet+xml"/>
  <Override PartName="/xl/worksheets/sheet2.xml" ContentType="application/vnd.openxmlformats-officedocument.spreadsheetml.worksheet+xml"/>
  <Override PartName="/xl/charts/chart15.xml" ContentType="application/vnd.openxmlformats-officedocument.drawingml.chart+xml"/>
  <Override PartName="/xl/charts/colors9.xml" ContentType="application/vnd.ms-office.chartcolorstyle+xml"/>
  <Override PartName="/xl/charts/style9.xml" ContentType="application/vnd.ms-office.chartstyle+xml"/>
  <Override PartName="/xl/worksheets/sheet1.xml" ContentType="application/vnd.openxmlformats-officedocument.spreadsheetml.worksheet+xml"/>
  <Override PartName="/xl/charts/colors7.xml" ContentType="application/vnd.ms-office.chartcolorstyle+xml"/>
  <Override PartName="/xl/charts/style7.xml" ContentType="application/vnd.ms-office.chartstyle+xml"/>
  <Override PartName="/xl/drawings/drawing7.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hart14.xml" ContentType="application/vnd.openxmlformats-officedocument.drawingml.chart+xml"/>
  <Override PartName="/xl/drawings/drawing9.xml" ContentType="application/vnd.openxmlformats-officedocument.drawing+xml"/>
  <Override PartName="/xl/drawings/drawing8.xml" ContentType="application/vnd.openxmlformats-officedocument.drawing+xml"/>
  <Override PartName="/xl/charts/colors8.xml" ContentType="application/vnd.ms-office.chartcolorstyle+xml"/>
  <Override PartName="/xl/charts/chart12.xml" ContentType="application/vnd.openxmlformats-officedocument.drawingml.chart+xml"/>
  <Override PartName="/xl/charts/style6.xml" ContentType="application/vnd.ms-office.chartstyle+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harts/chart1.xml" ContentType="application/vnd.openxmlformats-officedocument.drawingml.chart+xml"/>
  <Override PartName="/xl/charts/chart6.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charts/colors6.xml" ContentType="application/vnd.ms-office.chartcolorstyle+xml"/>
  <Override PartName="/xl/charts/style1.xml" ContentType="application/vnd.ms-office.chartstyle+xml"/>
  <Override PartName="/xl/drawings/drawing6.xml" ContentType="application/vnd.openxmlformats-officedocument.drawing+xml"/>
  <Override PartName="/xl/charts/colors3.xml" ContentType="application/vnd.ms-office.chartcolorstyle+xml"/>
  <Override PartName="/xl/charts/style3.xml" ContentType="application/vnd.ms-office.chartstyle+xml"/>
  <Override PartName="/xl/charts/colors1.xml" ContentType="application/vnd.ms-office.chartcolorstyle+xml"/>
  <Override PartName="/xl/charts/chart9.xml" ContentType="application/vnd.openxmlformats-officedocument.drawingml.chart+xml"/>
  <Override PartName="/xl/charts/style4.xml" ContentType="application/vnd.ms-office.chartstyle+xml"/>
  <Override PartName="/xl/charts/chart11.xml" ContentType="application/vnd.openxmlformats-officedocument.drawingml.chart+xml"/>
  <Override PartName="/xl/charts/colors5.xml" ContentType="application/vnd.ms-office.chartcolorstyle+xml"/>
  <Override PartName="/xl/charts/style5.xml" ContentType="application/vnd.ms-office.chartstyle+xml"/>
  <Override PartName="/xl/charts/chart10.xml" ContentType="application/vnd.openxmlformats-officedocument.drawingml.chart+xml"/>
  <Override PartName="/xl/charts/colors4.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db140\Desktop\"/>
    </mc:Choice>
  </mc:AlternateContent>
  <workbookProtection workbookPassword="FB64" lockStructure="1"/>
  <bookViews>
    <workbookView xWindow="0" yWindow="0" windowWidth="19200" windowHeight="7050" tabRatio="904" activeTab="1"/>
  </bookViews>
  <sheets>
    <sheet name="Instructions" sheetId="26" r:id="rId1"/>
    <sheet name="Inputs" sheetId="11" r:id="rId2"/>
    <sheet name=" Summary" sheetId="13" r:id="rId3"/>
    <sheet name="Financial Cost Comparison" sheetId="39" r:id="rId4"/>
    <sheet name="Lifecycle Cost Comparison" sheetId="32" r:id="rId5"/>
    <sheet name="Fleet Carbon Footprint" sheetId="44" r:id="rId6"/>
    <sheet name="Assumptions" sheetId="34" r:id="rId7"/>
    <sheet name="Default Data" sheetId="12" state="hidden" r:id="rId8"/>
    <sheet name="All Fuel Types Calc" sheetId="41" state="hidden" r:id="rId9"/>
    <sheet name="Forecast Fuel Cost Calculations" sheetId="40" state="hidden" r:id="rId10"/>
    <sheet name="Inflation-Road conditions" sheetId="31" state="hidden" r:id="rId11"/>
    <sheet name="CFP Comparison" sheetId="37" state="hidden" r:id="rId12"/>
    <sheet name="Criteria Polutant Data" sheetId="27" state="hidden" r:id="rId13"/>
    <sheet name="CFP Credit Estimator" sheetId="38" state="hidden" r:id="rId14"/>
    <sheet name="Electricity Calc Background" sheetId="53" state="hidden" r:id="rId15"/>
    <sheet name="35-40 foot transit bus" sheetId="30" state="hidden" r:id="rId16"/>
    <sheet name="Fuel Factors" sheetId="51" state="hidden" r:id="rId17"/>
    <sheet name="Analysis" sheetId="52" state="hidden" r:id="rId18"/>
    <sheet name="CIs for 2020" sheetId="42" state="hidden" r:id="rId19"/>
    <sheet name="2018 Emissions and Data" sheetId="43" state="hidden" r:id="rId20"/>
    <sheet name="CPI" sheetId="48" state="hidden" r:id="rId21"/>
    <sheet name="Bus Price" sheetId="49" state="hidden" r:id="rId22"/>
    <sheet name="Maint-Fuel mpg" sheetId="50" state="hidden" r:id="rId23"/>
  </sheets>
  <definedNames>
    <definedName name="Bustypes">'Default Data'!$A$2:$A$12</definedName>
    <definedName name="Conditions">'Default Data'!$E$22:$E$25</definedName>
    <definedName name="Roadcondition">'Default Data'!$E$22:$E$24</definedName>
    <definedName name="Worksheets">'Default Data'!$Q$28:$Q$30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12" l="1"/>
  <c r="C23" i="11" s="1"/>
  <c r="G11" i="12"/>
  <c r="G10" i="12"/>
  <c r="G9" i="12"/>
  <c r="G8" i="12"/>
  <c r="G7" i="12"/>
  <c r="G6" i="12"/>
  <c r="G5" i="12"/>
  <c r="G4" i="12"/>
  <c r="G3" i="12"/>
  <c r="G2" i="12"/>
  <c r="K2" i="12"/>
  <c r="C24" i="11"/>
  <c r="K12" i="12"/>
  <c r="C22" i="11" s="1"/>
  <c r="K11" i="12"/>
  <c r="K10" i="12"/>
  <c r="K6" i="12"/>
  <c r="K7" i="12" s="1"/>
  <c r="K5" i="12"/>
  <c r="K4" i="12"/>
  <c r="K3" i="12"/>
  <c r="K8" i="12" l="1"/>
  <c r="K9" i="12"/>
  <c r="AC40" i="13"/>
  <c r="AC41" i="13"/>
  <c r="AC42" i="13"/>
  <c r="AC43" i="13"/>
  <c r="AC44" i="13"/>
  <c r="AC45" i="13"/>
  <c r="AC46" i="13"/>
  <c r="AC47" i="13"/>
  <c r="AC48" i="13"/>
  <c r="AC49" i="13"/>
  <c r="AC50" i="13"/>
  <c r="AC39" i="13"/>
  <c r="B33" i="11"/>
  <c r="C8" i="11" l="1"/>
  <c r="B8" i="11" s="1"/>
  <c r="C10" i="11" l="1"/>
  <c r="B10" i="11" s="1"/>
  <c r="C27" i="11"/>
  <c r="J101" i="30" l="1"/>
  <c r="K101" i="30"/>
  <c r="L101" i="30"/>
  <c r="M101" i="30"/>
  <c r="N101" i="30"/>
  <c r="O101" i="30"/>
  <c r="P101" i="30"/>
  <c r="Q101" i="30"/>
  <c r="R101" i="30"/>
  <c r="S101" i="30"/>
  <c r="T101" i="30"/>
  <c r="U101" i="30"/>
  <c r="V101" i="30"/>
  <c r="W101" i="30"/>
  <c r="X101" i="30"/>
  <c r="Y101" i="30"/>
  <c r="Z101" i="30"/>
  <c r="AA101" i="30"/>
  <c r="AB101" i="30"/>
  <c r="AC101" i="30"/>
  <c r="AD101" i="30"/>
  <c r="AE101" i="30"/>
  <c r="AF101" i="30"/>
  <c r="AG101" i="30"/>
  <c r="AH101" i="30"/>
  <c r="AI101" i="30"/>
  <c r="AJ101" i="30"/>
  <c r="AK101" i="30"/>
  <c r="AL101" i="30"/>
  <c r="I101" i="30"/>
  <c r="A12" i="30" l="1"/>
  <c r="AF12" i="12" l="1"/>
  <c r="AF10" i="12"/>
  <c r="G3" i="30" l="1"/>
  <c r="K11" i="41"/>
  <c r="J11" i="41"/>
  <c r="T8" i="30" l="1"/>
  <c r="T9" i="30" l="1"/>
  <c r="E19" i="38"/>
  <c r="E27" i="38"/>
  <c r="E20" i="38"/>
  <c r="E28" i="38"/>
  <c r="E21" i="38"/>
  <c r="E29" i="38"/>
  <c r="E33" i="38"/>
  <c r="E18" i="38"/>
  <c r="E22" i="38"/>
  <c r="E30" i="38"/>
  <c r="E23" i="38"/>
  <c r="E31" i="38"/>
  <c r="E24" i="38"/>
  <c r="E32" i="38"/>
  <c r="E25" i="38"/>
  <c r="E26" i="38"/>
  <c r="D36" i="53"/>
  <c r="E36" i="53"/>
  <c r="F36" i="53"/>
  <c r="G36" i="53"/>
  <c r="H36" i="53"/>
  <c r="I36" i="53"/>
  <c r="J36" i="53"/>
  <c r="K36" i="53"/>
  <c r="L36" i="53"/>
  <c r="M36" i="53"/>
  <c r="N36" i="53"/>
  <c r="O36" i="53"/>
  <c r="P36" i="53"/>
  <c r="Q36" i="53"/>
  <c r="R36" i="53"/>
  <c r="S36" i="53"/>
  <c r="T36" i="53"/>
  <c r="U36" i="53"/>
  <c r="V36" i="53"/>
  <c r="W36" i="53"/>
  <c r="X36" i="53"/>
  <c r="Y36" i="53"/>
  <c r="Z36" i="53"/>
  <c r="AA36" i="53"/>
  <c r="AB36" i="53"/>
  <c r="AC36" i="53"/>
  <c r="AD36" i="53"/>
  <c r="AE36" i="53"/>
  <c r="AF36" i="53"/>
  <c r="AG36" i="53"/>
  <c r="C36" i="53"/>
  <c r="D35" i="53"/>
  <c r="E35" i="53"/>
  <c r="F35" i="53"/>
  <c r="G35" i="53"/>
  <c r="H35" i="53"/>
  <c r="I35" i="53"/>
  <c r="J35" i="53"/>
  <c r="K35" i="53"/>
  <c r="L35" i="53"/>
  <c r="M35" i="53"/>
  <c r="N35" i="53"/>
  <c r="O35" i="53"/>
  <c r="P35" i="53"/>
  <c r="Q35" i="53"/>
  <c r="R35" i="53"/>
  <c r="S35" i="53"/>
  <c r="T35" i="53"/>
  <c r="U35" i="53"/>
  <c r="V35" i="53"/>
  <c r="W35" i="53"/>
  <c r="X35" i="53"/>
  <c r="Y35" i="53"/>
  <c r="Z35" i="53"/>
  <c r="AA35" i="53"/>
  <c r="AB35" i="53"/>
  <c r="AC35" i="53"/>
  <c r="AD35" i="53"/>
  <c r="AE35" i="53"/>
  <c r="AF35" i="53"/>
  <c r="AG35" i="53"/>
  <c r="C35" i="53"/>
  <c r="A35" i="53" s="1"/>
  <c r="A36" i="53"/>
  <c r="A33" i="53"/>
  <c r="C29" i="53"/>
  <c r="C28" i="53"/>
  <c r="A37" i="53"/>
  <c r="AH34" i="53"/>
  <c r="C38" i="53"/>
  <c r="D38" i="53" s="1"/>
  <c r="D34" i="53"/>
  <c r="E34" i="53"/>
  <c r="F34" i="53"/>
  <c r="G34" i="53"/>
  <c r="H34" i="53"/>
  <c r="I34" i="53"/>
  <c r="J34" i="53"/>
  <c r="K34" i="53"/>
  <c r="L34" i="53"/>
  <c r="M34" i="53"/>
  <c r="N34" i="53"/>
  <c r="O34" i="53"/>
  <c r="P34" i="53"/>
  <c r="Q34" i="53"/>
  <c r="R34" i="53"/>
  <c r="S34" i="53"/>
  <c r="T34" i="53"/>
  <c r="U34" i="53"/>
  <c r="V34" i="53"/>
  <c r="W34" i="53"/>
  <c r="X34" i="53"/>
  <c r="Y34" i="53"/>
  <c r="Z34" i="53"/>
  <c r="AA34" i="53"/>
  <c r="AB34" i="53"/>
  <c r="AC34" i="53"/>
  <c r="AD34" i="53"/>
  <c r="AE34" i="53"/>
  <c r="AF34" i="53"/>
  <c r="AG34" i="53"/>
  <c r="C34" i="53"/>
  <c r="AG33" i="53"/>
  <c r="AF33" i="53"/>
  <c r="AE33" i="53"/>
  <c r="AD33" i="53"/>
  <c r="AC33" i="53"/>
  <c r="AB33" i="53"/>
  <c r="AA33" i="53"/>
  <c r="Z33" i="53"/>
  <c r="Y33" i="53"/>
  <c r="X33" i="53"/>
  <c r="W33" i="53"/>
  <c r="V33" i="53"/>
  <c r="U33" i="53"/>
  <c r="T33" i="53"/>
  <c r="S33" i="53"/>
  <c r="R33" i="53"/>
  <c r="Q33" i="53"/>
  <c r="P33" i="53"/>
  <c r="O33" i="53"/>
  <c r="N33" i="53"/>
  <c r="M33" i="53"/>
  <c r="L33" i="53"/>
  <c r="K33" i="53"/>
  <c r="J33" i="53"/>
  <c r="I33" i="53"/>
  <c r="H33" i="53"/>
  <c r="G33" i="53"/>
  <c r="F33" i="53"/>
  <c r="E33" i="53"/>
  <c r="D33" i="53"/>
  <c r="C33" i="53"/>
  <c r="B33" i="53"/>
  <c r="C26" i="53"/>
  <c r="C20" i="53"/>
  <c r="C30" i="53"/>
  <c r="B7" i="53"/>
  <c r="B2" i="53"/>
  <c r="J15" i="53"/>
  <c r="B9" i="53" s="1"/>
  <c r="I15" i="53"/>
  <c r="J14" i="53"/>
  <c r="B8" i="53" s="1"/>
  <c r="I14" i="53"/>
  <c r="J12" i="53"/>
  <c r="B6" i="53" s="1"/>
  <c r="I12" i="53"/>
  <c r="J11" i="53"/>
  <c r="B5" i="53" s="1"/>
  <c r="I11" i="53"/>
  <c r="J10" i="53"/>
  <c r="B4" i="53" s="1"/>
  <c r="I10" i="53"/>
  <c r="J9" i="53"/>
  <c r="B3" i="53" s="1"/>
  <c r="I9" i="53"/>
  <c r="E7" i="53"/>
  <c r="E5" i="53"/>
  <c r="E10" i="53" l="1"/>
  <c r="E38" i="53"/>
  <c r="D39" i="53"/>
  <c r="C39" i="53"/>
  <c r="B11" i="53"/>
  <c r="B10" i="53"/>
  <c r="F38" i="53" l="1"/>
  <c r="E39" i="53"/>
  <c r="G38" i="53" l="1"/>
  <c r="F39" i="53"/>
  <c r="H38" i="53" l="1"/>
  <c r="G39" i="53"/>
  <c r="I38" i="53" l="1"/>
  <c r="H39" i="53"/>
  <c r="J38" i="53" l="1"/>
  <c r="I39" i="53"/>
  <c r="K38" i="53" l="1"/>
  <c r="J39" i="53"/>
  <c r="R10" i="12"/>
  <c r="R11" i="12"/>
  <c r="F35" i="50"/>
  <c r="F34" i="50"/>
  <c r="F31" i="50"/>
  <c r="B5" i="30"/>
  <c r="F142" i="30"/>
  <c r="E142" i="30"/>
  <c r="F141" i="30"/>
  <c r="E141" i="30"/>
  <c r="F139" i="30"/>
  <c r="E139" i="30"/>
  <c r="F138" i="30"/>
  <c r="E138" i="30"/>
  <c r="F137" i="30"/>
  <c r="E137" i="30"/>
  <c r="F136" i="30"/>
  <c r="E136" i="30"/>
  <c r="B3" i="30" l="1"/>
  <c r="B9" i="30"/>
  <c r="B4" i="30"/>
  <c r="B8" i="30"/>
  <c r="B7" i="30"/>
  <c r="B6" i="30"/>
  <c r="L38" i="53"/>
  <c r="K39" i="53"/>
  <c r="E69" i="51"/>
  <c r="I61" i="51"/>
  <c r="E68" i="51" s="1"/>
  <c r="I68" i="51" s="1"/>
  <c r="G53" i="51"/>
  <c r="Q52" i="51"/>
  <c r="E52" i="51"/>
  <c r="D52" i="51"/>
  <c r="D51" i="51"/>
  <c r="G51" i="51" s="1"/>
  <c r="Q50" i="51"/>
  <c r="Q49" i="51"/>
  <c r="I44" i="51"/>
  <c r="G44" i="51"/>
  <c r="G43" i="51"/>
  <c r="Q39" i="51"/>
  <c r="Q38" i="51"/>
  <c r="I35" i="51"/>
  <c r="G35" i="51"/>
  <c r="G34" i="51"/>
  <c r="G33" i="51"/>
  <c r="C29" i="51"/>
  <c r="B29" i="51"/>
  <c r="T28" i="51"/>
  <c r="Q28" i="51"/>
  <c r="G25" i="51"/>
  <c r="D24" i="51"/>
  <c r="G24" i="51" s="1"/>
  <c r="D23" i="51"/>
  <c r="G23" i="51" s="1"/>
  <c r="C19" i="51"/>
  <c r="B19" i="51"/>
  <c r="M17" i="51"/>
  <c r="E15" i="51"/>
  <c r="I15" i="51" s="1"/>
  <c r="E14" i="51"/>
  <c r="M12" i="51"/>
  <c r="Q18" i="51" s="1"/>
  <c r="Q19" i="51" s="1"/>
  <c r="V10" i="51"/>
  <c r="D9" i="51"/>
  <c r="C9" i="51"/>
  <c r="B9" i="51"/>
  <c r="E5" i="51"/>
  <c r="E4" i="51"/>
  <c r="I5" i="51" s="1"/>
  <c r="R2" i="51"/>
  <c r="R46" i="51" s="1"/>
  <c r="AL100" i="30"/>
  <c r="AK100" i="30"/>
  <c r="AJ100" i="30"/>
  <c r="AI100" i="30"/>
  <c r="AH100" i="30"/>
  <c r="AG100" i="30"/>
  <c r="AF100" i="30"/>
  <c r="AE100" i="30"/>
  <c r="AD100" i="30"/>
  <c r="AC100" i="30"/>
  <c r="AB100" i="30"/>
  <c r="AA100" i="30"/>
  <c r="Z100" i="30"/>
  <c r="Y100" i="30"/>
  <c r="X100" i="30"/>
  <c r="W100" i="30"/>
  <c r="V100" i="30"/>
  <c r="U100" i="30"/>
  <c r="T100" i="30"/>
  <c r="S100" i="30"/>
  <c r="R100" i="30"/>
  <c r="Q100" i="30"/>
  <c r="P100" i="30"/>
  <c r="O100" i="30"/>
  <c r="N100" i="30"/>
  <c r="M100" i="30"/>
  <c r="L100" i="30"/>
  <c r="K100" i="30"/>
  <c r="J100" i="30"/>
  <c r="I100" i="30"/>
  <c r="H100" i="30"/>
  <c r="G100" i="30"/>
  <c r="AD82" i="30"/>
  <c r="AB82" i="30"/>
  <c r="N82" i="30"/>
  <c r="K82" i="30"/>
  <c r="AL66" i="30"/>
  <c r="AK66" i="30"/>
  <c r="AI66" i="30"/>
  <c r="Y66" i="30"/>
  <c r="V66" i="30"/>
  <c r="U66" i="30"/>
  <c r="N66" i="30"/>
  <c r="M66" i="30"/>
  <c r="K66" i="30"/>
  <c r="I66" i="30"/>
  <c r="AL65" i="30"/>
  <c r="AL82" i="30" s="1"/>
  <c r="AK65" i="30"/>
  <c r="AK82" i="30" s="1"/>
  <c r="AJ65" i="30"/>
  <c r="AJ66" i="30" s="1"/>
  <c r="AI65" i="30"/>
  <c r="AI82" i="30" s="1"/>
  <c r="AH65" i="30"/>
  <c r="AH82" i="30" s="1"/>
  <c r="AG65" i="30"/>
  <c r="AG82" i="30" s="1"/>
  <c r="AF65" i="30"/>
  <c r="AF82" i="30" s="1"/>
  <c r="AE65" i="30"/>
  <c r="AD65" i="30"/>
  <c r="AD66" i="30" s="1"/>
  <c r="AC65" i="30"/>
  <c r="AC82" i="30" s="1"/>
  <c r="AB65" i="30"/>
  <c r="AB66" i="30" s="1"/>
  <c r="AA65" i="30"/>
  <c r="AA82" i="30" s="1"/>
  <c r="Z65" i="30"/>
  <c r="Z82" i="30" s="1"/>
  <c r="Y65" i="30"/>
  <c r="Y82" i="30" s="1"/>
  <c r="X65" i="30"/>
  <c r="X82" i="30" s="1"/>
  <c r="W65" i="30"/>
  <c r="V65" i="30"/>
  <c r="V82" i="30" s="1"/>
  <c r="U65" i="30"/>
  <c r="U82" i="30" s="1"/>
  <c r="T65" i="30"/>
  <c r="S65" i="30"/>
  <c r="S82" i="30" s="1"/>
  <c r="R65" i="30"/>
  <c r="R82" i="30" s="1"/>
  <c r="Q65" i="30"/>
  <c r="Q82" i="30" s="1"/>
  <c r="P65" i="30"/>
  <c r="P82" i="30" s="1"/>
  <c r="O65" i="30"/>
  <c r="N65" i="30"/>
  <c r="M65" i="30"/>
  <c r="M82" i="30" s="1"/>
  <c r="L65" i="30"/>
  <c r="K65" i="30"/>
  <c r="J65" i="30"/>
  <c r="J82" i="30" s="1"/>
  <c r="I65" i="30"/>
  <c r="I82" i="30" s="1"/>
  <c r="H65" i="30"/>
  <c r="H82" i="30" s="1"/>
  <c r="G65" i="30"/>
  <c r="F65" i="30"/>
  <c r="F66" i="30" s="1"/>
  <c r="E65" i="30"/>
  <c r="F51" i="30"/>
  <c r="E51" i="30"/>
  <c r="U38" i="30"/>
  <c r="X25" i="30"/>
  <c r="V25" i="30"/>
  <c r="U25" i="30"/>
  <c r="H25" i="30"/>
  <c r="F25" i="30"/>
  <c r="E25" i="30"/>
  <c r="AG15" i="30"/>
  <c r="AF15" i="30"/>
  <c r="AC15" i="30"/>
  <c r="Q15" i="30"/>
  <c r="P15" i="30"/>
  <c r="M15" i="30"/>
  <c r="AL14" i="30"/>
  <c r="AL38" i="30" s="1"/>
  <c r="AK14" i="30"/>
  <c r="AK51" i="30" s="1"/>
  <c r="AJ14" i="30"/>
  <c r="AI14" i="30"/>
  <c r="AI51" i="30" s="1"/>
  <c r="AH14" i="30"/>
  <c r="AH51" i="30" s="1"/>
  <c r="AG14" i="30"/>
  <c r="AG25" i="30" s="1"/>
  <c r="AF14" i="30"/>
  <c r="AF25" i="30" s="1"/>
  <c r="AE14" i="30"/>
  <c r="AE25" i="30" s="1"/>
  <c r="AD14" i="30"/>
  <c r="AD25" i="30" s="1"/>
  <c r="AC14" i="30"/>
  <c r="AC51" i="30" s="1"/>
  <c r="AB14" i="30"/>
  <c r="AB15" i="30" s="1"/>
  <c r="AA14" i="30"/>
  <c r="AA51" i="30" s="1"/>
  <c r="Z14" i="30"/>
  <c r="Z51" i="30" s="1"/>
  <c r="Y14" i="30"/>
  <c r="Y25" i="30" s="1"/>
  <c r="X14" i="30"/>
  <c r="X38" i="30" s="1"/>
  <c r="W14" i="30"/>
  <c r="W25" i="30" s="1"/>
  <c r="V14" i="30"/>
  <c r="V38" i="30" s="1"/>
  <c r="U14" i="30"/>
  <c r="U51" i="30" s="1"/>
  <c r="T14" i="30"/>
  <c r="S14" i="30"/>
  <c r="S51" i="30" s="1"/>
  <c r="R14" i="30"/>
  <c r="R51" i="30" s="1"/>
  <c r="Q14" i="30"/>
  <c r="Q25" i="30" s="1"/>
  <c r="P14" i="30"/>
  <c r="P25" i="30" s="1"/>
  <c r="O14" i="30"/>
  <c r="O25" i="30" s="1"/>
  <c r="N14" i="30"/>
  <c r="N25" i="30" s="1"/>
  <c r="M14" i="30"/>
  <c r="M51" i="30" s="1"/>
  <c r="L14" i="30"/>
  <c r="L15" i="30" s="1"/>
  <c r="K14" i="30"/>
  <c r="K51" i="30" s="1"/>
  <c r="J14" i="30"/>
  <c r="J51" i="30" s="1"/>
  <c r="I14" i="30"/>
  <c r="I25" i="30" s="1"/>
  <c r="H14" i="30"/>
  <c r="H38" i="30" s="1"/>
  <c r="G14" i="30"/>
  <c r="G25" i="30" s="1"/>
  <c r="F14" i="30"/>
  <c r="F38" i="30" s="1"/>
  <c r="E14" i="30"/>
  <c r="E38" i="30" s="1"/>
  <c r="M38" i="53" l="1"/>
  <c r="L39" i="53"/>
  <c r="J15" i="30"/>
  <c r="Z38" i="30"/>
  <c r="J66" i="30"/>
  <c r="J15" i="51"/>
  <c r="AJ82" i="30"/>
  <c r="AC25" i="30"/>
  <c r="Z66" i="30"/>
  <c r="M18" i="51"/>
  <c r="M19" i="51" s="1"/>
  <c r="M38" i="51" s="1"/>
  <c r="M39" i="51" s="1"/>
  <c r="R15" i="30"/>
  <c r="AA66" i="30"/>
  <c r="E15" i="30"/>
  <c r="U15" i="30"/>
  <c r="AK15" i="30"/>
  <c r="M25" i="30"/>
  <c r="Q66" i="30"/>
  <c r="Z15" i="30"/>
  <c r="G52" i="51"/>
  <c r="H15" i="30"/>
  <c r="AH15" i="30"/>
  <c r="X15" i="30"/>
  <c r="AK25" i="30"/>
  <c r="R66" i="30"/>
  <c r="AG66" i="30"/>
  <c r="Q9" i="51"/>
  <c r="Q10" i="51" s="1"/>
  <c r="Q11" i="51" s="1"/>
  <c r="Q12" i="51" s="1"/>
  <c r="I15" i="30"/>
  <c r="Y15" i="30"/>
  <c r="AL25" i="30"/>
  <c r="S66" i="30"/>
  <c r="AH66" i="30"/>
  <c r="V11" i="51"/>
  <c r="E82" i="30"/>
  <c r="E66" i="30"/>
  <c r="Q22" i="51"/>
  <c r="Q20" i="51"/>
  <c r="Q21" i="51" s="1"/>
  <c r="I25" i="51"/>
  <c r="I52" i="51"/>
  <c r="AJ51" i="30"/>
  <c r="AJ38" i="30"/>
  <c r="K15" i="30"/>
  <c r="S15" i="30"/>
  <c r="AA15" i="30"/>
  <c r="AI15" i="30"/>
  <c r="AA38" i="30"/>
  <c r="H51" i="30"/>
  <c r="J38" i="30"/>
  <c r="AC38" i="30"/>
  <c r="T51" i="30"/>
  <c r="T38" i="30"/>
  <c r="AD51" i="30"/>
  <c r="AD38" i="30"/>
  <c r="AJ15" i="30"/>
  <c r="K38" i="30"/>
  <c r="AH38" i="30"/>
  <c r="V51" i="30"/>
  <c r="L51" i="30"/>
  <c r="L38" i="30"/>
  <c r="N51" i="30"/>
  <c r="N38" i="30"/>
  <c r="O51" i="30"/>
  <c r="O38" i="30"/>
  <c r="AE51" i="30"/>
  <c r="AE38" i="30"/>
  <c r="P51" i="30"/>
  <c r="P38" i="30"/>
  <c r="AF51" i="30"/>
  <c r="AF38" i="30"/>
  <c r="F15" i="30"/>
  <c r="N15" i="30"/>
  <c r="V15" i="30"/>
  <c r="AD15" i="30"/>
  <c r="AL15" i="30"/>
  <c r="J25" i="30"/>
  <c r="R25" i="30"/>
  <c r="Z25" i="30"/>
  <c r="AH25" i="30"/>
  <c r="M38" i="30"/>
  <c r="AI38" i="30"/>
  <c r="X51" i="30"/>
  <c r="G38" i="30"/>
  <c r="G51" i="30"/>
  <c r="W38" i="30"/>
  <c r="W51" i="30"/>
  <c r="I51" i="30"/>
  <c r="I38" i="30"/>
  <c r="Q51" i="30"/>
  <c r="Q38" i="30"/>
  <c r="Y51" i="30"/>
  <c r="Y38" i="30"/>
  <c r="AG51" i="30"/>
  <c r="AG38" i="30"/>
  <c r="G15" i="30"/>
  <c r="O15" i="30"/>
  <c r="W15" i="30"/>
  <c r="AE15" i="30"/>
  <c r="K25" i="30"/>
  <c r="S25" i="30"/>
  <c r="AA25" i="30"/>
  <c r="AI25" i="30"/>
  <c r="R38" i="30"/>
  <c r="AK38" i="30"/>
  <c r="AB51" i="30"/>
  <c r="AB38" i="30"/>
  <c r="T15" i="30"/>
  <c r="L25" i="30"/>
  <c r="T25" i="30"/>
  <c r="AB25" i="30"/>
  <c r="AJ25" i="30"/>
  <c r="S38" i="30"/>
  <c r="AL51" i="30"/>
  <c r="L82" i="30"/>
  <c r="L66" i="30"/>
  <c r="T82" i="30"/>
  <c r="T66" i="30"/>
  <c r="AC66" i="30"/>
  <c r="G82" i="30"/>
  <c r="G66" i="30"/>
  <c r="O82" i="30"/>
  <c r="O66" i="30"/>
  <c r="W82" i="30"/>
  <c r="W66" i="30"/>
  <c r="AE82" i="30"/>
  <c r="AE66" i="30"/>
  <c r="H66" i="30"/>
  <c r="P66" i="30"/>
  <c r="X66" i="30"/>
  <c r="AF66" i="30"/>
  <c r="B12" i="27"/>
  <c r="B15" i="27"/>
  <c r="C15" i="27" s="1"/>
  <c r="B14" i="27"/>
  <c r="C14" i="27" s="1"/>
  <c r="N38" i="53" l="1"/>
  <c r="M39" i="53"/>
  <c r="M22" i="51"/>
  <c r="M20" i="51"/>
  <c r="M21" i="51" s="1"/>
  <c r="Q30" i="51" s="1"/>
  <c r="J44" i="51"/>
  <c r="J52" i="51"/>
  <c r="J35" i="51"/>
  <c r="T30" i="51"/>
  <c r="T29" i="51"/>
  <c r="D5" i="50"/>
  <c r="F5" i="50"/>
  <c r="F18" i="50" s="1"/>
  <c r="D18" i="50"/>
  <c r="H18" i="50"/>
  <c r="J18" i="50"/>
  <c r="D52" i="50"/>
  <c r="F52" i="50"/>
  <c r="H52" i="50"/>
  <c r="J52" i="50"/>
  <c r="O38" i="53" l="1"/>
  <c r="N39" i="53"/>
  <c r="Q29" i="51"/>
  <c r="Q31" i="51" s="1"/>
  <c r="T31" i="51"/>
  <c r="N35" i="51"/>
  <c r="N36" i="51"/>
  <c r="N32" i="51"/>
  <c r="R12" i="12"/>
  <c r="P38" i="53" l="1"/>
  <c r="O39" i="53"/>
  <c r="S36" i="51"/>
  <c r="S32" i="51"/>
  <c r="S35" i="51"/>
  <c r="Q37" i="51" s="1"/>
  <c r="Q40" i="51" s="1"/>
  <c r="Q41" i="51" s="1"/>
  <c r="J28" i="11"/>
  <c r="J32" i="11"/>
  <c r="C37" i="11"/>
  <c r="B37" i="11" s="1"/>
  <c r="J36" i="11" l="1"/>
  <c r="C38" i="11"/>
  <c r="Q38" i="53"/>
  <c r="P39" i="53"/>
  <c r="D7" i="49"/>
  <c r="E7" i="49"/>
  <c r="H7" i="49"/>
  <c r="M7" i="49" s="1"/>
  <c r="I7" i="49"/>
  <c r="J7" i="49"/>
  <c r="R38" i="53" l="1"/>
  <c r="Q39" i="53"/>
  <c r="B18" i="27"/>
  <c r="C12" i="27"/>
  <c r="B11" i="27"/>
  <c r="B9" i="27"/>
  <c r="C9" i="27" s="1"/>
  <c r="B8" i="27"/>
  <c r="C8" i="27" s="1"/>
  <c r="C11" i="27"/>
  <c r="C17" i="27"/>
  <c r="C18" i="27"/>
  <c r="C12" i="11"/>
  <c r="B12" i="11" s="1"/>
  <c r="B13" i="49"/>
  <c r="F12" i="49"/>
  <c r="C12" i="49"/>
  <c r="B12" i="12" s="1"/>
  <c r="B12" i="49"/>
  <c r="H10" i="49"/>
  <c r="M10" i="49" s="1"/>
  <c r="J9" i="49"/>
  <c r="O9" i="49" s="1"/>
  <c r="I9" i="49"/>
  <c r="N9" i="49" s="1"/>
  <c r="H9" i="49"/>
  <c r="M9" i="49" s="1"/>
  <c r="I8" i="49"/>
  <c r="N8" i="49" s="1"/>
  <c r="H8" i="49"/>
  <c r="M8" i="49" s="1"/>
  <c r="E12" i="49"/>
  <c r="K6" i="49"/>
  <c r="P6" i="49" s="1"/>
  <c r="P12" i="49" s="1"/>
  <c r="J6" i="49"/>
  <c r="O6" i="49" s="1"/>
  <c r="I6" i="49"/>
  <c r="N6" i="49" s="1"/>
  <c r="H6" i="49"/>
  <c r="M6" i="49" s="1"/>
  <c r="K5" i="49"/>
  <c r="J5" i="49"/>
  <c r="O5" i="49" s="1"/>
  <c r="H5" i="49"/>
  <c r="M5" i="49" s="1"/>
  <c r="J4" i="49"/>
  <c r="O4" i="49" s="1"/>
  <c r="H4" i="49"/>
  <c r="M4" i="49" s="1"/>
  <c r="J3" i="49"/>
  <c r="O3" i="49" s="1"/>
  <c r="I3" i="49"/>
  <c r="N3" i="49" s="1"/>
  <c r="H3" i="49"/>
  <c r="M3" i="49" s="1"/>
  <c r="J12" i="11" l="1"/>
  <c r="S38" i="53"/>
  <c r="R39" i="53"/>
  <c r="B11" i="12"/>
  <c r="B41" i="52" s="1"/>
  <c r="B10" i="12"/>
  <c r="B40" i="52" s="1"/>
  <c r="B4" i="12"/>
  <c r="B34" i="52" s="1"/>
  <c r="B5" i="12"/>
  <c r="B35" i="52" s="1"/>
  <c r="B2" i="12"/>
  <c r="B32" i="52" s="1"/>
  <c r="B3" i="12"/>
  <c r="B33" i="52" s="1"/>
  <c r="K12" i="49"/>
  <c r="O12" i="49"/>
  <c r="H12" i="49"/>
  <c r="N12" i="49"/>
  <c r="M12" i="49"/>
  <c r="D12" i="49"/>
  <c r="I12" i="49"/>
  <c r="J12" i="49"/>
  <c r="T38" i="53" l="1"/>
  <c r="S39" i="53"/>
  <c r="B8" i="12"/>
  <c r="B38" i="52" s="1"/>
  <c r="B7" i="12"/>
  <c r="B37" i="52" s="1"/>
  <c r="B6" i="12"/>
  <c r="B36" i="52" s="1"/>
  <c r="B9" i="12"/>
  <c r="B39" i="52" s="1"/>
  <c r="E2" i="30"/>
  <c r="B22" i="12"/>
  <c r="U38" i="53" l="1"/>
  <c r="T39" i="53"/>
  <c r="V38" i="53" l="1"/>
  <c r="U39" i="53"/>
  <c r="AB54" i="42"/>
  <c r="AC54" i="42" s="1"/>
  <c r="AA54" i="42"/>
  <c r="AJ58" i="42" s="1"/>
  <c r="E19" i="44"/>
  <c r="W38" i="53" l="1"/>
  <c r="V39" i="53"/>
  <c r="AI45" i="42"/>
  <c r="AI20" i="42"/>
  <c r="AI43" i="42"/>
  <c r="AI29" i="42"/>
  <c r="AI18" i="42"/>
  <c r="AI53" i="42"/>
  <c r="AI42" i="42"/>
  <c r="AI28" i="42"/>
  <c r="AI15" i="42"/>
  <c r="AI34" i="42"/>
  <c r="AI31" i="42"/>
  <c r="AI52" i="42"/>
  <c r="AI39" i="42"/>
  <c r="AI27" i="42"/>
  <c r="AI13" i="42"/>
  <c r="AI19" i="42"/>
  <c r="AI51" i="42"/>
  <c r="AI37" i="42"/>
  <c r="AI26" i="42"/>
  <c r="AI12" i="42"/>
  <c r="AI44" i="42"/>
  <c r="AI50" i="42"/>
  <c r="AI36" i="42"/>
  <c r="AI23" i="42"/>
  <c r="AI11" i="42"/>
  <c r="AI47" i="42"/>
  <c r="AI35" i="42"/>
  <c r="AI21" i="42"/>
  <c r="AI10" i="42"/>
  <c r="AI49" i="42"/>
  <c r="AI41" i="42"/>
  <c r="AI33" i="42"/>
  <c r="AI25" i="42"/>
  <c r="AI17" i="42"/>
  <c r="AI9" i="42"/>
  <c r="AI48" i="42"/>
  <c r="AI40" i="42"/>
  <c r="AI32" i="42"/>
  <c r="AI24" i="42"/>
  <c r="AI16" i="42"/>
  <c r="AI8" i="42"/>
  <c r="AI7" i="42"/>
  <c r="AI46" i="42"/>
  <c r="AI38" i="42"/>
  <c r="AI30" i="42"/>
  <c r="AI22" i="42"/>
  <c r="AI14" i="42"/>
  <c r="X38" i="53" l="1"/>
  <c r="W39" i="53"/>
  <c r="E7" i="30"/>
  <c r="J5" i="30"/>
  <c r="J7" i="30"/>
  <c r="Y38" i="53" l="1"/>
  <c r="X39" i="53"/>
  <c r="F83" i="30"/>
  <c r="F67" i="30"/>
  <c r="AG83" i="30"/>
  <c r="R83" i="30"/>
  <c r="AD83" i="30"/>
  <c r="X83" i="30"/>
  <c r="AB83" i="30"/>
  <c r="AL83" i="30"/>
  <c r="AF83" i="30"/>
  <c r="AJ67" i="30"/>
  <c r="V83" i="30"/>
  <c r="K67" i="30"/>
  <c r="I83" i="30"/>
  <c r="J83" i="30"/>
  <c r="Y83" i="30"/>
  <c r="AI67" i="30"/>
  <c r="Y67" i="30"/>
  <c r="V67" i="30"/>
  <c r="N67" i="30"/>
  <c r="H83" i="30"/>
  <c r="Z83" i="30"/>
  <c r="Q83" i="30"/>
  <c r="AB67" i="30"/>
  <c r="I67" i="30"/>
  <c r="AK67" i="30"/>
  <c r="M83" i="30"/>
  <c r="S83" i="30"/>
  <c r="AC83" i="30"/>
  <c r="U67" i="30"/>
  <c r="AL67" i="30"/>
  <c r="AK83" i="30"/>
  <c r="AH83" i="30"/>
  <c r="AD67" i="30"/>
  <c r="K83" i="30"/>
  <c r="N83" i="30"/>
  <c r="AA83" i="30"/>
  <c r="U83" i="30"/>
  <c r="AI83" i="30"/>
  <c r="P83" i="30"/>
  <c r="M67" i="30"/>
  <c r="P67" i="30"/>
  <c r="AF67" i="30"/>
  <c r="L83" i="30"/>
  <c r="G83" i="30"/>
  <c r="O67" i="30"/>
  <c r="H67" i="30"/>
  <c r="AE67" i="30"/>
  <c r="E83" i="30"/>
  <c r="AJ83" i="30"/>
  <c r="Q67" i="30"/>
  <c r="W67" i="30"/>
  <c r="E67" i="30"/>
  <c r="W83" i="30"/>
  <c r="AH67" i="30"/>
  <c r="S67" i="30"/>
  <c r="T67" i="30"/>
  <c r="AA67" i="30"/>
  <c r="J67" i="30"/>
  <c r="X67" i="30"/>
  <c r="AC67" i="30"/>
  <c r="AE83" i="30"/>
  <c r="T83" i="30"/>
  <c r="O83" i="30"/>
  <c r="L67" i="30"/>
  <c r="Z67" i="30"/>
  <c r="AG67" i="30"/>
  <c r="R67" i="30"/>
  <c r="G67" i="30"/>
  <c r="D35" i="52"/>
  <c r="D38" i="52"/>
  <c r="D33" i="52"/>
  <c r="D40" i="52"/>
  <c r="D39" i="52"/>
  <c r="D32" i="52"/>
  <c r="D37" i="52"/>
  <c r="D41" i="52"/>
  <c r="D36" i="52"/>
  <c r="D34" i="52"/>
  <c r="AG3" i="12"/>
  <c r="AG4" i="12"/>
  <c r="AG6" i="12"/>
  <c r="AG7" i="12"/>
  <c r="AG8" i="12"/>
  <c r="AG2" i="12"/>
  <c r="Z38" i="53" l="1"/>
  <c r="Y39" i="53"/>
  <c r="AQ7" i="42"/>
  <c r="C51" i="43"/>
  <c r="D49" i="43"/>
  <c r="D48" i="43"/>
  <c r="D47" i="43"/>
  <c r="D46" i="43"/>
  <c r="D45" i="43"/>
  <c r="D44" i="43"/>
  <c r="D43" i="43"/>
  <c r="D42" i="43"/>
  <c r="D41" i="43"/>
  <c r="D40" i="43"/>
  <c r="D39" i="43"/>
  <c r="D38" i="43"/>
  <c r="D37" i="43"/>
  <c r="D36" i="43"/>
  <c r="D35" i="43"/>
  <c r="D34" i="43"/>
  <c r="D33" i="43"/>
  <c r="D32" i="43"/>
  <c r="D31" i="43"/>
  <c r="D30" i="43"/>
  <c r="D29" i="43"/>
  <c r="D28" i="43"/>
  <c r="D27" i="43"/>
  <c r="D26" i="43"/>
  <c r="D25" i="43"/>
  <c r="D24" i="43"/>
  <c r="D23" i="43"/>
  <c r="D22" i="43"/>
  <c r="D21" i="43"/>
  <c r="D20" i="43"/>
  <c r="D19" i="43"/>
  <c r="D18" i="43"/>
  <c r="D17" i="43"/>
  <c r="D16" i="43"/>
  <c r="D15" i="43"/>
  <c r="D14" i="43"/>
  <c r="D13" i="43"/>
  <c r="D12" i="43"/>
  <c r="D11" i="43"/>
  <c r="D10" i="43"/>
  <c r="D9" i="43"/>
  <c r="D8" i="43"/>
  <c r="D7" i="43"/>
  <c r="D6" i="43"/>
  <c r="D5" i="43"/>
  <c r="D4" i="43"/>
  <c r="D3" i="43"/>
  <c r="AB58" i="42"/>
  <c r="AC58" i="42" s="1"/>
  <c r="AA58" i="42"/>
  <c r="Y57" i="42"/>
  <c r="Y58" i="42" s="1"/>
  <c r="X57" i="42"/>
  <c r="X58" i="42" s="1"/>
  <c r="V57" i="42"/>
  <c r="W57" i="42" s="1"/>
  <c r="U57" i="42"/>
  <c r="U58" i="42" s="1"/>
  <c r="S57" i="42"/>
  <c r="S58" i="42" s="1"/>
  <c r="R57" i="42"/>
  <c r="R58" i="42" s="1"/>
  <c r="P57" i="42"/>
  <c r="P58" i="42" s="1"/>
  <c r="O57" i="42"/>
  <c r="O58" i="42" s="1"/>
  <c r="M57" i="42"/>
  <c r="M58" i="42" s="1"/>
  <c r="L57" i="42"/>
  <c r="L58" i="42" s="1"/>
  <c r="J57" i="42"/>
  <c r="K57" i="42" s="1"/>
  <c r="I57" i="42"/>
  <c r="I58" i="42" s="1"/>
  <c r="G57" i="42"/>
  <c r="G58" i="42" s="1"/>
  <c r="F57" i="42"/>
  <c r="F58" i="42" s="1"/>
  <c r="D57" i="42"/>
  <c r="C57" i="42"/>
  <c r="AM53" i="42"/>
  <c r="AL53" i="42"/>
  <c r="AQ53" i="42"/>
  <c r="Z53" i="42"/>
  <c r="AP53" i="42" s="1"/>
  <c r="W53" i="42"/>
  <c r="T53" i="42"/>
  <c r="AN53" i="42" s="1"/>
  <c r="AM52" i="42"/>
  <c r="AL52" i="42"/>
  <c r="AQ52" i="42"/>
  <c r="Z52" i="42"/>
  <c r="AP52" i="42" s="1"/>
  <c r="W52" i="42"/>
  <c r="T52" i="42"/>
  <c r="AN52" i="42" s="1"/>
  <c r="K52" i="42"/>
  <c r="H52" i="42"/>
  <c r="E52" i="42"/>
  <c r="AQ51" i="42"/>
  <c r="Z51" i="42"/>
  <c r="AP51" i="42" s="1"/>
  <c r="W51" i="42"/>
  <c r="AO51" i="42" s="1"/>
  <c r="T51" i="42"/>
  <c r="AN51" i="42" s="1"/>
  <c r="Q51" i="42"/>
  <c r="AM51" i="42" s="1"/>
  <c r="N51" i="42"/>
  <c r="AL51" i="42" s="1"/>
  <c r="K51" i="42"/>
  <c r="H51" i="42"/>
  <c r="E51" i="42"/>
  <c r="AQ50" i="42"/>
  <c r="Z50" i="42"/>
  <c r="AP50" i="42" s="1"/>
  <c r="W50" i="42"/>
  <c r="T50" i="42"/>
  <c r="AN50" i="42" s="1"/>
  <c r="Q50" i="42"/>
  <c r="AM50" i="42" s="1"/>
  <c r="N50" i="42"/>
  <c r="AL50" i="42" s="1"/>
  <c r="AQ49" i="42"/>
  <c r="AO49" i="42"/>
  <c r="AN49" i="42"/>
  <c r="AM49" i="42"/>
  <c r="AL49" i="42"/>
  <c r="Z49" i="42"/>
  <c r="AP49" i="42" s="1"/>
  <c r="AQ48" i="42"/>
  <c r="Z48" i="42"/>
  <c r="AP48" i="42" s="1"/>
  <c r="W48" i="42"/>
  <c r="T48" i="42"/>
  <c r="AN48" i="42" s="1"/>
  <c r="Q48" i="42"/>
  <c r="AM48" i="42" s="1"/>
  <c r="N48" i="42"/>
  <c r="AL48" i="42" s="1"/>
  <c r="K48" i="42"/>
  <c r="H48" i="42"/>
  <c r="E48" i="42"/>
  <c r="AQ47" i="42"/>
  <c r="Z47" i="42"/>
  <c r="AP47" i="42" s="1"/>
  <c r="W47" i="42"/>
  <c r="AO47" i="42" s="1"/>
  <c r="T47" i="42"/>
  <c r="AN47" i="42" s="1"/>
  <c r="Q47" i="42"/>
  <c r="AM47" i="42" s="1"/>
  <c r="N47" i="42"/>
  <c r="AL47" i="42" s="1"/>
  <c r="K47" i="42"/>
  <c r="H47" i="42"/>
  <c r="E47" i="42"/>
  <c r="AQ46" i="42"/>
  <c r="AL46" i="42"/>
  <c r="Z46" i="42"/>
  <c r="AP46" i="42" s="1"/>
  <c r="W46" i="42"/>
  <c r="AO46" i="42" s="1"/>
  <c r="T46" i="42"/>
  <c r="AN46" i="42" s="1"/>
  <c r="Q46" i="42"/>
  <c r="AQ45" i="42"/>
  <c r="Z45" i="42"/>
  <c r="AP45" i="42" s="1"/>
  <c r="W45" i="42"/>
  <c r="T45" i="42"/>
  <c r="AN45" i="42" s="1"/>
  <c r="Q45" i="42"/>
  <c r="AM45" i="42" s="1"/>
  <c r="N45" i="42"/>
  <c r="AL45" i="42" s="1"/>
  <c r="K45" i="42"/>
  <c r="H45" i="42"/>
  <c r="E45" i="42"/>
  <c r="AQ44" i="42"/>
  <c r="Z44" i="42"/>
  <c r="AP44" i="42" s="1"/>
  <c r="W44" i="42"/>
  <c r="T44" i="42"/>
  <c r="AN44" i="42" s="1"/>
  <c r="Q44" i="42"/>
  <c r="N44" i="42"/>
  <c r="AL44" i="42" s="1"/>
  <c r="K44" i="42"/>
  <c r="H44" i="42"/>
  <c r="E44" i="42"/>
  <c r="AQ43" i="42"/>
  <c r="Z43" i="42"/>
  <c r="AP43" i="42" s="1"/>
  <c r="W43" i="42"/>
  <c r="AO43" i="42" s="1"/>
  <c r="T43" i="42"/>
  <c r="AN43" i="42" s="1"/>
  <c r="Q43" i="42"/>
  <c r="AM43" i="42" s="1"/>
  <c r="N43" i="42"/>
  <c r="AL43" i="42" s="1"/>
  <c r="K43" i="42"/>
  <c r="H43" i="42"/>
  <c r="E43" i="42"/>
  <c r="AQ42" i="42"/>
  <c r="Z42" i="42"/>
  <c r="AP42" i="42" s="1"/>
  <c r="W42" i="42"/>
  <c r="T42" i="42"/>
  <c r="AN42" i="42" s="1"/>
  <c r="Q42" i="42"/>
  <c r="N42" i="42"/>
  <c r="AL42" i="42" s="1"/>
  <c r="K42" i="42"/>
  <c r="H42" i="42"/>
  <c r="E42" i="42"/>
  <c r="AQ41" i="42"/>
  <c r="Z41" i="42"/>
  <c r="AP41" i="42" s="1"/>
  <c r="W41" i="42"/>
  <c r="AO41" i="42" s="1"/>
  <c r="T41" i="42"/>
  <c r="Q41" i="42"/>
  <c r="AM41" i="42" s="1"/>
  <c r="N41" i="42"/>
  <c r="AL41" i="42" s="1"/>
  <c r="K41" i="42"/>
  <c r="H41" i="42"/>
  <c r="E41" i="42"/>
  <c r="AQ40" i="42"/>
  <c r="Z40" i="42"/>
  <c r="AP40" i="42" s="1"/>
  <c r="W40" i="42"/>
  <c r="T40" i="42"/>
  <c r="AN40" i="42" s="1"/>
  <c r="Q40" i="42"/>
  <c r="N40" i="42"/>
  <c r="AL40" i="42" s="1"/>
  <c r="K40" i="42"/>
  <c r="H40" i="42"/>
  <c r="E40" i="42"/>
  <c r="AQ39" i="42"/>
  <c r="Z39" i="42"/>
  <c r="AP39" i="42" s="1"/>
  <c r="W39" i="42"/>
  <c r="AO39" i="42" s="1"/>
  <c r="T39" i="42"/>
  <c r="Q39" i="42"/>
  <c r="AM39" i="42" s="1"/>
  <c r="N39" i="42"/>
  <c r="AL39" i="42" s="1"/>
  <c r="K39" i="42"/>
  <c r="H39" i="42"/>
  <c r="E39" i="42"/>
  <c r="AQ38" i="42"/>
  <c r="AM38" i="42"/>
  <c r="Z38" i="42"/>
  <c r="AP38" i="42" s="1"/>
  <c r="W38" i="42"/>
  <c r="T38" i="42"/>
  <c r="AN38" i="42" s="1"/>
  <c r="Q38" i="42"/>
  <c r="N38" i="42"/>
  <c r="AL38" i="42" s="1"/>
  <c r="K38" i="42"/>
  <c r="H38" i="42"/>
  <c r="E38" i="42"/>
  <c r="AQ37" i="42"/>
  <c r="Z37" i="42"/>
  <c r="AP37" i="42" s="1"/>
  <c r="W37" i="42"/>
  <c r="AO37" i="42" s="1"/>
  <c r="T37" i="42"/>
  <c r="AN37" i="42" s="1"/>
  <c r="Q37" i="42"/>
  <c r="AM37" i="42" s="1"/>
  <c r="N37" i="42"/>
  <c r="AL37" i="42" s="1"/>
  <c r="K37" i="42"/>
  <c r="H37" i="42"/>
  <c r="E37" i="42"/>
  <c r="AQ36" i="42"/>
  <c r="Z36" i="42"/>
  <c r="AP36" i="42" s="1"/>
  <c r="W36" i="42"/>
  <c r="AO36" i="42" s="1"/>
  <c r="T36" i="42"/>
  <c r="AN36" i="42" s="1"/>
  <c r="Q36" i="42"/>
  <c r="AM36" i="42" s="1"/>
  <c r="N36" i="42"/>
  <c r="AL36" i="42" s="1"/>
  <c r="K36" i="42"/>
  <c r="H36" i="42"/>
  <c r="E36" i="42"/>
  <c r="AQ35" i="42"/>
  <c r="Z35" i="42"/>
  <c r="AP35" i="42" s="1"/>
  <c r="W35" i="42"/>
  <c r="AO35" i="42" s="1"/>
  <c r="T35" i="42"/>
  <c r="AN35" i="42" s="1"/>
  <c r="Q35" i="42"/>
  <c r="AM35" i="42" s="1"/>
  <c r="N35" i="42"/>
  <c r="AL35" i="42" s="1"/>
  <c r="K35" i="42"/>
  <c r="H35" i="42"/>
  <c r="E35" i="42"/>
  <c r="AQ34" i="42"/>
  <c r="Z34" i="42"/>
  <c r="AP34" i="42" s="1"/>
  <c r="W34" i="42"/>
  <c r="T34" i="42"/>
  <c r="AN34" i="42" s="1"/>
  <c r="Q34" i="42"/>
  <c r="AM34" i="42" s="1"/>
  <c r="N34" i="42"/>
  <c r="AL34" i="42" s="1"/>
  <c r="K34" i="42"/>
  <c r="H34" i="42"/>
  <c r="E34" i="42"/>
  <c r="AQ33" i="42"/>
  <c r="Z33" i="42"/>
  <c r="W33" i="42"/>
  <c r="AO33" i="42" s="1"/>
  <c r="T33" i="42"/>
  <c r="AN33" i="42" s="1"/>
  <c r="Q33" i="42"/>
  <c r="AM33" i="42" s="1"/>
  <c r="N33" i="42"/>
  <c r="AL33" i="42" s="1"/>
  <c r="K33" i="42"/>
  <c r="H33" i="42"/>
  <c r="E33" i="42"/>
  <c r="AQ32" i="42"/>
  <c r="AM32" i="42"/>
  <c r="Z32" i="42"/>
  <c r="AP32" i="42" s="1"/>
  <c r="W32" i="42"/>
  <c r="T32" i="42"/>
  <c r="AN32" i="42" s="1"/>
  <c r="Q32" i="42"/>
  <c r="N32" i="42"/>
  <c r="AL32" i="42" s="1"/>
  <c r="K32" i="42"/>
  <c r="H32" i="42"/>
  <c r="E32" i="42"/>
  <c r="AP31" i="42"/>
  <c r="AQ31" i="42"/>
  <c r="Z31" i="42"/>
  <c r="W31" i="42"/>
  <c r="AO31" i="42" s="1"/>
  <c r="T31" i="42"/>
  <c r="AN31" i="42" s="1"/>
  <c r="Q31" i="42"/>
  <c r="AM31" i="42" s="1"/>
  <c r="N31" i="42"/>
  <c r="AL31" i="42" s="1"/>
  <c r="K31" i="42"/>
  <c r="H31" i="42"/>
  <c r="E31" i="42"/>
  <c r="AQ30" i="42"/>
  <c r="Z30" i="42"/>
  <c r="AP30" i="42" s="1"/>
  <c r="W30" i="42"/>
  <c r="T30" i="42"/>
  <c r="AN30" i="42" s="1"/>
  <c r="Q30" i="42"/>
  <c r="AM30" i="42" s="1"/>
  <c r="N30" i="42"/>
  <c r="AL30" i="42" s="1"/>
  <c r="K30" i="42"/>
  <c r="H30" i="42"/>
  <c r="E30" i="42"/>
  <c r="AQ29" i="42"/>
  <c r="Z29" i="42"/>
  <c r="AP29" i="42" s="1"/>
  <c r="W29" i="42"/>
  <c r="AO29" i="42" s="1"/>
  <c r="T29" i="42"/>
  <c r="AN29" i="42" s="1"/>
  <c r="Q29" i="42"/>
  <c r="AM29" i="42" s="1"/>
  <c r="N29" i="42"/>
  <c r="AL29" i="42" s="1"/>
  <c r="K29" i="42"/>
  <c r="H29" i="42"/>
  <c r="E29" i="42"/>
  <c r="AQ28" i="42"/>
  <c r="Z28" i="42"/>
  <c r="AP28" i="42" s="1"/>
  <c r="W28" i="42"/>
  <c r="T28" i="42"/>
  <c r="AN28" i="42" s="1"/>
  <c r="Q28" i="42"/>
  <c r="N28" i="42"/>
  <c r="AL28" i="42" s="1"/>
  <c r="K28" i="42"/>
  <c r="H28" i="42"/>
  <c r="E28" i="42"/>
  <c r="AQ27" i="42"/>
  <c r="Z27" i="42"/>
  <c r="AP27" i="42" s="1"/>
  <c r="W27" i="42"/>
  <c r="AO27" i="42" s="1"/>
  <c r="T27" i="42"/>
  <c r="AN27" i="42" s="1"/>
  <c r="Q27" i="42"/>
  <c r="AM27" i="42" s="1"/>
  <c r="N27" i="42"/>
  <c r="AL27" i="42" s="1"/>
  <c r="K27" i="42"/>
  <c r="H27" i="42"/>
  <c r="E27" i="42"/>
  <c r="AQ26" i="42"/>
  <c r="Z26" i="42"/>
  <c r="AP26" i="42" s="1"/>
  <c r="W26" i="42"/>
  <c r="T26" i="42"/>
  <c r="AN26" i="42" s="1"/>
  <c r="Q26" i="42"/>
  <c r="N26" i="42"/>
  <c r="AL26" i="42" s="1"/>
  <c r="K26" i="42"/>
  <c r="H26" i="42"/>
  <c r="E26" i="42"/>
  <c r="AQ25" i="42"/>
  <c r="Z25" i="42"/>
  <c r="AP25" i="42" s="1"/>
  <c r="W25" i="42"/>
  <c r="AO25" i="42" s="1"/>
  <c r="T25" i="42"/>
  <c r="Q25" i="42"/>
  <c r="AM25" i="42" s="1"/>
  <c r="N25" i="42"/>
  <c r="AL25" i="42" s="1"/>
  <c r="K25" i="42"/>
  <c r="H25" i="42"/>
  <c r="E25" i="42"/>
  <c r="AQ24" i="42"/>
  <c r="Z24" i="42"/>
  <c r="AP24" i="42" s="1"/>
  <c r="W24" i="42"/>
  <c r="T24" i="42"/>
  <c r="AN24" i="42" s="1"/>
  <c r="Q24" i="42"/>
  <c r="AM24" i="42" s="1"/>
  <c r="N24" i="42"/>
  <c r="AL24" i="42" s="1"/>
  <c r="K24" i="42"/>
  <c r="H24" i="42"/>
  <c r="E24" i="42"/>
  <c r="AQ23" i="42"/>
  <c r="Z23" i="42"/>
  <c r="AP23" i="42" s="1"/>
  <c r="W23" i="42"/>
  <c r="T23" i="42"/>
  <c r="Q23" i="42"/>
  <c r="AM23" i="42" s="1"/>
  <c r="N23" i="42"/>
  <c r="AL23" i="42" s="1"/>
  <c r="K23" i="42"/>
  <c r="H23" i="42"/>
  <c r="E23" i="42"/>
  <c r="AQ22" i="42"/>
  <c r="Z22" i="42"/>
  <c r="AP22" i="42" s="1"/>
  <c r="W22" i="42"/>
  <c r="AO22" i="42" s="1"/>
  <c r="T22" i="42"/>
  <c r="AN22" i="42" s="1"/>
  <c r="Q22" i="42"/>
  <c r="N22" i="42"/>
  <c r="AL22" i="42" s="1"/>
  <c r="K22" i="42"/>
  <c r="H22" i="42"/>
  <c r="E22" i="42"/>
  <c r="AQ21" i="42"/>
  <c r="Z21" i="42"/>
  <c r="AP21" i="42" s="1"/>
  <c r="W21" i="42"/>
  <c r="AO21" i="42" s="1"/>
  <c r="T21" i="42"/>
  <c r="AN21" i="42" s="1"/>
  <c r="Q21" i="42"/>
  <c r="N21" i="42"/>
  <c r="AL21" i="42" s="1"/>
  <c r="K21" i="42"/>
  <c r="H21" i="42"/>
  <c r="E21" i="42"/>
  <c r="AQ20" i="42"/>
  <c r="Z20" i="42"/>
  <c r="AP20" i="42" s="1"/>
  <c r="W20" i="42"/>
  <c r="AO20" i="42" s="1"/>
  <c r="T20" i="42"/>
  <c r="AN20" i="42" s="1"/>
  <c r="Q20" i="42"/>
  <c r="AM20" i="42" s="1"/>
  <c r="N20" i="42"/>
  <c r="AL20" i="42" s="1"/>
  <c r="K20" i="42"/>
  <c r="H20" i="42"/>
  <c r="E20" i="42"/>
  <c r="AQ19" i="42"/>
  <c r="Z19" i="42"/>
  <c r="AP19" i="42" s="1"/>
  <c r="W19" i="42"/>
  <c r="AO19" i="42" s="1"/>
  <c r="T19" i="42"/>
  <c r="AN19" i="42" s="1"/>
  <c r="Q19" i="42"/>
  <c r="AM19" i="42" s="1"/>
  <c r="N19" i="42"/>
  <c r="AL19" i="42" s="1"/>
  <c r="K19" i="42"/>
  <c r="H19" i="42"/>
  <c r="E19" i="42"/>
  <c r="AP18" i="42"/>
  <c r="AQ18" i="42"/>
  <c r="Z18" i="42"/>
  <c r="W18" i="42"/>
  <c r="AO18" i="42" s="1"/>
  <c r="T18" i="42"/>
  <c r="AN18" i="42" s="1"/>
  <c r="Q18" i="42"/>
  <c r="AM18" i="42" s="1"/>
  <c r="N18" i="42"/>
  <c r="AL18" i="42" s="1"/>
  <c r="K18" i="42"/>
  <c r="H18" i="42"/>
  <c r="E18" i="42"/>
  <c r="AQ17" i="42"/>
  <c r="Z17" i="42"/>
  <c r="AP17" i="42" s="1"/>
  <c r="W17" i="42"/>
  <c r="AO17" i="42" s="1"/>
  <c r="T17" i="42"/>
  <c r="AN17" i="42" s="1"/>
  <c r="Q17" i="42"/>
  <c r="N17" i="42"/>
  <c r="AL17" i="42" s="1"/>
  <c r="K17" i="42"/>
  <c r="H17" i="42"/>
  <c r="E17" i="42"/>
  <c r="AQ16" i="42"/>
  <c r="Z16" i="42"/>
  <c r="AP16" i="42" s="1"/>
  <c r="W16" i="42"/>
  <c r="AO16" i="42" s="1"/>
  <c r="T16" i="42"/>
  <c r="Q16" i="42"/>
  <c r="AM16" i="42" s="1"/>
  <c r="N16" i="42"/>
  <c r="AL16" i="42" s="1"/>
  <c r="K16" i="42"/>
  <c r="H16" i="42"/>
  <c r="E16" i="42"/>
  <c r="AQ15" i="42"/>
  <c r="Z15" i="42"/>
  <c r="AP15" i="42" s="1"/>
  <c r="W15" i="42"/>
  <c r="T15" i="42"/>
  <c r="AN15" i="42" s="1"/>
  <c r="Q15" i="42"/>
  <c r="AM15" i="42" s="1"/>
  <c r="N15" i="42"/>
  <c r="AL15" i="42" s="1"/>
  <c r="K15" i="42"/>
  <c r="H15" i="42"/>
  <c r="E15" i="42"/>
  <c r="AL14" i="42"/>
  <c r="AQ14" i="42"/>
  <c r="Z14" i="42"/>
  <c r="AP14" i="42" s="1"/>
  <c r="W14" i="42"/>
  <c r="AO14" i="42" s="1"/>
  <c r="T14" i="42"/>
  <c r="AN14" i="42" s="1"/>
  <c r="Q14" i="42"/>
  <c r="AM14" i="42" s="1"/>
  <c r="N14" i="42"/>
  <c r="K14" i="42"/>
  <c r="H14" i="42"/>
  <c r="E14" i="42"/>
  <c r="AQ13" i="42"/>
  <c r="Z13" i="42"/>
  <c r="AP13" i="42" s="1"/>
  <c r="W13" i="42"/>
  <c r="AO13" i="42" s="1"/>
  <c r="T13" i="42"/>
  <c r="AN13" i="42" s="1"/>
  <c r="Q13" i="42"/>
  <c r="N13" i="42"/>
  <c r="AL13" i="42" s="1"/>
  <c r="K13" i="42"/>
  <c r="H13" i="42"/>
  <c r="E13" i="42"/>
  <c r="AQ12" i="42"/>
  <c r="Z12" i="42"/>
  <c r="AP12" i="42" s="1"/>
  <c r="W12" i="42"/>
  <c r="AO12" i="42" s="1"/>
  <c r="T12" i="42"/>
  <c r="AN12" i="42" s="1"/>
  <c r="Q12" i="42"/>
  <c r="AM12" i="42" s="1"/>
  <c r="N12" i="42"/>
  <c r="AL12" i="42" s="1"/>
  <c r="K12" i="42"/>
  <c r="H12" i="42"/>
  <c r="E12" i="42"/>
  <c r="AQ11" i="42"/>
  <c r="Z11" i="42"/>
  <c r="AP11" i="42" s="1"/>
  <c r="W11" i="42"/>
  <c r="T11" i="42"/>
  <c r="AN11" i="42" s="1"/>
  <c r="Q11" i="42"/>
  <c r="AM11" i="42" s="1"/>
  <c r="N11" i="42"/>
  <c r="AL11" i="42" s="1"/>
  <c r="K11" i="42"/>
  <c r="H11" i="42"/>
  <c r="E11" i="42"/>
  <c r="AQ10" i="42"/>
  <c r="Z10" i="42"/>
  <c r="AP10" i="42" s="1"/>
  <c r="W10" i="42"/>
  <c r="AO10" i="42" s="1"/>
  <c r="T10" i="42"/>
  <c r="AN10" i="42" s="1"/>
  <c r="Q10" i="42"/>
  <c r="AM10" i="42" s="1"/>
  <c r="N10" i="42"/>
  <c r="AL10" i="42" s="1"/>
  <c r="K10" i="42"/>
  <c r="H10" i="42"/>
  <c r="E10" i="42"/>
  <c r="AQ9" i="42"/>
  <c r="Z9" i="42"/>
  <c r="AP9" i="42" s="1"/>
  <c r="W9" i="42"/>
  <c r="T9" i="42"/>
  <c r="AN9" i="42" s="1"/>
  <c r="Q9" i="42"/>
  <c r="AM9" i="42" s="1"/>
  <c r="N9" i="42"/>
  <c r="AL9" i="42" s="1"/>
  <c r="K9" i="42"/>
  <c r="H9" i="42"/>
  <c r="E9" i="42"/>
  <c r="AQ8" i="42"/>
  <c r="AN8" i="42"/>
  <c r="Z8" i="42"/>
  <c r="AP8" i="42" s="1"/>
  <c r="W8" i="42"/>
  <c r="AO8" i="42" s="1"/>
  <c r="T8" i="42"/>
  <c r="Q8" i="42"/>
  <c r="AM8" i="42" s="1"/>
  <c r="N8" i="42"/>
  <c r="AL8" i="42" s="1"/>
  <c r="K8" i="42"/>
  <c r="H8" i="42"/>
  <c r="E8" i="42"/>
  <c r="Z7" i="42"/>
  <c r="AP7" i="42" s="1"/>
  <c r="W7" i="42"/>
  <c r="AO7" i="42" s="1"/>
  <c r="T7" i="42"/>
  <c r="AN7" i="42" s="1"/>
  <c r="Q7" i="42"/>
  <c r="AM7" i="42" s="1"/>
  <c r="N7" i="42"/>
  <c r="AL7" i="42" s="1"/>
  <c r="K7" i="42"/>
  <c r="H7" i="42"/>
  <c r="E7" i="42"/>
  <c r="AA38" i="53" l="1"/>
  <c r="Z39" i="53"/>
  <c r="AS29" i="42"/>
  <c r="AS10" i="42"/>
  <c r="AD17" i="42"/>
  <c r="AS36" i="42"/>
  <c r="E57" i="42"/>
  <c r="AS11" i="42"/>
  <c r="AS20" i="42"/>
  <c r="AD21" i="42"/>
  <c r="AS27" i="42"/>
  <c r="AE40" i="42"/>
  <c r="N58" i="42"/>
  <c r="AS37" i="42"/>
  <c r="AS18" i="42"/>
  <c r="AS43" i="42"/>
  <c r="AS51" i="42"/>
  <c r="V58" i="42"/>
  <c r="AS7" i="42"/>
  <c r="AS31" i="42"/>
  <c r="AS47" i="42"/>
  <c r="AS49" i="42"/>
  <c r="T57" i="42"/>
  <c r="AS12" i="42"/>
  <c r="H58" i="42"/>
  <c r="AS8" i="42"/>
  <c r="AD10" i="42"/>
  <c r="AS14" i="42"/>
  <c r="AS19" i="42"/>
  <c r="AS35" i="42"/>
  <c r="AD52" i="42"/>
  <c r="AD32" i="42"/>
  <c r="AD13" i="42"/>
  <c r="H57" i="42"/>
  <c r="AD30" i="42"/>
  <c r="AE32" i="42"/>
  <c r="T58" i="42"/>
  <c r="J58" i="42"/>
  <c r="K58" i="42" s="1"/>
  <c r="AE17" i="42"/>
  <c r="AE30" i="42"/>
  <c r="AD33" i="42"/>
  <c r="AD9" i="42"/>
  <c r="AE13" i="42"/>
  <c r="AD18" i="42"/>
  <c r="AE37" i="42"/>
  <c r="AE50" i="42"/>
  <c r="AE49" i="42"/>
  <c r="AD14" i="42"/>
  <c r="AE22" i="42"/>
  <c r="AE24" i="42"/>
  <c r="AD31" i="42"/>
  <c r="AP33" i="42"/>
  <c r="AS33" i="42" s="1"/>
  <c r="AD47" i="42"/>
  <c r="AE51" i="42"/>
  <c r="AO52" i="42"/>
  <c r="AS52" i="42" s="1"/>
  <c r="AE52" i="42"/>
  <c r="AD35" i="42"/>
  <c r="AE38" i="42"/>
  <c r="AM40" i="42"/>
  <c r="AE48" i="42"/>
  <c r="D51" i="43"/>
  <c r="E51" i="43" s="1"/>
  <c r="AE12" i="42"/>
  <c r="AD12" i="42"/>
  <c r="AE15" i="42"/>
  <c r="AD15" i="42"/>
  <c r="AE16" i="42"/>
  <c r="AD16" i="42"/>
  <c r="AE44" i="42"/>
  <c r="AM44" i="42"/>
  <c r="AE11" i="42"/>
  <c r="AD11" i="42"/>
  <c r="AE26" i="42"/>
  <c r="AM26" i="42"/>
  <c r="AE7" i="42"/>
  <c r="AD7" i="42"/>
  <c r="AE9" i="42"/>
  <c r="AM13" i="42"/>
  <c r="AS13" i="42" s="1"/>
  <c r="AO15" i="42"/>
  <c r="AS15" i="42" s="1"/>
  <c r="AM22" i="42"/>
  <c r="AS22" i="42" s="1"/>
  <c r="AD22" i="42"/>
  <c r="AD39" i="42"/>
  <c r="AN39" i="42"/>
  <c r="AS39" i="42" s="1"/>
  <c r="AM21" i="42"/>
  <c r="AS21" i="42" s="1"/>
  <c r="AD23" i="42"/>
  <c r="AN23" i="42"/>
  <c r="AS23" i="42" s="1"/>
  <c r="AM17" i="42"/>
  <c r="AS17" i="42" s="1"/>
  <c r="AE25" i="42"/>
  <c r="AD25" i="42"/>
  <c r="AN25" i="42"/>
  <c r="AS25" i="42" s="1"/>
  <c r="AD34" i="42"/>
  <c r="AE34" i="42"/>
  <c r="AE46" i="42"/>
  <c r="AM46" i="42"/>
  <c r="AS46" i="42" s="1"/>
  <c r="AE8" i="42"/>
  <c r="AD8" i="42"/>
  <c r="AO11" i="42"/>
  <c r="AN16" i="42"/>
  <c r="AS16" i="42" s="1"/>
  <c r="AE19" i="42"/>
  <c r="AD19" i="42"/>
  <c r="AE20" i="42"/>
  <c r="AD20" i="42"/>
  <c r="AE21" i="42"/>
  <c r="AE28" i="42"/>
  <c r="AM28" i="42"/>
  <c r="AO34" i="42"/>
  <c r="AS34" i="42" s="1"/>
  <c r="AD36" i="42"/>
  <c r="AE36" i="42"/>
  <c r="AE41" i="42"/>
  <c r="AD41" i="42"/>
  <c r="AN41" i="42"/>
  <c r="AS41" i="42" s="1"/>
  <c r="AE42" i="42"/>
  <c r="AM42" i="42"/>
  <c r="AE10" i="42"/>
  <c r="AE14" i="42"/>
  <c r="AE18" i="42"/>
  <c r="AO23" i="42"/>
  <c r="AE23" i="42"/>
  <c r="AD24" i="42"/>
  <c r="AO24" i="42"/>
  <c r="AS24" i="42" s="1"/>
  <c r="AE29" i="42"/>
  <c r="AD37" i="42"/>
  <c r="AD38" i="42"/>
  <c r="AO38" i="42"/>
  <c r="AS38" i="42" s="1"/>
  <c r="AD40" i="42"/>
  <c r="AO40" i="42"/>
  <c r="AD51" i="42"/>
  <c r="Q58" i="42"/>
  <c r="Z58" i="42"/>
  <c r="W58" i="42"/>
  <c r="AD48" i="42"/>
  <c r="AD50" i="42"/>
  <c r="AO50" i="42"/>
  <c r="AS50" i="42" s="1"/>
  <c r="AO9" i="42"/>
  <c r="AS9" i="42" s="1"/>
  <c r="AD26" i="42"/>
  <c r="AO26" i="42"/>
  <c r="AD28" i="42"/>
  <c r="AO28" i="42"/>
  <c r="AE33" i="42"/>
  <c r="AD42" i="42"/>
  <c r="AO42" i="42"/>
  <c r="AD44" i="42"/>
  <c r="AO44" i="42"/>
  <c r="AE45" i="42"/>
  <c r="AD46" i="42"/>
  <c r="AE47" i="42"/>
  <c r="AO48" i="42"/>
  <c r="AS48" i="42" s="1"/>
  <c r="AD27" i="42"/>
  <c r="AD29" i="42"/>
  <c r="AO30" i="42"/>
  <c r="AS30" i="42" s="1"/>
  <c r="AO32" i="42"/>
  <c r="AS32" i="42" s="1"/>
  <c r="AD43" i="42"/>
  <c r="AD45" i="42"/>
  <c r="AO53" i="42"/>
  <c r="AS53" i="42" s="1"/>
  <c r="AE53" i="42"/>
  <c r="AD53" i="42"/>
  <c r="AE27" i="42"/>
  <c r="AE31" i="42"/>
  <c r="AE35" i="42"/>
  <c r="AE39" i="42"/>
  <c r="AE43" i="42"/>
  <c r="AO45" i="42"/>
  <c r="AS45" i="42" s="1"/>
  <c r="Q57" i="42"/>
  <c r="N57" i="42"/>
  <c r="Z57" i="42"/>
  <c r="AD49" i="42"/>
  <c r="AB38" i="53" l="1"/>
  <c r="AA39" i="53"/>
  <c r="AS26" i="42"/>
  <c r="AS42" i="42"/>
  <c r="AS44" i="42"/>
  <c r="AS28" i="42"/>
  <c r="AS54" i="42" s="1"/>
  <c r="AE57" i="42"/>
  <c r="AS40" i="42"/>
  <c r="AE58" i="42"/>
  <c r="AM4" i="42"/>
  <c r="AF12" i="42" s="1"/>
  <c r="AG12" i="42" s="1"/>
  <c r="AC38" i="53" l="1"/>
  <c r="AB39" i="53"/>
  <c r="AJ12" i="42"/>
  <c r="AK12" i="42" s="1"/>
  <c r="AT12" i="42" s="1"/>
  <c r="AH12" i="42"/>
  <c r="AO4" i="42"/>
  <c r="AF38" i="42"/>
  <c r="AG38" i="42" s="1"/>
  <c r="AF50" i="42"/>
  <c r="AG50" i="42" s="1"/>
  <c r="AF17" i="42"/>
  <c r="AG17" i="42" s="1"/>
  <c r="AF51" i="42"/>
  <c r="AG51" i="42" s="1"/>
  <c r="AF24" i="42"/>
  <c r="AG24" i="42" s="1"/>
  <c r="AF32" i="42"/>
  <c r="AG32" i="42" s="1"/>
  <c r="AF48" i="42"/>
  <c r="AG48" i="42" s="1"/>
  <c r="AF37" i="42"/>
  <c r="AG37" i="42" s="1"/>
  <c r="AF52" i="42"/>
  <c r="AG52" i="42" s="1"/>
  <c r="AF49" i="42"/>
  <c r="AG49" i="42" s="1"/>
  <c r="AF40" i="42"/>
  <c r="AG40" i="42" s="1"/>
  <c r="AF22" i="42"/>
  <c r="AG22" i="42" s="1"/>
  <c r="AF13" i="42"/>
  <c r="AG13" i="42" s="1"/>
  <c r="AF30" i="42"/>
  <c r="AG30" i="42" s="1"/>
  <c r="AF29" i="42"/>
  <c r="AG29" i="42" s="1"/>
  <c r="AF14" i="42"/>
  <c r="AG14" i="42" s="1"/>
  <c r="AF35" i="42"/>
  <c r="AG35" i="42" s="1"/>
  <c r="AF18" i="42"/>
  <c r="AG18" i="42" s="1"/>
  <c r="AF39" i="42"/>
  <c r="AG39" i="42" s="1"/>
  <c r="AF11" i="42"/>
  <c r="AG11" i="42" s="1"/>
  <c r="AF34" i="42"/>
  <c r="AG34" i="42" s="1"/>
  <c r="AF46" i="42"/>
  <c r="AG46" i="42" s="1"/>
  <c r="AF44" i="42"/>
  <c r="AG44" i="42" s="1"/>
  <c r="AF16" i="42"/>
  <c r="AG16" i="42" s="1"/>
  <c r="AF41" i="42"/>
  <c r="AG41" i="42" s="1"/>
  <c r="AF53" i="42"/>
  <c r="AG53" i="42" s="1"/>
  <c r="AF20" i="42"/>
  <c r="AG20" i="42" s="1"/>
  <c r="AF8" i="42"/>
  <c r="AG8" i="42" s="1"/>
  <c r="AF33" i="42"/>
  <c r="AG33" i="42" s="1"/>
  <c r="AF43" i="42"/>
  <c r="AG43" i="42" s="1"/>
  <c r="AF9" i="42"/>
  <c r="AG9" i="42" s="1"/>
  <c r="AF10" i="42"/>
  <c r="AG10" i="42" s="1"/>
  <c r="AF31" i="42"/>
  <c r="AG31" i="42" s="1"/>
  <c r="AF27" i="42"/>
  <c r="AG27" i="42" s="1"/>
  <c r="AF28" i="42"/>
  <c r="AG28" i="42" s="1"/>
  <c r="AF42" i="42"/>
  <c r="AG42" i="42" s="1"/>
  <c r="AF25" i="42"/>
  <c r="AG25" i="42" s="1"/>
  <c r="AF23" i="42"/>
  <c r="AG23" i="42" s="1"/>
  <c r="AF21" i="42"/>
  <c r="AG21" i="42" s="1"/>
  <c r="AF45" i="42"/>
  <c r="AG45" i="42" s="1"/>
  <c r="AF47" i="42"/>
  <c r="AG47" i="42" s="1"/>
  <c r="AF26" i="42"/>
  <c r="AG26" i="42" s="1"/>
  <c r="AF15" i="42"/>
  <c r="AG15" i="42" s="1"/>
  <c r="AF7" i="42"/>
  <c r="AG7" i="42" s="1"/>
  <c r="AF36" i="42"/>
  <c r="AG36" i="42" s="1"/>
  <c r="AF19" i="42"/>
  <c r="AG19" i="42" s="1"/>
  <c r="AD38" i="53" l="1"/>
  <c r="AC39" i="53"/>
  <c r="AH7" i="42"/>
  <c r="AJ7" i="42"/>
  <c r="AJ8" i="42"/>
  <c r="AK8" i="42" s="1"/>
  <c r="AT8" i="42" s="1"/>
  <c r="AH8" i="42"/>
  <c r="AJ11" i="42"/>
  <c r="AK11" i="42" s="1"/>
  <c r="AT11" i="42" s="1"/>
  <c r="AH11" i="42"/>
  <c r="AJ51" i="42"/>
  <c r="AK51" i="42" s="1"/>
  <c r="AT51" i="42" s="1"/>
  <c r="AH51" i="42"/>
  <c r="AJ28" i="42"/>
  <c r="AK28" i="42" s="1"/>
  <c r="AT28" i="42" s="1"/>
  <c r="AH28" i="42"/>
  <c r="AJ39" i="42"/>
  <c r="AK39" i="42" s="1"/>
  <c r="AT39" i="42" s="1"/>
  <c r="AH39" i="42"/>
  <c r="AJ17" i="42"/>
  <c r="AK17" i="42" s="1"/>
  <c r="AT17" i="42" s="1"/>
  <c r="AH17" i="42"/>
  <c r="AJ27" i="42"/>
  <c r="AK27" i="42" s="1"/>
  <c r="AT27" i="42" s="1"/>
  <c r="AH27" i="42"/>
  <c r="AJ49" i="42"/>
  <c r="AK49" i="42" s="1"/>
  <c r="AT49" i="42" s="1"/>
  <c r="AH49" i="42"/>
  <c r="AH31" i="42"/>
  <c r="AJ31" i="42"/>
  <c r="AK31" i="42" s="1"/>
  <c r="AT31" i="42" s="1"/>
  <c r="AJ35" i="42"/>
  <c r="AK35" i="42" s="1"/>
  <c r="AT35" i="42" s="1"/>
  <c r="AH35" i="42"/>
  <c r="AJ52" i="42"/>
  <c r="AK52" i="42" s="1"/>
  <c r="AT52" i="42" s="1"/>
  <c r="AH52" i="42"/>
  <c r="AH38" i="42"/>
  <c r="AJ38" i="42"/>
  <c r="AK38" i="42" s="1"/>
  <c r="AT38" i="42" s="1"/>
  <c r="AH45" i="42"/>
  <c r="AJ45" i="42"/>
  <c r="AK45" i="42" s="1"/>
  <c r="AT45" i="42" s="1"/>
  <c r="AJ10" i="42"/>
  <c r="AK10" i="42" s="1"/>
  <c r="AT10" i="42" s="1"/>
  <c r="AH10" i="42"/>
  <c r="AJ16" i="42"/>
  <c r="AK16" i="42" s="1"/>
  <c r="AT16" i="42" s="1"/>
  <c r="AH16" i="42"/>
  <c r="AH14" i="42"/>
  <c r="AJ14" i="42"/>
  <c r="AK14" i="42" s="1"/>
  <c r="AT14" i="42" s="1"/>
  <c r="AH37" i="42"/>
  <c r="AJ37" i="42"/>
  <c r="AK37" i="42" s="1"/>
  <c r="AT37" i="42" s="1"/>
  <c r="AH42" i="42"/>
  <c r="AJ42" i="42"/>
  <c r="AK42" i="42" s="1"/>
  <c r="AT42" i="42" s="1"/>
  <c r="AH22" i="42"/>
  <c r="AJ22" i="42"/>
  <c r="AK22" i="42" s="1"/>
  <c r="AT22" i="42" s="1"/>
  <c r="AH15" i="42"/>
  <c r="AJ15" i="42"/>
  <c r="AK15" i="42" s="1"/>
  <c r="AT15" i="42" s="1"/>
  <c r="AJ40" i="42"/>
  <c r="AK40" i="42" s="1"/>
  <c r="AT40" i="42" s="1"/>
  <c r="AH40" i="42"/>
  <c r="AH53" i="42"/>
  <c r="AJ53" i="42"/>
  <c r="AK53" i="42" s="1"/>
  <c r="AT53" i="42" s="1"/>
  <c r="AJ47" i="42"/>
  <c r="AK47" i="42" s="1"/>
  <c r="AT47" i="42" s="1"/>
  <c r="AH47" i="42"/>
  <c r="AJ41" i="42"/>
  <c r="AK41" i="42" s="1"/>
  <c r="AT41" i="42" s="1"/>
  <c r="AH41" i="42"/>
  <c r="AJ44" i="42"/>
  <c r="AK44" i="42" s="1"/>
  <c r="AT44" i="42" s="1"/>
  <c r="AH44" i="42"/>
  <c r="AJ48" i="42"/>
  <c r="AK48" i="42" s="1"/>
  <c r="AT48" i="42" s="1"/>
  <c r="AH48" i="42"/>
  <c r="AJ43" i="42"/>
  <c r="AK43" i="42" s="1"/>
  <c r="AT43" i="42" s="1"/>
  <c r="AH43" i="42"/>
  <c r="AH30" i="42"/>
  <c r="AJ30" i="42"/>
  <c r="AK30" i="42" s="1"/>
  <c r="AT30" i="42" s="1"/>
  <c r="AJ32" i="42"/>
  <c r="AK32" i="42" s="1"/>
  <c r="AT32" i="42" s="1"/>
  <c r="AH32" i="42"/>
  <c r="AJ20" i="42"/>
  <c r="AK20" i="42" s="1"/>
  <c r="AT20" i="42" s="1"/>
  <c r="AH20" i="42"/>
  <c r="AJ26" i="42"/>
  <c r="AK26" i="42" s="1"/>
  <c r="AT26" i="42" s="1"/>
  <c r="AH26" i="42"/>
  <c r="AH18" i="42"/>
  <c r="AJ18" i="42"/>
  <c r="AK18" i="42" s="1"/>
  <c r="AT18" i="42" s="1"/>
  <c r="AJ50" i="42"/>
  <c r="AK50" i="42" s="1"/>
  <c r="AT50" i="42" s="1"/>
  <c r="AH50" i="42"/>
  <c r="AH21" i="42"/>
  <c r="AJ21" i="42"/>
  <c r="AK21" i="42" s="1"/>
  <c r="AT21" i="42" s="1"/>
  <c r="AH9" i="42"/>
  <c r="AJ9" i="42"/>
  <c r="AK9" i="42" s="1"/>
  <c r="AT9" i="42" s="1"/>
  <c r="AH29" i="42"/>
  <c r="AJ29" i="42"/>
  <c r="AK29" i="42" s="1"/>
  <c r="AT29" i="42" s="1"/>
  <c r="AJ19" i="42"/>
  <c r="AK19" i="42" s="1"/>
  <c r="AT19" i="42" s="1"/>
  <c r="AH19" i="42"/>
  <c r="AJ23" i="42"/>
  <c r="AK23" i="42" s="1"/>
  <c r="AT23" i="42" s="1"/>
  <c r="AH23" i="42"/>
  <c r="AH46" i="42"/>
  <c r="AJ46" i="42"/>
  <c r="AK46" i="42" s="1"/>
  <c r="AT46" i="42" s="1"/>
  <c r="AJ36" i="42"/>
  <c r="AK36" i="42" s="1"/>
  <c r="AT36" i="42" s="1"/>
  <c r="AH36" i="42"/>
  <c r="AJ25" i="42"/>
  <c r="AK25" i="42" s="1"/>
  <c r="AT25" i="42" s="1"/>
  <c r="AH25" i="42"/>
  <c r="AH33" i="42"/>
  <c r="AJ33" i="42"/>
  <c r="AK33" i="42" s="1"/>
  <c r="AT33" i="42" s="1"/>
  <c r="AJ34" i="42"/>
  <c r="AK34" i="42" s="1"/>
  <c r="AT34" i="42" s="1"/>
  <c r="AH34" i="42"/>
  <c r="AH13" i="42"/>
  <c r="AJ13" i="42"/>
  <c r="AK13" i="42" s="1"/>
  <c r="AT13" i="42" s="1"/>
  <c r="AH24" i="42"/>
  <c r="AJ24" i="42"/>
  <c r="AK24" i="42" s="1"/>
  <c r="AT24" i="42" s="1"/>
  <c r="AE38" i="53" l="1"/>
  <c r="AD39" i="53"/>
  <c r="AH55" i="42"/>
  <c r="AH56" i="42" s="1"/>
  <c r="AJ54" i="42"/>
  <c r="AK7" i="42"/>
  <c r="C2" i="41"/>
  <c r="D2" i="41"/>
  <c r="E2" i="41"/>
  <c r="F2" i="41"/>
  <c r="G2" i="41"/>
  <c r="H2" i="41"/>
  <c r="I2" i="41"/>
  <c r="J2" i="41"/>
  <c r="J24" i="41" s="1"/>
  <c r="K2" i="41"/>
  <c r="L2" i="41"/>
  <c r="C3" i="41"/>
  <c r="D3" i="41"/>
  <c r="E3" i="41"/>
  <c r="F3" i="41"/>
  <c r="G3" i="41"/>
  <c r="H3" i="41"/>
  <c r="I3" i="41"/>
  <c r="J3" i="41"/>
  <c r="K3" i="41"/>
  <c r="L3" i="41"/>
  <c r="C4" i="41"/>
  <c r="C5" i="41" s="1"/>
  <c r="D4" i="41"/>
  <c r="D5" i="41" s="1"/>
  <c r="E4" i="41"/>
  <c r="E5" i="41" s="1"/>
  <c r="F4" i="41"/>
  <c r="F5" i="41" s="1"/>
  <c r="G4" i="41"/>
  <c r="G5" i="41" s="1"/>
  <c r="H4" i="41"/>
  <c r="H5" i="41" s="1"/>
  <c r="I4" i="41"/>
  <c r="I5" i="41" s="1"/>
  <c r="J4" i="41"/>
  <c r="J5" i="41" s="1"/>
  <c r="K4" i="41"/>
  <c r="K5" i="41" s="1"/>
  <c r="L4" i="41"/>
  <c r="L5" i="41" s="1"/>
  <c r="L8" i="41"/>
  <c r="C12" i="41"/>
  <c r="D12" i="41"/>
  <c r="E12" i="41"/>
  <c r="F12" i="41"/>
  <c r="G12" i="41"/>
  <c r="H12" i="41"/>
  <c r="I12" i="41"/>
  <c r="J12" i="41"/>
  <c r="K12" i="41"/>
  <c r="L12" i="41"/>
  <c r="C13" i="41"/>
  <c r="D13" i="41"/>
  <c r="E13" i="41"/>
  <c r="F13" i="41"/>
  <c r="G13" i="41"/>
  <c r="H13" i="41"/>
  <c r="I13" i="41"/>
  <c r="L13" i="41"/>
  <c r="C14" i="41"/>
  <c r="D14" i="41"/>
  <c r="E14" i="41"/>
  <c r="F14" i="41"/>
  <c r="G14" i="41"/>
  <c r="H14" i="41"/>
  <c r="I14" i="41"/>
  <c r="L14" i="41"/>
  <c r="C15" i="41"/>
  <c r="D15" i="41"/>
  <c r="E15" i="41"/>
  <c r="F15" i="41"/>
  <c r="G15" i="41"/>
  <c r="H15" i="41"/>
  <c r="I15" i="41"/>
  <c r="J15" i="41"/>
  <c r="K15" i="41"/>
  <c r="L15" i="41"/>
  <c r="C17" i="41"/>
  <c r="D17" i="41"/>
  <c r="E17" i="41"/>
  <c r="F17" i="41"/>
  <c r="G17" i="41"/>
  <c r="H17" i="41"/>
  <c r="I17" i="41"/>
  <c r="J17" i="41"/>
  <c r="K17" i="41"/>
  <c r="L17" i="41"/>
  <c r="B17" i="41"/>
  <c r="B15" i="41"/>
  <c r="B14" i="41"/>
  <c r="B13" i="41"/>
  <c r="B12" i="41"/>
  <c r="B4" i="41"/>
  <c r="B5" i="41" s="1"/>
  <c r="B3" i="41"/>
  <c r="B2" i="41"/>
  <c r="J29" i="11"/>
  <c r="Y12" i="12"/>
  <c r="Y11" i="12"/>
  <c r="Y10" i="12"/>
  <c r="W12" i="12"/>
  <c r="W11" i="12"/>
  <c r="W10" i="12"/>
  <c r="B40" i="13"/>
  <c r="H12" i="12" l="1"/>
  <c r="S12" i="12" s="1"/>
  <c r="K20" i="41"/>
  <c r="AF38" i="53"/>
  <c r="AE39" i="53"/>
  <c r="K23" i="41"/>
  <c r="K24" i="41"/>
  <c r="K19" i="41"/>
  <c r="B24" i="41"/>
  <c r="B23" i="41"/>
  <c r="C24" i="41"/>
  <c r="C23" i="41"/>
  <c r="G24" i="41"/>
  <c r="G23" i="41"/>
  <c r="L19" i="41"/>
  <c r="J19" i="41"/>
  <c r="L20" i="41"/>
  <c r="F24" i="41"/>
  <c r="F23" i="41"/>
  <c r="E24" i="41"/>
  <c r="E23" i="41"/>
  <c r="J20" i="41"/>
  <c r="L23" i="41"/>
  <c r="L24" i="41"/>
  <c r="D24" i="41"/>
  <c r="D23" i="41"/>
  <c r="J23" i="41"/>
  <c r="AK54" i="42"/>
  <c r="AT7" i="42"/>
  <c r="AT54" i="42" s="1"/>
  <c r="I24" i="41"/>
  <c r="I23" i="41"/>
  <c r="H24" i="41"/>
  <c r="H23" i="41"/>
  <c r="E27" i="41"/>
  <c r="G28" i="41"/>
  <c r="I29" i="41"/>
  <c r="C28" i="41"/>
  <c r="E29" i="41"/>
  <c r="I27" i="41"/>
  <c r="B27" i="41"/>
  <c r="L29" i="41"/>
  <c r="H29" i="41"/>
  <c r="D29" i="41"/>
  <c r="F28" i="41"/>
  <c r="L27" i="41"/>
  <c r="H27" i="41"/>
  <c r="D27" i="41"/>
  <c r="B28" i="41"/>
  <c r="K29" i="41"/>
  <c r="G29" i="41"/>
  <c r="C29" i="41"/>
  <c r="I28" i="41"/>
  <c r="E28" i="41"/>
  <c r="G27" i="41"/>
  <c r="C27" i="41"/>
  <c r="B29" i="41"/>
  <c r="J29" i="41"/>
  <c r="F29" i="41"/>
  <c r="L28" i="41"/>
  <c r="H28" i="41"/>
  <c r="D28" i="41"/>
  <c r="F27" i="41"/>
  <c r="L9" i="41"/>
  <c r="E16" i="41"/>
  <c r="K10" i="41"/>
  <c r="B16" i="41"/>
  <c r="L16" i="41"/>
  <c r="H16" i="41"/>
  <c r="D16" i="41"/>
  <c r="J10" i="41"/>
  <c r="I16" i="41"/>
  <c r="K16" i="41"/>
  <c r="G16" i="41"/>
  <c r="C16" i="41"/>
  <c r="J16" i="41"/>
  <c r="F16" i="41"/>
  <c r="L10" i="41"/>
  <c r="B22" i="41" l="1"/>
  <c r="C22" i="41"/>
  <c r="K22" i="41"/>
  <c r="AG38" i="53"/>
  <c r="AG39" i="53" s="1"/>
  <c r="AF39" i="53"/>
  <c r="H22" i="41"/>
  <c r="D22" i="41"/>
  <c r="I22" i="41"/>
  <c r="G22" i="41"/>
  <c r="E22" i="41"/>
  <c r="F22" i="41"/>
  <c r="J22" i="41"/>
  <c r="L22" i="41"/>
  <c r="I26" i="41"/>
  <c r="G26" i="41"/>
  <c r="E26" i="41"/>
  <c r="C26" i="41"/>
  <c r="F26" i="41"/>
  <c r="D26" i="41"/>
  <c r="B26" i="41"/>
  <c r="H26" i="41"/>
  <c r="L26" i="41"/>
  <c r="B41" i="13"/>
  <c r="B42" i="13" s="1"/>
  <c r="E39" i="13" s="1"/>
  <c r="E5" i="30"/>
  <c r="J7" i="38"/>
  <c r="E8" i="30" l="1"/>
  <c r="T6" i="12"/>
  <c r="T7" i="12"/>
  <c r="T8" i="12"/>
  <c r="T9" i="12"/>
  <c r="T3" i="12"/>
  <c r="T11" i="12"/>
  <c r="T4" i="12"/>
  <c r="T12" i="12"/>
  <c r="T5" i="12"/>
  <c r="T2" i="12"/>
  <c r="T10" i="12"/>
  <c r="B31" i="41"/>
  <c r="C31" i="41"/>
  <c r="H31" i="41"/>
  <c r="D8" i="52"/>
  <c r="E11" i="52"/>
  <c r="K10" i="52"/>
  <c r="H11" i="52"/>
  <c r="I8" i="52"/>
  <c r="P88" i="30"/>
  <c r="AJ92" i="30"/>
  <c r="AJ93" i="30" s="1"/>
  <c r="AJ94" i="30" s="1"/>
  <c r="E88" i="30"/>
  <c r="U72" i="30"/>
  <c r="U73" i="30" s="1"/>
  <c r="T88" i="30"/>
  <c r="AB72" i="30"/>
  <c r="AB73" i="30" s="1"/>
  <c r="K88" i="30"/>
  <c r="AI88" i="30"/>
  <c r="P92" i="30"/>
  <c r="P93" i="30" s="1"/>
  <c r="P94" i="30" s="1"/>
  <c r="X76" i="30"/>
  <c r="X77" i="30" s="1"/>
  <c r="M92" i="30"/>
  <c r="M93" i="30" s="1"/>
  <c r="M94" i="30" s="1"/>
  <c r="O88" i="30"/>
  <c r="W72" i="30"/>
  <c r="W73" i="30" s="1"/>
  <c r="I76" i="30"/>
  <c r="I77" i="30" s="1"/>
  <c r="E95" i="30"/>
  <c r="R72" i="30"/>
  <c r="R73" i="30" s="1"/>
  <c r="AE88" i="30"/>
  <c r="AK92" i="30"/>
  <c r="AK93" i="30" s="1"/>
  <c r="AK94" i="30" s="1"/>
  <c r="AD72" i="30"/>
  <c r="AD73" i="30" s="1"/>
  <c r="O72" i="30"/>
  <c r="O73" i="30" s="1"/>
  <c r="S84" i="30"/>
  <c r="M13" i="52" s="1"/>
  <c r="J68" i="30"/>
  <c r="C9" i="52"/>
  <c r="AJ68" i="30"/>
  <c r="AA68" i="30"/>
  <c r="AJ84" i="30"/>
  <c r="B9" i="52"/>
  <c r="G68" i="30"/>
  <c r="O84" i="30"/>
  <c r="AE68" i="30"/>
  <c r="L68" i="30"/>
  <c r="E9" i="52"/>
  <c r="P68" i="30"/>
  <c r="J12" i="52" s="1"/>
  <c r="L11" i="52"/>
  <c r="R92" i="30"/>
  <c r="R93" i="30" s="1"/>
  <c r="R94" i="30" s="1"/>
  <c r="N72" i="30"/>
  <c r="N73" i="30" s="1"/>
  <c r="AH88" i="30"/>
  <c r="K72" i="30"/>
  <c r="K73" i="30" s="1"/>
  <c r="L8" i="52"/>
  <c r="M11" i="52"/>
  <c r="B23" i="52"/>
  <c r="D10" i="52"/>
  <c r="E10" i="30"/>
  <c r="F106" i="30"/>
  <c r="H88" i="30"/>
  <c r="AB92" i="30"/>
  <c r="AB93" i="30" s="1"/>
  <c r="AB94" i="30" s="1"/>
  <c r="X84" i="30"/>
  <c r="M72" i="30"/>
  <c r="M73" i="30" s="1"/>
  <c r="G95" i="30"/>
  <c r="H95" i="30" s="1"/>
  <c r="I95" i="30" s="1"/>
  <c r="J95" i="30" s="1"/>
  <c r="K95" i="30" s="1"/>
  <c r="L95" i="30" s="1"/>
  <c r="M95" i="30" s="1"/>
  <c r="N95" i="30" s="1"/>
  <c r="O95" i="30" s="1"/>
  <c r="P95" i="30" s="1"/>
  <c r="Q95" i="30" s="1"/>
  <c r="R95" i="30" s="1"/>
  <c r="S95" i="30" s="1"/>
  <c r="T95" i="30" s="1"/>
  <c r="U95" i="30" s="1"/>
  <c r="V95" i="30" s="1"/>
  <c r="W95" i="30" s="1"/>
  <c r="X95" i="30" s="1"/>
  <c r="Y95" i="30" s="1"/>
  <c r="Z95" i="30" s="1"/>
  <c r="AA95" i="30" s="1"/>
  <c r="AB95" i="30" s="1"/>
  <c r="AC95" i="30" s="1"/>
  <c r="AD95" i="30" s="1"/>
  <c r="AE95" i="30" s="1"/>
  <c r="AF95" i="30" s="1"/>
  <c r="AG95" i="30" s="1"/>
  <c r="AH95" i="30" s="1"/>
  <c r="AI95" i="30" s="1"/>
  <c r="AJ95" i="30" s="1"/>
  <c r="AK95" i="30" s="1"/>
  <c r="AL95" i="30" s="1"/>
  <c r="L88" i="30"/>
  <c r="T72" i="30"/>
  <c r="T73" i="30" s="1"/>
  <c r="AA88" i="30"/>
  <c r="H92" i="30"/>
  <c r="H93" i="30" s="1"/>
  <c r="H94" i="30" s="1"/>
  <c r="P76" i="30"/>
  <c r="P77" i="30" s="1"/>
  <c r="R88" i="30"/>
  <c r="AC84" i="30"/>
  <c r="J72" i="30"/>
  <c r="J73" i="30" s="1"/>
  <c r="AF72" i="30"/>
  <c r="AF73" i="30" s="1"/>
  <c r="U92" i="30"/>
  <c r="U93" i="30" s="1"/>
  <c r="U94" i="30" s="1"/>
  <c r="F72" i="30"/>
  <c r="F73" i="30" s="1"/>
  <c r="AG76" i="30"/>
  <c r="AG77" i="30" s="1"/>
  <c r="W88" i="30"/>
  <c r="AH76" i="30"/>
  <c r="AH77" i="30" s="1"/>
  <c r="E92" i="30"/>
  <c r="E93" i="30" s="1"/>
  <c r="E94" i="30" s="1"/>
  <c r="Z68" i="30"/>
  <c r="H9" i="52"/>
  <c r="K9" i="52"/>
  <c r="AA84" i="30"/>
  <c r="U68" i="30"/>
  <c r="U84" i="30"/>
  <c r="T68" i="30"/>
  <c r="AK72" i="30"/>
  <c r="AK73" i="30" s="1"/>
  <c r="G85" i="30"/>
  <c r="H85" i="30" s="1"/>
  <c r="B11" i="52"/>
  <c r="I10" i="52"/>
  <c r="F10" i="52"/>
  <c r="L10" i="52"/>
  <c r="J11" i="52"/>
  <c r="AE92" i="30"/>
  <c r="AE93" i="30" s="1"/>
  <c r="AE94" i="30" s="1"/>
  <c r="F85" i="30"/>
  <c r="T92" i="30"/>
  <c r="T93" i="30" s="1"/>
  <c r="T94" i="30" s="1"/>
  <c r="AJ76" i="30"/>
  <c r="AJ77" i="30" s="1"/>
  <c r="E72" i="30"/>
  <c r="E73" i="30" s="1"/>
  <c r="G22" i="30"/>
  <c r="H22" i="30" s="1"/>
  <c r="AI92" i="30"/>
  <c r="AI93" i="30" s="1"/>
  <c r="AI94" i="30" s="1"/>
  <c r="F84" i="30"/>
  <c r="L72" i="30"/>
  <c r="L73" i="30" s="1"/>
  <c r="F22" i="30"/>
  <c r="S88" i="30"/>
  <c r="AG88" i="30"/>
  <c r="H76" i="30"/>
  <c r="H77" i="30" s="1"/>
  <c r="E85" i="30"/>
  <c r="E22" i="30"/>
  <c r="AC76" i="30"/>
  <c r="AC77" i="30" s="1"/>
  <c r="AC92" i="30"/>
  <c r="AC93" i="30" s="1"/>
  <c r="AC94" i="30" s="1"/>
  <c r="S72" i="30"/>
  <c r="S73" i="30" s="1"/>
  <c r="Z88" i="30"/>
  <c r="H72" i="30"/>
  <c r="H73" i="30" s="1"/>
  <c r="Y76" i="30"/>
  <c r="Y77" i="30" s="1"/>
  <c r="F76" i="30"/>
  <c r="F77" i="30" s="1"/>
  <c r="V68" i="30"/>
  <c r="V84" i="30"/>
  <c r="S68" i="30"/>
  <c r="M12" i="52" s="1"/>
  <c r="AG68" i="30"/>
  <c r="AB84" i="30"/>
  <c r="AL68" i="30"/>
  <c r="AK68" i="30"/>
  <c r="G84" i="30"/>
  <c r="I84" i="30"/>
  <c r="D9" i="52"/>
  <c r="J10" i="52"/>
  <c r="AF88" i="30"/>
  <c r="B8" i="52"/>
  <c r="E8" i="52"/>
  <c r="C11" i="52"/>
  <c r="H8" i="52"/>
  <c r="K11" i="52"/>
  <c r="W92" i="30"/>
  <c r="W93" i="30" s="1"/>
  <c r="W94" i="30" s="1"/>
  <c r="W76" i="30"/>
  <c r="W77" i="30" s="1"/>
  <c r="L92" i="30"/>
  <c r="L93" i="30" s="1"/>
  <c r="L94" i="30" s="1"/>
  <c r="AB76" i="30"/>
  <c r="AB77" i="30" s="1"/>
  <c r="AA92" i="30"/>
  <c r="AA93" i="30" s="1"/>
  <c r="AA94" i="30" s="1"/>
  <c r="AI76" i="30"/>
  <c r="AI77" i="30" s="1"/>
  <c r="G69" i="30"/>
  <c r="H69" i="30" s="1"/>
  <c r="Y88" i="30"/>
  <c r="AG72" i="30"/>
  <c r="AG73" i="30" s="1"/>
  <c r="AD76" i="30"/>
  <c r="AD77" i="30" s="1"/>
  <c r="N76" i="30"/>
  <c r="N77" i="30" s="1"/>
  <c r="F92" i="30"/>
  <c r="F93" i="30" s="1"/>
  <c r="F94" i="30" s="1"/>
  <c r="V92" i="30"/>
  <c r="V93" i="30" s="1"/>
  <c r="V94" i="30" s="1"/>
  <c r="G72" i="30"/>
  <c r="G73" i="30" s="1"/>
  <c r="F88" i="30"/>
  <c r="F69" i="30"/>
  <c r="Y92" i="30"/>
  <c r="Y93" i="30" s="1"/>
  <c r="Y94" i="30" s="1"/>
  <c r="V72" i="30"/>
  <c r="V73" i="30" s="1"/>
  <c r="Q68" i="30"/>
  <c r="K12" i="52" s="1"/>
  <c r="AH84" i="30"/>
  <c r="AL84" i="30"/>
  <c r="Z84" i="30"/>
  <c r="AK84" i="30"/>
  <c r="AF84" i="30"/>
  <c r="K68" i="30"/>
  <c r="T84" i="30"/>
  <c r="AC68" i="30"/>
  <c r="AF68" i="30"/>
  <c r="K84" i="30"/>
  <c r="B10" i="52"/>
  <c r="E10" i="52"/>
  <c r="AF92" i="30"/>
  <c r="AF93" i="30" s="1"/>
  <c r="AF94" i="30" s="1"/>
  <c r="K8" i="52"/>
  <c r="G11" i="52"/>
  <c r="M8" i="52"/>
  <c r="G10" i="52"/>
  <c r="B24" i="52"/>
  <c r="C8" i="52"/>
  <c r="O92" i="30"/>
  <c r="O93" i="30" s="1"/>
  <c r="O94" i="30" s="1"/>
  <c r="AK88" i="30"/>
  <c r="T76" i="30"/>
  <c r="T77" i="30" s="1"/>
  <c r="S92" i="30"/>
  <c r="S93" i="30" s="1"/>
  <c r="S94" i="30" s="1"/>
  <c r="AA76" i="30"/>
  <c r="AA77" i="30" s="1"/>
  <c r="F95" i="30"/>
  <c r="Q88" i="30"/>
  <c r="Y72" i="30"/>
  <c r="Y73" i="30" s="1"/>
  <c r="AE76" i="30"/>
  <c r="AE77" i="30" s="1"/>
  <c r="O76" i="30"/>
  <c r="O77" i="30" s="1"/>
  <c r="AL72" i="30"/>
  <c r="AL73" i="30" s="1"/>
  <c r="N88" i="30"/>
  <c r="AD88" i="30"/>
  <c r="AK76" i="30"/>
  <c r="AK77" i="30" s="1"/>
  <c r="V88" i="30"/>
  <c r="AA72" i="30"/>
  <c r="AA73" i="30" s="1"/>
  <c r="M84" i="30"/>
  <c r="E84" i="30"/>
  <c r="Y84" i="30"/>
  <c r="P84" i="30"/>
  <c r="J13" i="52" s="1"/>
  <c r="R84" i="30"/>
  <c r="L13" i="52" s="1"/>
  <c r="G9" i="52"/>
  <c r="F68" i="30"/>
  <c r="AB68" i="30"/>
  <c r="F9" i="52"/>
  <c r="H68" i="30"/>
  <c r="W68" i="30"/>
  <c r="O68" i="30"/>
  <c r="W84" i="30"/>
  <c r="B22" i="52"/>
  <c r="U88" i="30"/>
  <c r="AJ88" i="30"/>
  <c r="K76" i="30"/>
  <c r="K77" i="30" s="1"/>
  <c r="I72" i="30"/>
  <c r="I73" i="30" s="1"/>
  <c r="I92" i="30"/>
  <c r="I93" i="30" s="1"/>
  <c r="I94" i="30" s="1"/>
  <c r="D11" i="52"/>
  <c r="G8" i="52"/>
  <c r="F11" i="52"/>
  <c r="C10" i="52"/>
  <c r="I11" i="52"/>
  <c r="G92" i="30"/>
  <c r="G93" i="30" s="1"/>
  <c r="G94" i="30" s="1"/>
  <c r="F115" i="30"/>
  <c r="AC88" i="30"/>
  <c r="L76" i="30"/>
  <c r="L77" i="30" s="1"/>
  <c r="K92" i="30"/>
  <c r="K93" i="30" s="1"/>
  <c r="K94" i="30" s="1"/>
  <c r="S76" i="30"/>
  <c r="S77" i="30" s="1"/>
  <c r="AH92" i="30"/>
  <c r="AH93" i="30" s="1"/>
  <c r="AH94" i="30" s="1"/>
  <c r="G106" i="30"/>
  <c r="H106" i="30" s="1"/>
  <c r="I88" i="30"/>
  <c r="Q72" i="30"/>
  <c r="Q73" i="30" s="1"/>
  <c r="Z72" i="30"/>
  <c r="Z73" i="30" s="1"/>
  <c r="AD92" i="30"/>
  <c r="AD93" i="30" s="1"/>
  <c r="AD94" i="30" s="1"/>
  <c r="X72" i="30"/>
  <c r="X73" i="30" s="1"/>
  <c r="Z76" i="30"/>
  <c r="Z77" i="30" s="1"/>
  <c r="G88" i="30"/>
  <c r="U76" i="30"/>
  <c r="U77" i="30" s="1"/>
  <c r="R76" i="30"/>
  <c r="R77" i="30" s="1"/>
  <c r="Q92" i="30"/>
  <c r="Q93" i="30" s="1"/>
  <c r="Q94" i="30" s="1"/>
  <c r="E76" i="30"/>
  <c r="E77" i="30" s="1"/>
  <c r="AH68" i="30"/>
  <c r="AG84" i="30"/>
  <c r="M68" i="30"/>
  <c r="N84" i="30"/>
  <c r="I9" i="52"/>
  <c r="L84" i="30"/>
  <c r="M10" i="52"/>
  <c r="AL92" i="30"/>
  <c r="AL93" i="30" s="1"/>
  <c r="AL94" i="30" s="1"/>
  <c r="P72" i="30"/>
  <c r="P73" i="30" s="1"/>
  <c r="Q84" i="30"/>
  <c r="K13" i="52" s="1"/>
  <c r="M9" i="52"/>
  <c r="L9" i="52"/>
  <c r="V76" i="30"/>
  <c r="V77" i="30" s="1"/>
  <c r="B25" i="52"/>
  <c r="N68" i="30"/>
  <c r="J92" i="30"/>
  <c r="J93" i="30" s="1"/>
  <c r="J94" i="30" s="1"/>
  <c r="AG92" i="30"/>
  <c r="AG93" i="30" s="1"/>
  <c r="AG94" i="30" s="1"/>
  <c r="H84" i="30"/>
  <c r="AI84" i="30"/>
  <c r="AI72" i="30"/>
  <c r="AI73" i="30" s="1"/>
  <c r="Q76" i="30"/>
  <c r="Q77" i="30" s="1"/>
  <c r="Y68" i="30"/>
  <c r="M76" i="30"/>
  <c r="M77" i="30" s="1"/>
  <c r="G115" i="30"/>
  <c r="H115" i="30" s="1"/>
  <c r="I115" i="30" s="1"/>
  <c r="J115" i="30" s="1"/>
  <c r="K115" i="30" s="1"/>
  <c r="L115" i="30" s="1"/>
  <c r="M115" i="30" s="1"/>
  <c r="N115" i="30" s="1"/>
  <c r="O115" i="30" s="1"/>
  <c r="P115" i="30" s="1"/>
  <c r="Q115" i="30" s="1"/>
  <c r="R115" i="30" s="1"/>
  <c r="S115" i="30" s="1"/>
  <c r="T115" i="30" s="1"/>
  <c r="U115" i="30" s="1"/>
  <c r="V115" i="30" s="1"/>
  <c r="W115" i="30" s="1"/>
  <c r="X115" i="30" s="1"/>
  <c r="Y115" i="30" s="1"/>
  <c r="Z115" i="30" s="1"/>
  <c r="AA115" i="30" s="1"/>
  <c r="AB115" i="30" s="1"/>
  <c r="AC115" i="30" s="1"/>
  <c r="AD115" i="30" s="1"/>
  <c r="AE115" i="30" s="1"/>
  <c r="AF115" i="30" s="1"/>
  <c r="AG115" i="30" s="1"/>
  <c r="AH115" i="30" s="1"/>
  <c r="AI115" i="30" s="1"/>
  <c r="AJ115" i="30" s="1"/>
  <c r="AK115" i="30" s="1"/>
  <c r="AL115" i="30" s="1"/>
  <c r="J88" i="30"/>
  <c r="AB88" i="30"/>
  <c r="E68" i="30"/>
  <c r="R68" i="30"/>
  <c r="L12" i="52" s="1"/>
  <c r="AC72" i="30"/>
  <c r="AC73" i="30" s="1"/>
  <c r="X92" i="30"/>
  <c r="X93" i="30" s="1"/>
  <c r="X94" i="30" s="1"/>
  <c r="G76" i="30"/>
  <c r="G77" i="30" s="1"/>
  <c r="H10" i="52"/>
  <c r="X88" i="30"/>
  <c r="AJ72" i="30"/>
  <c r="AJ73" i="30" s="1"/>
  <c r="AF76" i="30"/>
  <c r="AF77" i="30" s="1"/>
  <c r="I68" i="30"/>
  <c r="AE72" i="30"/>
  <c r="AE73" i="30" s="1"/>
  <c r="N92" i="30"/>
  <c r="N93" i="30" s="1"/>
  <c r="N94" i="30" s="1"/>
  <c r="J9" i="52"/>
  <c r="X68" i="30"/>
  <c r="M88" i="30"/>
  <c r="AL88" i="30"/>
  <c r="E69" i="30"/>
  <c r="AE84" i="30"/>
  <c r="Z92" i="30"/>
  <c r="Z93" i="30" s="1"/>
  <c r="Z94" i="30" s="1"/>
  <c r="J8" i="52"/>
  <c r="AD68" i="30"/>
  <c r="AL76" i="30"/>
  <c r="AL77" i="30" s="1"/>
  <c r="AH72" i="30"/>
  <c r="AH73" i="30" s="1"/>
  <c r="J76" i="30"/>
  <c r="J77" i="30" s="1"/>
  <c r="AI68" i="30"/>
  <c r="F8" i="52"/>
  <c r="J84" i="30"/>
  <c r="AD84" i="30"/>
  <c r="D31" i="41"/>
  <c r="I31" i="41"/>
  <c r="G31" i="41"/>
  <c r="L31" i="41"/>
  <c r="E31" i="41"/>
  <c r="F31" i="41"/>
  <c r="U17" i="12"/>
  <c r="L6" i="12"/>
  <c r="L10" i="12"/>
  <c r="L9" i="12"/>
  <c r="L3" i="12"/>
  <c r="L7" i="12"/>
  <c r="L11" i="12"/>
  <c r="L4" i="12"/>
  <c r="L8" i="12"/>
  <c r="L12" i="12"/>
  <c r="L5" i="12"/>
  <c r="L2" i="12"/>
  <c r="J219" i="38"/>
  <c r="J218" i="38"/>
  <c r="J217" i="38"/>
  <c r="J216" i="38"/>
  <c r="J215" i="38"/>
  <c r="J214" i="38"/>
  <c r="J213" i="38"/>
  <c r="J212" i="38"/>
  <c r="J211" i="38"/>
  <c r="J210" i="38"/>
  <c r="J208" i="38"/>
  <c r="J207" i="38"/>
  <c r="J206" i="38"/>
  <c r="J205" i="38"/>
  <c r="J204" i="38"/>
  <c r="J203" i="38"/>
  <c r="J202" i="38"/>
  <c r="J197" i="38"/>
  <c r="J196" i="38"/>
  <c r="J195" i="38"/>
  <c r="J194" i="38"/>
  <c r="J193" i="38"/>
  <c r="J192" i="38"/>
  <c r="J191" i="38"/>
  <c r="J190" i="38"/>
  <c r="J189" i="38"/>
  <c r="J188" i="38"/>
  <c r="J16" i="38"/>
  <c r="J15" i="38"/>
  <c r="J14" i="38"/>
  <c r="J13" i="38"/>
  <c r="J12" i="38"/>
  <c r="J11" i="38"/>
  <c r="J10" i="38"/>
  <c r="J9" i="38"/>
  <c r="J8" i="38"/>
  <c r="F8" i="41"/>
  <c r="F9" i="41" s="1"/>
  <c r="O11" i="12"/>
  <c r="K14" i="41" s="1"/>
  <c r="K28" i="41" s="1"/>
  <c r="O10" i="12"/>
  <c r="J14" i="41" s="1"/>
  <c r="J28" i="41" s="1"/>
  <c r="N11" i="12"/>
  <c r="K13" i="41" s="1"/>
  <c r="N10" i="12"/>
  <c r="J13" i="41" s="1"/>
  <c r="F70" i="30" l="1"/>
  <c r="E96" i="30"/>
  <c r="E86" i="30"/>
  <c r="I96" i="30"/>
  <c r="F86" i="30"/>
  <c r="V96" i="30"/>
  <c r="G86" i="30"/>
  <c r="D13" i="52"/>
  <c r="E13" i="52"/>
  <c r="D12" i="52"/>
  <c r="O96" i="30"/>
  <c r="AC96" i="30"/>
  <c r="AK96" i="30"/>
  <c r="Z96" i="30"/>
  <c r="C12" i="52"/>
  <c r="J96" i="30"/>
  <c r="G96" i="30"/>
  <c r="I12" i="52"/>
  <c r="F96" i="30"/>
  <c r="I22" i="30"/>
  <c r="B18" i="52"/>
  <c r="U96" i="30"/>
  <c r="H96" i="30"/>
  <c r="C23" i="52"/>
  <c r="D23" i="52" s="1"/>
  <c r="E23" i="52" s="1"/>
  <c r="F23" i="52" s="1"/>
  <c r="G23" i="52" s="1"/>
  <c r="H23" i="52" s="1"/>
  <c r="H51" i="52" s="1"/>
  <c r="R96" i="30"/>
  <c r="I13" i="52"/>
  <c r="Y96" i="30"/>
  <c r="M96" i="30"/>
  <c r="H13" i="52"/>
  <c r="X96" i="30"/>
  <c r="K96" i="30"/>
  <c r="S96" i="30"/>
  <c r="C24" i="52"/>
  <c r="D24" i="52" s="1"/>
  <c r="E24" i="52" s="1"/>
  <c r="F24" i="52" s="1"/>
  <c r="G24" i="52" s="1"/>
  <c r="H24" i="52" s="1"/>
  <c r="H52" i="52" s="1"/>
  <c r="G70" i="30"/>
  <c r="AE96" i="30"/>
  <c r="G13" i="52"/>
  <c r="W96" i="30"/>
  <c r="AA96" i="30"/>
  <c r="AI96" i="30"/>
  <c r="H86" i="30"/>
  <c r="B13" i="52"/>
  <c r="H12" i="52"/>
  <c r="AL96" i="30"/>
  <c r="F13" i="52"/>
  <c r="G12" i="52"/>
  <c r="AD96" i="30"/>
  <c r="B28" i="52"/>
  <c r="I106" i="30"/>
  <c r="B52" i="52"/>
  <c r="N10" i="52"/>
  <c r="B50" i="52"/>
  <c r="N8" i="52"/>
  <c r="B53" i="52"/>
  <c r="N11" i="52"/>
  <c r="AB96" i="30"/>
  <c r="P96" i="30"/>
  <c r="H70" i="30"/>
  <c r="B12" i="52"/>
  <c r="G112" i="30"/>
  <c r="J112" i="30"/>
  <c r="AL112" i="30"/>
  <c r="AK112" i="30"/>
  <c r="T112" i="30"/>
  <c r="AJ112" i="30"/>
  <c r="U112" i="30"/>
  <c r="AB112" i="30"/>
  <c r="W112" i="30"/>
  <c r="K112" i="30"/>
  <c r="H112" i="30"/>
  <c r="L112" i="30"/>
  <c r="I112" i="30"/>
  <c r="R112" i="30"/>
  <c r="O112" i="30"/>
  <c r="F78" i="30"/>
  <c r="F79" i="30" s="1"/>
  <c r="S112" i="30"/>
  <c r="X112" i="30"/>
  <c r="N112" i="30"/>
  <c r="AA112" i="30"/>
  <c r="Q112" i="30"/>
  <c r="AH112" i="30"/>
  <c r="AI112" i="30"/>
  <c r="V112" i="30"/>
  <c r="AD112" i="30"/>
  <c r="AE112" i="30"/>
  <c r="M112" i="30"/>
  <c r="P112" i="30"/>
  <c r="E78" i="30"/>
  <c r="E79" i="30" s="1"/>
  <c r="Y112" i="30"/>
  <c r="F112" i="30"/>
  <c r="Z112" i="30"/>
  <c r="AC112" i="30"/>
  <c r="G78" i="30"/>
  <c r="H78" i="30" s="1"/>
  <c r="I78" i="30" s="1"/>
  <c r="J78" i="30" s="1"/>
  <c r="K78" i="30" s="1"/>
  <c r="L78" i="30" s="1"/>
  <c r="M78" i="30" s="1"/>
  <c r="N78" i="30" s="1"/>
  <c r="O78" i="30" s="1"/>
  <c r="P78" i="30" s="1"/>
  <c r="Q78" i="30" s="1"/>
  <c r="R78" i="30" s="1"/>
  <c r="S78" i="30" s="1"/>
  <c r="T78" i="30" s="1"/>
  <c r="U78" i="30" s="1"/>
  <c r="V78" i="30" s="1"/>
  <c r="W78" i="30" s="1"/>
  <c r="X78" i="30" s="1"/>
  <c r="Y78" i="30" s="1"/>
  <c r="Z78" i="30" s="1"/>
  <c r="AA78" i="30" s="1"/>
  <c r="AB78" i="30" s="1"/>
  <c r="AC78" i="30" s="1"/>
  <c r="AD78" i="30" s="1"/>
  <c r="AE78" i="30" s="1"/>
  <c r="AF78" i="30" s="1"/>
  <c r="AG78" i="30" s="1"/>
  <c r="AH78" i="30" s="1"/>
  <c r="AI78" i="30" s="1"/>
  <c r="AJ78" i="30" s="1"/>
  <c r="AK78" i="30" s="1"/>
  <c r="AL78" i="30" s="1"/>
  <c r="AL79" i="30" s="1"/>
  <c r="AG112" i="30"/>
  <c r="AF112" i="30"/>
  <c r="N96" i="30"/>
  <c r="C25" i="52"/>
  <c r="D25" i="52" s="1"/>
  <c r="E25" i="52" s="1"/>
  <c r="F25" i="52" s="1"/>
  <c r="G25" i="52" s="1"/>
  <c r="H25" i="52" s="1"/>
  <c r="Q96" i="30"/>
  <c r="AH96" i="30"/>
  <c r="C22" i="52"/>
  <c r="D22" i="52" s="1"/>
  <c r="E22" i="52" s="1"/>
  <c r="F22" i="52" s="1"/>
  <c r="G22" i="52" s="1"/>
  <c r="H22" i="52" s="1"/>
  <c r="H50" i="52" s="1"/>
  <c r="L96" i="30"/>
  <c r="T96" i="30"/>
  <c r="I85" i="30"/>
  <c r="I86" i="30" s="1"/>
  <c r="B27" i="52"/>
  <c r="AJ96" i="30"/>
  <c r="AG96" i="30"/>
  <c r="AF96" i="30"/>
  <c r="C13" i="52"/>
  <c r="E70" i="30"/>
  <c r="E12" i="52"/>
  <c r="B26" i="52"/>
  <c r="I69" i="30"/>
  <c r="I70" i="30" s="1"/>
  <c r="F12" i="52"/>
  <c r="B51" i="52"/>
  <c r="N9" i="52"/>
  <c r="J27" i="41"/>
  <c r="J26" i="41" s="1"/>
  <c r="J31" i="41" s="1"/>
  <c r="K27" i="41"/>
  <c r="K26" i="41" s="1"/>
  <c r="K31" i="41" s="1"/>
  <c r="B2" i="27"/>
  <c r="B5" i="27"/>
  <c r="B4" i="27"/>
  <c r="B3" i="27"/>
  <c r="C3" i="27" s="1"/>
  <c r="I79" i="30" l="1"/>
  <c r="W79" i="30"/>
  <c r="Q79" i="30"/>
  <c r="E53" i="52"/>
  <c r="Y79" i="30"/>
  <c r="C51" i="52"/>
  <c r="C74" i="52" s="1"/>
  <c r="AD79" i="30"/>
  <c r="T79" i="30"/>
  <c r="X79" i="30"/>
  <c r="F51" i="52"/>
  <c r="P79" i="30"/>
  <c r="AG79" i="30"/>
  <c r="L79" i="30"/>
  <c r="D50" i="52"/>
  <c r="N79" i="30"/>
  <c r="AH79" i="30"/>
  <c r="G53" i="52"/>
  <c r="F53" i="52"/>
  <c r="C52" i="52"/>
  <c r="C75" i="52" s="1"/>
  <c r="AK79" i="30"/>
  <c r="G79" i="30"/>
  <c r="D53" i="52"/>
  <c r="D52" i="52"/>
  <c r="E51" i="52"/>
  <c r="B73" i="52"/>
  <c r="AB79" i="30"/>
  <c r="E52" i="52"/>
  <c r="D51" i="52"/>
  <c r="F52" i="52"/>
  <c r="G51" i="52"/>
  <c r="C18" i="52"/>
  <c r="J22" i="30"/>
  <c r="H53" i="52"/>
  <c r="J25" i="52"/>
  <c r="I25" i="52"/>
  <c r="G52" i="52"/>
  <c r="O79" i="30"/>
  <c r="K79" i="30"/>
  <c r="H79" i="30"/>
  <c r="U79" i="30"/>
  <c r="B55" i="52"/>
  <c r="N13" i="52"/>
  <c r="AC79" i="30"/>
  <c r="S79" i="30"/>
  <c r="J79" i="30"/>
  <c r="J106" i="30"/>
  <c r="C28" i="52"/>
  <c r="B54" i="52"/>
  <c r="N12" i="52"/>
  <c r="B76" i="52"/>
  <c r="B75" i="52"/>
  <c r="C53" i="52"/>
  <c r="C76" i="52" s="1"/>
  <c r="J23" i="52"/>
  <c r="I23" i="52"/>
  <c r="I51" i="52" s="1"/>
  <c r="Z79" i="30"/>
  <c r="F50" i="52"/>
  <c r="J22" i="52"/>
  <c r="I22" i="52"/>
  <c r="I50" i="52" s="1"/>
  <c r="AJ79" i="30"/>
  <c r="M79" i="30"/>
  <c r="C50" i="52"/>
  <c r="C73" i="52" s="1"/>
  <c r="R79" i="30"/>
  <c r="B74" i="52"/>
  <c r="C26" i="52"/>
  <c r="C54" i="52" s="1"/>
  <c r="J69" i="30"/>
  <c r="J85" i="30"/>
  <c r="C27" i="52"/>
  <c r="C55" i="52" s="1"/>
  <c r="G50" i="52"/>
  <c r="E50" i="52"/>
  <c r="AE79" i="30"/>
  <c r="J24" i="52"/>
  <c r="I24" i="52"/>
  <c r="I52" i="52" s="1"/>
  <c r="AF79" i="30"/>
  <c r="AA79" i="30"/>
  <c r="AI79" i="30"/>
  <c r="V79" i="30"/>
  <c r="D11" i="27"/>
  <c r="X10" i="12" s="1"/>
  <c r="D14" i="27"/>
  <c r="X11" i="12" s="1"/>
  <c r="D17" i="27"/>
  <c r="X12" i="12" s="1"/>
  <c r="J8" i="41"/>
  <c r="J9" i="41" s="1"/>
  <c r="J39" i="41" s="1"/>
  <c r="K8" i="41"/>
  <c r="K9" i="41" s="1"/>
  <c r="K39" i="41" s="1"/>
  <c r="C25" i="11"/>
  <c r="B25" i="11" s="1"/>
  <c r="C9" i="11"/>
  <c r="J9" i="11" s="1"/>
  <c r="J25" i="11" l="1"/>
  <c r="D73" i="52"/>
  <c r="E73" i="52" s="1"/>
  <c r="F73" i="52" s="1"/>
  <c r="G73" i="52" s="1"/>
  <c r="H73" i="52" s="1"/>
  <c r="I73" i="52" s="1"/>
  <c r="D76" i="52"/>
  <c r="E76" i="52" s="1"/>
  <c r="F76" i="52" s="1"/>
  <c r="G76" i="52" s="1"/>
  <c r="H76" i="52" s="1"/>
  <c r="D75" i="52"/>
  <c r="E75" i="52" s="1"/>
  <c r="F75" i="52" s="1"/>
  <c r="G75" i="52" s="1"/>
  <c r="H75" i="52" s="1"/>
  <c r="I75" i="52" s="1"/>
  <c r="D74" i="52"/>
  <c r="E74" i="52" s="1"/>
  <c r="F74" i="52" s="1"/>
  <c r="G74" i="52" s="1"/>
  <c r="H74" i="52" s="1"/>
  <c r="I74" i="52" s="1"/>
  <c r="K69" i="30"/>
  <c r="D26" i="52"/>
  <c r="D54" i="52" s="1"/>
  <c r="J70" i="30"/>
  <c r="K24" i="52"/>
  <c r="J52" i="52"/>
  <c r="K22" i="30"/>
  <c r="D18" i="52"/>
  <c r="C78" i="52"/>
  <c r="B78" i="52"/>
  <c r="K106" i="30"/>
  <c r="D28" i="52"/>
  <c r="K23" i="52"/>
  <c r="J51" i="52"/>
  <c r="I53" i="52"/>
  <c r="K22" i="52"/>
  <c r="J50" i="52"/>
  <c r="K25" i="52"/>
  <c r="J53" i="52"/>
  <c r="C77" i="52"/>
  <c r="B77" i="52"/>
  <c r="D27" i="52"/>
  <c r="D55" i="52" s="1"/>
  <c r="K85" i="30"/>
  <c r="J86" i="30"/>
  <c r="L35" i="41"/>
  <c r="L88" i="41" s="1"/>
  <c r="K35" i="41"/>
  <c r="K88" i="41" s="1"/>
  <c r="J35" i="41"/>
  <c r="J88" i="41" s="1"/>
  <c r="B42" i="52"/>
  <c r="D42" i="52" s="1"/>
  <c r="J73" i="52" l="1"/>
  <c r="L85" i="30"/>
  <c r="E27" i="52"/>
  <c r="E55" i="52" s="1"/>
  <c r="K86" i="30"/>
  <c r="D78" i="52"/>
  <c r="L24" i="52"/>
  <c r="K52" i="52"/>
  <c r="D77" i="52"/>
  <c r="J75" i="52"/>
  <c r="L23" i="52"/>
  <c r="K51" i="52"/>
  <c r="L69" i="30"/>
  <c r="E26" i="52"/>
  <c r="E54" i="52" s="1"/>
  <c r="K70" i="30"/>
  <c r="L25" i="52"/>
  <c r="K53" i="52"/>
  <c r="I76" i="52"/>
  <c r="J76" i="52" s="1"/>
  <c r="E18" i="52"/>
  <c r="L22" i="30"/>
  <c r="L22" i="52"/>
  <c r="K50" i="52"/>
  <c r="E28" i="52"/>
  <c r="L106" i="30"/>
  <c r="J74" i="52"/>
  <c r="Y2" i="12"/>
  <c r="B20" i="41" s="1"/>
  <c r="D8" i="27"/>
  <c r="X2" i="12" s="1"/>
  <c r="B35" i="41" s="1"/>
  <c r="B88" i="41" s="1"/>
  <c r="W2" i="12"/>
  <c r="B19" i="41" s="1"/>
  <c r="C4" i="27"/>
  <c r="D9" i="27" s="1"/>
  <c r="C5" i="27"/>
  <c r="E78" i="52" l="1"/>
  <c r="K73" i="52"/>
  <c r="M69" i="30"/>
  <c r="F26" i="52"/>
  <c r="L70" i="30"/>
  <c r="K74" i="52"/>
  <c r="M23" i="52"/>
  <c r="M51" i="52" s="1"/>
  <c r="L51" i="52"/>
  <c r="M24" i="52"/>
  <c r="L52" i="52"/>
  <c r="M22" i="30"/>
  <c r="F18" i="52"/>
  <c r="F28" i="52"/>
  <c r="M106" i="30"/>
  <c r="K76" i="52"/>
  <c r="M25" i="52"/>
  <c r="M53" i="52" s="1"/>
  <c r="L53" i="52"/>
  <c r="K75" i="52"/>
  <c r="M22" i="52"/>
  <c r="L50" i="52"/>
  <c r="E77" i="52"/>
  <c r="M85" i="30"/>
  <c r="F27" i="52"/>
  <c r="L86" i="30"/>
  <c r="Z2" i="12"/>
  <c r="B36" i="41" s="1"/>
  <c r="B89" i="41" s="1"/>
  <c r="D12" i="27"/>
  <c r="Z10" i="12" s="1"/>
  <c r="J36" i="41" s="1"/>
  <c r="J89" i="41" s="1"/>
  <c r="D15" i="27"/>
  <c r="Z11" i="12" s="1"/>
  <c r="K36" i="41" s="1"/>
  <c r="K89" i="41" s="1"/>
  <c r="D18" i="27"/>
  <c r="Z12" i="12" s="1"/>
  <c r="L36" i="41" s="1"/>
  <c r="L89" i="41" s="1"/>
  <c r="B8" i="41"/>
  <c r="B9" i="41" s="1"/>
  <c r="C9" i="44"/>
  <c r="B11" i="30"/>
  <c r="D102" i="30" s="1"/>
  <c r="P10" i="30"/>
  <c r="B10" i="30"/>
  <c r="D103" i="30" s="1"/>
  <c r="P9" i="30"/>
  <c r="P8" i="30"/>
  <c r="X7" i="30"/>
  <c r="AC6" i="30"/>
  <c r="E6" i="30"/>
  <c r="AC5" i="30"/>
  <c r="AE5" i="30" s="1"/>
  <c r="AC4" i="30"/>
  <c r="F103" i="30" l="1"/>
  <c r="H103" i="30"/>
  <c r="I103" i="30" s="1"/>
  <c r="J103" i="30" s="1"/>
  <c r="K103" i="30" s="1"/>
  <c r="L103" i="30" s="1"/>
  <c r="M103" i="30" s="1"/>
  <c r="N103" i="30" s="1"/>
  <c r="O103" i="30" s="1"/>
  <c r="P103" i="30" s="1"/>
  <c r="Q103" i="30" s="1"/>
  <c r="R103" i="30" s="1"/>
  <c r="S103" i="30" s="1"/>
  <c r="T103" i="30" s="1"/>
  <c r="U103" i="30" s="1"/>
  <c r="V103" i="30" s="1"/>
  <c r="W103" i="30" s="1"/>
  <c r="X103" i="30" s="1"/>
  <c r="Y103" i="30" s="1"/>
  <c r="Z103" i="30" s="1"/>
  <c r="AA103" i="30" s="1"/>
  <c r="AB103" i="30" s="1"/>
  <c r="AC103" i="30" s="1"/>
  <c r="AD103" i="30" s="1"/>
  <c r="AE103" i="30" s="1"/>
  <c r="AF103" i="30" s="1"/>
  <c r="AG103" i="30" s="1"/>
  <c r="AH103" i="30" s="1"/>
  <c r="AI103" i="30" s="1"/>
  <c r="AJ103" i="30" s="1"/>
  <c r="AK103" i="30" s="1"/>
  <c r="AL103" i="30" s="1"/>
  <c r="G103" i="30"/>
  <c r="F102" i="30"/>
  <c r="H102" i="30"/>
  <c r="I102" i="30" s="1"/>
  <c r="J102" i="30" s="1"/>
  <c r="K102" i="30" s="1"/>
  <c r="L102" i="30" s="1"/>
  <c r="M102" i="30" s="1"/>
  <c r="N102" i="30" s="1"/>
  <c r="O102" i="30" s="1"/>
  <c r="P102" i="30" s="1"/>
  <c r="Q102" i="30" s="1"/>
  <c r="R102" i="30" s="1"/>
  <c r="S102" i="30" s="1"/>
  <c r="T102" i="30" s="1"/>
  <c r="U102" i="30" s="1"/>
  <c r="V102" i="30" s="1"/>
  <c r="W102" i="30" s="1"/>
  <c r="X102" i="30" s="1"/>
  <c r="Y102" i="30" s="1"/>
  <c r="Z102" i="30" s="1"/>
  <c r="AA102" i="30" s="1"/>
  <c r="AB102" i="30" s="1"/>
  <c r="AC102" i="30" s="1"/>
  <c r="AD102" i="30" s="1"/>
  <c r="AE102" i="30" s="1"/>
  <c r="AF102" i="30" s="1"/>
  <c r="AG102" i="30" s="1"/>
  <c r="AH102" i="30" s="1"/>
  <c r="AI102" i="30" s="1"/>
  <c r="AJ102" i="30" s="1"/>
  <c r="AK102" i="30" s="1"/>
  <c r="AL102" i="30" s="1"/>
  <c r="G102" i="30"/>
  <c r="AH109" i="30"/>
  <c r="AJ109" i="30"/>
  <c r="AC109" i="30"/>
  <c r="W109" i="30"/>
  <c r="AE109" i="30"/>
  <c r="S109" i="30"/>
  <c r="N109" i="30"/>
  <c r="AI109" i="30"/>
  <c r="AG109" i="30"/>
  <c r="M109" i="30"/>
  <c r="U109" i="30"/>
  <c r="K109" i="30"/>
  <c r="F109" i="30"/>
  <c r="AK109" i="30"/>
  <c r="P109" i="30"/>
  <c r="H109" i="30"/>
  <c r="V109" i="30"/>
  <c r="I109" i="30"/>
  <c r="J109" i="30"/>
  <c r="Y109" i="30"/>
  <c r="R109" i="30"/>
  <c r="Z109" i="30"/>
  <c r="O109" i="30"/>
  <c r="AA109" i="30"/>
  <c r="AF109" i="30"/>
  <c r="X109" i="30"/>
  <c r="AD109" i="30"/>
  <c r="Q109" i="30"/>
  <c r="L109" i="30"/>
  <c r="AL109" i="30"/>
  <c r="T109" i="30"/>
  <c r="G109" i="30"/>
  <c r="AB109" i="30"/>
  <c r="L73" i="52"/>
  <c r="N25" i="52"/>
  <c r="N53" i="52"/>
  <c r="L76" i="52"/>
  <c r="M76" i="52" s="1"/>
  <c r="N51" i="52"/>
  <c r="L75" i="52"/>
  <c r="N23" i="52"/>
  <c r="G28" i="52"/>
  <c r="N106" i="30"/>
  <c r="L74" i="52"/>
  <c r="M74" i="52" s="1"/>
  <c r="M50" i="52"/>
  <c r="N50" i="52" s="1"/>
  <c r="N22" i="52"/>
  <c r="N85" i="30"/>
  <c r="G27" i="52"/>
  <c r="G55" i="52" s="1"/>
  <c r="M86" i="30"/>
  <c r="G18" i="52"/>
  <c r="N22" i="30"/>
  <c r="P16" i="30"/>
  <c r="P17" i="30" s="1"/>
  <c r="AI52" i="30"/>
  <c r="AI53" i="30" s="1"/>
  <c r="R52" i="30"/>
  <c r="R53" i="30" s="1"/>
  <c r="U52" i="30"/>
  <c r="U53" i="30" s="1"/>
  <c r="Z52" i="30"/>
  <c r="Z53" i="30" s="1"/>
  <c r="H39" i="30"/>
  <c r="H40" i="30" s="1"/>
  <c r="N26" i="30"/>
  <c r="N27" i="30" s="1"/>
  <c r="J52" i="30"/>
  <c r="J53" i="30" s="1"/>
  <c r="W26" i="30"/>
  <c r="W27" i="30" s="1"/>
  <c r="U39" i="30"/>
  <c r="U40" i="30" s="1"/>
  <c r="V39" i="30"/>
  <c r="V40" i="30" s="1"/>
  <c r="X26" i="30"/>
  <c r="X27" i="30" s="1"/>
  <c r="F52" i="30"/>
  <c r="F53" i="30" s="1"/>
  <c r="M16" i="30"/>
  <c r="M17" i="30" s="1"/>
  <c r="AK52" i="30"/>
  <c r="AK53" i="30" s="1"/>
  <c r="M52" i="30"/>
  <c r="M53" i="30" s="1"/>
  <c r="H26" i="30"/>
  <c r="H27" i="30" s="1"/>
  <c r="AC16" i="30"/>
  <c r="AC17" i="30" s="1"/>
  <c r="K52" i="30"/>
  <c r="K53" i="30" s="1"/>
  <c r="AG16" i="30"/>
  <c r="AG17" i="30" s="1"/>
  <c r="AC52" i="30"/>
  <c r="AC53" i="30" s="1"/>
  <c r="AH52" i="30"/>
  <c r="AH53" i="30" s="1"/>
  <c r="F26" i="30"/>
  <c r="F27" i="30" s="1"/>
  <c r="I26" i="30"/>
  <c r="I27" i="30" s="1"/>
  <c r="F39" i="30"/>
  <c r="F40" i="30" s="1"/>
  <c r="P26" i="30"/>
  <c r="P27" i="30" s="1"/>
  <c r="AF16" i="30"/>
  <c r="AF17" i="30" s="1"/>
  <c r="V26" i="30"/>
  <c r="V27" i="30" s="1"/>
  <c r="L16" i="30"/>
  <c r="L17" i="30" s="1"/>
  <c r="S52" i="30"/>
  <c r="S53" i="30" s="1"/>
  <c r="Q16" i="30"/>
  <c r="Q17" i="30" s="1"/>
  <c r="U26" i="30"/>
  <c r="U27" i="30" s="1"/>
  <c r="M26" i="30"/>
  <c r="M27" i="30" s="1"/>
  <c r="AE26" i="30"/>
  <c r="AE27" i="30" s="1"/>
  <c r="AL39" i="30"/>
  <c r="AL40" i="30" s="1"/>
  <c r="AA52" i="30"/>
  <c r="AA53" i="30" s="1"/>
  <c r="Y26" i="30"/>
  <c r="Y27" i="30" s="1"/>
  <c r="AG26" i="30"/>
  <c r="AG27" i="30" s="1"/>
  <c r="AD26" i="30"/>
  <c r="AD27" i="30" s="1"/>
  <c r="E26" i="30"/>
  <c r="E27" i="30" s="1"/>
  <c r="G26" i="30"/>
  <c r="G27" i="30" s="1"/>
  <c r="AB16" i="30"/>
  <c r="AB17" i="30" s="1"/>
  <c r="O26" i="30"/>
  <c r="O27" i="30" s="1"/>
  <c r="Q26" i="30"/>
  <c r="Q27" i="30" s="1"/>
  <c r="E52" i="30"/>
  <c r="E53" i="30" s="1"/>
  <c r="E39" i="30"/>
  <c r="E40" i="30" s="1"/>
  <c r="X39" i="30"/>
  <c r="X40" i="30" s="1"/>
  <c r="AF26" i="30"/>
  <c r="AF27" i="30" s="1"/>
  <c r="Q39" i="30"/>
  <c r="Q40" i="30" s="1"/>
  <c r="AH26" i="30"/>
  <c r="AH27" i="30" s="1"/>
  <c r="AB39" i="30"/>
  <c r="AB40" i="30" s="1"/>
  <c r="AF39" i="30"/>
  <c r="AF40" i="30" s="1"/>
  <c r="AC26" i="30"/>
  <c r="AC27" i="30" s="1"/>
  <c r="H52" i="30"/>
  <c r="H53" i="30" s="1"/>
  <c r="AG52" i="30"/>
  <c r="AG53" i="30" s="1"/>
  <c r="AK26" i="30"/>
  <c r="AK27" i="30" s="1"/>
  <c r="N16" i="30"/>
  <c r="N17" i="30" s="1"/>
  <c r="L39" i="30"/>
  <c r="L40" i="30" s="1"/>
  <c r="O16" i="30"/>
  <c r="O17" i="30" s="1"/>
  <c r="AL16" i="30"/>
  <c r="AL17" i="30" s="1"/>
  <c r="R16" i="30"/>
  <c r="R17" i="30" s="1"/>
  <c r="Z39" i="30"/>
  <c r="Z40" i="30" s="1"/>
  <c r="G39" i="30"/>
  <c r="G40" i="30" s="1"/>
  <c r="AJ39" i="30"/>
  <c r="AJ40" i="30" s="1"/>
  <c r="F16" i="30"/>
  <c r="F17" i="30" s="1"/>
  <c r="AD16" i="30"/>
  <c r="AD17" i="30" s="1"/>
  <c r="I39" i="30"/>
  <c r="I40" i="30" s="1"/>
  <c r="N39" i="30"/>
  <c r="N40" i="30" s="1"/>
  <c r="W39" i="30"/>
  <c r="W40" i="30" s="1"/>
  <c r="G16" i="30"/>
  <c r="G17" i="30" s="1"/>
  <c r="T39" i="30"/>
  <c r="T40" i="30" s="1"/>
  <c r="AE16" i="30"/>
  <c r="AE17" i="30" s="1"/>
  <c r="K39" i="30"/>
  <c r="K40" i="30" s="1"/>
  <c r="P52" i="30"/>
  <c r="P53" i="30" s="1"/>
  <c r="J26" i="30"/>
  <c r="J27" i="30" s="1"/>
  <c r="AI39" i="30"/>
  <c r="AI40" i="30" s="1"/>
  <c r="O52" i="30"/>
  <c r="O53" i="30" s="1"/>
  <c r="AC39" i="30"/>
  <c r="AC40" i="30" s="1"/>
  <c r="AD39" i="30"/>
  <c r="AD40" i="30" s="1"/>
  <c r="V52" i="30"/>
  <c r="V53" i="30" s="1"/>
  <c r="AF52" i="30"/>
  <c r="AF53" i="30" s="1"/>
  <c r="X52" i="30"/>
  <c r="X53" i="30" s="1"/>
  <c r="AG39" i="30"/>
  <c r="AG40" i="30" s="1"/>
  <c r="S16" i="30"/>
  <c r="S17" i="30" s="1"/>
  <c r="AE39" i="30"/>
  <c r="AE40" i="30" s="1"/>
  <c r="AJ26" i="30"/>
  <c r="AJ27" i="30" s="1"/>
  <c r="L52" i="30"/>
  <c r="L53" i="30" s="1"/>
  <c r="L26" i="30"/>
  <c r="L27" i="30" s="1"/>
  <c r="Y39" i="30"/>
  <c r="Y40" i="30" s="1"/>
  <c r="Z26" i="30"/>
  <c r="Z27" i="30" s="1"/>
  <c r="P39" i="30"/>
  <c r="P40" i="30" s="1"/>
  <c r="AJ16" i="30"/>
  <c r="AJ17" i="30" s="1"/>
  <c r="E16" i="30"/>
  <c r="E17" i="30" s="1"/>
  <c r="R39" i="30"/>
  <c r="R40" i="30" s="1"/>
  <c r="AI16" i="30"/>
  <c r="AI17" i="30" s="1"/>
  <c r="AI26" i="30"/>
  <c r="AI27" i="30" s="1"/>
  <c r="N52" i="30"/>
  <c r="N53" i="30" s="1"/>
  <c r="Y16" i="30"/>
  <c r="Y17" i="30" s="1"/>
  <c r="T52" i="30"/>
  <c r="T53" i="30" s="1"/>
  <c r="S26" i="30"/>
  <c r="S27" i="30" s="1"/>
  <c r="O39" i="30"/>
  <c r="O40" i="30" s="1"/>
  <c r="W16" i="30"/>
  <c r="W17" i="30" s="1"/>
  <c r="AB26" i="30"/>
  <c r="AB27" i="30" s="1"/>
  <c r="AE52" i="30"/>
  <c r="AE53" i="30" s="1"/>
  <c r="AA16" i="30"/>
  <c r="AA17" i="30" s="1"/>
  <c r="J39" i="30"/>
  <c r="J40" i="30" s="1"/>
  <c r="Z16" i="30"/>
  <c r="Z17" i="30" s="1"/>
  <c r="Q52" i="30"/>
  <c r="Q53" i="30" s="1"/>
  <c r="T16" i="30"/>
  <c r="T17" i="30" s="1"/>
  <c r="I16" i="30"/>
  <c r="I17" i="30" s="1"/>
  <c r="R26" i="30"/>
  <c r="R27" i="30" s="1"/>
  <c r="I52" i="30"/>
  <c r="I53" i="30" s="1"/>
  <c r="M39" i="30"/>
  <c r="M40" i="30" s="1"/>
  <c r="AA26" i="30"/>
  <c r="AA27" i="30" s="1"/>
  <c r="AL26" i="30"/>
  <c r="AL27" i="30" s="1"/>
  <c r="AK39" i="30"/>
  <c r="AK40" i="30" s="1"/>
  <c r="U16" i="30"/>
  <c r="U17" i="30" s="1"/>
  <c r="S39" i="30"/>
  <c r="S40" i="30" s="1"/>
  <c r="AA39" i="30"/>
  <c r="AA40" i="30" s="1"/>
  <c r="AL52" i="30"/>
  <c r="AL53" i="30" s="1"/>
  <c r="AD52" i="30"/>
  <c r="AD53" i="30" s="1"/>
  <c r="AB52" i="30"/>
  <c r="AB53" i="30" s="1"/>
  <c r="X16" i="30"/>
  <c r="X17" i="30" s="1"/>
  <c r="K16" i="30"/>
  <c r="K17" i="30" s="1"/>
  <c r="K26" i="30"/>
  <c r="K27" i="30" s="1"/>
  <c r="AJ52" i="30"/>
  <c r="AJ53" i="30" s="1"/>
  <c r="AH16" i="30"/>
  <c r="AH17" i="30" s="1"/>
  <c r="V16" i="30"/>
  <c r="V17" i="30" s="1"/>
  <c r="W52" i="30"/>
  <c r="W53" i="30" s="1"/>
  <c r="T26" i="30"/>
  <c r="T27" i="30" s="1"/>
  <c r="J16" i="30"/>
  <c r="J17" i="30" s="1"/>
  <c r="G52" i="30"/>
  <c r="G53" i="30" s="1"/>
  <c r="AK16" i="30"/>
  <c r="AK17" i="30" s="1"/>
  <c r="AH39" i="30"/>
  <c r="AH40" i="30" s="1"/>
  <c r="Y52" i="30"/>
  <c r="Y53" i="30" s="1"/>
  <c r="H16" i="30"/>
  <c r="H17" i="30" s="1"/>
  <c r="AB54" i="30"/>
  <c r="G54" i="30"/>
  <c r="H41" i="30"/>
  <c r="P18" i="30"/>
  <c r="N18" i="30"/>
  <c r="V41" i="30"/>
  <c r="AA18" i="30"/>
  <c r="Y18" i="30"/>
  <c r="U41" i="30"/>
  <c r="X18" i="30"/>
  <c r="G18" i="30"/>
  <c r="Q18" i="30"/>
  <c r="G41" i="30"/>
  <c r="W54" i="30"/>
  <c r="AH41" i="30"/>
  <c r="S28" i="30"/>
  <c r="O28" i="30"/>
  <c r="K28" i="30"/>
  <c r="AL18" i="30"/>
  <c r="AI28" i="30"/>
  <c r="T28" i="30"/>
  <c r="N41" i="30"/>
  <c r="V18" i="30"/>
  <c r="AA41" i="30"/>
  <c r="M28" i="30"/>
  <c r="S41" i="30"/>
  <c r="AG41" i="30"/>
  <c r="AK18" i="30"/>
  <c r="U28" i="30"/>
  <c r="AD54" i="30"/>
  <c r="S18" i="30"/>
  <c r="AJ28" i="30"/>
  <c r="V54" i="30"/>
  <c r="E18" i="30"/>
  <c r="L18" i="30"/>
  <c r="Z41" i="30"/>
  <c r="H18" i="30"/>
  <c r="Y28" i="30"/>
  <c r="M54" i="30"/>
  <c r="AC41" i="30"/>
  <c r="AF18" i="30"/>
  <c r="AJ41" i="30"/>
  <c r="E41" i="30"/>
  <c r="AF54" i="30"/>
  <c r="Q41" i="30"/>
  <c r="AI41" i="30"/>
  <c r="O18" i="30"/>
  <c r="S54" i="30"/>
  <c r="T18" i="30"/>
  <c r="AG18" i="30"/>
  <c r="AE18" i="30"/>
  <c r="AK41" i="30"/>
  <c r="H54" i="30"/>
  <c r="AE54" i="30"/>
  <c r="U18" i="30"/>
  <c r="E54" i="30"/>
  <c r="J28" i="30"/>
  <c r="AK54" i="30"/>
  <c r="J41" i="30"/>
  <c r="AC28" i="30"/>
  <c r="K41" i="30"/>
  <c r="R28" i="30"/>
  <c r="J18" i="30"/>
  <c r="I28" i="30"/>
  <c r="P54" i="30"/>
  <c r="I41" i="30"/>
  <c r="AG54" i="30"/>
  <c r="AL54" i="30"/>
  <c r="T54" i="30"/>
  <c r="M18" i="30"/>
  <c r="Z18" i="30"/>
  <c r="F41" i="30"/>
  <c r="W18" i="30"/>
  <c r="R18" i="30"/>
  <c r="AL41" i="30"/>
  <c r="W28" i="30"/>
  <c r="X41" i="30"/>
  <c r="AD18" i="30"/>
  <c r="Z54" i="30"/>
  <c r="AC54" i="30"/>
  <c r="AD41" i="30"/>
  <c r="I54" i="30"/>
  <c r="Q28" i="30"/>
  <c r="X28" i="30"/>
  <c r="AA54" i="30"/>
  <c r="AK28" i="30"/>
  <c r="AG28" i="30"/>
  <c r="G28" i="30"/>
  <c r="AA28" i="30"/>
  <c r="T41" i="30"/>
  <c r="L28" i="30"/>
  <c r="L41" i="30"/>
  <c r="R41" i="30"/>
  <c r="AJ18" i="30"/>
  <c r="AH28" i="30"/>
  <c r="J54" i="30"/>
  <c r="Q54" i="30"/>
  <c r="AE28" i="30"/>
  <c r="K18" i="30"/>
  <c r="AB28" i="30"/>
  <c r="N54" i="30"/>
  <c r="AF28" i="30"/>
  <c r="Z28" i="30"/>
  <c r="X54" i="30"/>
  <c r="AI18" i="30"/>
  <c r="Y41" i="30"/>
  <c r="N28" i="30"/>
  <c r="M41" i="30"/>
  <c r="AL28" i="30"/>
  <c r="F18" i="30"/>
  <c r="AI54" i="30"/>
  <c r="P41" i="30"/>
  <c r="AC18" i="30"/>
  <c r="AB41" i="30"/>
  <c r="P28" i="30"/>
  <c r="AJ54" i="30"/>
  <c r="AE41" i="30"/>
  <c r="AH18" i="30"/>
  <c r="R54" i="30"/>
  <c r="U54" i="30"/>
  <c r="V28" i="30"/>
  <c r="L54" i="30"/>
  <c r="K54" i="30"/>
  <c r="I18" i="30"/>
  <c r="O41" i="30"/>
  <c r="AF41" i="30"/>
  <c r="F28" i="30"/>
  <c r="AD28" i="30"/>
  <c r="Y54" i="30"/>
  <c r="AB18" i="30"/>
  <c r="AH54" i="30"/>
  <c r="O54" i="30"/>
  <c r="H28" i="30"/>
  <c r="W41" i="30"/>
  <c r="E28" i="30"/>
  <c r="F54" i="30"/>
  <c r="J89" i="30"/>
  <c r="AA89" i="30"/>
  <c r="X89" i="30"/>
  <c r="U89" i="30"/>
  <c r="Z89" i="30"/>
  <c r="AE89" i="30"/>
  <c r="P89" i="30"/>
  <c r="AC89" i="30"/>
  <c r="AJ89" i="30"/>
  <c r="Q89" i="30"/>
  <c r="M89" i="30"/>
  <c r="T89" i="30"/>
  <c r="S89" i="30"/>
  <c r="W89" i="30"/>
  <c r="G89" i="30"/>
  <c r="H89" i="30"/>
  <c r="C10" i="44" s="1"/>
  <c r="AF89" i="30"/>
  <c r="AB89" i="30"/>
  <c r="I89" i="30"/>
  <c r="AG89" i="30"/>
  <c r="V89" i="30"/>
  <c r="F89" i="30"/>
  <c r="R89" i="30"/>
  <c r="AI89" i="30"/>
  <c r="L89" i="30"/>
  <c r="K89" i="30"/>
  <c r="AH89" i="30"/>
  <c r="AD89" i="30"/>
  <c r="O89" i="30"/>
  <c r="Y89" i="30"/>
  <c r="AL89" i="30"/>
  <c r="AK89" i="30"/>
  <c r="E89" i="30"/>
  <c r="N89" i="30"/>
  <c r="F32" i="30"/>
  <c r="G32" i="30"/>
  <c r="H32" i="30" s="1"/>
  <c r="E32" i="30"/>
  <c r="E45" i="30"/>
  <c r="F45" i="30"/>
  <c r="G45" i="30"/>
  <c r="H45" i="30" s="1"/>
  <c r="F55" i="52"/>
  <c r="G58" i="30"/>
  <c r="H58" i="30" s="1"/>
  <c r="F58" i="30"/>
  <c r="E58" i="30"/>
  <c r="F54" i="52"/>
  <c r="F77" i="52" s="1"/>
  <c r="M52" i="52"/>
  <c r="N52" i="52" s="1"/>
  <c r="N24" i="52"/>
  <c r="N69" i="30"/>
  <c r="G26" i="52"/>
  <c r="G54" i="52" s="1"/>
  <c r="M70" i="30"/>
  <c r="AE6" i="30"/>
  <c r="U10" i="12"/>
  <c r="J18" i="41" s="1"/>
  <c r="C23" i="44"/>
  <c r="E8" i="41"/>
  <c r="E9" i="41" s="1"/>
  <c r="B9" i="40"/>
  <c r="B5" i="40"/>
  <c r="E69" i="41"/>
  <c r="I69" i="41"/>
  <c r="F5" i="12"/>
  <c r="I5" i="12" s="1"/>
  <c r="E6" i="41" s="1"/>
  <c r="E7" i="41" s="1"/>
  <c r="E54" i="41" s="1"/>
  <c r="E55" i="41" s="1"/>
  <c r="E56" i="41" s="1"/>
  <c r="E57" i="41" s="1"/>
  <c r="E58" i="41" s="1"/>
  <c r="E59" i="41" s="1"/>
  <c r="E60" i="41" s="1"/>
  <c r="E61" i="41" s="1"/>
  <c r="E62" i="41" s="1"/>
  <c r="E63" i="41" s="1"/>
  <c r="E64" i="41" s="1"/>
  <c r="E65" i="41" s="1"/>
  <c r="F9" i="12"/>
  <c r="I9" i="12" s="1"/>
  <c r="I6" i="41" s="1"/>
  <c r="I7" i="41" s="1"/>
  <c r="I54" i="41" s="1"/>
  <c r="I55" i="41" s="1"/>
  <c r="I56" i="41" s="1"/>
  <c r="I57" i="41" s="1"/>
  <c r="I58" i="41" s="1"/>
  <c r="I59" i="41" s="1"/>
  <c r="I60" i="41" s="1"/>
  <c r="I61" i="41" s="1"/>
  <c r="I62" i="41" s="1"/>
  <c r="I63" i="41" s="1"/>
  <c r="I64" i="41" s="1"/>
  <c r="I65" i="41" s="1"/>
  <c r="E77" i="41"/>
  <c r="J5" i="40"/>
  <c r="J9" i="40"/>
  <c r="I77" i="41"/>
  <c r="K9" i="40"/>
  <c r="K5" i="40"/>
  <c r="I78" i="41"/>
  <c r="E78" i="41"/>
  <c r="C8" i="41"/>
  <c r="C9" i="41" s="1"/>
  <c r="C9" i="40"/>
  <c r="C5" i="40"/>
  <c r="I70" i="41"/>
  <c r="E70" i="41"/>
  <c r="D8" i="41"/>
  <c r="D9" i="41" s="1"/>
  <c r="I9" i="40"/>
  <c r="I5" i="40"/>
  <c r="I76" i="41"/>
  <c r="E76" i="41"/>
  <c r="I72" i="41"/>
  <c r="E72" i="41"/>
  <c r="E9" i="40"/>
  <c r="E5" i="40"/>
  <c r="M9" i="40"/>
  <c r="M5" i="40"/>
  <c r="I80" i="41"/>
  <c r="E80" i="41"/>
  <c r="E73" i="41"/>
  <c r="I73" i="41"/>
  <c r="F5" i="40"/>
  <c r="F9" i="40"/>
  <c r="G9" i="40"/>
  <c r="G5" i="40"/>
  <c r="I74" i="41"/>
  <c r="E74" i="41"/>
  <c r="J80" i="41"/>
  <c r="M10" i="40"/>
  <c r="B22" i="11"/>
  <c r="B45" i="13" l="1"/>
  <c r="B46" i="13" s="1"/>
  <c r="B23" i="11"/>
  <c r="J23" i="11" s="1"/>
  <c r="M73" i="52"/>
  <c r="G77" i="52"/>
  <c r="M75" i="52"/>
  <c r="F78" i="52"/>
  <c r="G78" i="52" s="1"/>
  <c r="AB24" i="30"/>
  <c r="AC110" i="30" s="1"/>
  <c r="AB19" i="30"/>
  <c r="L61" i="30"/>
  <c r="L55" i="30"/>
  <c r="AB48" i="30"/>
  <c r="AB42" i="30"/>
  <c r="Y48" i="30"/>
  <c r="Y42" i="30"/>
  <c r="AE35" i="30"/>
  <c r="AE29" i="30"/>
  <c r="T48" i="30"/>
  <c r="T42" i="30"/>
  <c r="I61" i="30"/>
  <c r="I55" i="30"/>
  <c r="R19" i="30"/>
  <c r="R24" i="30"/>
  <c r="I48" i="30"/>
  <c r="I42" i="30"/>
  <c r="AK61" i="30"/>
  <c r="AK55" i="30"/>
  <c r="AG24" i="30"/>
  <c r="AH110" i="30" s="1"/>
  <c r="AG19" i="30"/>
  <c r="AJ48" i="30"/>
  <c r="AJ42" i="30"/>
  <c r="E24" i="30"/>
  <c r="F110" i="30" s="1"/>
  <c r="E19" i="30"/>
  <c r="E20" i="30" s="1"/>
  <c r="E21" i="30" s="1"/>
  <c r="E23" i="30" s="1"/>
  <c r="S42" i="30"/>
  <c r="S48" i="30"/>
  <c r="K35" i="30"/>
  <c r="K29" i="30"/>
  <c r="X24" i="30"/>
  <c r="X19" i="30"/>
  <c r="G61" i="30"/>
  <c r="G55" i="30"/>
  <c r="G56" i="30" s="1"/>
  <c r="H56" i="30" s="1"/>
  <c r="Q29" i="30"/>
  <c r="Q35" i="30"/>
  <c r="AL19" i="30"/>
  <c r="AL24" i="30"/>
  <c r="I45" i="30"/>
  <c r="B20" i="52"/>
  <c r="Y61" i="30"/>
  <c r="Y55" i="30"/>
  <c r="V35" i="30"/>
  <c r="V29" i="30"/>
  <c r="AC24" i="30"/>
  <c r="AC19" i="30"/>
  <c r="AI24" i="30"/>
  <c r="AI19" i="30"/>
  <c r="Q55" i="30"/>
  <c r="Q61" i="30"/>
  <c r="AA29" i="30"/>
  <c r="AA35" i="30"/>
  <c r="AD42" i="30"/>
  <c r="AD48" i="30"/>
  <c r="W19" i="30"/>
  <c r="W24" i="30"/>
  <c r="P61" i="30"/>
  <c r="P55" i="30"/>
  <c r="J35" i="30"/>
  <c r="J29" i="30"/>
  <c r="T24" i="30"/>
  <c r="T19" i="30"/>
  <c r="AF24" i="30"/>
  <c r="AG110" i="30" s="1"/>
  <c r="AF19" i="30"/>
  <c r="V61" i="30"/>
  <c r="V55" i="30"/>
  <c r="M35" i="30"/>
  <c r="M29" i="30"/>
  <c r="O35" i="30"/>
  <c r="O29" i="30"/>
  <c r="U42" i="30"/>
  <c r="U48" i="30"/>
  <c r="AB61" i="30"/>
  <c r="AB55" i="30"/>
  <c r="F61" i="30"/>
  <c r="F55" i="30"/>
  <c r="F56" i="30" s="1"/>
  <c r="F57" i="30" s="1"/>
  <c r="F59" i="30" s="1"/>
  <c r="AD35" i="30"/>
  <c r="AD29" i="30"/>
  <c r="U61" i="30"/>
  <c r="U55" i="30"/>
  <c r="P48" i="30"/>
  <c r="P42" i="30"/>
  <c r="X61" i="30"/>
  <c r="X55" i="30"/>
  <c r="J55" i="30"/>
  <c r="J61" i="30"/>
  <c r="G29" i="30"/>
  <c r="G30" i="30" s="1"/>
  <c r="H30" i="30" s="1"/>
  <c r="G35" i="30"/>
  <c r="AC55" i="30"/>
  <c r="AC61" i="30"/>
  <c r="F42" i="30"/>
  <c r="F43" i="30" s="1"/>
  <c r="F44" i="30" s="1"/>
  <c r="F46" i="30" s="1"/>
  <c r="F48" i="30"/>
  <c r="I35" i="30"/>
  <c r="I29" i="30"/>
  <c r="E61" i="30"/>
  <c r="E55" i="30"/>
  <c r="E56" i="30" s="1"/>
  <c r="E57" i="30" s="1"/>
  <c r="E59" i="30" s="1"/>
  <c r="S55" i="30"/>
  <c r="S61" i="30"/>
  <c r="AC42" i="30"/>
  <c r="AC48" i="30"/>
  <c r="AJ35" i="30"/>
  <c r="AJ29" i="30"/>
  <c r="AA42" i="30"/>
  <c r="AA48" i="30"/>
  <c r="S29" i="30"/>
  <c r="S35" i="30"/>
  <c r="Y24" i="30"/>
  <c r="Z110" i="30" s="1"/>
  <c r="Y19" i="30"/>
  <c r="P35" i="30"/>
  <c r="P29" i="30"/>
  <c r="K24" i="30"/>
  <c r="L110" i="30" s="1"/>
  <c r="K19" i="30"/>
  <c r="AG61" i="30"/>
  <c r="AG55" i="30"/>
  <c r="L24" i="30"/>
  <c r="L19" i="30"/>
  <c r="E29" i="30"/>
  <c r="E30" i="30" s="1"/>
  <c r="E31" i="30" s="1"/>
  <c r="E33" i="30" s="1"/>
  <c r="E35" i="30"/>
  <c r="F35" i="30"/>
  <c r="F29" i="30"/>
  <c r="F30" i="30" s="1"/>
  <c r="F31" i="30" s="1"/>
  <c r="F33" i="30" s="1"/>
  <c r="R61" i="30"/>
  <c r="R55" i="30"/>
  <c r="AI55" i="30"/>
  <c r="AI61" i="30"/>
  <c r="Z29" i="30"/>
  <c r="Z35" i="30"/>
  <c r="AH35" i="30"/>
  <c r="AH29" i="30"/>
  <c r="AG29" i="30"/>
  <c r="AG35" i="30"/>
  <c r="Z61" i="30"/>
  <c r="Z55" i="30"/>
  <c r="Z24" i="30"/>
  <c r="AA110" i="30" s="1"/>
  <c r="Z19" i="30"/>
  <c r="J19" i="30"/>
  <c r="J24" i="30"/>
  <c r="K110" i="30" s="1"/>
  <c r="U19" i="30"/>
  <c r="U24" i="30"/>
  <c r="V110" i="30" s="1"/>
  <c r="O19" i="30"/>
  <c r="O24" i="30"/>
  <c r="M55" i="30"/>
  <c r="M61" i="30"/>
  <c r="S24" i="30"/>
  <c r="T110" i="30" s="1"/>
  <c r="S19" i="30"/>
  <c r="V24" i="30"/>
  <c r="W110" i="30" s="1"/>
  <c r="V19" i="30"/>
  <c r="AH42" i="30"/>
  <c r="AH48" i="30"/>
  <c r="AA24" i="30"/>
  <c r="AB110" i="30" s="1"/>
  <c r="AA19" i="30"/>
  <c r="H18" i="52"/>
  <c r="O22" i="30"/>
  <c r="AH61" i="30"/>
  <c r="AH55" i="30"/>
  <c r="L29" i="30"/>
  <c r="L35" i="30"/>
  <c r="AE24" i="30"/>
  <c r="AF110" i="30" s="1"/>
  <c r="AE19" i="30"/>
  <c r="AG48" i="30"/>
  <c r="AG42" i="30"/>
  <c r="G19" i="30"/>
  <c r="G20" i="30" s="1"/>
  <c r="H20" i="30" s="1"/>
  <c r="G24" i="30"/>
  <c r="H26" i="52"/>
  <c r="O69" i="30"/>
  <c r="N70" i="30"/>
  <c r="I58" i="30"/>
  <c r="B21" i="52"/>
  <c r="W48" i="30"/>
  <c r="W42" i="30"/>
  <c r="AF48" i="30"/>
  <c r="AF42" i="30"/>
  <c r="AH24" i="30"/>
  <c r="AH19" i="30"/>
  <c r="F24" i="30"/>
  <c r="G110" i="30" s="1"/>
  <c r="F19" i="30"/>
  <c r="F20" i="30" s="1"/>
  <c r="F21" i="30" s="1"/>
  <c r="F23" i="30" s="1"/>
  <c r="AF35" i="30"/>
  <c r="AF29" i="30"/>
  <c r="AJ19" i="30"/>
  <c r="AJ24" i="30"/>
  <c r="AK35" i="30"/>
  <c r="AK29" i="30"/>
  <c r="AD19" i="30"/>
  <c r="AD24" i="30"/>
  <c r="AE110" i="30" s="1"/>
  <c r="M24" i="30"/>
  <c r="N110" i="30" s="1"/>
  <c r="M19" i="30"/>
  <c r="R35" i="30"/>
  <c r="R29" i="30"/>
  <c r="AE61" i="30"/>
  <c r="AE55" i="30"/>
  <c r="AI42" i="30"/>
  <c r="AI48" i="30"/>
  <c r="AI49" i="30" s="1"/>
  <c r="Y29" i="30"/>
  <c r="Y35" i="30"/>
  <c r="AD61" i="30"/>
  <c r="AD55" i="30"/>
  <c r="N42" i="30"/>
  <c r="N48" i="30"/>
  <c r="W61" i="30"/>
  <c r="W55" i="30"/>
  <c r="V42" i="30"/>
  <c r="V48" i="30"/>
  <c r="O106" i="30"/>
  <c r="H28" i="52"/>
  <c r="N35" i="30"/>
  <c r="N29" i="30"/>
  <c r="AL48" i="30"/>
  <c r="AL42" i="30"/>
  <c r="E48" i="30"/>
  <c r="E42" i="30"/>
  <c r="E43" i="30" s="1"/>
  <c r="E44" i="30" s="1"/>
  <c r="E46" i="30" s="1"/>
  <c r="H42" i="30"/>
  <c r="H48" i="30"/>
  <c r="C7" i="44" s="1"/>
  <c r="O85" i="30"/>
  <c r="H27" i="52"/>
  <c r="N86" i="30"/>
  <c r="B19" i="52"/>
  <c r="I32" i="30"/>
  <c r="H29" i="30"/>
  <c r="H35" i="30"/>
  <c r="C6" i="44" s="1"/>
  <c r="O48" i="30"/>
  <c r="O42" i="30"/>
  <c r="AE42" i="30"/>
  <c r="AE48" i="30"/>
  <c r="AL35" i="30"/>
  <c r="AL29" i="30"/>
  <c r="N61" i="30"/>
  <c r="N55" i="30"/>
  <c r="R48" i="30"/>
  <c r="R42" i="30"/>
  <c r="AA55" i="30"/>
  <c r="AA61" i="30"/>
  <c r="X48" i="30"/>
  <c r="X42" i="30"/>
  <c r="T55" i="30"/>
  <c r="T61" i="30"/>
  <c r="K48" i="30"/>
  <c r="K42" i="30"/>
  <c r="H61" i="30"/>
  <c r="C8" i="44" s="1"/>
  <c r="H55" i="30"/>
  <c r="Q48" i="30"/>
  <c r="Q42" i="30"/>
  <c r="H19" i="30"/>
  <c r="H24" i="30"/>
  <c r="U2" i="12" s="1"/>
  <c r="U35" i="30"/>
  <c r="U29" i="30"/>
  <c r="T29" i="30"/>
  <c r="T35" i="30"/>
  <c r="G48" i="30"/>
  <c r="G42" i="30"/>
  <c r="G43" i="30" s="1"/>
  <c r="H43" i="30" s="1"/>
  <c r="N24" i="30"/>
  <c r="N19" i="30"/>
  <c r="K61" i="30"/>
  <c r="K55" i="30"/>
  <c r="J42" i="30"/>
  <c r="J48" i="30"/>
  <c r="C11" i="44"/>
  <c r="AJ110" i="30"/>
  <c r="O61" i="30"/>
  <c r="O55" i="30"/>
  <c r="I24" i="30"/>
  <c r="J110" i="30" s="1"/>
  <c r="I19" i="30"/>
  <c r="AJ61" i="30"/>
  <c r="AJ55" i="30"/>
  <c r="M48" i="30"/>
  <c r="M42" i="30"/>
  <c r="AB35" i="30"/>
  <c r="AB29" i="30"/>
  <c r="L42" i="30"/>
  <c r="L48" i="30"/>
  <c r="X35" i="30"/>
  <c r="X29" i="30"/>
  <c r="W35" i="30"/>
  <c r="W29" i="30"/>
  <c r="AL61" i="30"/>
  <c r="AL55" i="30"/>
  <c r="AC29" i="30"/>
  <c r="AC35" i="30"/>
  <c r="AK42" i="30"/>
  <c r="AK48" i="30"/>
  <c r="AF61" i="30"/>
  <c r="AF55" i="30"/>
  <c r="Z48" i="30"/>
  <c r="Z42" i="30"/>
  <c r="AK24" i="30"/>
  <c r="AL110" i="30" s="1"/>
  <c r="AK19" i="30"/>
  <c r="AI29" i="30"/>
  <c r="AI35" i="30"/>
  <c r="Q24" i="30"/>
  <c r="R110" i="30" s="1"/>
  <c r="Q19" i="30"/>
  <c r="P19" i="30"/>
  <c r="P24" i="30"/>
  <c r="Q110" i="30" s="1"/>
  <c r="AK104" i="30"/>
  <c r="M104" i="30"/>
  <c r="AG104" i="30"/>
  <c r="H104" i="30"/>
  <c r="I12" i="12" s="1"/>
  <c r="F12" i="12" s="1"/>
  <c r="Q104" i="30"/>
  <c r="W104" i="30"/>
  <c r="AD104" i="30"/>
  <c r="AL104" i="30"/>
  <c r="AI104" i="30"/>
  <c r="K104" i="30"/>
  <c r="AJ104" i="30"/>
  <c r="F104" i="30"/>
  <c r="S104" i="30"/>
  <c r="J104" i="30"/>
  <c r="R104" i="30"/>
  <c r="AH104" i="30"/>
  <c r="AA104" i="30"/>
  <c r="AF104" i="30"/>
  <c r="L104" i="30"/>
  <c r="T104" i="30"/>
  <c r="I104" i="30"/>
  <c r="P104" i="30"/>
  <c r="Z104" i="30"/>
  <c r="AC104" i="30"/>
  <c r="G104" i="30"/>
  <c r="Y104" i="30"/>
  <c r="X104" i="30"/>
  <c r="U104" i="30"/>
  <c r="AB104" i="30"/>
  <c r="O104" i="30"/>
  <c r="V104" i="30"/>
  <c r="AE104" i="30"/>
  <c r="N104" i="30"/>
  <c r="V10" i="12"/>
  <c r="J34" i="41" s="1"/>
  <c r="J87" i="41" s="1"/>
  <c r="J90" i="41" s="1"/>
  <c r="U12" i="12"/>
  <c r="L18" i="41" s="1"/>
  <c r="C25" i="44"/>
  <c r="U11" i="12"/>
  <c r="K18" i="41" s="1"/>
  <c r="C24" i="44"/>
  <c r="D72" i="41"/>
  <c r="E8" i="40"/>
  <c r="E4" i="40"/>
  <c r="H72" i="41"/>
  <c r="J3" i="40"/>
  <c r="G77" i="41"/>
  <c r="C77" i="41"/>
  <c r="J7" i="40"/>
  <c r="H75" i="41"/>
  <c r="D75" i="41"/>
  <c r="H8" i="40"/>
  <c r="H4" i="40"/>
  <c r="K72" i="41"/>
  <c r="E11" i="40"/>
  <c r="M7" i="40"/>
  <c r="M3" i="40"/>
  <c r="G80" i="41"/>
  <c r="C80" i="41"/>
  <c r="C76" i="41"/>
  <c r="I7" i="40"/>
  <c r="I3" i="40"/>
  <c r="G76" i="41"/>
  <c r="C11" i="40"/>
  <c r="K70" i="41"/>
  <c r="C7" i="40"/>
  <c r="C3" i="40"/>
  <c r="G70" i="41"/>
  <c r="C70" i="41"/>
  <c r="J10" i="40"/>
  <c r="J77" i="41"/>
  <c r="F7" i="40"/>
  <c r="F3" i="40"/>
  <c r="G73" i="41"/>
  <c r="C73" i="41"/>
  <c r="J6" i="40"/>
  <c r="J2" i="40"/>
  <c r="F77" i="41"/>
  <c r="B77" i="41"/>
  <c r="H6" i="40"/>
  <c r="H2" i="40"/>
  <c r="F75" i="41"/>
  <c r="B75" i="41"/>
  <c r="I6" i="40"/>
  <c r="I2" i="40"/>
  <c r="F76" i="41"/>
  <c r="B76" i="41"/>
  <c r="K79" i="41"/>
  <c r="L11" i="40"/>
  <c r="H74" i="41"/>
  <c r="D74" i="41"/>
  <c r="G8" i="40"/>
  <c r="G4" i="40"/>
  <c r="B3" i="40"/>
  <c r="B7" i="40"/>
  <c r="G69" i="41"/>
  <c r="C69" i="41"/>
  <c r="F3" i="12"/>
  <c r="I3" i="12" s="1"/>
  <c r="C6" i="41" s="1"/>
  <c r="C7" i="41" s="1"/>
  <c r="C54" i="41" s="1"/>
  <c r="C55" i="41" s="1"/>
  <c r="C56" i="41" s="1"/>
  <c r="C57" i="41" s="1"/>
  <c r="C58" i="41" s="1"/>
  <c r="C59" i="41" s="1"/>
  <c r="C60" i="41" s="1"/>
  <c r="C61" i="41" s="1"/>
  <c r="C62" i="41" s="1"/>
  <c r="C63" i="41" s="1"/>
  <c r="C64" i="41" s="1"/>
  <c r="C65" i="41" s="1"/>
  <c r="F7" i="12"/>
  <c r="I7" i="12" s="1"/>
  <c r="G6" i="41" s="1"/>
  <c r="G7" i="41" s="1"/>
  <c r="G54" i="41" s="1"/>
  <c r="F6" i="40"/>
  <c r="F2" i="40"/>
  <c r="F73" i="41"/>
  <c r="B73" i="41"/>
  <c r="H7" i="40"/>
  <c r="C75" i="41"/>
  <c r="H3" i="40"/>
  <c r="G75" i="41"/>
  <c r="M11" i="40"/>
  <c r="K80" i="41"/>
  <c r="K71" i="41"/>
  <c r="D11" i="40"/>
  <c r="E3" i="40"/>
  <c r="G72" i="41"/>
  <c r="C72" i="41"/>
  <c r="E7" i="40"/>
  <c r="B10" i="40"/>
  <c r="J69" i="41"/>
  <c r="K10" i="40"/>
  <c r="J78" i="41"/>
  <c r="F69" i="41"/>
  <c r="B69" i="41"/>
  <c r="B6" i="40"/>
  <c r="B2" i="40"/>
  <c r="H9" i="40"/>
  <c r="H5" i="40"/>
  <c r="I75" i="41"/>
  <c r="E75" i="41"/>
  <c r="K69" i="41"/>
  <c r="B11" i="40"/>
  <c r="H8" i="41"/>
  <c r="H9" i="41" s="1"/>
  <c r="K78" i="41"/>
  <c r="K11" i="40"/>
  <c r="L8" i="40"/>
  <c r="L4" i="40"/>
  <c r="H79" i="41"/>
  <c r="D79" i="41"/>
  <c r="D8" i="40"/>
  <c r="D4" i="40"/>
  <c r="H71" i="41"/>
  <c r="D71" i="41"/>
  <c r="J75" i="41"/>
  <c r="H10" i="40"/>
  <c r="K75" i="41"/>
  <c r="H11" i="40"/>
  <c r="I8" i="41"/>
  <c r="I9" i="41" s="1"/>
  <c r="C8" i="40"/>
  <c r="C4" i="40"/>
  <c r="H70" i="41"/>
  <c r="D70" i="41"/>
  <c r="E10" i="40"/>
  <c r="J72" i="41"/>
  <c r="F70" i="41"/>
  <c r="C6" i="40"/>
  <c r="B70" i="41"/>
  <c r="C2" i="40"/>
  <c r="J74" i="41"/>
  <c r="G10" i="40"/>
  <c r="J8" i="40"/>
  <c r="J4" i="40"/>
  <c r="H77" i="41"/>
  <c r="D77" i="41"/>
  <c r="F79" i="41"/>
  <c r="B79" i="41"/>
  <c r="L6" i="40"/>
  <c r="L2" i="40"/>
  <c r="D6" i="40"/>
  <c r="D2" i="40"/>
  <c r="F71" i="41"/>
  <c r="B71" i="41"/>
  <c r="L10" i="40"/>
  <c r="J79" i="41"/>
  <c r="G11" i="40"/>
  <c r="K74" i="41"/>
  <c r="F8" i="40"/>
  <c r="F4" i="40"/>
  <c r="H73" i="41"/>
  <c r="D73" i="41"/>
  <c r="H80" i="41"/>
  <c r="D80" i="41"/>
  <c r="M4" i="40"/>
  <c r="M8" i="40"/>
  <c r="K3" i="40"/>
  <c r="G78" i="41"/>
  <c r="C78" i="41"/>
  <c r="K7" i="40"/>
  <c r="K6" i="40"/>
  <c r="F78" i="41"/>
  <c r="B78" i="41"/>
  <c r="K2" i="40"/>
  <c r="L7" i="40"/>
  <c r="C79" i="41"/>
  <c r="G79" i="41"/>
  <c r="L3" i="40"/>
  <c r="D3" i="40"/>
  <c r="C71" i="41"/>
  <c r="G71" i="41"/>
  <c r="D7" i="40"/>
  <c r="M6" i="40"/>
  <c r="M2" i="40"/>
  <c r="F80" i="41"/>
  <c r="B80" i="41"/>
  <c r="D10" i="40"/>
  <c r="J71" i="41"/>
  <c r="K77" i="41"/>
  <c r="J11" i="40"/>
  <c r="K8" i="40"/>
  <c r="K4" i="40"/>
  <c r="H78" i="41"/>
  <c r="D78" i="41"/>
  <c r="F10" i="40"/>
  <c r="J73" i="41"/>
  <c r="I10" i="40"/>
  <c r="J76" i="41"/>
  <c r="J70" i="41"/>
  <c r="C10" i="40"/>
  <c r="H69" i="41"/>
  <c r="D69" i="41"/>
  <c r="B8" i="40"/>
  <c r="F4" i="12"/>
  <c r="I4" i="12" s="1"/>
  <c r="D6" i="41" s="1"/>
  <c r="D7" i="41" s="1"/>
  <c r="D54" i="41" s="1"/>
  <c r="D55" i="41" s="1"/>
  <c r="D56" i="41" s="1"/>
  <c r="D57" i="41" s="1"/>
  <c r="D58" i="41" s="1"/>
  <c r="D59" i="41" s="1"/>
  <c r="D60" i="41" s="1"/>
  <c r="D61" i="41" s="1"/>
  <c r="D62" i="41" s="1"/>
  <c r="D63" i="41" s="1"/>
  <c r="D64" i="41" s="1"/>
  <c r="D65" i="41" s="1"/>
  <c r="B4" i="40"/>
  <c r="F8" i="12"/>
  <c r="I8" i="12" s="1"/>
  <c r="H6" i="41" s="1"/>
  <c r="H7" i="41" s="1"/>
  <c r="H54" i="41" s="1"/>
  <c r="H55" i="41" s="1"/>
  <c r="H56" i="41" s="1"/>
  <c r="H57" i="41" s="1"/>
  <c r="H58" i="41" s="1"/>
  <c r="H59" i="41" s="1"/>
  <c r="H60" i="41" s="1"/>
  <c r="H61" i="41" s="1"/>
  <c r="H62" i="41" s="1"/>
  <c r="H63" i="41" s="1"/>
  <c r="H64" i="41" s="1"/>
  <c r="H65" i="41" s="1"/>
  <c r="I4" i="40"/>
  <c r="D76" i="41"/>
  <c r="I8" i="40"/>
  <c r="H76" i="41"/>
  <c r="G7" i="40"/>
  <c r="G3" i="40"/>
  <c r="G74" i="41"/>
  <c r="C74" i="41"/>
  <c r="G2" i="40"/>
  <c r="B74" i="41"/>
  <c r="G6" i="40"/>
  <c r="F74" i="41"/>
  <c r="L9" i="40"/>
  <c r="L5" i="40"/>
  <c r="I79" i="41"/>
  <c r="E79" i="41"/>
  <c r="D5" i="40"/>
  <c r="I71" i="41"/>
  <c r="E71" i="41"/>
  <c r="D9" i="40"/>
  <c r="E6" i="40"/>
  <c r="E2" i="40"/>
  <c r="F72" i="41"/>
  <c r="B72" i="41"/>
  <c r="F11" i="40"/>
  <c r="K73" i="41"/>
  <c r="I11" i="40"/>
  <c r="K76" i="41"/>
  <c r="G8" i="41"/>
  <c r="G9" i="41" s="1"/>
  <c r="I66" i="41"/>
  <c r="E66" i="41"/>
  <c r="F10" i="12"/>
  <c r="I10" i="12" s="1"/>
  <c r="F11" i="12"/>
  <c r="I11" i="12" s="1"/>
  <c r="F6" i="12"/>
  <c r="I6" i="12" s="1"/>
  <c r="F6" i="41" s="1"/>
  <c r="F7" i="41" s="1"/>
  <c r="F54" i="41" s="1"/>
  <c r="F2" i="12"/>
  <c r="I2" i="12" s="1"/>
  <c r="B6" i="41" s="1"/>
  <c r="B7" i="41" s="1"/>
  <c r="B54" i="41" s="1"/>
  <c r="J22" i="11" l="1"/>
  <c r="G4" i="30"/>
  <c r="I43" i="30"/>
  <c r="J43" i="30" s="1"/>
  <c r="K43" i="30" s="1"/>
  <c r="L43" i="30" s="1"/>
  <c r="M43" i="30" s="1"/>
  <c r="N43" i="30" s="1"/>
  <c r="O43" i="30" s="1"/>
  <c r="P43" i="30" s="1"/>
  <c r="Q43" i="30" s="1"/>
  <c r="R43" i="30" s="1"/>
  <c r="S43" i="30" s="1"/>
  <c r="T43" i="30" s="1"/>
  <c r="U43" i="30" s="1"/>
  <c r="V43" i="30" s="1"/>
  <c r="W43" i="30" s="1"/>
  <c r="X43" i="30" s="1"/>
  <c r="Y43" i="30" s="1"/>
  <c r="Z43" i="30" s="1"/>
  <c r="AA43" i="30" s="1"/>
  <c r="AB43" i="30" s="1"/>
  <c r="AC43" i="30" s="1"/>
  <c r="AD43" i="30" s="1"/>
  <c r="AE43" i="30" s="1"/>
  <c r="AF43" i="30" s="1"/>
  <c r="AG43" i="30" s="1"/>
  <c r="AH43" i="30" s="1"/>
  <c r="AI43" i="30" s="1"/>
  <c r="AJ43" i="30" s="1"/>
  <c r="AK43" i="30" s="1"/>
  <c r="AL43" i="30" s="1"/>
  <c r="AL44" i="30" s="1"/>
  <c r="J4" i="12"/>
  <c r="D20" i="30"/>
  <c r="J6" i="12"/>
  <c r="F10" i="41" s="1"/>
  <c r="J2" i="12"/>
  <c r="J9" i="12"/>
  <c r="J5" i="12"/>
  <c r="J8" i="12"/>
  <c r="H10" i="41" s="1"/>
  <c r="J7" i="12"/>
  <c r="G10" i="41" s="1"/>
  <c r="J3" i="12"/>
  <c r="AC49" i="30"/>
  <c r="G49" i="30"/>
  <c r="W49" i="30"/>
  <c r="AL49" i="30"/>
  <c r="W62" i="30"/>
  <c r="G21" i="30"/>
  <c r="G23" i="30" s="1"/>
  <c r="G97" i="30" s="1"/>
  <c r="G44" i="30"/>
  <c r="G46" i="30" s="1"/>
  <c r="F47" i="30"/>
  <c r="F87" i="30"/>
  <c r="F71" i="30"/>
  <c r="F80" i="30"/>
  <c r="F97" i="30"/>
  <c r="E71" i="30"/>
  <c r="E97" i="30"/>
  <c r="E87" i="30"/>
  <c r="E80" i="30"/>
  <c r="P69" i="30"/>
  <c r="I26" i="52"/>
  <c r="I54" i="52" s="1"/>
  <c r="O70" i="30"/>
  <c r="O36" i="30"/>
  <c r="O49" i="30"/>
  <c r="O90" i="30"/>
  <c r="O74" i="30"/>
  <c r="O62" i="30"/>
  <c r="AC90" i="30"/>
  <c r="AC74" i="30"/>
  <c r="AC62" i="30"/>
  <c r="AC36" i="30"/>
  <c r="H57" i="30"/>
  <c r="I56" i="30"/>
  <c r="AA10" i="12"/>
  <c r="C5" i="44"/>
  <c r="N90" i="30"/>
  <c r="N62" i="30"/>
  <c r="N49" i="30"/>
  <c r="N36" i="30"/>
  <c r="N74" i="30"/>
  <c r="H55" i="52"/>
  <c r="H78" i="52" s="1"/>
  <c r="H44" i="30"/>
  <c r="AJ74" i="30"/>
  <c r="AJ62" i="30"/>
  <c r="AJ90" i="30"/>
  <c r="AJ36" i="30"/>
  <c r="AJ49" i="30"/>
  <c r="H54" i="52"/>
  <c r="G90" i="30"/>
  <c r="G74" i="30"/>
  <c r="G62" i="30"/>
  <c r="G36" i="30"/>
  <c r="L36" i="30"/>
  <c r="L90" i="30"/>
  <c r="L49" i="30"/>
  <c r="L62" i="30"/>
  <c r="L74" i="30"/>
  <c r="Y62" i="30"/>
  <c r="Y74" i="30"/>
  <c r="Y49" i="30"/>
  <c r="Y36" i="30"/>
  <c r="Y90" i="30"/>
  <c r="M110" i="30"/>
  <c r="H110" i="30"/>
  <c r="E11" i="44" s="1"/>
  <c r="E49" i="30"/>
  <c r="E74" i="30"/>
  <c r="E36" i="30"/>
  <c r="E62" i="30"/>
  <c r="E90" i="30"/>
  <c r="AB90" i="30"/>
  <c r="AB74" i="30"/>
  <c r="AB36" i="30"/>
  <c r="AB62" i="30"/>
  <c r="AB49" i="30"/>
  <c r="Q90" i="30"/>
  <c r="Q62" i="30"/>
  <c r="Q49" i="30"/>
  <c r="Q36" i="30"/>
  <c r="Q74" i="30"/>
  <c r="AD110" i="30"/>
  <c r="J32" i="30"/>
  <c r="C19" i="52"/>
  <c r="P85" i="30"/>
  <c r="I27" i="52"/>
  <c r="I55" i="52" s="1"/>
  <c r="O86" i="30"/>
  <c r="H21" i="30"/>
  <c r="I20" i="30"/>
  <c r="U90" i="30"/>
  <c r="U62" i="30"/>
  <c r="U49" i="30"/>
  <c r="U74" i="30"/>
  <c r="U36" i="30"/>
  <c r="AK110" i="30"/>
  <c r="R74" i="30"/>
  <c r="R49" i="30"/>
  <c r="R90" i="30"/>
  <c r="R36" i="30"/>
  <c r="R62" i="30"/>
  <c r="H36" i="30"/>
  <c r="H62" i="30"/>
  <c r="H90" i="30"/>
  <c r="H49" i="30"/>
  <c r="H74" i="30"/>
  <c r="AH74" i="30"/>
  <c r="AH49" i="30"/>
  <c r="AH36" i="30"/>
  <c r="AH62" i="30"/>
  <c r="AH90" i="30"/>
  <c r="P22" i="30"/>
  <c r="I18" i="52"/>
  <c r="V90" i="30"/>
  <c r="V74" i="30"/>
  <c r="V49" i="30"/>
  <c r="V36" i="30"/>
  <c r="V62" i="30"/>
  <c r="G31" i="30"/>
  <c r="G33" i="30" s="1"/>
  <c r="X74" i="30"/>
  <c r="X62" i="30"/>
  <c r="X49" i="30"/>
  <c r="X36" i="30"/>
  <c r="X90" i="30"/>
  <c r="F60" i="30"/>
  <c r="T62" i="30"/>
  <c r="T90" i="30"/>
  <c r="T36" i="30"/>
  <c r="T74" i="30"/>
  <c r="T49" i="30"/>
  <c r="I110" i="30"/>
  <c r="M90" i="30"/>
  <c r="M49" i="30"/>
  <c r="M74" i="30"/>
  <c r="M62" i="30"/>
  <c r="M36" i="30"/>
  <c r="J49" i="30"/>
  <c r="J90" i="30"/>
  <c r="J36" i="30"/>
  <c r="J74" i="30"/>
  <c r="J62" i="30"/>
  <c r="F34" i="30"/>
  <c r="E34" i="30"/>
  <c r="O110" i="30"/>
  <c r="P62" i="30"/>
  <c r="AD36" i="30"/>
  <c r="AD49" i="30"/>
  <c r="AD90" i="30"/>
  <c r="AD62" i="30"/>
  <c r="AD74" i="30"/>
  <c r="S90" i="30"/>
  <c r="S62" i="30"/>
  <c r="S49" i="30"/>
  <c r="S36" i="30"/>
  <c r="S74" i="30"/>
  <c r="K74" i="30"/>
  <c r="K49" i="30"/>
  <c r="K36" i="30"/>
  <c r="K90" i="30"/>
  <c r="K62" i="30"/>
  <c r="H31" i="30"/>
  <c r="I30" i="30"/>
  <c r="U110" i="30"/>
  <c r="W90" i="30"/>
  <c r="W36" i="30"/>
  <c r="W74" i="30"/>
  <c r="AL90" i="30"/>
  <c r="AL74" i="30"/>
  <c r="AL62" i="30"/>
  <c r="AL36" i="30"/>
  <c r="AG36" i="30"/>
  <c r="AG90" i="30"/>
  <c r="AG49" i="30"/>
  <c r="AG74" i="30"/>
  <c r="AG62" i="30"/>
  <c r="P110" i="30"/>
  <c r="G57" i="30"/>
  <c r="G59" i="30" s="1"/>
  <c r="AK36" i="30"/>
  <c r="AK74" i="30"/>
  <c r="AK49" i="30"/>
  <c r="AK62" i="30"/>
  <c r="AK90" i="30"/>
  <c r="I90" i="30"/>
  <c r="I74" i="30"/>
  <c r="I62" i="30"/>
  <c r="I36" i="30"/>
  <c r="I49" i="30"/>
  <c r="F49" i="30"/>
  <c r="F74" i="30"/>
  <c r="F62" i="30"/>
  <c r="F36" i="30"/>
  <c r="F90" i="30"/>
  <c r="J58" i="30"/>
  <c r="C21" i="52"/>
  <c r="AE74" i="30"/>
  <c r="AE62" i="30"/>
  <c r="AE90" i="30"/>
  <c r="AE49" i="30"/>
  <c r="AE36" i="30"/>
  <c r="AI110" i="30"/>
  <c r="AF49" i="30"/>
  <c r="AF62" i="30"/>
  <c r="AF36" i="30"/>
  <c r="AF90" i="30"/>
  <c r="AF74" i="30"/>
  <c r="AI36" i="30"/>
  <c r="AI90" i="30"/>
  <c r="AI74" i="30"/>
  <c r="AI62" i="30"/>
  <c r="C20" i="52"/>
  <c r="J45" i="30"/>
  <c r="Y110" i="30"/>
  <c r="P90" i="30"/>
  <c r="P36" i="30"/>
  <c r="P74" i="30"/>
  <c r="P49" i="30"/>
  <c r="E60" i="30"/>
  <c r="E47" i="30"/>
  <c r="I28" i="52"/>
  <c r="P106" i="30"/>
  <c r="AA62" i="30"/>
  <c r="AA74" i="30"/>
  <c r="AA90" i="30"/>
  <c r="AA49" i="30"/>
  <c r="AA36" i="30"/>
  <c r="Z90" i="30"/>
  <c r="Z36" i="30"/>
  <c r="Z74" i="30"/>
  <c r="Z62" i="30"/>
  <c r="Z49" i="30"/>
  <c r="X110" i="30"/>
  <c r="S110" i="30"/>
  <c r="N105" i="30"/>
  <c r="N113" i="30"/>
  <c r="N114" i="30" s="1"/>
  <c r="N116" i="30" s="1"/>
  <c r="G113" i="30"/>
  <c r="G114" i="30" s="1"/>
  <c r="G116" i="30" s="1"/>
  <c r="G105" i="30"/>
  <c r="G107" i="30" s="1"/>
  <c r="G108" i="30" s="1"/>
  <c r="G111" i="30" s="1"/>
  <c r="AA105" i="30"/>
  <c r="AA113" i="30"/>
  <c r="AA114" i="30" s="1"/>
  <c r="AA116" i="30" s="1"/>
  <c r="AI105" i="30"/>
  <c r="AI113" i="30"/>
  <c r="AI114" i="30" s="1"/>
  <c r="AI116" i="30" s="1"/>
  <c r="AK105" i="30"/>
  <c r="AK113" i="30"/>
  <c r="AK114" i="30" s="1"/>
  <c r="AE113" i="30"/>
  <c r="AE114" i="30" s="1"/>
  <c r="AE116" i="30" s="1"/>
  <c r="AE105" i="30"/>
  <c r="AC105" i="30"/>
  <c r="AC113" i="30"/>
  <c r="AC114" i="30" s="1"/>
  <c r="AC116" i="30" s="1"/>
  <c r="AH113" i="30"/>
  <c r="AH114" i="30" s="1"/>
  <c r="AH116" i="30" s="1"/>
  <c r="AH105" i="30"/>
  <c r="AL113" i="30"/>
  <c r="AL114" i="30" s="1"/>
  <c r="AL105" i="30"/>
  <c r="V113" i="30"/>
  <c r="V114" i="30" s="1"/>
  <c r="V116" i="30" s="1"/>
  <c r="V105" i="30"/>
  <c r="R105" i="30"/>
  <c r="R113" i="30"/>
  <c r="R114" i="30" s="1"/>
  <c r="R116" i="30" s="1"/>
  <c r="AD105" i="30"/>
  <c r="AD113" i="30"/>
  <c r="AD114" i="30" s="1"/>
  <c r="AD116" i="30" s="1"/>
  <c r="O105" i="30"/>
  <c r="O113" i="30"/>
  <c r="O114" i="30" s="1"/>
  <c r="O116" i="30" s="1"/>
  <c r="P105" i="30"/>
  <c r="P113" i="30"/>
  <c r="P114" i="30" s="1"/>
  <c r="P116" i="30" s="1"/>
  <c r="J105" i="30"/>
  <c r="J113" i="30"/>
  <c r="J114" i="30" s="1"/>
  <c r="J116" i="30" s="1"/>
  <c r="W113" i="30"/>
  <c r="W114" i="30" s="1"/>
  <c r="W116" i="30" s="1"/>
  <c r="W105" i="30"/>
  <c r="Z105" i="30"/>
  <c r="Z113" i="30"/>
  <c r="Z114" i="30" s="1"/>
  <c r="Z116" i="30" s="1"/>
  <c r="AB105" i="30"/>
  <c r="AB113" i="30"/>
  <c r="AB114" i="30" s="1"/>
  <c r="AB116" i="30" s="1"/>
  <c r="I113" i="30"/>
  <c r="I114" i="30" s="1"/>
  <c r="I116" i="30" s="1"/>
  <c r="I105" i="30"/>
  <c r="S113" i="30"/>
  <c r="S114" i="30" s="1"/>
  <c r="S116" i="30" s="1"/>
  <c r="S105" i="30"/>
  <c r="Q105" i="30"/>
  <c r="Q113" i="30"/>
  <c r="Q114" i="30" s="1"/>
  <c r="Q116" i="30" s="1"/>
  <c r="U105" i="30"/>
  <c r="U113" i="30"/>
  <c r="U114" i="30" s="1"/>
  <c r="U116" i="30" s="1"/>
  <c r="T105" i="30"/>
  <c r="T113" i="30"/>
  <c r="T114" i="30" s="1"/>
  <c r="T116" i="30" s="1"/>
  <c r="F113" i="30"/>
  <c r="F114" i="30" s="1"/>
  <c r="F116" i="30" s="1"/>
  <c r="F117" i="30" s="1"/>
  <c r="F118" i="30" s="1"/>
  <c r="F105" i="30"/>
  <c r="F107" i="30" s="1"/>
  <c r="F108" i="30" s="1"/>
  <c r="F111" i="30" s="1"/>
  <c r="H113" i="30"/>
  <c r="H114" i="30" s="1"/>
  <c r="H116" i="30" s="1"/>
  <c r="H105" i="30"/>
  <c r="X105" i="30"/>
  <c r="X113" i="30"/>
  <c r="X114" i="30" s="1"/>
  <c r="X116" i="30" s="1"/>
  <c r="L105" i="30"/>
  <c r="L113" i="30"/>
  <c r="L114" i="30" s="1"/>
  <c r="L116" i="30" s="1"/>
  <c r="AJ105" i="30"/>
  <c r="AJ113" i="30"/>
  <c r="AJ114" i="30" s="1"/>
  <c r="AG105" i="30"/>
  <c r="AG113" i="30"/>
  <c r="AG114" i="30" s="1"/>
  <c r="AG116" i="30" s="1"/>
  <c r="Y113" i="30"/>
  <c r="Y114" i="30" s="1"/>
  <c r="Y116" i="30" s="1"/>
  <c r="Y105" i="30"/>
  <c r="AF113" i="30"/>
  <c r="AF114" i="30" s="1"/>
  <c r="AF116" i="30" s="1"/>
  <c r="AF105" i="30"/>
  <c r="K113" i="30"/>
  <c r="K114" i="30" s="1"/>
  <c r="K116" i="30" s="1"/>
  <c r="K105" i="30"/>
  <c r="M105" i="30"/>
  <c r="M113" i="30"/>
  <c r="M114" i="30" s="1"/>
  <c r="M116" i="30" s="1"/>
  <c r="V2" i="12"/>
  <c r="AA2" i="12" s="1"/>
  <c r="B18" i="41"/>
  <c r="V12" i="12"/>
  <c r="L34" i="41" s="1"/>
  <c r="L87" i="41" s="1"/>
  <c r="L90" i="41" s="1"/>
  <c r="L91" i="41" s="1"/>
  <c r="L92" i="41" s="1"/>
  <c r="L93" i="41" s="1"/>
  <c r="L94" i="41" s="1"/>
  <c r="L95" i="41" s="1"/>
  <c r="L96" i="41" s="1"/>
  <c r="L97" i="41" s="1"/>
  <c r="L98" i="41" s="1"/>
  <c r="L99" i="41" s="1"/>
  <c r="L100" i="41" s="1"/>
  <c r="L101" i="41" s="1"/>
  <c r="E28" i="12"/>
  <c r="V11" i="12"/>
  <c r="AA11" i="12" s="1"/>
  <c r="G29" i="12"/>
  <c r="C19" i="44"/>
  <c r="U5" i="12"/>
  <c r="E18" i="41" s="1"/>
  <c r="C22" i="44"/>
  <c r="U4" i="12"/>
  <c r="D18" i="41" s="1"/>
  <c r="C21" i="44"/>
  <c r="U3" i="12"/>
  <c r="C20" i="44"/>
  <c r="N9" i="40"/>
  <c r="C66" i="41"/>
  <c r="D66" i="41"/>
  <c r="I81" i="41"/>
  <c r="E81" i="41"/>
  <c r="N5" i="40"/>
  <c r="N8" i="40"/>
  <c r="H66" i="41"/>
  <c r="J81" i="41"/>
  <c r="G81" i="41"/>
  <c r="N10" i="40"/>
  <c r="N7" i="40"/>
  <c r="D81" i="41"/>
  <c r="N2" i="40"/>
  <c r="N3" i="40"/>
  <c r="H81" i="41"/>
  <c r="N11" i="40"/>
  <c r="N6" i="40"/>
  <c r="K81" i="41"/>
  <c r="B81" i="41"/>
  <c r="F81" i="41"/>
  <c r="G55" i="41"/>
  <c r="G56" i="41" s="1"/>
  <c r="G57" i="41" s="1"/>
  <c r="G58" i="41" s="1"/>
  <c r="G59" i="41" s="1"/>
  <c r="G60" i="41" s="1"/>
  <c r="G61" i="41" s="1"/>
  <c r="G62" i="41" s="1"/>
  <c r="G63" i="41" s="1"/>
  <c r="G64" i="41" s="1"/>
  <c r="G65" i="41" s="1"/>
  <c r="N4" i="40"/>
  <c r="C81" i="41"/>
  <c r="J91" i="41"/>
  <c r="J92" i="41" s="1"/>
  <c r="J93" i="41" s="1"/>
  <c r="J94" i="41" s="1"/>
  <c r="J95" i="41" s="1"/>
  <c r="J96" i="41" s="1"/>
  <c r="J97" i="41" s="1"/>
  <c r="J98" i="41" s="1"/>
  <c r="J99" i="41" s="1"/>
  <c r="J100" i="41" s="1"/>
  <c r="J101" i="41" s="1"/>
  <c r="C30" i="11"/>
  <c r="B30" i="11" s="1"/>
  <c r="F55" i="41"/>
  <c r="F56" i="41" s="1"/>
  <c r="F57" i="41" s="1"/>
  <c r="F58" i="41" s="1"/>
  <c r="F59" i="41" s="1"/>
  <c r="F60" i="41" s="1"/>
  <c r="F61" i="41" s="1"/>
  <c r="F62" i="41" s="1"/>
  <c r="F63" i="41" s="1"/>
  <c r="F64" i="41" s="1"/>
  <c r="F65" i="41" s="1"/>
  <c r="B55" i="41"/>
  <c r="B56" i="41" s="1"/>
  <c r="B57" i="41" s="1"/>
  <c r="B58" i="41" s="1"/>
  <c r="B59" i="41" s="1"/>
  <c r="B60" i="41" s="1"/>
  <c r="B61" i="41" s="1"/>
  <c r="B62" i="41" s="1"/>
  <c r="B63" i="41" s="1"/>
  <c r="B64" i="41" s="1"/>
  <c r="B65" i="41" s="1"/>
  <c r="M10" i="12"/>
  <c r="AB10" i="12" s="1"/>
  <c r="J6" i="41"/>
  <c r="J7" i="41" s="1"/>
  <c r="J54" i="41" s="1"/>
  <c r="M11" i="12"/>
  <c r="AB11" i="12" s="1"/>
  <c r="K6" i="41"/>
  <c r="K7" i="41" s="1"/>
  <c r="K54" i="41" s="1"/>
  <c r="E27" i="12"/>
  <c r="P44" i="30" l="1"/>
  <c r="J6" i="52" s="1"/>
  <c r="E37" i="30"/>
  <c r="F63" i="30"/>
  <c r="V44" i="30"/>
  <c r="AC44" i="30"/>
  <c r="Q44" i="30"/>
  <c r="K6" i="52" s="1"/>
  <c r="AJ44" i="30"/>
  <c r="AG44" i="30"/>
  <c r="X44" i="30"/>
  <c r="AB44" i="30"/>
  <c r="R44" i="30"/>
  <c r="L6" i="52" s="1"/>
  <c r="I44" i="30"/>
  <c r="I46" i="30" s="1"/>
  <c r="S44" i="30"/>
  <c r="M6" i="52" s="1"/>
  <c r="W44" i="30"/>
  <c r="AE44" i="30"/>
  <c r="U44" i="30"/>
  <c r="AD44" i="30"/>
  <c r="J44" i="30"/>
  <c r="J46" i="30" s="1"/>
  <c r="AF44" i="30"/>
  <c r="M44" i="30"/>
  <c r="G6" i="52" s="1"/>
  <c r="K44" i="30"/>
  <c r="E6" i="52" s="1"/>
  <c r="L44" i="30"/>
  <c r="F6" i="52" s="1"/>
  <c r="Z44" i="30"/>
  <c r="O44" i="30"/>
  <c r="I6" i="52" s="1"/>
  <c r="Y44" i="30"/>
  <c r="AK44" i="30"/>
  <c r="AH44" i="30"/>
  <c r="AA44" i="30"/>
  <c r="AI44" i="30"/>
  <c r="T44" i="30"/>
  <c r="N44" i="30"/>
  <c r="H6" i="52" s="1"/>
  <c r="B43" i="13"/>
  <c r="L6" i="41"/>
  <c r="L7" i="41" s="1"/>
  <c r="L54" i="41" s="1"/>
  <c r="L55" i="41" s="1"/>
  <c r="L56" i="41" s="1"/>
  <c r="L57" i="41" s="1"/>
  <c r="L58" i="41" s="1"/>
  <c r="L59" i="41" s="1"/>
  <c r="L60" i="41" s="1"/>
  <c r="L61" i="41" s="1"/>
  <c r="L62" i="41" s="1"/>
  <c r="L63" i="41" s="1"/>
  <c r="L64" i="41" s="1"/>
  <c r="L65" i="41" s="1"/>
  <c r="G60" i="30"/>
  <c r="G63" i="30" s="1"/>
  <c r="G71" i="30"/>
  <c r="G75" i="30" s="1"/>
  <c r="G80" i="30"/>
  <c r="G81" i="30" s="1"/>
  <c r="M8" i="12"/>
  <c r="G117" i="30"/>
  <c r="G118" i="30" s="1"/>
  <c r="G119" i="30" s="1"/>
  <c r="G120" i="30" s="1"/>
  <c r="G121" i="30" s="1"/>
  <c r="G87" i="30"/>
  <c r="G91" i="30" s="1"/>
  <c r="G34" i="30"/>
  <c r="G37" i="30" s="1"/>
  <c r="F81" i="30"/>
  <c r="G47" i="30"/>
  <c r="G50" i="30" s="1"/>
  <c r="AA12" i="12"/>
  <c r="M6" i="12"/>
  <c r="E50" i="30"/>
  <c r="F50" i="30"/>
  <c r="B34" i="41"/>
  <c r="B87" i="41" s="1"/>
  <c r="B90" i="41" s="1"/>
  <c r="B91" i="41" s="1"/>
  <c r="B92" i="41" s="1"/>
  <c r="B93" i="41" s="1"/>
  <c r="B94" i="41" s="1"/>
  <c r="B95" i="41" s="1"/>
  <c r="B96" i="41" s="1"/>
  <c r="B97" i="41" s="1"/>
  <c r="B98" i="41" s="1"/>
  <c r="B99" i="41" s="1"/>
  <c r="B100" i="41" s="1"/>
  <c r="B101" i="41" s="1"/>
  <c r="B102" i="41" s="1"/>
  <c r="G98" i="30"/>
  <c r="F91" i="30"/>
  <c r="E81" i="30"/>
  <c r="F37" i="30"/>
  <c r="E98" i="30"/>
  <c r="E63" i="30"/>
  <c r="Q85" i="30"/>
  <c r="J27" i="52"/>
  <c r="J55" i="52" s="1"/>
  <c r="P86" i="30"/>
  <c r="I10" i="41"/>
  <c r="M9" i="12"/>
  <c r="E91" i="30"/>
  <c r="J30" i="30"/>
  <c r="I31" i="30"/>
  <c r="J20" i="30"/>
  <c r="I21" i="30"/>
  <c r="M7" i="12"/>
  <c r="K32" i="30"/>
  <c r="D19" i="52"/>
  <c r="B7" i="52"/>
  <c r="H59" i="30"/>
  <c r="E75" i="30"/>
  <c r="B5" i="52"/>
  <c r="H33" i="30"/>
  <c r="J18" i="52"/>
  <c r="Q22" i="30"/>
  <c r="F98" i="30"/>
  <c r="B4" i="52"/>
  <c r="H23" i="30"/>
  <c r="H117" i="30" s="1"/>
  <c r="B6" i="52"/>
  <c r="H46" i="30"/>
  <c r="K45" i="30"/>
  <c r="D20" i="52"/>
  <c r="J56" i="30"/>
  <c r="I57" i="30"/>
  <c r="Q106" i="30"/>
  <c r="J28" i="52"/>
  <c r="K58" i="30"/>
  <c r="D21" i="52"/>
  <c r="H77" i="52"/>
  <c r="I77" i="52" s="1"/>
  <c r="F75" i="30"/>
  <c r="I78" i="52"/>
  <c r="Q69" i="30"/>
  <c r="J26" i="52"/>
  <c r="P70" i="30"/>
  <c r="P107" i="30"/>
  <c r="J14" i="52"/>
  <c r="M107" i="30"/>
  <c r="G14" i="52"/>
  <c r="G56" i="52" s="1"/>
  <c r="K14" i="52"/>
  <c r="O107" i="30"/>
  <c r="I14" i="52"/>
  <c r="I56" i="52" s="1"/>
  <c r="N107" i="30"/>
  <c r="H14" i="52"/>
  <c r="H56" i="52" s="1"/>
  <c r="K107" i="30"/>
  <c r="E14" i="52"/>
  <c r="E56" i="52" s="1"/>
  <c r="M14" i="52"/>
  <c r="I107" i="30"/>
  <c r="C14" i="52"/>
  <c r="C56" i="52" s="1"/>
  <c r="L107" i="30"/>
  <c r="F14" i="52"/>
  <c r="F56" i="52" s="1"/>
  <c r="J107" i="30"/>
  <c r="D14" i="52"/>
  <c r="D56" i="52" s="1"/>
  <c r="L14" i="52"/>
  <c r="H107" i="30"/>
  <c r="H108" i="30" s="1"/>
  <c r="H111" i="30" s="1"/>
  <c r="B14" i="52"/>
  <c r="F119" i="30"/>
  <c r="F120" i="30" s="1"/>
  <c r="F121" i="30" s="1"/>
  <c r="AK116" i="30"/>
  <c r="AJ116" i="30"/>
  <c r="AL116" i="30"/>
  <c r="U7" i="12"/>
  <c r="G18" i="41" s="1"/>
  <c r="E6" i="44"/>
  <c r="E20" i="44"/>
  <c r="E7" i="44"/>
  <c r="E21" i="44"/>
  <c r="E8" i="44"/>
  <c r="E22" i="44"/>
  <c r="E9" i="44"/>
  <c r="E23" i="44"/>
  <c r="V3" i="12"/>
  <c r="C34" i="41" s="1"/>
  <c r="C87" i="41" s="1"/>
  <c r="C18" i="41"/>
  <c r="M5" i="12"/>
  <c r="V5" i="12"/>
  <c r="E34" i="41" s="1"/>
  <c r="E87" i="41" s="1"/>
  <c r="V4" i="12"/>
  <c r="D34" i="41" s="1"/>
  <c r="D87" i="41" s="1"/>
  <c r="U8" i="12"/>
  <c r="H18" i="41" s="1"/>
  <c r="B10" i="41"/>
  <c r="E10" i="44"/>
  <c r="E24" i="44"/>
  <c r="E25" i="44"/>
  <c r="K34" i="41"/>
  <c r="K87" i="41" s="1"/>
  <c r="K90" i="41" s="1"/>
  <c r="K91" i="41" s="1"/>
  <c r="K92" i="41" s="1"/>
  <c r="K93" i="41" s="1"/>
  <c r="K94" i="41" s="1"/>
  <c r="K95" i="41" s="1"/>
  <c r="K96" i="41" s="1"/>
  <c r="K97" i="41" s="1"/>
  <c r="K98" i="41" s="1"/>
  <c r="K99" i="41" s="1"/>
  <c r="K100" i="41" s="1"/>
  <c r="K101" i="41" s="1"/>
  <c r="E10" i="41"/>
  <c r="M3" i="12"/>
  <c r="G66" i="41"/>
  <c r="M12" i="12"/>
  <c r="AB12" i="12" s="1"/>
  <c r="J102" i="41"/>
  <c r="L102" i="41"/>
  <c r="B66" i="41"/>
  <c r="J55" i="41"/>
  <c r="J56" i="41" s="1"/>
  <c r="J57" i="41" s="1"/>
  <c r="J58" i="41" s="1"/>
  <c r="J59" i="41" s="1"/>
  <c r="J60" i="41" s="1"/>
  <c r="J61" i="41" s="1"/>
  <c r="J62" i="41" s="1"/>
  <c r="J63" i="41" s="1"/>
  <c r="J64" i="41" s="1"/>
  <c r="J65" i="41" s="1"/>
  <c r="K55" i="41"/>
  <c r="K56" i="41" s="1"/>
  <c r="K57" i="41" s="1"/>
  <c r="K58" i="41" s="1"/>
  <c r="K59" i="41" s="1"/>
  <c r="K60" i="41" s="1"/>
  <c r="K61" i="41" s="1"/>
  <c r="K62" i="41" s="1"/>
  <c r="K63" i="41" s="1"/>
  <c r="K64" i="41" s="1"/>
  <c r="K65" i="41" s="1"/>
  <c r="F66" i="41"/>
  <c r="J40" i="41"/>
  <c r="J41" i="41" s="1"/>
  <c r="J42" i="41" s="1"/>
  <c r="J43" i="41" s="1"/>
  <c r="J44" i="41" s="1"/>
  <c r="J45" i="41" s="1"/>
  <c r="J46" i="41" s="1"/>
  <c r="J47" i="41" s="1"/>
  <c r="J48" i="41" s="1"/>
  <c r="J49" i="41" s="1"/>
  <c r="J50" i="41" s="1"/>
  <c r="K40" i="41"/>
  <c r="K41" i="41" s="1"/>
  <c r="K42" i="41" s="1"/>
  <c r="K43" i="41" s="1"/>
  <c r="K44" i="41" s="1"/>
  <c r="K45" i="41" s="1"/>
  <c r="K46" i="41" s="1"/>
  <c r="K47" i="41" s="1"/>
  <c r="K48" i="41" s="1"/>
  <c r="K49" i="41" s="1"/>
  <c r="K50" i="41" s="1"/>
  <c r="M2" i="12"/>
  <c r="B24" i="11"/>
  <c r="G30" i="12"/>
  <c r="U9" i="12" s="1"/>
  <c r="U6" i="12"/>
  <c r="F18" i="41" s="1"/>
  <c r="K46" i="30" l="1"/>
  <c r="B47" i="13"/>
  <c r="C6" i="52"/>
  <c r="C48" i="52" s="1"/>
  <c r="D6" i="52"/>
  <c r="D48" i="52" s="1"/>
  <c r="G122" i="30"/>
  <c r="L28" i="12"/>
  <c r="Z3" i="12" s="1"/>
  <c r="J78" i="52"/>
  <c r="H118" i="30"/>
  <c r="H119" i="30" s="1"/>
  <c r="H120" i="30" s="1"/>
  <c r="H122" i="30" s="1"/>
  <c r="B46" i="52"/>
  <c r="H34" i="30"/>
  <c r="H37" i="30" s="1"/>
  <c r="K20" i="30"/>
  <c r="J21" i="30"/>
  <c r="L58" i="30"/>
  <c r="E21" i="52"/>
  <c r="C7" i="52"/>
  <c r="C49" i="52" s="1"/>
  <c r="I59" i="30"/>
  <c r="B47" i="52"/>
  <c r="C5" i="52"/>
  <c r="C47" i="52" s="1"/>
  <c r="I33" i="30"/>
  <c r="J56" i="52"/>
  <c r="R106" i="30"/>
  <c r="K28" i="52"/>
  <c r="K56" i="52" s="1"/>
  <c r="Q86" i="30"/>
  <c r="R85" i="30"/>
  <c r="K27" i="52"/>
  <c r="K18" i="52"/>
  <c r="R22" i="30"/>
  <c r="H60" i="30"/>
  <c r="H63" i="30" s="1"/>
  <c r="I108" i="30"/>
  <c r="I111" i="30" s="1"/>
  <c r="H47" i="30"/>
  <c r="H50" i="30" s="1"/>
  <c r="B49" i="52"/>
  <c r="B72" i="52" s="1"/>
  <c r="Q107" i="30"/>
  <c r="J54" i="52"/>
  <c r="J77" i="52" s="1"/>
  <c r="E20" i="52"/>
  <c r="E48" i="52" s="1"/>
  <c r="L45" i="30"/>
  <c r="B48" i="52"/>
  <c r="K56" i="30"/>
  <c r="J57" i="30"/>
  <c r="K30" i="30"/>
  <c r="J31" i="30"/>
  <c r="R69" i="30"/>
  <c r="K26" i="52"/>
  <c r="K54" i="52" s="1"/>
  <c r="Q70" i="30"/>
  <c r="H97" i="30"/>
  <c r="H98" i="30" s="1"/>
  <c r="H71" i="30"/>
  <c r="H75" i="30" s="1"/>
  <c r="H87" i="30"/>
  <c r="H91" i="30" s="1"/>
  <c r="H80" i="30"/>
  <c r="H81" i="30" s="1"/>
  <c r="L32" i="30"/>
  <c r="E19" i="52"/>
  <c r="I23" i="30"/>
  <c r="J108" i="30" s="1"/>
  <c r="J111" i="30" s="1"/>
  <c r="C4" i="52"/>
  <c r="C46" i="52" s="1"/>
  <c r="N14" i="52"/>
  <c r="B56" i="52"/>
  <c r="V7" i="12"/>
  <c r="F122" i="30"/>
  <c r="N29" i="12"/>
  <c r="X4" i="12" s="1"/>
  <c r="D35" i="41" s="1"/>
  <c r="D88" i="41" s="1"/>
  <c r="V9" i="12"/>
  <c r="I34" i="41" s="1"/>
  <c r="I87" i="41" s="1"/>
  <c r="I18" i="41"/>
  <c r="V8" i="12"/>
  <c r="N33" i="12" s="1"/>
  <c r="N30" i="12"/>
  <c r="X5" i="12" s="1"/>
  <c r="E35" i="41" s="1"/>
  <c r="E88" i="41" s="1"/>
  <c r="V6" i="12"/>
  <c r="F34" i="41" s="1"/>
  <c r="F87" i="41" s="1"/>
  <c r="C10" i="41"/>
  <c r="M4" i="12"/>
  <c r="D10" i="41"/>
  <c r="K102" i="41"/>
  <c r="L66" i="41"/>
  <c r="J66" i="41"/>
  <c r="K66" i="41"/>
  <c r="J51" i="41"/>
  <c r="K51" i="41"/>
  <c r="K83" i="41" s="1"/>
  <c r="N32" i="12" l="1"/>
  <c r="Z7" i="12" s="1"/>
  <c r="G36" i="41" s="1"/>
  <c r="G89" i="41" s="1"/>
  <c r="B67" i="13"/>
  <c r="Y3" i="12"/>
  <c r="C20" i="41" s="1"/>
  <c r="W3" i="12"/>
  <c r="C19" i="41" s="1"/>
  <c r="X3" i="12"/>
  <c r="C35" i="41" s="1"/>
  <c r="C88" i="41" s="1"/>
  <c r="N6" i="52"/>
  <c r="J24" i="11"/>
  <c r="K77" i="52"/>
  <c r="C69" i="52"/>
  <c r="H34" i="41"/>
  <c r="H87" i="41" s="1"/>
  <c r="G34" i="41"/>
  <c r="G87" i="41" s="1"/>
  <c r="C72" i="52"/>
  <c r="C70" i="52"/>
  <c r="B69" i="52"/>
  <c r="I97" i="30"/>
  <c r="I98" i="30" s="1"/>
  <c r="I71" i="30"/>
  <c r="I75" i="30" s="1"/>
  <c r="I87" i="30"/>
  <c r="I91" i="30" s="1"/>
  <c r="I80" i="30"/>
  <c r="I81" i="30" s="1"/>
  <c r="I117" i="30"/>
  <c r="B71" i="52"/>
  <c r="C71" i="52"/>
  <c r="D71" i="52" s="1"/>
  <c r="E71" i="52" s="1"/>
  <c r="L18" i="52"/>
  <c r="S22" i="30"/>
  <c r="I47" i="30"/>
  <c r="I50" i="30" s="1"/>
  <c r="I34" i="30"/>
  <c r="I37" i="30" s="1"/>
  <c r="M58" i="30"/>
  <c r="F21" i="52"/>
  <c r="M45" i="30"/>
  <c r="F20" i="52"/>
  <c r="F48" i="52" s="1"/>
  <c r="L46" i="30"/>
  <c r="M32" i="30"/>
  <c r="F19" i="52"/>
  <c r="D5" i="52"/>
  <c r="D47" i="52" s="1"/>
  <c r="J33" i="30"/>
  <c r="B70" i="52"/>
  <c r="J23" i="30"/>
  <c r="D4" i="52"/>
  <c r="D46" i="52" s="1"/>
  <c r="L26" i="52"/>
  <c r="L54" i="52" s="1"/>
  <c r="R70" i="30"/>
  <c r="S69" i="30"/>
  <c r="L30" i="30"/>
  <c r="K31" i="30"/>
  <c r="S106" i="30"/>
  <c r="L28" i="52"/>
  <c r="L56" i="52" s="1"/>
  <c r="R107" i="30"/>
  <c r="L20" i="30"/>
  <c r="K21" i="30"/>
  <c r="J59" i="30"/>
  <c r="D7" i="52"/>
  <c r="K55" i="52"/>
  <c r="I60" i="30"/>
  <c r="I63" i="30" s="1"/>
  <c r="L56" i="30"/>
  <c r="K57" i="30"/>
  <c r="S85" i="30"/>
  <c r="L27" i="52"/>
  <c r="L55" i="52" s="1"/>
  <c r="R86" i="30"/>
  <c r="C79" i="52"/>
  <c r="D79" i="52" s="1"/>
  <c r="E79" i="52" s="1"/>
  <c r="F79" i="52" s="1"/>
  <c r="G79" i="52" s="1"/>
  <c r="H79" i="52" s="1"/>
  <c r="I79" i="52" s="1"/>
  <c r="J79" i="52" s="1"/>
  <c r="K79" i="52" s="1"/>
  <c r="B79" i="52"/>
  <c r="H121" i="30"/>
  <c r="K84" i="41"/>
  <c r="K104" i="41" s="1"/>
  <c r="J84" i="41"/>
  <c r="J104" i="41" s="1"/>
  <c r="Z5" i="12"/>
  <c r="AA5" i="12" s="1"/>
  <c r="C36" i="41"/>
  <c r="C89" i="41" s="1"/>
  <c r="Z4" i="12"/>
  <c r="X8" i="12"/>
  <c r="H35" i="41" s="1"/>
  <c r="H88" i="41" s="1"/>
  <c r="N31" i="12"/>
  <c r="X6" i="12" s="1"/>
  <c r="F35" i="41" s="1"/>
  <c r="F88" i="41" s="1"/>
  <c r="N34" i="12"/>
  <c r="X9" i="12" s="1"/>
  <c r="I35" i="41" s="1"/>
  <c r="I88" i="41" s="1"/>
  <c r="Z8" i="12"/>
  <c r="H36" i="41" s="1"/>
  <c r="H89" i="41" s="1"/>
  <c r="C90" i="41" l="1"/>
  <c r="C91" i="41" s="1"/>
  <c r="C92" i="41" s="1"/>
  <c r="C93" i="41" s="1"/>
  <c r="C94" i="41" s="1"/>
  <c r="C95" i="41" s="1"/>
  <c r="C96" i="41" s="1"/>
  <c r="C97" i="41" s="1"/>
  <c r="C98" i="41" s="1"/>
  <c r="C99" i="41" s="1"/>
  <c r="C100" i="41" s="1"/>
  <c r="C101" i="41" s="1"/>
  <c r="Y4" i="12"/>
  <c r="D20" i="41" s="1"/>
  <c r="W4" i="12"/>
  <c r="D19" i="41" s="1"/>
  <c r="AA3" i="12"/>
  <c r="X7" i="12"/>
  <c r="F71" i="52"/>
  <c r="D69" i="52"/>
  <c r="L77" i="52"/>
  <c r="D70" i="52"/>
  <c r="J60" i="30"/>
  <c r="J63" i="30" s="1"/>
  <c r="T106" i="30"/>
  <c r="M28" i="52"/>
  <c r="S107" i="30"/>
  <c r="J97" i="30"/>
  <c r="J98" i="30" s="1"/>
  <c r="J80" i="30"/>
  <c r="J81" i="30" s="1"/>
  <c r="J71" i="30"/>
  <c r="J75" i="30" s="1"/>
  <c r="J87" i="30"/>
  <c r="J91" i="30" s="1"/>
  <c r="J117" i="30"/>
  <c r="J47" i="30"/>
  <c r="J50" i="30" s="1"/>
  <c r="K108" i="30"/>
  <c r="K111" i="30" s="1"/>
  <c r="G19" i="52"/>
  <c r="N32" i="30"/>
  <c r="M18" i="52"/>
  <c r="N18" i="52" s="1"/>
  <c r="T22" i="30"/>
  <c r="U22" i="30" s="1"/>
  <c r="V22" i="30" s="1"/>
  <c r="W22" i="30" s="1"/>
  <c r="X22" i="30" s="1"/>
  <c r="Y22" i="30" s="1"/>
  <c r="Z22" i="30" s="1"/>
  <c r="AA22" i="30" s="1"/>
  <c r="AB22" i="30" s="1"/>
  <c r="AC22" i="30" s="1"/>
  <c r="AD22" i="30" s="1"/>
  <c r="AE22" i="30" s="1"/>
  <c r="AF22" i="30" s="1"/>
  <c r="AG22" i="30" s="1"/>
  <c r="AH22" i="30" s="1"/>
  <c r="AI22" i="30" s="1"/>
  <c r="AJ22" i="30" s="1"/>
  <c r="AK22" i="30" s="1"/>
  <c r="AL22" i="30" s="1"/>
  <c r="T85" i="30"/>
  <c r="M27" i="52"/>
  <c r="M55" i="52" s="1"/>
  <c r="N55" i="52" s="1"/>
  <c r="S86" i="30"/>
  <c r="K33" i="30"/>
  <c r="E5" i="52"/>
  <c r="E47" i="52" s="1"/>
  <c r="D49" i="52"/>
  <c r="D72" i="52" s="1"/>
  <c r="K59" i="30"/>
  <c r="E7" i="52"/>
  <c r="E49" i="52" s="1"/>
  <c r="M30" i="30"/>
  <c r="L31" i="30"/>
  <c r="N45" i="30"/>
  <c r="G20" i="52"/>
  <c r="G48" i="52" s="1"/>
  <c r="M46" i="30"/>
  <c r="K78" i="52"/>
  <c r="L78" i="52" s="1"/>
  <c r="L79" i="52"/>
  <c r="M56" i="30"/>
  <c r="L57" i="30"/>
  <c r="E4" i="52"/>
  <c r="E46" i="52" s="1"/>
  <c r="K23" i="30"/>
  <c r="M26" i="52"/>
  <c r="M54" i="52" s="1"/>
  <c r="N54" i="52" s="1"/>
  <c r="S70" i="30"/>
  <c r="T69" i="30"/>
  <c r="J34" i="30"/>
  <c r="J37" i="30" s="1"/>
  <c r="M20" i="30"/>
  <c r="L21" i="30"/>
  <c r="N58" i="30"/>
  <c r="G21" i="52"/>
  <c r="I118" i="30"/>
  <c r="I119" i="30" s="1"/>
  <c r="I120" i="30" s="1"/>
  <c r="AA7" i="12"/>
  <c r="B69" i="13"/>
  <c r="E36" i="41"/>
  <c r="E89" i="41" s="1"/>
  <c r="E90" i="41" s="1"/>
  <c r="AA4" i="12"/>
  <c r="D36" i="41"/>
  <c r="D89" i="41" s="1"/>
  <c r="D90" i="41" s="1"/>
  <c r="W5" i="12"/>
  <c r="E19" i="41" s="1"/>
  <c r="H90" i="41"/>
  <c r="H91" i="41" s="1"/>
  <c r="H92" i="41" s="1"/>
  <c r="H93" i="41" s="1"/>
  <c r="H94" i="41" s="1"/>
  <c r="H95" i="41" s="1"/>
  <c r="H96" i="41" s="1"/>
  <c r="H97" i="41" s="1"/>
  <c r="H98" i="41" s="1"/>
  <c r="H99" i="41" s="1"/>
  <c r="H100" i="41" s="1"/>
  <c r="H101" i="41" s="1"/>
  <c r="H102" i="41" s="1"/>
  <c r="AA8" i="12"/>
  <c r="Z6" i="12"/>
  <c r="Z9" i="12"/>
  <c r="I36" i="41" s="1"/>
  <c r="I89" i="41" s="1"/>
  <c r="I90" i="41" s="1"/>
  <c r="Y5" i="12" l="1"/>
  <c r="E20" i="41" s="1"/>
  <c r="E69" i="52"/>
  <c r="G35" i="41"/>
  <c r="G88" i="41" s="1"/>
  <c r="G90" i="41" s="1"/>
  <c r="G91" i="41" s="1"/>
  <c r="G92" i="41" s="1"/>
  <c r="G93" i="41" s="1"/>
  <c r="G94" i="41" s="1"/>
  <c r="G95" i="41" s="1"/>
  <c r="G96" i="41" s="1"/>
  <c r="G97" i="41" s="1"/>
  <c r="G98" i="41" s="1"/>
  <c r="G99" i="41" s="1"/>
  <c r="G100" i="41" s="1"/>
  <c r="G101" i="41" s="1"/>
  <c r="B68" i="13"/>
  <c r="T39" i="13" s="1"/>
  <c r="G71" i="52"/>
  <c r="N27" i="52"/>
  <c r="M77" i="52"/>
  <c r="E72" i="52"/>
  <c r="F4" i="52"/>
  <c r="L23" i="30"/>
  <c r="O45" i="30"/>
  <c r="H20" i="52"/>
  <c r="H48" i="52" s="1"/>
  <c r="N46" i="30"/>
  <c r="N20" i="30"/>
  <c r="M21" i="30"/>
  <c r="L59" i="30"/>
  <c r="F7" i="52"/>
  <c r="N26" i="52"/>
  <c r="N56" i="30"/>
  <c r="M57" i="30"/>
  <c r="H19" i="52"/>
  <c r="O32" i="30"/>
  <c r="I122" i="30"/>
  <c r="I121" i="30"/>
  <c r="N30" i="30"/>
  <c r="M31" i="30"/>
  <c r="U69" i="30"/>
  <c r="T70" i="30"/>
  <c r="M78" i="52"/>
  <c r="E70" i="52"/>
  <c r="K34" i="30"/>
  <c r="K37" i="30" s="1"/>
  <c r="N28" i="52"/>
  <c r="M56" i="52"/>
  <c r="N56" i="52" s="1"/>
  <c r="U106" i="30"/>
  <c r="T107" i="30"/>
  <c r="L33" i="30"/>
  <c r="F5" i="52"/>
  <c r="O58" i="30"/>
  <c r="H21" i="52"/>
  <c r="K60" i="30"/>
  <c r="K63" i="30" s="1"/>
  <c r="J118" i="30"/>
  <c r="J119" i="30" s="1"/>
  <c r="J120" i="30" s="1"/>
  <c r="K97" i="30"/>
  <c r="K98" i="30" s="1"/>
  <c r="K80" i="30"/>
  <c r="K81" i="30" s="1"/>
  <c r="K87" i="30"/>
  <c r="K91" i="30" s="1"/>
  <c r="K71" i="30"/>
  <c r="K75" i="30" s="1"/>
  <c r="K117" i="30"/>
  <c r="K47" i="30"/>
  <c r="K50" i="30" s="1"/>
  <c r="L108" i="30"/>
  <c r="L111" i="30" s="1"/>
  <c r="U85" i="30"/>
  <c r="T86" i="30"/>
  <c r="C102" i="41"/>
  <c r="W6" i="12"/>
  <c r="F19" i="41" s="1"/>
  <c r="D91" i="41"/>
  <c r="D92" i="41" s="1"/>
  <c r="D93" i="41" s="1"/>
  <c r="D94" i="41" s="1"/>
  <c r="D95" i="41" s="1"/>
  <c r="D96" i="41" s="1"/>
  <c r="D97" i="41" s="1"/>
  <c r="D98" i="41" s="1"/>
  <c r="D99" i="41" s="1"/>
  <c r="D100" i="41" s="1"/>
  <c r="D101" i="41" s="1"/>
  <c r="E91" i="41"/>
  <c r="E92" i="41" s="1"/>
  <c r="E93" i="41" s="1"/>
  <c r="E94" i="41" s="1"/>
  <c r="E95" i="41" s="1"/>
  <c r="E96" i="41" s="1"/>
  <c r="E97" i="41" s="1"/>
  <c r="E98" i="41" s="1"/>
  <c r="E99" i="41" s="1"/>
  <c r="E100" i="41" s="1"/>
  <c r="E101" i="41" s="1"/>
  <c r="Y6" i="12"/>
  <c r="F20" i="41" s="1"/>
  <c r="I91" i="41"/>
  <c r="I92" i="41" s="1"/>
  <c r="I93" i="41" s="1"/>
  <c r="I94" i="41" s="1"/>
  <c r="I95" i="41" s="1"/>
  <c r="I96" i="41" s="1"/>
  <c r="I97" i="41" s="1"/>
  <c r="I98" i="41" s="1"/>
  <c r="I99" i="41" s="1"/>
  <c r="I100" i="41" s="1"/>
  <c r="I101" i="41" s="1"/>
  <c r="AA6" i="12"/>
  <c r="F36" i="41"/>
  <c r="F89" i="41" s="1"/>
  <c r="F90" i="41" s="1"/>
  <c r="F91" i="41" s="1"/>
  <c r="F92" i="41" s="1"/>
  <c r="F93" i="41" s="1"/>
  <c r="F94" i="41" s="1"/>
  <c r="F95" i="41" s="1"/>
  <c r="AA9" i="12"/>
  <c r="J27" i="11"/>
  <c r="G102" i="41" l="1"/>
  <c r="L34" i="30"/>
  <c r="L37" i="30" s="1"/>
  <c r="L60" i="30"/>
  <c r="L63" i="30" s="1"/>
  <c r="J121" i="30"/>
  <c r="J122" i="30"/>
  <c r="P32" i="30"/>
  <c r="I19" i="52"/>
  <c r="G4" i="52"/>
  <c r="G46" i="52" s="1"/>
  <c r="M23" i="30"/>
  <c r="K118" i="30"/>
  <c r="K119" i="30" s="1"/>
  <c r="K120" i="30" s="1"/>
  <c r="O20" i="30"/>
  <c r="N21" i="30"/>
  <c r="M59" i="30"/>
  <c r="G7" i="52"/>
  <c r="G49" i="52" s="1"/>
  <c r="P58" i="30"/>
  <c r="I21" i="52"/>
  <c r="G5" i="52"/>
  <c r="G47" i="52" s="1"/>
  <c r="M33" i="30"/>
  <c r="H71" i="52"/>
  <c r="O56" i="30"/>
  <c r="N57" i="30"/>
  <c r="F47" i="52"/>
  <c r="O30" i="30"/>
  <c r="N31" i="30"/>
  <c r="I20" i="52"/>
  <c r="I48" i="52" s="1"/>
  <c r="P45" i="30"/>
  <c r="O46" i="30"/>
  <c r="V69" i="30"/>
  <c r="U70" i="30"/>
  <c r="M79" i="52"/>
  <c r="V85" i="30"/>
  <c r="U86" i="30"/>
  <c r="F49" i="52"/>
  <c r="F72" i="52" s="1"/>
  <c r="L80" i="30"/>
  <c r="L81" i="30" s="1"/>
  <c r="L97" i="30"/>
  <c r="L98" i="30" s="1"/>
  <c r="L87" i="30"/>
  <c r="L91" i="30" s="1"/>
  <c r="L71" i="30"/>
  <c r="L75" i="30" s="1"/>
  <c r="L117" i="30"/>
  <c r="M108" i="30"/>
  <c r="M111" i="30" s="1"/>
  <c r="L47" i="30"/>
  <c r="L50" i="30" s="1"/>
  <c r="V106" i="30"/>
  <c r="U107" i="30"/>
  <c r="F46" i="52"/>
  <c r="E102" i="41"/>
  <c r="D102" i="41"/>
  <c r="Y7" i="12"/>
  <c r="G20" i="41" s="1"/>
  <c r="W7" i="12"/>
  <c r="G19" i="41" s="1"/>
  <c r="I102" i="41"/>
  <c r="F96" i="41"/>
  <c r="F97" i="41" s="1"/>
  <c r="F98" i="41" s="1"/>
  <c r="F99" i="41" s="1"/>
  <c r="F100" i="41" s="1"/>
  <c r="F101" i="41" s="1"/>
  <c r="B51" i="13"/>
  <c r="G72" i="52" l="1"/>
  <c r="K122" i="30"/>
  <c r="K121" i="30"/>
  <c r="W106" i="30"/>
  <c r="V107" i="30"/>
  <c r="W69" i="30"/>
  <c r="V70" i="30"/>
  <c r="N59" i="30"/>
  <c r="H7" i="52"/>
  <c r="F69" i="52"/>
  <c r="G69" i="52" s="1"/>
  <c r="P56" i="30"/>
  <c r="O57" i="30"/>
  <c r="P30" i="30"/>
  <c r="O31" i="30"/>
  <c r="M97" i="30"/>
  <c r="M98" i="30" s="1"/>
  <c r="M80" i="30"/>
  <c r="M81" i="30" s="1"/>
  <c r="M87" i="30"/>
  <c r="M91" i="30" s="1"/>
  <c r="M71" i="30"/>
  <c r="M75" i="30" s="1"/>
  <c r="M117" i="30"/>
  <c r="N108" i="30"/>
  <c r="N111" i="30" s="1"/>
  <c r="M47" i="30"/>
  <c r="M50" i="30" s="1"/>
  <c r="J20" i="52"/>
  <c r="J48" i="52" s="1"/>
  <c r="Q45" i="30"/>
  <c r="P46" i="30"/>
  <c r="M60" i="30"/>
  <c r="M63" i="30" s="1"/>
  <c r="Q32" i="30"/>
  <c r="J19" i="52"/>
  <c r="F70" i="52"/>
  <c r="G70" i="52" s="1"/>
  <c r="Q58" i="30"/>
  <c r="J21" i="52"/>
  <c r="L118" i="30"/>
  <c r="L119" i="30" s="1"/>
  <c r="L120" i="30" s="1"/>
  <c r="I71" i="52"/>
  <c r="H4" i="52"/>
  <c r="N23" i="30"/>
  <c r="V86" i="30"/>
  <c r="W85" i="30"/>
  <c r="H5" i="52"/>
  <c r="H47" i="52" s="1"/>
  <c r="N33" i="30"/>
  <c r="M34" i="30"/>
  <c r="M37" i="30" s="1"/>
  <c r="P20" i="30"/>
  <c r="O21" i="30"/>
  <c r="W8" i="12"/>
  <c r="H19" i="41" s="1"/>
  <c r="Y8" i="12"/>
  <c r="H20" i="41" s="1"/>
  <c r="F102" i="41"/>
  <c r="N34" i="30" l="1"/>
  <c r="N37" i="30" s="1"/>
  <c r="Q56" i="30"/>
  <c r="P57" i="30"/>
  <c r="L122" i="30"/>
  <c r="L121" i="30"/>
  <c r="W86" i="30"/>
  <c r="X85" i="30"/>
  <c r="X106" i="30"/>
  <c r="W107" i="30"/>
  <c r="K19" i="52"/>
  <c r="R32" i="30"/>
  <c r="K20" i="52"/>
  <c r="K48" i="52" s="1"/>
  <c r="R45" i="30"/>
  <c r="Q46" i="30"/>
  <c r="R58" i="30"/>
  <c r="K21" i="52"/>
  <c r="J71" i="52"/>
  <c r="X69" i="30"/>
  <c r="W70" i="30"/>
  <c r="N97" i="30"/>
  <c r="N98" i="30" s="1"/>
  <c r="N80" i="30"/>
  <c r="N81" i="30" s="1"/>
  <c r="N87" i="30"/>
  <c r="N91" i="30" s="1"/>
  <c r="N71" i="30"/>
  <c r="N75" i="30" s="1"/>
  <c r="N117" i="30"/>
  <c r="O108" i="30"/>
  <c r="O111" i="30" s="1"/>
  <c r="N47" i="30"/>
  <c r="N50" i="30" s="1"/>
  <c r="I5" i="52"/>
  <c r="I47" i="52" s="1"/>
  <c r="O33" i="30"/>
  <c r="I4" i="52"/>
  <c r="I46" i="52" s="1"/>
  <c r="O23" i="30"/>
  <c r="H46" i="52"/>
  <c r="H70" i="52"/>
  <c r="Q30" i="30"/>
  <c r="P31" i="30"/>
  <c r="H49" i="52"/>
  <c r="H72" i="52" s="1"/>
  <c r="Q20" i="30"/>
  <c r="P21" i="30"/>
  <c r="M118" i="30"/>
  <c r="M119" i="30" s="1"/>
  <c r="M120" i="30" s="1"/>
  <c r="O59" i="30"/>
  <c r="I7" i="52"/>
  <c r="I49" i="52" s="1"/>
  <c r="N60" i="30"/>
  <c r="N63" i="30" s="1"/>
  <c r="Y9" i="12"/>
  <c r="I20" i="41" s="1"/>
  <c r="W9" i="12"/>
  <c r="I19" i="41" s="1"/>
  <c r="C26" i="11"/>
  <c r="O60" i="30" l="1"/>
  <c r="O63" i="30" s="1"/>
  <c r="B26" i="11"/>
  <c r="K71" i="52"/>
  <c r="O34" i="30"/>
  <c r="O37" i="30" s="1"/>
  <c r="Y85" i="30"/>
  <c r="X86" i="30"/>
  <c r="S45" i="30"/>
  <c r="L20" i="52"/>
  <c r="L48" i="52" s="1"/>
  <c r="R46" i="30"/>
  <c r="M121" i="30"/>
  <c r="M122" i="30"/>
  <c r="I70" i="52"/>
  <c r="J5" i="52"/>
  <c r="J47" i="52" s="1"/>
  <c r="P33" i="30"/>
  <c r="R30" i="30"/>
  <c r="Q31" i="30"/>
  <c r="Y69" i="30"/>
  <c r="X70" i="30"/>
  <c r="R20" i="30"/>
  <c r="Q21" i="30"/>
  <c r="O80" i="30"/>
  <c r="O81" i="30" s="1"/>
  <c r="O97" i="30"/>
  <c r="O98" i="30" s="1"/>
  <c r="O117" i="30"/>
  <c r="O71" i="30"/>
  <c r="O75" i="30" s="1"/>
  <c r="O87" i="30"/>
  <c r="O91" i="30" s="1"/>
  <c r="P108" i="30"/>
  <c r="P111" i="30" s="1"/>
  <c r="O47" i="30"/>
  <c r="O50" i="30" s="1"/>
  <c r="R56" i="30"/>
  <c r="Q57" i="30"/>
  <c r="S32" i="30"/>
  <c r="L19" i="52"/>
  <c r="S58" i="30"/>
  <c r="L21" i="52"/>
  <c r="J4" i="52"/>
  <c r="J46" i="52" s="1"/>
  <c r="P23" i="30"/>
  <c r="N118" i="30"/>
  <c r="N119" i="30" s="1"/>
  <c r="N120" i="30" s="1"/>
  <c r="J7" i="52"/>
  <c r="J49" i="52" s="1"/>
  <c r="P59" i="30"/>
  <c r="I72" i="52"/>
  <c r="H69" i="52"/>
  <c r="I69" i="52" s="1"/>
  <c r="Y106" i="30"/>
  <c r="X107" i="30"/>
  <c r="B39" i="13"/>
  <c r="I39" i="13" l="1"/>
  <c r="I40" i="13" s="1"/>
  <c r="I41" i="13" s="1"/>
  <c r="I42" i="13" s="1"/>
  <c r="I43" i="13" s="1"/>
  <c r="I44" i="13" s="1"/>
  <c r="I45" i="13" s="1"/>
  <c r="I46" i="13" s="1"/>
  <c r="I47" i="13" s="1"/>
  <c r="I48" i="13" s="1"/>
  <c r="I49" i="13" s="1"/>
  <c r="I50" i="13" s="1"/>
  <c r="M44" i="13"/>
  <c r="M51" i="13" s="1"/>
  <c r="J26" i="11"/>
  <c r="B50" i="13"/>
  <c r="L71" i="52"/>
  <c r="B64" i="13"/>
  <c r="O39" i="13" s="1"/>
  <c r="J70" i="52"/>
  <c r="J69" i="52"/>
  <c r="P60" i="30"/>
  <c r="P63" i="30" s="1"/>
  <c r="Y70" i="30"/>
  <c r="Z69" i="30"/>
  <c r="N122" i="30"/>
  <c r="N121" i="30"/>
  <c r="Q33" i="30"/>
  <c r="K5" i="52"/>
  <c r="K47" i="52" s="1"/>
  <c r="M19" i="52"/>
  <c r="N19" i="52" s="1"/>
  <c r="T32" i="30"/>
  <c r="U32" i="30" s="1"/>
  <c r="V32" i="30" s="1"/>
  <c r="W32" i="30" s="1"/>
  <c r="X32" i="30" s="1"/>
  <c r="Y32" i="30" s="1"/>
  <c r="Z32" i="30" s="1"/>
  <c r="AA32" i="30" s="1"/>
  <c r="AB32" i="30" s="1"/>
  <c r="AC32" i="30" s="1"/>
  <c r="AD32" i="30" s="1"/>
  <c r="AE32" i="30" s="1"/>
  <c r="AF32" i="30" s="1"/>
  <c r="AG32" i="30" s="1"/>
  <c r="AH32" i="30" s="1"/>
  <c r="AI32" i="30" s="1"/>
  <c r="AJ32" i="30" s="1"/>
  <c r="AK32" i="30" s="1"/>
  <c r="AL32" i="30" s="1"/>
  <c r="O118" i="30"/>
  <c r="O119" i="30" s="1"/>
  <c r="O120" i="30" s="1"/>
  <c r="S30" i="30"/>
  <c r="R31" i="30"/>
  <c r="T58" i="30"/>
  <c r="U58" i="30" s="1"/>
  <c r="V58" i="30" s="1"/>
  <c r="W58" i="30" s="1"/>
  <c r="X58" i="30" s="1"/>
  <c r="Y58" i="30" s="1"/>
  <c r="Z58" i="30" s="1"/>
  <c r="AA58" i="30" s="1"/>
  <c r="AB58" i="30" s="1"/>
  <c r="AC58" i="30" s="1"/>
  <c r="AD58" i="30" s="1"/>
  <c r="AE58" i="30" s="1"/>
  <c r="AF58" i="30" s="1"/>
  <c r="AG58" i="30" s="1"/>
  <c r="AH58" i="30" s="1"/>
  <c r="AI58" i="30" s="1"/>
  <c r="AJ58" i="30" s="1"/>
  <c r="AK58" i="30" s="1"/>
  <c r="AL58" i="30" s="1"/>
  <c r="M21" i="52"/>
  <c r="N21" i="52" s="1"/>
  <c r="P97" i="30"/>
  <c r="P98" i="30" s="1"/>
  <c r="P80" i="30"/>
  <c r="P81" i="30" s="1"/>
  <c r="P117" i="30"/>
  <c r="P87" i="30"/>
  <c r="P91" i="30" s="1"/>
  <c r="P71" i="30"/>
  <c r="P75" i="30" s="1"/>
  <c r="Q108" i="30"/>
  <c r="Q111" i="30" s="1"/>
  <c r="P47" i="30"/>
  <c r="P50" i="30" s="1"/>
  <c r="Z106" i="30"/>
  <c r="Y107" i="30"/>
  <c r="K7" i="52"/>
  <c r="K49" i="52" s="1"/>
  <c r="Q59" i="30"/>
  <c r="P34" i="30"/>
  <c r="P37" i="30" s="1"/>
  <c r="M20" i="52"/>
  <c r="T45" i="30"/>
  <c r="S46" i="30"/>
  <c r="S56" i="30"/>
  <c r="R57" i="30"/>
  <c r="K4" i="52"/>
  <c r="K46" i="52" s="1"/>
  <c r="Q23" i="30"/>
  <c r="J72" i="52"/>
  <c r="S20" i="30"/>
  <c r="R21" i="30"/>
  <c r="Z85" i="30"/>
  <c r="Y86" i="30"/>
  <c r="Q39" i="13" l="1"/>
  <c r="Q51" i="13" s="1"/>
  <c r="O51" i="13"/>
  <c r="K70" i="52"/>
  <c r="K69" i="52"/>
  <c r="U45" i="30"/>
  <c r="T46" i="30"/>
  <c r="N20" i="52"/>
  <c r="M48" i="52"/>
  <c r="Q34" i="30"/>
  <c r="Q37" i="30" s="1"/>
  <c r="Q80" i="30"/>
  <c r="Q81" i="30" s="1"/>
  <c r="Q97" i="30"/>
  <c r="Q98" i="30" s="1"/>
  <c r="Q117" i="30"/>
  <c r="Q71" i="30"/>
  <c r="Q75" i="30" s="1"/>
  <c r="Q87" i="30"/>
  <c r="Q91" i="30" s="1"/>
  <c r="R108" i="30"/>
  <c r="R111" i="30" s="1"/>
  <c r="Q47" i="30"/>
  <c r="Q50" i="30" s="1"/>
  <c r="AA85" i="30"/>
  <c r="Z86" i="30"/>
  <c r="Q60" i="30"/>
  <c r="Q63" i="30" s="1"/>
  <c r="L5" i="52"/>
  <c r="L47" i="52" s="1"/>
  <c r="R33" i="30"/>
  <c r="L4" i="52"/>
  <c r="L46" i="52" s="1"/>
  <c r="R23" i="30"/>
  <c r="R59" i="30"/>
  <c r="L7" i="52"/>
  <c r="L49" i="52" s="1"/>
  <c r="T30" i="30"/>
  <c r="S31" i="30"/>
  <c r="T20" i="30"/>
  <c r="S21" i="30"/>
  <c r="T56" i="30"/>
  <c r="S57" i="30"/>
  <c r="P118" i="30"/>
  <c r="P119" i="30" s="1"/>
  <c r="P120" i="30" s="1"/>
  <c r="O121" i="30"/>
  <c r="O122" i="30"/>
  <c r="Z70" i="30"/>
  <c r="AA69" i="30"/>
  <c r="K72" i="52"/>
  <c r="AA106" i="30"/>
  <c r="Z107" i="30"/>
  <c r="B48" i="13"/>
  <c r="L70" i="52" l="1"/>
  <c r="L69" i="52"/>
  <c r="L72" i="52"/>
  <c r="S59" i="30"/>
  <c r="M7" i="52"/>
  <c r="R60" i="30"/>
  <c r="R63" i="30" s="1"/>
  <c r="AA86" i="30"/>
  <c r="AB85" i="30"/>
  <c r="N48" i="52"/>
  <c r="M71" i="52"/>
  <c r="U20" i="30"/>
  <c r="T21" i="30"/>
  <c r="T23" i="30" s="1"/>
  <c r="T47" i="30" s="1"/>
  <c r="T50" i="30" s="1"/>
  <c r="AB106" i="30"/>
  <c r="AA107" i="30"/>
  <c r="AB69" i="30"/>
  <c r="AA70" i="30"/>
  <c r="R80" i="30"/>
  <c r="R81" i="30" s="1"/>
  <c r="R97" i="30"/>
  <c r="R98" i="30" s="1"/>
  <c r="R117" i="30"/>
  <c r="R71" i="30"/>
  <c r="R75" i="30" s="1"/>
  <c r="R87" i="30"/>
  <c r="R91" i="30" s="1"/>
  <c r="S108" i="30"/>
  <c r="S111" i="30" s="1"/>
  <c r="R47" i="30"/>
  <c r="R50" i="30" s="1"/>
  <c r="S23" i="30"/>
  <c r="M4" i="52"/>
  <c r="R34" i="30"/>
  <c r="R37" i="30" s="1"/>
  <c r="V45" i="30"/>
  <c r="U46" i="30"/>
  <c r="P122" i="30"/>
  <c r="P121" i="30"/>
  <c r="S33" i="30"/>
  <c r="M5" i="52"/>
  <c r="Q118" i="30"/>
  <c r="Q119" i="30" s="1"/>
  <c r="Q120" i="30" s="1"/>
  <c r="U56" i="30"/>
  <c r="T57" i="30"/>
  <c r="T59" i="30" s="1"/>
  <c r="U30" i="30"/>
  <c r="T31" i="30"/>
  <c r="T33" i="30" s="1"/>
  <c r="J10" i="11"/>
  <c r="T60" i="30" l="1"/>
  <c r="T63" i="30" s="1"/>
  <c r="AC106" i="30"/>
  <c r="AB107" i="30"/>
  <c r="R118" i="30"/>
  <c r="R119" i="30" s="1"/>
  <c r="R120" i="30" s="1"/>
  <c r="T80" i="30"/>
  <c r="T81" i="30" s="1"/>
  <c r="T97" i="30"/>
  <c r="T98" i="30" s="1"/>
  <c r="T117" i="30"/>
  <c r="T87" i="30"/>
  <c r="T91" i="30" s="1"/>
  <c r="T71" i="30"/>
  <c r="T75" i="30" s="1"/>
  <c r="U108" i="30"/>
  <c r="U111" i="30" s="1"/>
  <c r="M49" i="52"/>
  <c r="N49" i="52" s="1"/>
  <c r="N7" i="52"/>
  <c r="W45" i="30"/>
  <c r="V46" i="30"/>
  <c r="V20" i="30"/>
  <c r="U21" i="30"/>
  <c r="U23" i="30" s="1"/>
  <c r="S60" i="30"/>
  <c r="S63" i="30" s="1"/>
  <c r="AC85" i="30"/>
  <c r="AB86" i="30"/>
  <c r="V56" i="30"/>
  <c r="U57" i="30"/>
  <c r="U59" i="30" s="1"/>
  <c r="M46" i="52"/>
  <c r="N4" i="52"/>
  <c r="M47" i="52"/>
  <c r="N5" i="52"/>
  <c r="S97" i="30"/>
  <c r="S98" i="30" s="1"/>
  <c r="S80" i="30"/>
  <c r="S81" i="30" s="1"/>
  <c r="S117" i="30"/>
  <c r="S71" i="30"/>
  <c r="S75" i="30" s="1"/>
  <c r="S87" i="30"/>
  <c r="S91" i="30" s="1"/>
  <c r="T108" i="30"/>
  <c r="T111" i="30" s="1"/>
  <c r="S47" i="30"/>
  <c r="S50" i="30" s="1"/>
  <c r="T34" i="30"/>
  <c r="T37" i="30" s="1"/>
  <c r="S34" i="30"/>
  <c r="S37" i="30" s="1"/>
  <c r="Q122" i="30"/>
  <c r="Q121" i="30"/>
  <c r="V30" i="30"/>
  <c r="U31" i="30"/>
  <c r="U33" i="30" s="1"/>
  <c r="AB70" i="30"/>
  <c r="AC69" i="30"/>
  <c r="B49" i="13"/>
  <c r="M72" i="52" l="1"/>
  <c r="U34" i="30"/>
  <c r="U37" i="30" s="1"/>
  <c r="U60" i="30"/>
  <c r="U63" i="30" s="1"/>
  <c r="S118" i="30"/>
  <c r="S119" i="30" s="1"/>
  <c r="S120" i="30" s="1"/>
  <c r="R122" i="30"/>
  <c r="R121" i="30"/>
  <c r="AD69" i="30"/>
  <c r="AC70" i="30"/>
  <c r="AC86" i="30"/>
  <c r="AD85" i="30"/>
  <c r="W56" i="30"/>
  <c r="V57" i="30"/>
  <c r="V59" i="30" s="1"/>
  <c r="U80" i="30"/>
  <c r="U81" i="30" s="1"/>
  <c r="U97" i="30"/>
  <c r="U98" i="30" s="1"/>
  <c r="U117" i="30"/>
  <c r="U71" i="30"/>
  <c r="U75" i="30" s="1"/>
  <c r="U87" i="30"/>
  <c r="U91" i="30" s="1"/>
  <c r="V108" i="30"/>
  <c r="V111" i="30" s="1"/>
  <c r="W30" i="30"/>
  <c r="V31" i="30"/>
  <c r="V33" i="30" s="1"/>
  <c r="N46" i="52"/>
  <c r="M69" i="52"/>
  <c r="W20" i="30"/>
  <c r="V21" i="30"/>
  <c r="V23" i="30" s="1"/>
  <c r="V47" i="30" s="1"/>
  <c r="V50" i="30" s="1"/>
  <c r="AD106" i="30"/>
  <c r="AC107" i="30"/>
  <c r="X45" i="30"/>
  <c r="W46" i="30"/>
  <c r="N47" i="52"/>
  <c r="M70" i="52"/>
  <c r="T118" i="30"/>
  <c r="T119" i="30" s="1"/>
  <c r="T120" i="30" s="1"/>
  <c r="U47" i="30"/>
  <c r="U50" i="30" s="1"/>
  <c r="B38" i="13"/>
  <c r="B54" i="13"/>
  <c r="E40" i="13" l="1"/>
  <c r="T40" i="13"/>
  <c r="K40" i="13"/>
  <c r="L40" i="13"/>
  <c r="K41" i="13"/>
  <c r="L41" i="13"/>
  <c r="K42" i="13"/>
  <c r="L42" i="13"/>
  <c r="L43" i="13"/>
  <c r="K43" i="13"/>
  <c r="K44" i="13"/>
  <c r="L44" i="13"/>
  <c r="K45" i="13"/>
  <c r="L45" i="13"/>
  <c r="K46" i="13"/>
  <c r="L46" i="13"/>
  <c r="K47" i="13"/>
  <c r="L47" i="13"/>
  <c r="K48" i="13"/>
  <c r="L48" i="13"/>
  <c r="K49" i="13"/>
  <c r="L49" i="13"/>
  <c r="K50" i="13"/>
  <c r="L50" i="13"/>
  <c r="V60" i="30"/>
  <c r="V63" i="30" s="1"/>
  <c r="V34" i="30"/>
  <c r="V37" i="30" s="1"/>
  <c r="U118" i="30"/>
  <c r="U119" i="30" s="1"/>
  <c r="U120" i="30" s="1"/>
  <c r="X46" i="30"/>
  <c r="Y45" i="30"/>
  <c r="W31" i="30"/>
  <c r="W33" i="30" s="1"/>
  <c r="X30" i="30"/>
  <c r="X20" i="30"/>
  <c r="W21" i="30"/>
  <c r="W23" i="30" s="1"/>
  <c r="W47" i="30" s="1"/>
  <c r="W50" i="30" s="1"/>
  <c r="AE69" i="30"/>
  <c r="AD70" i="30"/>
  <c r="T122" i="30"/>
  <c r="T121" i="30"/>
  <c r="AE106" i="30"/>
  <c r="AD107" i="30"/>
  <c r="X56" i="30"/>
  <c r="W57" i="30"/>
  <c r="W59" i="30" s="1"/>
  <c r="S122" i="30"/>
  <c r="S121" i="30"/>
  <c r="V80" i="30"/>
  <c r="V81" i="30" s="1"/>
  <c r="V97" i="30"/>
  <c r="V98" i="30" s="1"/>
  <c r="V117" i="30"/>
  <c r="V87" i="30"/>
  <c r="V91" i="30" s="1"/>
  <c r="V71" i="30"/>
  <c r="V75" i="30" s="1"/>
  <c r="W108" i="30"/>
  <c r="W111" i="30" s="1"/>
  <c r="AE85" i="30"/>
  <c r="AD86" i="30"/>
  <c r="B60" i="13"/>
  <c r="B59" i="13"/>
  <c r="B58" i="13"/>
  <c r="B3" i="31"/>
  <c r="J30" i="11"/>
  <c r="N48" i="13" l="1"/>
  <c r="N43" i="13"/>
  <c r="N45" i="13"/>
  <c r="N41" i="13"/>
  <c r="N44" i="13"/>
  <c r="N50" i="13"/>
  <c r="N46" i="13"/>
  <c r="N42" i="13"/>
  <c r="N49" i="13"/>
  <c r="X39" i="13"/>
  <c r="X40" i="13"/>
  <c r="X50" i="13"/>
  <c r="X49" i="13"/>
  <c r="X44" i="13"/>
  <c r="X43" i="13"/>
  <c r="X48" i="13"/>
  <c r="X41" i="13"/>
  <c r="X45" i="13"/>
  <c r="X42" i="13"/>
  <c r="X47" i="13"/>
  <c r="X46" i="13"/>
  <c r="L51" i="13"/>
  <c r="V44" i="13"/>
  <c r="V43" i="13"/>
  <c r="V48" i="13"/>
  <c r="V42" i="13"/>
  <c r="V47" i="13"/>
  <c r="V41" i="13"/>
  <c r="V39" i="13"/>
  <c r="Y39" i="13" s="1"/>
  <c r="V50" i="13"/>
  <c r="V46" i="13"/>
  <c r="V40" i="13"/>
  <c r="V45" i="13"/>
  <c r="V49" i="13"/>
  <c r="N40" i="13"/>
  <c r="K51" i="13"/>
  <c r="T41" i="13"/>
  <c r="T42" i="13" s="1"/>
  <c r="T43" i="13" s="1"/>
  <c r="T44" i="13" s="1"/>
  <c r="T45" i="13" s="1"/>
  <c r="T46" i="13" s="1"/>
  <c r="T47" i="13" s="1"/>
  <c r="T48" i="13" s="1"/>
  <c r="T49" i="13" s="1"/>
  <c r="T50" i="13" s="1"/>
  <c r="W49" i="13"/>
  <c r="W44" i="13"/>
  <c r="W43" i="13"/>
  <c r="W48" i="13"/>
  <c r="W42" i="13"/>
  <c r="W47" i="13"/>
  <c r="W46" i="13"/>
  <c r="W39" i="13"/>
  <c r="W40" i="13"/>
  <c r="W50" i="13"/>
  <c r="W41" i="13"/>
  <c r="W45" i="13"/>
  <c r="N47" i="13"/>
  <c r="E41" i="13"/>
  <c r="E42" i="13" s="1"/>
  <c r="E43" i="13" s="1"/>
  <c r="E44" i="13" s="1"/>
  <c r="E45" i="13" s="1"/>
  <c r="E46" i="13" s="1"/>
  <c r="E47" i="13" s="1"/>
  <c r="E48" i="13" s="1"/>
  <c r="E49" i="13" s="1"/>
  <c r="E50" i="13" s="1"/>
  <c r="W34" i="30"/>
  <c r="W37" i="30" s="1"/>
  <c r="W60" i="30"/>
  <c r="W63" i="30" s="1"/>
  <c r="Y30" i="30"/>
  <c r="X31" i="30"/>
  <c r="X33" i="30" s="1"/>
  <c r="AE86" i="30"/>
  <c r="AF85" i="30"/>
  <c r="Z45" i="30"/>
  <c r="Y46" i="30"/>
  <c r="Y20" i="30"/>
  <c r="X21" i="30"/>
  <c r="X23" i="30" s="1"/>
  <c r="X57" i="30"/>
  <c r="X59" i="30" s="1"/>
  <c r="Y56" i="30"/>
  <c r="AE70" i="30"/>
  <c r="AF69" i="30"/>
  <c r="U121" i="30"/>
  <c r="U122" i="30"/>
  <c r="V118" i="30"/>
  <c r="V119" i="30" s="1"/>
  <c r="V120" i="30" s="1"/>
  <c r="AF106" i="30"/>
  <c r="AE107" i="30"/>
  <c r="W87" i="30"/>
  <c r="W91" i="30" s="1"/>
  <c r="W117" i="30"/>
  <c r="W80" i="30"/>
  <c r="W81" i="30" s="1"/>
  <c r="W97" i="30"/>
  <c r="W98" i="30" s="1"/>
  <c r="W71" i="30"/>
  <c r="W75" i="30" s="1"/>
  <c r="X108" i="30"/>
  <c r="X111" i="30" s="1"/>
  <c r="B4" i="31"/>
  <c r="B5" i="31" s="1"/>
  <c r="B6" i="31" s="1"/>
  <c r="B7" i="31" s="1"/>
  <c r="B8" i="31" s="1"/>
  <c r="B9" i="31" s="1"/>
  <c r="B10" i="31" s="1"/>
  <c r="B11" i="31" s="1"/>
  <c r="B12" i="31" s="1"/>
  <c r="B13" i="31" s="1"/>
  <c r="H11" i="12"/>
  <c r="F171" i="38" s="1"/>
  <c r="H7" i="12"/>
  <c r="S7" i="12" s="1"/>
  <c r="AB7" i="12" s="1"/>
  <c r="H6" i="12"/>
  <c r="S6" i="12" s="1"/>
  <c r="AB6" i="12" s="1"/>
  <c r="H10" i="12"/>
  <c r="H4" i="12"/>
  <c r="S4" i="12" s="1"/>
  <c r="AB4" i="12" s="1"/>
  <c r="H3" i="12"/>
  <c r="S3" i="12" s="1"/>
  <c r="AB3" i="12" s="1"/>
  <c r="H2" i="12"/>
  <c r="S2" i="12" s="1"/>
  <c r="P39" i="13" s="1"/>
  <c r="H8" i="12"/>
  <c r="S8" i="12" s="1"/>
  <c r="AB8" i="12" s="1"/>
  <c r="H9" i="12"/>
  <c r="S9" i="12" s="1"/>
  <c r="AB9" i="12" s="1"/>
  <c r="H5" i="12"/>
  <c r="S5" i="12" s="1"/>
  <c r="AB5" i="12" s="1"/>
  <c r="T51" i="13" l="1"/>
  <c r="Z39" i="13"/>
  <c r="Z40" i="13" s="1"/>
  <c r="Z41" i="13" s="1"/>
  <c r="Z42" i="13" s="1"/>
  <c r="Z43" i="13" s="1"/>
  <c r="Z44" i="13" s="1"/>
  <c r="Z45" i="13" s="1"/>
  <c r="Z46" i="13" s="1"/>
  <c r="Z47" i="13" s="1"/>
  <c r="Z48" i="13" s="1"/>
  <c r="Z49" i="13" s="1"/>
  <c r="Z50" i="13" s="1"/>
  <c r="W51" i="13"/>
  <c r="E51" i="13"/>
  <c r="P40" i="13"/>
  <c r="P41" i="13" s="1"/>
  <c r="P42" i="13" s="1"/>
  <c r="P43" i="13" s="1"/>
  <c r="P44" i="13" s="1"/>
  <c r="P45" i="13" s="1"/>
  <c r="P46" i="13" s="1"/>
  <c r="P47" i="13" s="1"/>
  <c r="P48" i="13" s="1"/>
  <c r="P49" i="13" s="1"/>
  <c r="P50" i="13" s="1"/>
  <c r="Y40" i="13"/>
  <c r="Y41" i="13" s="1"/>
  <c r="Y42" i="13" s="1"/>
  <c r="Y43" i="13" s="1"/>
  <c r="Y44" i="13" s="1"/>
  <c r="Y45" i="13" s="1"/>
  <c r="Y46" i="13" s="1"/>
  <c r="Y47" i="13" s="1"/>
  <c r="Y48" i="13" s="1"/>
  <c r="Y49" i="13" s="1"/>
  <c r="Y50" i="13" s="1"/>
  <c r="V51" i="13"/>
  <c r="X51" i="13"/>
  <c r="AA39" i="13"/>
  <c r="AA40" i="13" s="1"/>
  <c r="AA41" i="13" s="1"/>
  <c r="AA42" i="13" s="1"/>
  <c r="AA43" i="13" s="1"/>
  <c r="AA44" i="13" s="1"/>
  <c r="AA45" i="13" s="1"/>
  <c r="AA46" i="13" s="1"/>
  <c r="AA47" i="13" s="1"/>
  <c r="AA48" i="13" s="1"/>
  <c r="AA49" i="13" s="1"/>
  <c r="AA50" i="13" s="1"/>
  <c r="D11" i="41"/>
  <c r="D39" i="41" s="1"/>
  <c r="G11" i="41"/>
  <c r="G39" i="41" s="1"/>
  <c r="B11" i="41"/>
  <c r="B39" i="41" s="1"/>
  <c r="C39" i="11"/>
  <c r="B39" i="11" s="1"/>
  <c r="J38" i="11" s="1"/>
  <c r="AB2" i="12"/>
  <c r="AC2" i="12" s="1"/>
  <c r="AD2" i="12" s="1"/>
  <c r="F11" i="41"/>
  <c r="F39" i="41" s="1"/>
  <c r="E11" i="41"/>
  <c r="E39" i="41" s="1"/>
  <c r="C11" i="41"/>
  <c r="C39" i="41" s="1"/>
  <c r="AC3" i="12"/>
  <c r="H11" i="41"/>
  <c r="H39" i="41" s="1"/>
  <c r="AC8" i="12"/>
  <c r="F18" i="38"/>
  <c r="F35" i="38" s="1"/>
  <c r="F36" i="38" s="1"/>
  <c r="F69" i="38"/>
  <c r="F70" i="38" s="1"/>
  <c r="X34" i="30"/>
  <c r="X37" i="30" s="1"/>
  <c r="X60" i="30"/>
  <c r="X63" i="30" s="1"/>
  <c r="V122" i="30"/>
  <c r="V121" i="30"/>
  <c r="AA45" i="30"/>
  <c r="Z46" i="30"/>
  <c r="AG69" i="30"/>
  <c r="AF70" i="30"/>
  <c r="AG85" i="30"/>
  <c r="AF86" i="30"/>
  <c r="Z20" i="30"/>
  <c r="Y21" i="30"/>
  <c r="Y23" i="30" s="1"/>
  <c r="Y47" i="30" s="1"/>
  <c r="Y50" i="30" s="1"/>
  <c r="AG106" i="30"/>
  <c r="AF107" i="30"/>
  <c r="Z56" i="30"/>
  <c r="Y57" i="30"/>
  <c r="Y59" i="30" s="1"/>
  <c r="W118" i="30"/>
  <c r="W119" i="30" s="1"/>
  <c r="W120" i="30" s="1"/>
  <c r="X47" i="30"/>
  <c r="X50" i="30" s="1"/>
  <c r="X117" i="30"/>
  <c r="X97" i="30"/>
  <c r="X98" i="30" s="1"/>
  <c r="X80" i="30"/>
  <c r="X81" i="30" s="1"/>
  <c r="X87" i="30"/>
  <c r="X91" i="30" s="1"/>
  <c r="X71" i="30"/>
  <c r="X75" i="30" s="1"/>
  <c r="Y108" i="30"/>
  <c r="Y111" i="30" s="1"/>
  <c r="Y31" i="30"/>
  <c r="Y33" i="30" s="1"/>
  <c r="Z30" i="30"/>
  <c r="AH8" i="12"/>
  <c r="AH7" i="12"/>
  <c r="AH2" i="12"/>
  <c r="AC4" i="12"/>
  <c r="AH6" i="12"/>
  <c r="AH5" i="12"/>
  <c r="AH12" i="12"/>
  <c r="AC11" i="12"/>
  <c r="AH3" i="12"/>
  <c r="AC5" i="12"/>
  <c r="AC6" i="12"/>
  <c r="AH10" i="12"/>
  <c r="AH9" i="12"/>
  <c r="AH4" i="12"/>
  <c r="AH11" i="12"/>
  <c r="AC7" i="12"/>
  <c r="F154" i="38"/>
  <c r="F155" i="38" s="1"/>
  <c r="F172" i="38"/>
  <c r="J171" i="38"/>
  <c r="F52" i="38"/>
  <c r="P51" i="13" l="1"/>
  <c r="J69" i="38"/>
  <c r="F137" i="38"/>
  <c r="F138" i="38" s="1"/>
  <c r="J18" i="38"/>
  <c r="F120" i="38"/>
  <c r="J120" i="38" s="1"/>
  <c r="F19" i="38"/>
  <c r="F20" i="38" s="1"/>
  <c r="J35" i="38"/>
  <c r="B40" i="41"/>
  <c r="B41" i="41" s="1"/>
  <c r="B42" i="41" s="1"/>
  <c r="B43" i="41" s="1"/>
  <c r="B44" i="41" s="1"/>
  <c r="B45" i="41" s="1"/>
  <c r="B46" i="41" s="1"/>
  <c r="B47" i="41" s="1"/>
  <c r="B48" i="41" s="1"/>
  <c r="B49" i="41" s="1"/>
  <c r="B50" i="41" s="1"/>
  <c r="H40" i="41"/>
  <c r="H41" i="41" s="1"/>
  <c r="H42" i="41" s="1"/>
  <c r="H43" i="41" s="1"/>
  <c r="H44" i="41" s="1"/>
  <c r="H45" i="41" s="1"/>
  <c r="H46" i="41" s="1"/>
  <c r="H47" i="41" s="1"/>
  <c r="H48" i="41" s="1"/>
  <c r="H49" i="41" s="1"/>
  <c r="H50" i="41" s="1"/>
  <c r="C40" i="41"/>
  <c r="C41" i="41" s="1"/>
  <c r="C42" i="41" s="1"/>
  <c r="C43" i="41" s="1"/>
  <c r="C44" i="41" s="1"/>
  <c r="C45" i="41" s="1"/>
  <c r="C46" i="41" s="1"/>
  <c r="C47" i="41" s="1"/>
  <c r="C48" i="41" s="1"/>
  <c r="C49" i="41" s="1"/>
  <c r="C50" i="41" s="1"/>
  <c r="B52" i="13"/>
  <c r="B55" i="13" s="1"/>
  <c r="F39" i="13" s="1"/>
  <c r="I11" i="41"/>
  <c r="I39" i="41" s="1"/>
  <c r="AC9" i="12"/>
  <c r="E40" i="41"/>
  <c r="E41" i="41" s="1"/>
  <c r="E42" i="41" s="1"/>
  <c r="E43" i="41" s="1"/>
  <c r="E44" i="41" s="1"/>
  <c r="E45" i="41" s="1"/>
  <c r="E46" i="41" s="1"/>
  <c r="E47" i="41" s="1"/>
  <c r="E48" i="41" s="1"/>
  <c r="E49" i="41" s="1"/>
  <c r="E50" i="41" s="1"/>
  <c r="L11" i="41"/>
  <c r="L39" i="41" s="1"/>
  <c r="G40" i="41"/>
  <c r="G41" i="41" s="1"/>
  <c r="G42" i="41" s="1"/>
  <c r="G43" i="41" s="1"/>
  <c r="G44" i="41" s="1"/>
  <c r="G45" i="41" s="1"/>
  <c r="G46" i="41" s="1"/>
  <c r="G47" i="41" s="1"/>
  <c r="G48" i="41" s="1"/>
  <c r="G49" i="41" s="1"/>
  <c r="G50" i="41" s="1"/>
  <c r="F40" i="41"/>
  <c r="F41" i="41" s="1"/>
  <c r="F42" i="41" s="1"/>
  <c r="F43" i="41" s="1"/>
  <c r="F44" i="41" s="1"/>
  <c r="F45" i="41" s="1"/>
  <c r="F46" i="41" s="1"/>
  <c r="F47" i="41" s="1"/>
  <c r="F48" i="41" s="1"/>
  <c r="F49" i="41" s="1"/>
  <c r="F50" i="41" s="1"/>
  <c r="D40" i="41"/>
  <c r="D41" i="41" s="1"/>
  <c r="D42" i="41" s="1"/>
  <c r="D43" i="41" s="1"/>
  <c r="D44" i="41" s="1"/>
  <c r="D45" i="41" s="1"/>
  <c r="D46" i="41" s="1"/>
  <c r="D47" i="41" s="1"/>
  <c r="D48" i="41" s="1"/>
  <c r="D49" i="41" s="1"/>
  <c r="D50" i="41" s="1"/>
  <c r="Y60" i="30"/>
  <c r="Y63" i="30" s="1"/>
  <c r="Y34" i="30"/>
  <c r="Y37" i="30" s="1"/>
  <c r="X118" i="30"/>
  <c r="X119" i="30" s="1"/>
  <c r="X120" i="30" s="1"/>
  <c r="Z57" i="30"/>
  <c r="Z59" i="30" s="1"/>
  <c r="AA56" i="30"/>
  <c r="AH69" i="30"/>
  <c r="AG70" i="30"/>
  <c r="Y117" i="30"/>
  <c r="Y118" i="30" s="1"/>
  <c r="Y119" i="30" s="1"/>
  <c r="Y120" i="30" s="1"/>
  <c r="Y80" i="30"/>
  <c r="Y81" i="30" s="1"/>
  <c r="Y97" i="30"/>
  <c r="Y98" i="30" s="1"/>
  <c r="Y71" i="30"/>
  <c r="Y75" i="30" s="1"/>
  <c r="Y87" i="30"/>
  <c r="Y91" i="30" s="1"/>
  <c r="Z108" i="30"/>
  <c r="Z111" i="30" s="1"/>
  <c r="W122" i="30"/>
  <c r="W121" i="30"/>
  <c r="AA20" i="30"/>
  <c r="Z21" i="30"/>
  <c r="Z23" i="30" s="1"/>
  <c r="Z47" i="30" s="1"/>
  <c r="Z50" i="30" s="1"/>
  <c r="AB45" i="30"/>
  <c r="AA46" i="30"/>
  <c r="AH106" i="30"/>
  <c r="AG107" i="30"/>
  <c r="Z31" i="30"/>
  <c r="Z33" i="30" s="1"/>
  <c r="AA30" i="30"/>
  <c r="AG86" i="30"/>
  <c r="AH85" i="30"/>
  <c r="J154" i="38"/>
  <c r="F37" i="38"/>
  <c r="J36" i="38"/>
  <c r="J52" i="38"/>
  <c r="F53" i="38"/>
  <c r="F103" i="38"/>
  <c r="F86" i="38"/>
  <c r="F156" i="38"/>
  <c r="J155" i="38"/>
  <c r="F71" i="38"/>
  <c r="J70" i="38"/>
  <c r="J172" i="38"/>
  <c r="F173" i="38"/>
  <c r="F121" i="38" l="1"/>
  <c r="J121" i="38" s="1"/>
  <c r="J137" i="38"/>
  <c r="J19" i="38"/>
  <c r="F40" i="13"/>
  <c r="F51" i="41"/>
  <c r="F83" i="41" s="1"/>
  <c r="L40" i="41"/>
  <c r="L41" i="41" s="1"/>
  <c r="L42" i="41" s="1"/>
  <c r="L43" i="41" s="1"/>
  <c r="L44" i="41" s="1"/>
  <c r="L45" i="41" s="1"/>
  <c r="L46" i="41" s="1"/>
  <c r="L47" i="41" s="1"/>
  <c r="L48" i="41" s="1"/>
  <c r="L49" i="41" s="1"/>
  <c r="L50" i="41" s="1"/>
  <c r="C51" i="41"/>
  <c r="D51" i="41"/>
  <c r="E51" i="41"/>
  <c r="H51" i="41"/>
  <c r="I40" i="41"/>
  <c r="I41" i="41" s="1"/>
  <c r="I42" i="41" s="1"/>
  <c r="I43" i="41" s="1"/>
  <c r="I44" i="41" s="1"/>
  <c r="I45" i="41" s="1"/>
  <c r="I46" i="41" s="1"/>
  <c r="I47" i="41" s="1"/>
  <c r="I48" i="41" s="1"/>
  <c r="I49" i="41" s="1"/>
  <c r="I50" i="41" s="1"/>
  <c r="B51" i="41"/>
  <c r="G51" i="41"/>
  <c r="Z34" i="30"/>
  <c r="Z37" i="30" s="1"/>
  <c r="AI69" i="30"/>
  <c r="AH70" i="30"/>
  <c r="AB56" i="30"/>
  <c r="AA57" i="30"/>
  <c r="AA59" i="30" s="1"/>
  <c r="AC45" i="30"/>
  <c r="AB46" i="30"/>
  <c r="Z60" i="30"/>
  <c r="Z63" i="30" s="1"/>
  <c r="AH86" i="30"/>
  <c r="AI85" i="30"/>
  <c r="Z117" i="30"/>
  <c r="Z80" i="30"/>
  <c r="Z81" i="30" s="1"/>
  <c r="Z97" i="30"/>
  <c r="Z98" i="30" s="1"/>
  <c r="Z87" i="30"/>
  <c r="Z91" i="30" s="1"/>
  <c r="Z71" i="30"/>
  <c r="Z75" i="30" s="1"/>
  <c r="AA108" i="30"/>
  <c r="AA111" i="30" s="1"/>
  <c r="X122" i="30"/>
  <c r="X121" i="30"/>
  <c r="AB20" i="30"/>
  <c r="AA21" i="30"/>
  <c r="AA23" i="30" s="1"/>
  <c r="AA47" i="30" s="1"/>
  <c r="AA50" i="30" s="1"/>
  <c r="AI106" i="30"/>
  <c r="AH107" i="30"/>
  <c r="AB30" i="30"/>
  <c r="AA31" i="30"/>
  <c r="AA33" i="30" s="1"/>
  <c r="Y121" i="30"/>
  <c r="Y122" i="30"/>
  <c r="J37" i="38"/>
  <c r="F38" i="38"/>
  <c r="F21" i="38"/>
  <c r="J20" i="38"/>
  <c r="J86" i="38"/>
  <c r="F87" i="38"/>
  <c r="F174" i="38"/>
  <c r="J173" i="38"/>
  <c r="F54" i="38"/>
  <c r="J53" i="38"/>
  <c r="J156" i="38"/>
  <c r="F157" i="38"/>
  <c r="F139" i="38"/>
  <c r="J138" i="38"/>
  <c r="J71" i="38"/>
  <c r="F72" i="38"/>
  <c r="F104" i="38"/>
  <c r="J103" i="38"/>
  <c r="F122" i="38" l="1"/>
  <c r="F41" i="13"/>
  <c r="F84" i="41"/>
  <c r="F104" i="41" s="1"/>
  <c r="H84" i="41"/>
  <c r="H104" i="41" s="1"/>
  <c r="H83" i="41"/>
  <c r="G83" i="41"/>
  <c r="G84" i="41"/>
  <c r="G104" i="41" s="1"/>
  <c r="E84" i="41"/>
  <c r="E104" i="41" s="1"/>
  <c r="E83" i="41"/>
  <c r="D84" i="41"/>
  <c r="D104" i="41" s="1"/>
  <c r="D83" i="41"/>
  <c r="B84" i="41"/>
  <c r="B104" i="41" s="1"/>
  <c r="B83" i="41"/>
  <c r="C84" i="41"/>
  <c r="C104" i="41" s="1"/>
  <c r="C83" i="41"/>
  <c r="I51" i="41"/>
  <c r="L51" i="41"/>
  <c r="AC46" i="30"/>
  <c r="AD45" i="30"/>
  <c r="AJ106" i="30"/>
  <c r="AI107" i="30"/>
  <c r="AC20" i="30"/>
  <c r="AB21" i="30"/>
  <c r="AB23" i="30" s="1"/>
  <c r="AC56" i="30"/>
  <c r="AB57" i="30"/>
  <c r="AB59" i="30" s="1"/>
  <c r="Z118" i="30"/>
  <c r="Z119" i="30" s="1"/>
  <c r="Z120" i="30" s="1"/>
  <c r="AA34" i="30"/>
  <c r="AA37" i="30" s="1"/>
  <c r="AI86" i="30"/>
  <c r="AJ85" i="30"/>
  <c r="AA97" i="30"/>
  <c r="AA98" i="30" s="1"/>
  <c r="AA80" i="30"/>
  <c r="AA81" i="30" s="1"/>
  <c r="AA117" i="30"/>
  <c r="AA87" i="30"/>
  <c r="AA91" i="30" s="1"/>
  <c r="AA71" i="30"/>
  <c r="AA75" i="30" s="1"/>
  <c r="AB108" i="30"/>
  <c r="AB111" i="30" s="1"/>
  <c r="AC30" i="30"/>
  <c r="AB31" i="30"/>
  <c r="AB33" i="30" s="1"/>
  <c r="AI70" i="30"/>
  <c r="AJ69" i="30"/>
  <c r="AA60" i="30"/>
  <c r="AA63" i="30" s="1"/>
  <c r="F39" i="38"/>
  <c r="J38" i="38"/>
  <c r="J87" i="38"/>
  <c r="F88" i="38"/>
  <c r="F105" i="38"/>
  <c r="J104" i="38"/>
  <c r="F55" i="38"/>
  <c r="J54" i="38"/>
  <c r="J122" i="38"/>
  <c r="F123" i="38"/>
  <c r="J72" i="38"/>
  <c r="F73" i="38"/>
  <c r="J157" i="38"/>
  <c r="F158" i="38"/>
  <c r="J139" i="38"/>
  <c r="F140" i="38"/>
  <c r="J174" i="38"/>
  <c r="F175" i="38"/>
  <c r="J21" i="38"/>
  <c r="F22" i="38"/>
  <c r="F42" i="13" l="1"/>
  <c r="I84" i="41"/>
  <c r="I104" i="41" s="1"/>
  <c r="I83" i="41"/>
  <c r="AB34" i="30"/>
  <c r="AB37" i="30" s="1"/>
  <c r="AB60" i="30"/>
  <c r="AB63" i="30" s="1"/>
  <c r="AD56" i="30"/>
  <c r="AC57" i="30"/>
  <c r="AC59" i="30" s="1"/>
  <c r="AK85" i="30"/>
  <c r="AJ86" i="30"/>
  <c r="AB47" i="30"/>
  <c r="AB50" i="30" s="1"/>
  <c r="AB97" i="30"/>
  <c r="AB98" i="30" s="1"/>
  <c r="AB80" i="30"/>
  <c r="AB81" i="30" s="1"/>
  <c r="AB117" i="30"/>
  <c r="AB71" i="30"/>
  <c r="AB75" i="30" s="1"/>
  <c r="AB87" i="30"/>
  <c r="AB91" i="30" s="1"/>
  <c r="AC108" i="30"/>
  <c r="AC111" i="30" s="1"/>
  <c r="AD30" i="30"/>
  <c r="AC31" i="30"/>
  <c r="AC33" i="30" s="1"/>
  <c r="AK106" i="30"/>
  <c r="AJ107" i="30"/>
  <c r="AD20" i="30"/>
  <c r="AC21" i="30"/>
  <c r="AC23" i="30" s="1"/>
  <c r="AC47" i="30" s="1"/>
  <c r="AC50" i="30" s="1"/>
  <c r="Z122" i="30"/>
  <c r="Z121" i="30"/>
  <c r="AD46" i="30"/>
  <c r="AE45" i="30"/>
  <c r="AK69" i="30"/>
  <c r="AJ70" i="30"/>
  <c r="AA118" i="30"/>
  <c r="AA119" i="30" s="1"/>
  <c r="AA120" i="30" s="1"/>
  <c r="F40" i="38"/>
  <c r="J39" i="38"/>
  <c r="F159" i="38"/>
  <c r="J158" i="38"/>
  <c r="F124" i="38"/>
  <c r="J123" i="38"/>
  <c r="J105" i="38"/>
  <c r="F106" i="38"/>
  <c r="J175" i="38"/>
  <c r="F176" i="38"/>
  <c r="F23" i="38"/>
  <c r="J22" i="38"/>
  <c r="J140" i="38"/>
  <c r="F141" i="38"/>
  <c r="J73" i="38"/>
  <c r="F74" i="38"/>
  <c r="F89" i="38"/>
  <c r="J88" i="38"/>
  <c r="F56" i="38"/>
  <c r="J55" i="38"/>
  <c r="L108" i="41" l="1"/>
  <c r="L122" i="41" s="1"/>
  <c r="L69" i="41" s="1"/>
  <c r="AB39" i="13"/>
  <c r="F43" i="13"/>
  <c r="J108" i="41"/>
  <c r="J122" i="41" s="1"/>
  <c r="AE30" i="30"/>
  <c r="AD31" i="30"/>
  <c r="AD33" i="30" s="1"/>
  <c r="AE20" i="30"/>
  <c r="AD21" i="30"/>
  <c r="AD23" i="30" s="1"/>
  <c r="AB118" i="30"/>
  <c r="AB119" i="30" s="1"/>
  <c r="AB120" i="30" s="1"/>
  <c r="AC60" i="30"/>
  <c r="AC63" i="30" s="1"/>
  <c r="AC80" i="30"/>
  <c r="AC81" i="30" s="1"/>
  <c r="AC97" i="30"/>
  <c r="AC98" i="30" s="1"/>
  <c r="AC117" i="30"/>
  <c r="AC71" i="30"/>
  <c r="AC75" i="30" s="1"/>
  <c r="AC87" i="30"/>
  <c r="AC91" i="30" s="1"/>
  <c r="AD108" i="30"/>
  <c r="AD111" i="30" s="1"/>
  <c r="AL85" i="30"/>
  <c r="AL86" i="30" s="1"/>
  <c r="AK86" i="30"/>
  <c r="AE56" i="30"/>
  <c r="AD57" i="30"/>
  <c r="AD59" i="30" s="1"/>
  <c r="AK70" i="30"/>
  <c r="AL69" i="30"/>
  <c r="AL70" i="30" s="1"/>
  <c r="AL106" i="30"/>
  <c r="AL107" i="30" s="1"/>
  <c r="AK107" i="30"/>
  <c r="AA121" i="30"/>
  <c r="AA122" i="30"/>
  <c r="AF45" i="30"/>
  <c r="AE46" i="30"/>
  <c r="AC34" i="30"/>
  <c r="AC37" i="30" s="1"/>
  <c r="F41" i="38"/>
  <c r="J40" i="38"/>
  <c r="J141" i="38"/>
  <c r="F142" i="38"/>
  <c r="F177" i="38"/>
  <c r="J176" i="38"/>
  <c r="J124" i="38"/>
  <c r="F125" i="38"/>
  <c r="J106" i="38"/>
  <c r="F107" i="38"/>
  <c r="F90" i="38"/>
  <c r="J89" i="38"/>
  <c r="J74" i="38"/>
  <c r="F75" i="38"/>
  <c r="J56" i="38"/>
  <c r="F57" i="38"/>
  <c r="F24" i="38"/>
  <c r="J23" i="38"/>
  <c r="J159" i="38"/>
  <c r="F160" i="38"/>
  <c r="B12" i="40" l="1"/>
  <c r="G39" i="13" s="1"/>
  <c r="B44" i="13" s="1"/>
  <c r="L109" i="41"/>
  <c r="L123" i="41" s="1"/>
  <c r="AB40" i="13"/>
  <c r="AD40" i="13" s="1"/>
  <c r="AD39" i="13"/>
  <c r="F44" i="13"/>
  <c r="C12" i="40"/>
  <c r="G40" i="13" s="1"/>
  <c r="L70" i="41"/>
  <c r="J109" i="41"/>
  <c r="J123" i="41" s="1"/>
  <c r="AD97" i="30"/>
  <c r="AD98" i="30" s="1"/>
  <c r="AD117" i="30"/>
  <c r="AD80" i="30"/>
  <c r="AD81" i="30" s="1"/>
  <c r="AD71" i="30"/>
  <c r="AD75" i="30" s="1"/>
  <c r="AD87" i="30"/>
  <c r="AD91" i="30" s="1"/>
  <c r="AE108" i="30"/>
  <c r="AE111" i="30" s="1"/>
  <c r="AG45" i="30"/>
  <c r="AF46" i="30"/>
  <c r="AD60" i="30"/>
  <c r="AD63" i="30" s="1"/>
  <c r="AF20" i="30"/>
  <c r="AE21" i="30"/>
  <c r="AE23" i="30" s="1"/>
  <c r="AE47" i="30" s="1"/>
  <c r="AE50" i="30" s="1"/>
  <c r="AB122" i="30"/>
  <c r="AB121" i="30"/>
  <c r="AE57" i="30"/>
  <c r="AE59" i="30" s="1"/>
  <c r="AF56" i="30"/>
  <c r="AC118" i="30"/>
  <c r="AC119" i="30" s="1"/>
  <c r="AC120" i="30" s="1"/>
  <c r="AD34" i="30"/>
  <c r="AD37" i="30" s="1"/>
  <c r="AF30" i="30"/>
  <c r="AE31" i="30"/>
  <c r="AE33" i="30" s="1"/>
  <c r="AD47" i="30"/>
  <c r="AD50" i="30" s="1"/>
  <c r="D1" i="31"/>
  <c r="J41" i="38"/>
  <c r="F42" i="38"/>
  <c r="F126" i="38"/>
  <c r="J125" i="38"/>
  <c r="J177" i="38"/>
  <c r="F178" i="38"/>
  <c r="J57" i="38"/>
  <c r="F58" i="38"/>
  <c r="F25" i="38"/>
  <c r="J24" i="38"/>
  <c r="F91" i="38"/>
  <c r="J90" i="38"/>
  <c r="F143" i="38"/>
  <c r="J142" i="38"/>
  <c r="J160" i="38"/>
  <c r="F161" i="38"/>
  <c r="J75" i="38"/>
  <c r="F76" i="38"/>
  <c r="F108" i="38"/>
  <c r="J107" i="38"/>
  <c r="H39" i="13" l="1"/>
  <c r="L110" i="41"/>
  <c r="L124" i="41" s="1"/>
  <c r="D12" i="40" s="1"/>
  <c r="G41" i="13" s="1"/>
  <c r="AB41" i="13"/>
  <c r="R40" i="13"/>
  <c r="H40" i="13"/>
  <c r="AE34" i="30"/>
  <c r="AE37" i="30" s="1"/>
  <c r="F45" i="13"/>
  <c r="L71" i="41"/>
  <c r="J110" i="41"/>
  <c r="J124" i="41" s="1"/>
  <c r="AE60" i="30"/>
  <c r="AE63" i="30" s="1"/>
  <c r="AC122" i="30"/>
  <c r="AC121" i="30"/>
  <c r="AG20" i="30"/>
  <c r="AF21" i="30"/>
  <c r="AF23" i="30" s="1"/>
  <c r="AD118" i="30"/>
  <c r="AD119" i="30" s="1"/>
  <c r="AD120" i="30" s="1"/>
  <c r="AH45" i="30"/>
  <c r="AG46" i="30"/>
  <c r="AG56" i="30"/>
  <c r="AF57" i="30"/>
  <c r="AF59" i="30" s="1"/>
  <c r="AF31" i="30"/>
  <c r="AF33" i="30" s="1"/>
  <c r="AG30" i="30"/>
  <c r="AE97" i="30"/>
  <c r="AE98" i="30" s="1"/>
  <c r="AE80" i="30"/>
  <c r="AE81" i="30" s="1"/>
  <c r="AE117" i="30"/>
  <c r="AE87" i="30"/>
  <c r="AE91" i="30" s="1"/>
  <c r="AE71" i="30"/>
  <c r="AE75" i="30" s="1"/>
  <c r="AF108" i="30"/>
  <c r="AF111" i="30" s="1"/>
  <c r="AD4" i="12"/>
  <c r="AI4" i="12"/>
  <c r="AJ4" i="12" s="1"/>
  <c r="AD8" i="12"/>
  <c r="AI8" i="12"/>
  <c r="AJ8" i="12" s="1"/>
  <c r="AD3" i="12"/>
  <c r="AI3" i="12"/>
  <c r="AJ3" i="12" s="1"/>
  <c r="AD11" i="12"/>
  <c r="AI11" i="12"/>
  <c r="AI2" i="12"/>
  <c r="AJ2" i="12" s="1"/>
  <c r="AD9" i="12"/>
  <c r="AI9" i="12"/>
  <c r="AD6" i="12"/>
  <c r="AI6" i="12"/>
  <c r="AJ6" i="12" s="1"/>
  <c r="AD5" i="12"/>
  <c r="AI5" i="12"/>
  <c r="AD7" i="12"/>
  <c r="AI7" i="12"/>
  <c r="AJ7" i="12" s="1"/>
  <c r="F43" i="38"/>
  <c r="J42" i="38"/>
  <c r="F162" i="38"/>
  <c r="J161" i="38"/>
  <c r="J25" i="38"/>
  <c r="F26" i="38"/>
  <c r="F144" i="38"/>
  <c r="J143" i="38"/>
  <c r="F179" i="38"/>
  <c r="J178" i="38"/>
  <c r="F109" i="38"/>
  <c r="J108" i="38"/>
  <c r="J58" i="38"/>
  <c r="F59" i="38"/>
  <c r="F77" i="38"/>
  <c r="J76" i="38"/>
  <c r="F92" i="38"/>
  <c r="J91" i="38"/>
  <c r="J126" i="38"/>
  <c r="F127" i="38"/>
  <c r="AD41" i="13" l="1"/>
  <c r="L111" i="41"/>
  <c r="L125" i="41" s="1"/>
  <c r="AB42" i="13"/>
  <c r="AD42" i="13" s="1"/>
  <c r="H41" i="13"/>
  <c r="R41" i="13"/>
  <c r="F46" i="13"/>
  <c r="L72" i="41"/>
  <c r="E12" i="40"/>
  <c r="G42" i="13" s="1"/>
  <c r="J111" i="41"/>
  <c r="J125" i="41" s="1"/>
  <c r="AF34" i="30"/>
  <c r="AF37" i="30" s="1"/>
  <c r="AF60" i="30"/>
  <c r="AF63" i="30" s="1"/>
  <c r="AD122" i="30"/>
  <c r="AD121" i="30"/>
  <c r="AE118" i="30"/>
  <c r="AE119" i="30" s="1"/>
  <c r="AE120" i="30" s="1"/>
  <c r="AH46" i="30"/>
  <c r="AI45" i="30"/>
  <c r="AH30" i="30"/>
  <c r="AG31" i="30"/>
  <c r="AG33" i="30" s="1"/>
  <c r="AF87" i="30"/>
  <c r="AF91" i="30" s="1"/>
  <c r="AF97" i="30"/>
  <c r="AF98" i="30" s="1"/>
  <c r="AF80" i="30"/>
  <c r="AF81" i="30" s="1"/>
  <c r="AF117" i="30"/>
  <c r="AF71" i="30"/>
  <c r="AF75" i="30" s="1"/>
  <c r="AG108" i="30"/>
  <c r="AG111" i="30" s="1"/>
  <c r="AH20" i="30"/>
  <c r="AG21" i="30"/>
  <c r="AG23" i="30" s="1"/>
  <c r="AG57" i="30"/>
  <c r="AG59" i="30" s="1"/>
  <c r="AH56" i="30"/>
  <c r="AF47" i="30"/>
  <c r="AF50" i="30" s="1"/>
  <c r="F44" i="38"/>
  <c r="J43" i="38"/>
  <c r="F93" i="38"/>
  <c r="J92" i="38"/>
  <c r="F27" i="38"/>
  <c r="J26" i="38"/>
  <c r="F128" i="38"/>
  <c r="J127" i="38"/>
  <c r="F78" i="38"/>
  <c r="J77" i="38"/>
  <c r="F180" i="38"/>
  <c r="J179" i="38"/>
  <c r="F60" i="38"/>
  <c r="J59" i="38"/>
  <c r="F110" i="38"/>
  <c r="J109" i="38"/>
  <c r="J144" i="38"/>
  <c r="F145" i="38"/>
  <c r="F163" i="38"/>
  <c r="J162" i="38"/>
  <c r="L112" i="41" l="1"/>
  <c r="L126" i="41" s="1"/>
  <c r="F12" i="40" s="1"/>
  <c r="G43" i="13" s="1"/>
  <c r="AB43" i="13"/>
  <c r="AD43" i="13" s="1"/>
  <c r="R42" i="13"/>
  <c r="H42" i="13"/>
  <c r="F47" i="13"/>
  <c r="J112" i="41"/>
  <c r="J126" i="41" s="1"/>
  <c r="AE121" i="30"/>
  <c r="AE122" i="30"/>
  <c r="AI20" i="30"/>
  <c r="AH21" i="30"/>
  <c r="AH23" i="30" s="1"/>
  <c r="AH47" i="30" s="1"/>
  <c r="AH50" i="30" s="1"/>
  <c r="AI30" i="30"/>
  <c r="AH31" i="30"/>
  <c r="AH33" i="30" s="1"/>
  <c r="AG47" i="30"/>
  <c r="AG50" i="30" s="1"/>
  <c r="AG80" i="30"/>
  <c r="AG81" i="30" s="1"/>
  <c r="AG97" i="30"/>
  <c r="AG98" i="30" s="1"/>
  <c r="AG117" i="30"/>
  <c r="AG87" i="30"/>
  <c r="AG91" i="30" s="1"/>
  <c r="AG71" i="30"/>
  <c r="AG75" i="30" s="1"/>
  <c r="AH108" i="30"/>
  <c r="AH111" i="30" s="1"/>
  <c r="AF118" i="30"/>
  <c r="AF119" i="30" s="1"/>
  <c r="AF120" i="30" s="1"/>
  <c r="AI46" i="30"/>
  <c r="AJ45" i="30"/>
  <c r="AG34" i="30"/>
  <c r="AG37" i="30" s="1"/>
  <c r="AH57" i="30"/>
  <c r="AH59" i="30" s="1"/>
  <c r="AI56" i="30"/>
  <c r="AG60" i="30"/>
  <c r="AG63" i="30" s="1"/>
  <c r="F45" i="38"/>
  <c r="J44" i="38"/>
  <c r="F164" i="38"/>
  <c r="J163" i="38"/>
  <c r="F111" i="38"/>
  <c r="J110" i="38"/>
  <c r="F79" i="38"/>
  <c r="J78" i="38"/>
  <c r="F28" i="38"/>
  <c r="J27" i="38"/>
  <c r="J145" i="38"/>
  <c r="F146" i="38"/>
  <c r="J180" i="38"/>
  <c r="F181" i="38"/>
  <c r="J128" i="38"/>
  <c r="F129" i="38"/>
  <c r="F61" i="38"/>
  <c r="J60" i="38"/>
  <c r="F94" i="38"/>
  <c r="J93" i="38"/>
  <c r="L73" i="41" l="1"/>
  <c r="L113" i="41"/>
  <c r="L127" i="41" s="1"/>
  <c r="G12" i="40" s="1"/>
  <c r="G44" i="13" s="1"/>
  <c r="AB44" i="13"/>
  <c r="R43" i="13"/>
  <c r="H43" i="13"/>
  <c r="F48" i="13"/>
  <c r="J113" i="41"/>
  <c r="J127" i="41" s="1"/>
  <c r="AH34" i="30"/>
  <c r="AH37" i="30" s="1"/>
  <c r="AH60" i="30"/>
  <c r="AH63" i="30" s="1"/>
  <c r="AF121" i="30"/>
  <c r="AF122" i="30"/>
  <c r="AJ56" i="30"/>
  <c r="AI57" i="30"/>
  <c r="AI59" i="30" s="1"/>
  <c r="AI31" i="30"/>
  <c r="AI33" i="30" s="1"/>
  <c r="AJ30" i="30"/>
  <c r="AH80" i="30"/>
  <c r="AH81" i="30" s="1"/>
  <c r="AH97" i="30"/>
  <c r="AH98" i="30" s="1"/>
  <c r="AH117" i="30"/>
  <c r="AH71" i="30"/>
  <c r="AH75" i="30" s="1"/>
  <c r="AH87" i="30"/>
  <c r="AH91" i="30" s="1"/>
  <c r="AI108" i="30"/>
  <c r="AI111" i="30" s="1"/>
  <c r="AJ20" i="30"/>
  <c r="AI21" i="30"/>
  <c r="AI23" i="30" s="1"/>
  <c r="AI47" i="30" s="1"/>
  <c r="AI50" i="30" s="1"/>
  <c r="AK45" i="30"/>
  <c r="AJ46" i="30"/>
  <c r="AG118" i="30"/>
  <c r="AG119" i="30" s="1"/>
  <c r="AG120" i="30" s="1"/>
  <c r="J45" i="38"/>
  <c r="F46" i="38"/>
  <c r="J28" i="38"/>
  <c r="F29" i="38"/>
  <c r="F95" i="38"/>
  <c r="J94" i="38"/>
  <c r="J129" i="38"/>
  <c r="F130" i="38"/>
  <c r="F147" i="38"/>
  <c r="J146" i="38"/>
  <c r="F112" i="38"/>
  <c r="J111" i="38"/>
  <c r="J79" i="38"/>
  <c r="F80" i="38"/>
  <c r="J61" i="38"/>
  <c r="F62" i="38"/>
  <c r="J181" i="38"/>
  <c r="F182" i="38"/>
  <c r="F165" i="38"/>
  <c r="J164" i="38"/>
  <c r="L74" i="41" l="1"/>
  <c r="L114" i="41"/>
  <c r="L128" i="41" s="1"/>
  <c r="L75" i="41" s="1"/>
  <c r="AB45" i="13"/>
  <c r="AD45" i="13" s="1"/>
  <c r="AD44" i="13"/>
  <c r="R44" i="13"/>
  <c r="H44" i="13"/>
  <c r="F49" i="13"/>
  <c r="J114" i="41"/>
  <c r="J128" i="41" s="1"/>
  <c r="AL45" i="30"/>
  <c r="AL46" i="30" s="1"/>
  <c r="AK46" i="30"/>
  <c r="AJ31" i="30"/>
  <c r="AJ33" i="30" s="1"/>
  <c r="AK30" i="30"/>
  <c r="AI34" i="30"/>
  <c r="AI37" i="30" s="1"/>
  <c r="AI60" i="30"/>
  <c r="AI63" i="30" s="1"/>
  <c r="AK20" i="30"/>
  <c r="AJ21" i="30"/>
  <c r="AK56" i="30"/>
  <c r="AJ57" i="30"/>
  <c r="AJ59" i="30" s="1"/>
  <c r="AG121" i="30"/>
  <c r="AG122" i="30"/>
  <c r="AI97" i="30"/>
  <c r="AI98" i="30" s="1"/>
  <c r="AI80" i="30"/>
  <c r="AI81" i="30" s="1"/>
  <c r="AI117" i="30"/>
  <c r="AI71" i="30"/>
  <c r="AI75" i="30" s="1"/>
  <c r="AI87" i="30"/>
  <c r="AI91" i="30" s="1"/>
  <c r="AJ108" i="30"/>
  <c r="AJ111" i="30" s="1"/>
  <c r="AH118" i="30"/>
  <c r="AH119" i="30" s="1"/>
  <c r="AH120" i="30" s="1"/>
  <c r="F47" i="38"/>
  <c r="J46" i="38"/>
  <c r="F183" i="38"/>
  <c r="J182" i="38"/>
  <c r="F81" i="38"/>
  <c r="J80" i="38"/>
  <c r="F30" i="38"/>
  <c r="J29" i="38"/>
  <c r="F63" i="38"/>
  <c r="J62" i="38"/>
  <c r="J130" i="38"/>
  <c r="F131" i="38"/>
  <c r="F113" i="38"/>
  <c r="J112" i="38"/>
  <c r="J165" i="38"/>
  <c r="F166" i="38"/>
  <c r="J147" i="38"/>
  <c r="F148" i="38"/>
  <c r="J95" i="38"/>
  <c r="F96" i="38"/>
  <c r="H12" i="40" l="1"/>
  <c r="G45" i="13" s="1"/>
  <c r="H45" i="13" s="1"/>
  <c r="L115" i="41"/>
  <c r="L129" i="41" s="1"/>
  <c r="AB46" i="13"/>
  <c r="R45" i="13"/>
  <c r="F50" i="13"/>
  <c r="L76" i="41"/>
  <c r="I12" i="40"/>
  <c r="G46" i="13" s="1"/>
  <c r="J115" i="41"/>
  <c r="J129" i="41" s="1"/>
  <c r="AH121" i="30"/>
  <c r="AH122" i="30"/>
  <c r="AI118" i="30"/>
  <c r="AI119" i="30" s="1"/>
  <c r="AI120" i="30" s="1"/>
  <c r="AL30" i="30"/>
  <c r="AL31" i="30" s="1"/>
  <c r="AL33" i="30" s="1"/>
  <c r="AK31" i="30"/>
  <c r="AK33" i="30" s="1"/>
  <c r="AL20" i="30"/>
  <c r="AL21" i="30" s="1"/>
  <c r="AK21" i="30"/>
  <c r="AL56" i="30"/>
  <c r="AL57" i="30" s="1"/>
  <c r="AL59" i="30" s="1"/>
  <c r="AK57" i="30"/>
  <c r="AK59" i="30" s="1"/>
  <c r="AJ117" i="30"/>
  <c r="AJ23" i="30"/>
  <c r="AJ34" i="30" s="1"/>
  <c r="AJ37" i="30" s="1"/>
  <c r="J47" i="38"/>
  <c r="F48" i="38"/>
  <c r="F114" i="38"/>
  <c r="J113" i="38"/>
  <c r="J81" i="38"/>
  <c r="F82" i="38"/>
  <c r="F149" i="38"/>
  <c r="J148" i="38"/>
  <c r="F97" i="38"/>
  <c r="J96" i="38"/>
  <c r="F167" i="38"/>
  <c r="J166" i="38"/>
  <c r="J131" i="38"/>
  <c r="F132" i="38"/>
  <c r="J63" i="38"/>
  <c r="F64" i="38"/>
  <c r="J30" i="38"/>
  <c r="F31" i="38"/>
  <c r="F184" i="38"/>
  <c r="J183" i="38"/>
  <c r="L116" i="41" l="1"/>
  <c r="L130" i="41" s="1"/>
  <c r="L77" i="41" s="1"/>
  <c r="AB47" i="13"/>
  <c r="AD47" i="13" s="1"/>
  <c r="AD46" i="13"/>
  <c r="H46" i="13"/>
  <c r="R46" i="13"/>
  <c r="F51" i="13"/>
  <c r="J116" i="41"/>
  <c r="J130" i="41" s="1"/>
  <c r="AI121" i="30"/>
  <c r="AI122" i="30"/>
  <c r="AJ60" i="30"/>
  <c r="AJ63" i="30" s="1"/>
  <c r="AJ118" i="30"/>
  <c r="AJ119" i="30" s="1"/>
  <c r="AJ120" i="30"/>
  <c r="AK117" i="30"/>
  <c r="AK23" i="30"/>
  <c r="AK34" i="30" s="1"/>
  <c r="AK37" i="30" s="1"/>
  <c r="AL23" i="30"/>
  <c r="AL34" i="30" s="1"/>
  <c r="AL37" i="30" s="1"/>
  <c r="AL117" i="30"/>
  <c r="AJ97" i="30"/>
  <c r="AJ98" i="30" s="1"/>
  <c r="AJ80" i="30"/>
  <c r="AJ81" i="30" s="1"/>
  <c r="AJ71" i="30"/>
  <c r="AJ75" i="30" s="1"/>
  <c r="AJ87" i="30"/>
  <c r="AJ91" i="30" s="1"/>
  <c r="AK108" i="30"/>
  <c r="AK111" i="30" s="1"/>
  <c r="AJ47" i="30"/>
  <c r="AJ50" i="30" s="1"/>
  <c r="F49" i="38"/>
  <c r="J48" i="38"/>
  <c r="F32" i="38"/>
  <c r="J31" i="38"/>
  <c r="F83" i="38"/>
  <c r="J82" i="38"/>
  <c r="F98" i="38"/>
  <c r="J97" i="38"/>
  <c r="J132" i="38"/>
  <c r="F133" i="38"/>
  <c r="F65" i="38"/>
  <c r="J64" i="38"/>
  <c r="J184" i="38"/>
  <c r="F185" i="38"/>
  <c r="F168" i="38"/>
  <c r="J167" i="38"/>
  <c r="F150" i="38"/>
  <c r="J149" i="38"/>
  <c r="F115" i="38"/>
  <c r="J114" i="38"/>
  <c r="J12" i="40" l="1"/>
  <c r="G47" i="13" s="1"/>
  <c r="H47" i="13" s="1"/>
  <c r="L117" i="41"/>
  <c r="L131" i="41" s="1"/>
  <c r="L78" i="41" s="1"/>
  <c r="AB48" i="13"/>
  <c r="AD48" i="13" s="1"/>
  <c r="K12" i="40"/>
  <c r="G48" i="13" s="1"/>
  <c r="J117" i="41"/>
  <c r="J131" i="41" s="1"/>
  <c r="AL118" i="30"/>
  <c r="AL119" i="30" s="1"/>
  <c r="AL120" i="30"/>
  <c r="AJ121" i="30"/>
  <c r="AJ122" i="30"/>
  <c r="AL80" i="30"/>
  <c r="AL81" i="30" s="1"/>
  <c r="AL97" i="30"/>
  <c r="AL98" i="30" s="1"/>
  <c r="AL71" i="30"/>
  <c r="AL75" i="30" s="1"/>
  <c r="AL87" i="30"/>
  <c r="AL91" i="30" s="1"/>
  <c r="AL47" i="30"/>
  <c r="AL50" i="30" s="1"/>
  <c r="AK97" i="30"/>
  <c r="AK98" i="30" s="1"/>
  <c r="AK80" i="30"/>
  <c r="AK81" i="30" s="1"/>
  <c r="AK87" i="30"/>
  <c r="AK91" i="30" s="1"/>
  <c r="AK71" i="30"/>
  <c r="AK75" i="30" s="1"/>
  <c r="AL108" i="30"/>
  <c r="AL111" i="30" s="1"/>
  <c r="AK47" i="30"/>
  <c r="AK50" i="30" s="1"/>
  <c r="AK118" i="30"/>
  <c r="AK119" i="30" s="1"/>
  <c r="AK120" i="30"/>
  <c r="AK60" i="30"/>
  <c r="AK63" i="30" s="1"/>
  <c r="AL60" i="30"/>
  <c r="AL63" i="30" s="1"/>
  <c r="F50" i="38"/>
  <c r="J50" i="38" s="1"/>
  <c r="J49" i="38"/>
  <c r="J133" i="38"/>
  <c r="F134" i="38"/>
  <c r="J83" i="38"/>
  <c r="F84" i="38"/>
  <c r="J84" i="38" s="1"/>
  <c r="J185" i="38"/>
  <c r="F186" i="38"/>
  <c r="J186" i="38" s="1"/>
  <c r="F151" i="38"/>
  <c r="J150" i="38"/>
  <c r="J115" i="38"/>
  <c r="F116" i="38"/>
  <c r="F169" i="38"/>
  <c r="J169" i="38" s="1"/>
  <c r="J168" i="38"/>
  <c r="F66" i="38"/>
  <c r="J65" i="38"/>
  <c r="F99" i="38"/>
  <c r="J98" i="38"/>
  <c r="F33" i="38"/>
  <c r="J33" i="38" s="1"/>
  <c r="J32" i="38"/>
  <c r="R47" i="13" l="1"/>
  <c r="L119" i="41"/>
  <c r="L133" i="41" s="1"/>
  <c r="L80" i="41" s="1"/>
  <c r="AB50" i="13"/>
  <c r="L118" i="41"/>
  <c r="L132" i="41" s="1"/>
  <c r="L12" i="40" s="1"/>
  <c r="G49" i="13" s="1"/>
  <c r="AB49" i="13"/>
  <c r="AD49" i="13" s="1"/>
  <c r="R48" i="13"/>
  <c r="H48" i="13"/>
  <c r="AC12" i="12"/>
  <c r="J118" i="41"/>
  <c r="J132" i="41" s="1"/>
  <c r="J119" i="41"/>
  <c r="J133" i="41" s="1"/>
  <c r="AL122" i="30"/>
  <c r="AL121" i="30"/>
  <c r="AK122" i="30"/>
  <c r="AK121" i="30"/>
  <c r="L50" i="38"/>
  <c r="L52" i="38" s="1"/>
  <c r="L84" i="38"/>
  <c r="L186" i="38"/>
  <c r="L169" i="38"/>
  <c r="AE10" i="12" s="1"/>
  <c r="J99" i="38"/>
  <c r="F100" i="38"/>
  <c r="J134" i="38"/>
  <c r="F135" i="38"/>
  <c r="J135" i="38" s="1"/>
  <c r="F152" i="38"/>
  <c r="J152" i="38" s="1"/>
  <c r="J151" i="38"/>
  <c r="J116" i="38"/>
  <c r="F117" i="38"/>
  <c r="L33" i="38"/>
  <c r="L34" i="38" s="1"/>
  <c r="F67" i="38"/>
  <c r="J67" i="38" s="1"/>
  <c r="J66" i="38"/>
  <c r="M12" i="40" l="1"/>
  <c r="G50" i="13" s="1"/>
  <c r="G51" i="13" s="1"/>
  <c r="L79" i="41"/>
  <c r="L81" i="41" s="1"/>
  <c r="L134" i="41"/>
  <c r="AD50" i="13"/>
  <c r="AD51" i="13" s="1"/>
  <c r="AB51" i="13"/>
  <c r="B71" i="13" s="1"/>
  <c r="B72" i="13" s="1"/>
  <c r="H49" i="13"/>
  <c r="R49" i="13"/>
  <c r="AC10" i="12"/>
  <c r="AD10" i="12" s="1"/>
  <c r="J134" i="41"/>
  <c r="J83" i="41" s="1"/>
  <c r="AG11" i="12"/>
  <c r="AJ11" i="12" s="1"/>
  <c r="AG10" i="12"/>
  <c r="AE12" i="12"/>
  <c r="AG12" i="12" s="1"/>
  <c r="L152" i="38"/>
  <c r="L135" i="38"/>
  <c r="J117" i="38"/>
  <c r="F118" i="38"/>
  <c r="J118" i="38" s="1"/>
  <c r="L67" i="38"/>
  <c r="F101" i="38"/>
  <c r="J101" i="38" s="1"/>
  <c r="J100" i="38"/>
  <c r="H50" i="13" l="1"/>
  <c r="H51" i="13" s="1"/>
  <c r="R50" i="13"/>
  <c r="N12" i="40"/>
  <c r="L84" i="41"/>
  <c r="L104" i="41" s="1"/>
  <c r="L83" i="41"/>
  <c r="AI10" i="12"/>
  <c r="AJ10" i="12" s="1"/>
  <c r="B56" i="13"/>
  <c r="L118" i="38"/>
  <c r="L101" i="38"/>
  <c r="AG9" i="12" l="1"/>
  <c r="AJ9" i="12" s="1"/>
  <c r="AG5" i="12" l="1"/>
  <c r="AJ5" i="12" s="1"/>
  <c r="AD12" i="12"/>
  <c r="AI12" i="12"/>
  <c r="AJ12" i="12" s="1"/>
  <c r="B63" i="13" l="1"/>
  <c r="J39" i="13" l="1"/>
  <c r="B62" i="13"/>
  <c r="J8" i="11"/>
  <c r="R39" i="13" l="1"/>
  <c r="S39" i="13" s="1"/>
  <c r="N39" i="13"/>
  <c r="N51" i="13" s="1"/>
  <c r="J51" i="13"/>
  <c r="U39" i="13" l="1"/>
  <c r="U40" i="13" s="1"/>
  <c r="U41" i="13" s="1"/>
  <c r="U42" i="13" s="1"/>
  <c r="U43" i="13" s="1"/>
  <c r="U44" i="13" s="1"/>
  <c r="U45" i="13" s="1"/>
  <c r="U46" i="13" s="1"/>
  <c r="U47" i="13" s="1"/>
  <c r="U48" i="13" s="1"/>
  <c r="U49" i="13" s="1"/>
  <c r="U50" i="13" s="1"/>
  <c r="S40" i="13"/>
  <c r="S41" i="13" s="1"/>
  <c r="S42" i="13" s="1"/>
  <c r="S43" i="13" s="1"/>
  <c r="S44" i="13" s="1"/>
  <c r="S45" i="13" s="1"/>
  <c r="S46" i="13" s="1"/>
  <c r="S47" i="13" s="1"/>
  <c r="S48" i="13" s="1"/>
  <c r="S49" i="13" s="1"/>
  <c r="S50" i="13" s="1"/>
  <c r="B73" i="11" s="1"/>
</calcChain>
</file>

<file path=xl/comments1.xml><?xml version="1.0" encoding="utf-8"?>
<comments xmlns="http://schemas.openxmlformats.org/spreadsheetml/2006/main">
  <authors>
    <author>Andrew O'Keefe</author>
  </authors>
  <commentList>
    <comment ref="N10" authorId="0" shapeId="0">
      <text>
        <r>
          <rPr>
            <b/>
            <sz val="9"/>
            <color indexed="81"/>
            <rFont val="Tahoma"/>
            <family val="2"/>
          </rPr>
          <t>Andrew O'Keefe:</t>
        </r>
        <r>
          <rPr>
            <sz val="9"/>
            <color indexed="81"/>
            <rFont val="Tahoma"/>
            <family val="2"/>
          </rPr>
          <t xml:space="preserve">
Assumes same costs are proportonate to difference between diesel and CNG bus purchase for overhaul</t>
        </r>
      </text>
    </comment>
    <comment ref="F12" authorId="0" shapeId="0">
      <text>
        <r>
          <rPr>
            <b/>
            <sz val="9"/>
            <color indexed="81"/>
            <rFont val="Tahoma"/>
            <family val="2"/>
          </rPr>
          <t>Andrew O'Keefe:</t>
        </r>
        <r>
          <rPr>
            <sz val="9"/>
            <color indexed="81"/>
            <rFont val="Tahoma"/>
            <family val="2"/>
          </rPr>
          <t xml:space="preserve">
per gallon equiv
</t>
        </r>
      </text>
    </comment>
    <comment ref="R12" authorId="0" shapeId="0">
      <text>
        <r>
          <rPr>
            <b/>
            <sz val="9"/>
            <color indexed="81"/>
            <rFont val="Tahoma"/>
            <family val="2"/>
          </rPr>
          <t>Andrew O'Keefe:</t>
        </r>
        <r>
          <rPr>
            <sz val="9"/>
            <color indexed="81"/>
            <rFont val="Tahoma"/>
            <family val="2"/>
          </rPr>
          <t xml:space="preserve">
60kw
</t>
        </r>
      </text>
    </comment>
  </commentList>
</comments>
</file>

<file path=xl/comments2.xml><?xml version="1.0" encoding="utf-8"?>
<comments xmlns="http://schemas.openxmlformats.org/spreadsheetml/2006/main">
  <authors>
    <author>Andrew O'Keefe</author>
  </authors>
  <commentList>
    <comment ref="C2" authorId="0" shapeId="0">
      <text>
        <r>
          <rPr>
            <b/>
            <sz val="9"/>
            <color indexed="81"/>
            <rFont val="Tahoma"/>
            <family val="2"/>
          </rPr>
          <t>Andrew O'Keefe:</t>
        </r>
        <r>
          <rPr>
            <sz val="9"/>
            <color indexed="81"/>
            <rFont val="Tahoma"/>
            <family val="2"/>
          </rPr>
          <t xml:space="preserve">
2020 value in original TIGER guidance
</t>
        </r>
      </text>
    </comment>
  </commentList>
</comments>
</file>

<file path=xl/sharedStrings.xml><?xml version="1.0" encoding="utf-8"?>
<sst xmlns="http://schemas.openxmlformats.org/spreadsheetml/2006/main" count="1740" uniqueCount="786">
  <si>
    <t>Bus type</t>
  </si>
  <si>
    <t>Diesel</t>
  </si>
  <si>
    <t>Year</t>
  </si>
  <si>
    <t>Pax capacity</t>
  </si>
  <si>
    <t>Fuel type</t>
  </si>
  <si>
    <t>Fuel Economy (MPG)</t>
  </si>
  <si>
    <t>Driver hourly wage</t>
  </si>
  <si>
    <t>Number of buses</t>
  </si>
  <si>
    <t>Year one costs</t>
  </si>
  <si>
    <t>Purchase cost</t>
  </si>
  <si>
    <t>Year 1</t>
  </si>
  <si>
    <t>Year 2</t>
  </si>
  <si>
    <t>Year 3</t>
  </si>
  <si>
    <t>Year 4</t>
  </si>
  <si>
    <t>Year 5</t>
  </si>
  <si>
    <t>Year 6</t>
  </si>
  <si>
    <t>Year 7</t>
  </si>
  <si>
    <t>Year 8</t>
  </si>
  <si>
    <t>Year 9</t>
  </si>
  <si>
    <t>Year 10</t>
  </si>
  <si>
    <t>Year 11</t>
  </si>
  <si>
    <t>Year 12</t>
  </si>
  <si>
    <t>Inflation rate</t>
  </si>
  <si>
    <t>Costs per year</t>
  </si>
  <si>
    <t>Inflation</t>
  </si>
  <si>
    <t>Maintenaence costs per mile</t>
  </si>
  <si>
    <t>Non-bus data</t>
  </si>
  <si>
    <t>Fueling station</t>
  </si>
  <si>
    <t>Road condition</t>
  </si>
  <si>
    <t>Fuel costs (per fleet)</t>
  </si>
  <si>
    <t xml:space="preserve">Maintenance cost per mile </t>
  </si>
  <si>
    <t>Increased Maintenance</t>
  </si>
  <si>
    <t>Decreased Fuel economy</t>
  </si>
  <si>
    <t>Maintenence cost  (per fleet)</t>
  </si>
  <si>
    <t>Engine Overhaul cost</t>
  </si>
  <si>
    <t>Transmission Overhaul cost</t>
  </si>
  <si>
    <t>Bus Type</t>
  </si>
  <si>
    <t>Cost</t>
  </si>
  <si>
    <t xml:space="preserve">Good </t>
  </si>
  <si>
    <t xml:space="preserve">Fair </t>
  </si>
  <si>
    <t>Engine overhaul cost</t>
  </si>
  <si>
    <t>Transmission overhaul cost</t>
  </si>
  <si>
    <t>Total costs per year</t>
  </si>
  <si>
    <t>Which worksheet did you use?</t>
  </si>
  <si>
    <t xml:space="preserve">Transmission overhaul </t>
  </si>
  <si>
    <t xml:space="preserve">Engine overhaul </t>
  </si>
  <si>
    <t xml:space="preserve">Basic Schedule </t>
  </si>
  <si>
    <t xml:space="preserve">Operations and Maintenance </t>
  </si>
  <si>
    <t>Infrastructure and Miscellaneous</t>
  </si>
  <si>
    <t xml:space="preserve"> Detailed Instructions</t>
  </si>
  <si>
    <t xml:space="preserve">Bus, Service, Driver, and Environment </t>
  </si>
  <si>
    <t xml:space="preserve"> </t>
  </si>
  <si>
    <t>Driver costs per fleet</t>
  </si>
  <si>
    <t>VHT per fleet</t>
  </si>
  <si>
    <t>VMT per fleet</t>
  </si>
  <si>
    <t>Mileage for overhaul</t>
  </si>
  <si>
    <t>Overhaul mileage trigger</t>
  </si>
  <si>
    <t>Battery replacement for hybrids</t>
  </si>
  <si>
    <t>Battery replacement (hybrid)</t>
  </si>
  <si>
    <t>Total cost over 12 years</t>
  </si>
  <si>
    <t>Basic Schedule</t>
  </si>
  <si>
    <t>CO2</t>
  </si>
  <si>
    <t>NOx</t>
  </si>
  <si>
    <t>SOx</t>
  </si>
  <si>
    <t>EV Charging</t>
  </si>
  <si>
    <t>Estimated Trans Fuel Prices, Based on AEO and Oregon Data (See Tool Trans Prices-2019 AEO Excel Workpage)</t>
  </si>
  <si>
    <t>CNG/RNG Infrastructure</t>
  </si>
  <si>
    <t>CNG/RNG</t>
  </si>
  <si>
    <t>Demand</t>
  </si>
  <si>
    <t>kW per bus</t>
  </si>
  <si>
    <t>Efficiency Defaults</t>
  </si>
  <si>
    <t>lbsCO2e/dge</t>
  </si>
  <si>
    <t xml:space="preserve">kW </t>
  </si>
  <si>
    <t>DEQ Btu Diesel =</t>
  </si>
  <si>
    <t>Btu</t>
  </si>
  <si>
    <t>Hybrid Diesel MPG</t>
  </si>
  <si>
    <t>mpg</t>
  </si>
  <si>
    <t>1-5 bus &lt;150kVMT =</t>
  </si>
  <si>
    <t>CNG Energy Density =</t>
  </si>
  <si>
    <t>MJ/scf</t>
  </si>
  <si>
    <t>Carbon Intensity</t>
  </si>
  <si>
    <t>MT =</t>
  </si>
  <si>
    <t>lbs</t>
  </si>
  <si>
    <t>Energy Density</t>
  </si>
  <si>
    <t>gge to dge =</t>
  </si>
  <si>
    <t>DEF (Diesel Emissions Fluid)</t>
  </si>
  <si>
    <t>1st demand $</t>
  </si>
  <si>
    <t>Diesel/MMBtu=</t>
  </si>
  <si>
    <t>gal</t>
  </si>
  <si>
    <t>BEB EFF.</t>
  </si>
  <si>
    <t>kWh/mi</t>
  </si>
  <si>
    <t>6-10 bus&lt;300kVMT =</t>
  </si>
  <si>
    <t>EER =</t>
  </si>
  <si>
    <t>B5 =</t>
  </si>
  <si>
    <t>R99 =</t>
  </si>
  <si>
    <t>Diesel =</t>
  </si>
  <si>
    <t>MJ/gal</t>
  </si>
  <si>
    <t>B5=</t>
  </si>
  <si>
    <t>DEF $ =</t>
  </si>
  <si>
    <t>gal bulk</t>
  </si>
  <si>
    <t>2nd demand $</t>
  </si>
  <si>
    <t>Annual VMT per bus =</t>
  </si>
  <si>
    <t>miles</t>
  </si>
  <si>
    <t>CNG MPG</t>
  </si>
  <si>
    <t>&gt; 10 bus =</t>
  </si>
  <si>
    <t>dge =</t>
  </si>
  <si>
    <t>B20=</t>
  </si>
  <si>
    <t>CNG =</t>
  </si>
  <si>
    <t>BD =</t>
  </si>
  <si>
    <t xml:space="preserve">gal for </t>
  </si>
  <si>
    <t>gal of diesel</t>
  </si>
  <si>
    <t>Basic Charge</t>
  </si>
  <si>
    <t>MPG =</t>
  </si>
  <si>
    <t xml:space="preserve"> Diesel MPG</t>
  </si>
  <si>
    <t>CNG Bus Service Life =</t>
  </si>
  <si>
    <t>R20 =</t>
  </si>
  <si>
    <t>RD =</t>
  </si>
  <si>
    <t>R20=</t>
  </si>
  <si>
    <t>B20 or R20 =</t>
  </si>
  <si>
    <t>kWh</t>
  </si>
  <si>
    <t># of Vehicles =</t>
  </si>
  <si>
    <t>Maintenance &amp; Repair/mile</t>
  </si>
  <si>
    <t>RNG Landfill =</t>
  </si>
  <si>
    <t>B20 =</t>
  </si>
  <si>
    <t>lbsCO2e/kWh</t>
  </si>
  <si>
    <t>EV Bus Eff. =</t>
  </si>
  <si>
    <t>kWh/mile</t>
  </si>
  <si>
    <t>100 kW Charger =</t>
  </si>
  <si>
    <t>BEB =</t>
  </si>
  <si>
    <t>EV Bus kWh/month</t>
  </si>
  <si>
    <t>Total VMT Month =</t>
  </si>
  <si>
    <t>BEB Service Life =</t>
  </si>
  <si>
    <t xml:space="preserve">EV Bus kW/Month </t>
  </si>
  <si>
    <t>kW</t>
  </si>
  <si>
    <t>60 kW Charger =</t>
  </si>
  <si>
    <t>Hybrid =</t>
  </si>
  <si>
    <t>Fuel</t>
  </si>
  <si>
    <t>Estimate Desription</t>
  </si>
  <si>
    <t xml:space="preserve">Diesel Fuel </t>
  </si>
  <si>
    <t>nom $/MMBtu</t>
  </si>
  <si>
    <t>B5 AEO</t>
  </si>
  <si>
    <t>AEO Fuel Factor</t>
  </si>
  <si>
    <t>B5 OR Fleet w/AEO</t>
  </si>
  <si>
    <t>B5 Cost per mile =</t>
  </si>
  <si>
    <t>Annual Fuel Cost</t>
  </si>
  <si>
    <t>Gallons of fuel used</t>
  </si>
  <si>
    <t>Gallons of DEF Used</t>
  </si>
  <si>
    <t>DEF Cost</t>
  </si>
  <si>
    <t>Total Fuel + DEF Cost</t>
  </si>
  <si>
    <t>Maintenance &amp; Repair Cost</t>
  </si>
  <si>
    <t>Annual TCO</t>
  </si>
  <si>
    <t>GHG Emissions MT</t>
  </si>
  <si>
    <t xml:space="preserve">B20 </t>
  </si>
  <si>
    <t>B20 Cost per mile =</t>
  </si>
  <si>
    <t>Added Cost or (Savings)</t>
  </si>
  <si>
    <t>GHG Emissions (MT)</t>
  </si>
  <si>
    <t>GHG Reduction (MT)</t>
  </si>
  <si>
    <t>Fleet Cost per MT Reduction</t>
  </si>
  <si>
    <t>R20</t>
  </si>
  <si>
    <t>R20 Cost per mile =</t>
  </si>
  <si>
    <t>R99</t>
  </si>
  <si>
    <t>R99 Cost per mile =</t>
  </si>
  <si>
    <t>CNG</t>
  </si>
  <si>
    <t>AEO Retail Cost/dge</t>
  </si>
  <si>
    <t>NWN Rate Sched 41 + CA Study AVG. dge = $1.12</t>
  </si>
  <si>
    <t>CNG Cost per mile =</t>
  </si>
  <si>
    <t>Fuel  Consumption (CNG dge)</t>
  </si>
  <si>
    <t>CNG with Infrastructure</t>
  </si>
  <si>
    <t>Fuel infrastructure costs per mile</t>
  </si>
  <si>
    <t>CNG Fuel and Infrastructure Cost</t>
  </si>
  <si>
    <t>TCO &amp; Infrastructure Cost/year</t>
  </si>
  <si>
    <t>RNG</t>
  </si>
  <si>
    <t xml:space="preserve">NWN rate minus RNG producer payment ($.45)=$1.12-$.45=$.67 </t>
  </si>
  <si>
    <t>RNG Cost per mile=</t>
  </si>
  <si>
    <t xml:space="preserve">Annual TCO </t>
  </si>
  <si>
    <t>RNG w/Infras.</t>
  </si>
  <si>
    <t>Fuel &amp; Infrastructure Cost/year</t>
  </si>
  <si>
    <t>Electricity</t>
  </si>
  <si>
    <t>EIA Residential</t>
  </si>
  <si>
    <t>$/kWh</t>
  </si>
  <si>
    <t>Demand $/mile    (Factor)</t>
  </si>
  <si>
    <t>kWh + Basic Charge $/mile    (Factor)</t>
  </si>
  <si>
    <t>Total Elect. Cost/mile</t>
  </si>
  <si>
    <t>Fleet Cost per Statewide MT Reduction</t>
  </si>
  <si>
    <t>Fleet Cost per COU Avg. MT Reduction</t>
  </si>
  <si>
    <t>Electricity w/Infras.</t>
  </si>
  <si>
    <t>Fuel infrastructure costs/mile</t>
  </si>
  <si>
    <t>Infrastructure + total Fuel Cost/mile</t>
  </si>
  <si>
    <t>Annual Fuel + Infrastructure Cost</t>
  </si>
  <si>
    <t>Diesel (B5)</t>
  </si>
  <si>
    <t>Diesel (B20)</t>
  </si>
  <si>
    <t>Diesel (R20)</t>
  </si>
  <si>
    <t>Diesel (R99)</t>
  </si>
  <si>
    <t>Electric</t>
  </si>
  <si>
    <t>Renewable Diesel</t>
  </si>
  <si>
    <t>Fuel Cost per Mile</t>
  </si>
  <si>
    <t>Diesel Hybrid (B20)</t>
  </si>
  <si>
    <t>Diesel Hybrid (B5)</t>
  </si>
  <si>
    <t>Diesel Hybrid (R20)</t>
  </si>
  <si>
    <t>Diesel Hybrid (R99)</t>
  </si>
  <si>
    <t>Other Operating Costs (DEF) /mile</t>
  </si>
  <si>
    <t>Hybrid Efficiency Factor</t>
  </si>
  <si>
    <t>GHG Emissions Per Mile (MT)</t>
  </si>
  <si>
    <t>GHG Social Cost Per Mile</t>
  </si>
  <si>
    <t>Grams/Transit Vehicle Mile Diesel</t>
  </si>
  <si>
    <t>Social Cost Per short Ton</t>
  </si>
  <si>
    <t>per MT</t>
  </si>
  <si>
    <t>MT/Mile</t>
  </si>
  <si>
    <t>$/mile</t>
  </si>
  <si>
    <t>Enviro Efficiency Factors (Diesel) - used to calculate criteria polutant savings assuming proportonate reduction to GHG****</t>
  </si>
  <si>
    <t>Inflation Factors</t>
  </si>
  <si>
    <t>Per Mile Financial Costs</t>
  </si>
  <si>
    <t>Per Mile Social Costs</t>
  </si>
  <si>
    <t>Fixed Costs</t>
  </si>
  <si>
    <t>Lifecycle Social Cost</t>
  </si>
  <si>
    <t>Total Lifecycle Cost</t>
  </si>
  <si>
    <t>Short Ton</t>
  </si>
  <si>
    <t>PM2.5</t>
  </si>
  <si>
    <t>Useful Life</t>
  </si>
  <si>
    <t>Particulates</t>
  </si>
  <si>
    <t>Social Costs Per Mile</t>
  </si>
  <si>
    <t>Financial Cost Analysis - Details</t>
  </si>
  <si>
    <t>Battery Electric</t>
  </si>
  <si>
    <t>GHG</t>
  </si>
  <si>
    <t>https://www.epa.gov/benmap/sector-based-pm25-benefit-ton-estimates - On-road Mobile Source</t>
  </si>
  <si>
    <t>Corrected to 2019 dollars @ 3%</t>
  </si>
  <si>
    <t>Social cost of CO2</t>
  </si>
  <si>
    <t>Tab;e ES-1 @ 3% average discount rate</t>
  </si>
  <si>
    <t>Oregon Clean Fuels Program - CFP Obligation Estimator v.2019</t>
  </si>
  <si>
    <t>Column 1</t>
  </si>
  <si>
    <t>Column 2</t>
  </si>
  <si>
    <t>Column 3</t>
  </si>
  <si>
    <t>Column 4</t>
  </si>
  <si>
    <t>Column 5</t>
  </si>
  <si>
    <t>Column 6</t>
  </si>
  <si>
    <t>Column 7</t>
  </si>
  <si>
    <t>Column 8</t>
  </si>
  <si>
    <t>Column 9</t>
  </si>
  <si>
    <t>Standard</t>
  </si>
  <si>
    <t>Carbon intensity</t>
  </si>
  <si>
    <t>Number</t>
  </si>
  <si>
    <t>Units</t>
  </si>
  <si>
    <t>Energy density</t>
  </si>
  <si>
    <t>Energy economy ratio</t>
  </si>
  <si>
    <t>Number of credits</t>
  </si>
  <si>
    <t>(gCO2e/MJ)</t>
  </si>
  <si>
    <t>(MJ/unit)</t>
  </si>
  <si>
    <t>Ethanol Example</t>
  </si>
  <si>
    <t>gallons</t>
  </si>
  <si>
    <t>kilowatt hours</t>
  </si>
  <si>
    <t>CNG, fossil (ORCNG001)</t>
  </si>
  <si>
    <t>therms</t>
  </si>
  <si>
    <t>Landfill RNG Example</t>
  </si>
  <si>
    <t>Propane (ORLPG001)</t>
  </si>
  <si>
    <t>Alternative Jet Fuel Example</t>
  </si>
  <si>
    <t>Hydrogen (ORHYF)</t>
  </si>
  <si>
    <t>kilograms</t>
  </si>
  <si>
    <t xml:space="preserve">The CFP Obligation Estimator is designed to help fuel providers with deficit and credit generation calculations for the Oregon Clean Fuels Program. This spreadsheet has been purposefully left unlocked so users can change values. We advise that users be careful when you make changes to it and save it to your desktop. Values in the colored columns are meant to be changed, based on the specific fuel and feedstock you are estimating credits for. Official calculations for compliance are done within the CFP Online System based on information submitted in quarterly and annual reports. This estimator is provided as a tool, and does not change any individual entity's obligations under the Clean Fuels Program. The estimator is provided as-is and does not take the place of any entity's obligation to do their own due diligence with respect to the rules or any other aspect of compliance. This 2019 version has been updated for changes adopted by the Environmental Quality Commission in November 2018 including updates to OPGEE 2.0 and OR-GREET 3.0, including changes to the standards and energy densities. Changed values are effective for 2019 and appear in BOLD. </t>
  </si>
  <si>
    <t xml:space="preserve"> All tables can be found in OAR 340 Division 253</t>
  </si>
  <si>
    <t>Directions -</t>
  </si>
  <si>
    <t>Column 1:</t>
  </si>
  <si>
    <t>Find the type of fuel. You can change the name to add in a specific feedstock (i.e. corn to sugarcane ethanol).</t>
  </si>
  <si>
    <t>Column 2:</t>
  </si>
  <si>
    <t>Find the year that you are estimating the credits for.</t>
  </si>
  <si>
    <t>Column 3:</t>
  </si>
  <si>
    <t>These are the applicable clean fuels standards as taken from Table 1 (Gasoline) , 2 (Diesel) or 3 (Jet).</t>
  </si>
  <si>
    <t>Column 4:</t>
  </si>
  <si>
    <t>Enter the carbon intensity of the fuel, from your product transfer document or from Table 4.</t>
  </si>
  <si>
    <t>Column 5:</t>
  </si>
  <si>
    <t>Enter the volume of fuel that you are estimating the credits for.</t>
  </si>
  <si>
    <t>Column 6:</t>
  </si>
  <si>
    <t>The volume in Column 5 must be entered in these units.</t>
  </si>
  <si>
    <t>Column 7:</t>
  </si>
  <si>
    <t>Enter the energy density of the fuel from Table 6.</t>
  </si>
  <si>
    <t>Column 8:</t>
  </si>
  <si>
    <t>Enter the applicable energy economy ratio from Table 7. Note that there are different values based on the type of vehicle the fuel is used in.</t>
  </si>
  <si>
    <t>Column 9:</t>
  </si>
  <si>
    <t>This is the estimated number of credits generated.</t>
  </si>
  <si>
    <t>Fuel (gallons)</t>
  </si>
  <si>
    <t>Annual Fuel (Gallons or Equiv)</t>
  </si>
  <si>
    <t>Cumulative (12 year lifecycle starting 2020)</t>
  </si>
  <si>
    <t>CFP Credit Estimate</t>
  </si>
  <si>
    <t>Cumulative CFP Credit Value</t>
  </si>
  <si>
    <t>CFP Credit Unit Value</t>
  </si>
  <si>
    <t>Net Lifecycle Cost After CFP Credit Recovery</t>
  </si>
  <si>
    <t>Canola Biodiesel Example (B99?)</t>
  </si>
  <si>
    <t>Canola Biodiesel Hybrid Example (B99?)</t>
  </si>
  <si>
    <t>Used Cooking Oil Biodiesel Example (R99?)</t>
  </si>
  <si>
    <t>Tallow Renewable Diesel Example (R99?)</t>
  </si>
  <si>
    <t>Used Cooking Oil Biodiesel Hybrid Example (R99?)</t>
  </si>
  <si>
    <t>Tallow Renewable Diesel Hybrid Example (R99?)</t>
  </si>
  <si>
    <t>Yes</t>
  </si>
  <si>
    <t>Electricity Example (BPA)</t>
  </si>
  <si>
    <t xml:space="preserve">Financial Costs (Cumulative) </t>
  </si>
  <si>
    <t>Total Financial Cost</t>
  </si>
  <si>
    <t>Driver Cost Per Year</t>
  </si>
  <si>
    <t>Other Operating cost (per fleet)</t>
  </si>
  <si>
    <t>Total Variable Costs</t>
  </si>
  <si>
    <t>Very Poor</t>
  </si>
  <si>
    <t>Very Good</t>
  </si>
  <si>
    <t>Nox Cost Per Mile</t>
  </si>
  <si>
    <t>Particulates Cost Per Mile</t>
  </si>
  <si>
    <t>Grams/Transit Vehicle Mile CNG</t>
  </si>
  <si>
    <t>Grams/Transit Vehicle Mile Electricity</t>
  </si>
  <si>
    <t>Nox Emissions Per Mile (MT)</t>
  </si>
  <si>
    <t>Particulates Emissions Per Mile (MT)</t>
  </si>
  <si>
    <t>Grams/Transit Vehicle Mile RNG</t>
  </si>
  <si>
    <t>Social Costs (annual)</t>
  </si>
  <si>
    <t>Lifecycle Costs (cumulative)</t>
  </si>
  <si>
    <t>Fuel Type</t>
  </si>
  <si>
    <t>Fuel cost per mile (Year 1)</t>
  </si>
  <si>
    <t>Fueling/Chargin Infrastructure Costs (Average per Bus)</t>
  </si>
  <si>
    <t>Rehab Costs</t>
  </si>
  <si>
    <t>Total O&amp;M</t>
  </si>
  <si>
    <t>Annual Social Costs</t>
  </si>
  <si>
    <t>Total Social Costs</t>
  </si>
  <si>
    <t>Total Fixed Costs</t>
  </si>
  <si>
    <t>Annual O&amp;M costs (non-fuel)</t>
  </si>
  <si>
    <t>Total Fuel Costs</t>
  </si>
  <si>
    <t>Fuel Costs (simple)</t>
  </si>
  <si>
    <t>Total Fuel Costs (Forecast)</t>
  </si>
  <si>
    <t>Feedstock CI based on scaling statewide mix</t>
  </si>
  <si>
    <t>Direct</t>
  </si>
  <si>
    <t>Total</t>
  </si>
  <si>
    <t>Statewide mix:</t>
  </si>
  <si>
    <t>Oregon DEQ Greenhouse Gas Emissions Data From Electricity Suppliers in Oregon  2010-2017</t>
  </si>
  <si>
    <t>Organization Name</t>
  </si>
  <si>
    <t>Electricity Supplier Type</t>
  </si>
  <si>
    <t>MWh</t>
  </si>
  <si>
    <t>MTCO2e</t>
  </si>
  <si>
    <t>MTCO2e/MWh</t>
  </si>
  <si>
    <t>Upstream</t>
  </si>
  <si>
    <t>Total gCO2e/MJ</t>
  </si>
  <si>
    <t>Idaho Power Company</t>
  </si>
  <si>
    <t>Investor-Owned</t>
  </si>
  <si>
    <t>Pacific Power (PacifiCorp)</t>
  </si>
  <si>
    <t>Portland General Electric (PGE)</t>
  </si>
  <si>
    <t>Ashland Electric Department</t>
  </si>
  <si>
    <t>Consumer-Owned</t>
  </si>
  <si>
    <t>Blachly-Lane Electric Cooperative</t>
  </si>
  <si>
    <t>Brandon</t>
  </si>
  <si>
    <t>Canby Utility Board</t>
  </si>
  <si>
    <t>Cascade Locks</t>
  </si>
  <si>
    <t>Central Electric Cooperative, Inc</t>
  </si>
  <si>
    <t>Central Lincoln PUD</t>
  </si>
  <si>
    <t>Clatskanie PUD</t>
  </si>
  <si>
    <t>Clearwater Power Company</t>
  </si>
  <si>
    <t>Columbia Basin Cooperative</t>
  </si>
  <si>
    <t>Columbia Power Cooperative</t>
  </si>
  <si>
    <t>Columbia River PUD</t>
  </si>
  <si>
    <t>Columbia Rural Electric (Columbia REA)</t>
  </si>
  <si>
    <t>Consumers Power, Inc</t>
  </si>
  <si>
    <t>Coos-Curry Electric Cooperative, Inc</t>
  </si>
  <si>
    <t>Douglas Electric Cooperative</t>
  </si>
  <si>
    <t>Drain</t>
  </si>
  <si>
    <t>Emerald PUD</t>
  </si>
  <si>
    <t>Eugene Water &amp; Electric Board (EWEB)</t>
  </si>
  <si>
    <t>Forest Grove Light &amp; Power</t>
  </si>
  <si>
    <t>Harney Electric Cooperative</t>
  </si>
  <si>
    <t>Hermiston Energy Services</t>
  </si>
  <si>
    <t>Hood River Electric Cooperative</t>
  </si>
  <si>
    <t>Lane Electric Cooperative, Inc</t>
  </si>
  <si>
    <t>McMinnville Water &amp; Light</t>
  </si>
  <si>
    <t>Midstate Electric Cooperative</t>
  </si>
  <si>
    <t>Milton-Freewater City Light &amp; Power</t>
  </si>
  <si>
    <t>Monmouth</t>
  </si>
  <si>
    <t>Northern Wasco PUD</t>
  </si>
  <si>
    <t>Oregon Trail Electric Cooperative</t>
  </si>
  <si>
    <t>Salem Electric</t>
  </si>
  <si>
    <t>Springfield Utility Board</t>
  </si>
  <si>
    <t>Surprise Valley Electrification Corporation</t>
  </si>
  <si>
    <t>Tillamook PUD</t>
  </si>
  <si>
    <t>Umatilla Electric Cooperative</t>
  </si>
  <si>
    <t>Umpqua Indian Utility Co-op</t>
  </si>
  <si>
    <t>USDOE ARC</t>
  </si>
  <si>
    <t>Wasco Electric Cooperative</t>
  </si>
  <si>
    <t>West Oregon Electric Cooperative, Inc</t>
  </si>
  <si>
    <t xml:space="preserve">3 Phases Renewables </t>
  </si>
  <si>
    <t>Electricity Service Suppliers</t>
  </si>
  <si>
    <t>Avangrid Renewables</t>
  </si>
  <si>
    <t>Calpine Energy Solutions</t>
  </si>
  <si>
    <t>Constellation New Energy</t>
  </si>
  <si>
    <t>Shell Energy North America</t>
  </si>
  <si>
    <t>Statewide Totals</t>
  </si>
  <si>
    <t>Central Electric Cooperative</t>
  </si>
  <si>
    <t>Consumers Power</t>
  </si>
  <si>
    <t>Lane Electric Cooperative</t>
  </si>
  <si>
    <t>Statewide</t>
  </si>
  <si>
    <t>* Calculated 12/13/2019 with an unspecified emission factor of .428 MTCO2e</t>
  </si>
  <si>
    <t>Electricity CI as selected =</t>
  </si>
  <si>
    <t>Source</t>
  </si>
  <si>
    <t xml:space="preserve">Fleet Cost per MT Reduction or  (Savings) </t>
  </si>
  <si>
    <t>renewable diesel</t>
  </si>
  <si>
    <t>Baseline Reference B5</t>
  </si>
  <si>
    <t>Inflation Rate CPI =</t>
  </si>
  <si>
    <t>2020 price</t>
  </si>
  <si>
    <t>MT</t>
  </si>
  <si>
    <t xml:space="preserve">Diesel B5 </t>
  </si>
  <si>
    <t>B20</t>
  </si>
  <si>
    <t>12 Year Cumulative Carbon Emissions</t>
  </si>
  <si>
    <t>MT CO2e</t>
  </si>
  <si>
    <t>MT CO2e Emissions</t>
  </si>
  <si>
    <t>CO2e Emissions Reductions</t>
  </si>
  <si>
    <t>kWh =</t>
  </si>
  <si>
    <t>MJ</t>
  </si>
  <si>
    <t xml:space="preserve">Total </t>
  </si>
  <si>
    <t>MTCO2e/kWh</t>
  </si>
  <si>
    <t>MWH =</t>
  </si>
  <si>
    <t>MWH Wght</t>
  </si>
  <si>
    <t>COU Wght AVG gCO2e/MJ =</t>
  </si>
  <si>
    <t>lbCO2e/kWh =</t>
  </si>
  <si>
    <t>AVG 5 yrs</t>
  </si>
  <si>
    <t>CPI</t>
  </si>
  <si>
    <t>From AFLEET Tool</t>
  </si>
  <si>
    <t>Inflation - Consumer price index</t>
  </si>
  <si>
    <t>https://www.cbo.gov/sites/default/files/1</t>
  </si>
  <si>
    <t>for 2018-2028 Table 1-1</t>
  </si>
  <si>
    <t>Consumer Price Index Data from 1913 to 2018- All Urban Consumers (CPI-U)</t>
  </si>
  <si>
    <t>http://www.usinflationcalculator.com/inflation/consumer-price-index-and-annual-percent-changes-from-1913-to-2008/</t>
  </si>
  <si>
    <t>Updated September 17, 2018</t>
  </si>
  <si>
    <t>CPI factor</t>
  </si>
  <si>
    <t>35 to 40 foot bus cost</t>
  </si>
  <si>
    <t>for 2020 if possible</t>
  </si>
  <si>
    <t>Incremental Compared to Diesel</t>
  </si>
  <si>
    <t>Incremental Percentage Compared to Diesel</t>
  </si>
  <si>
    <t>BEB</t>
  </si>
  <si>
    <t>Diesel Hybrid</t>
  </si>
  <si>
    <t>Lo Nox</t>
  </si>
  <si>
    <t>AFLEET</t>
  </si>
  <si>
    <t>2018 AFLEET Tool</t>
  </si>
  <si>
    <t>ODOT AFBusTool</t>
  </si>
  <si>
    <t>Em Advantage</t>
  </si>
  <si>
    <t>Emissoins Advantage Tool</t>
  </si>
  <si>
    <r>
      <t>CARB(TCO)</t>
    </r>
    <r>
      <rPr>
        <vertAlign val="superscript"/>
        <sz val="11"/>
        <color theme="1"/>
        <rFont val="Calibri"/>
        <family val="2"/>
        <scheme val="minor"/>
      </rPr>
      <t>1</t>
    </r>
  </si>
  <si>
    <t>https://ww3.arb.ca.gov › msprog › bus › tco_assumptions</t>
  </si>
  <si>
    <t>Navigant TriMet</t>
  </si>
  <si>
    <t>Navigant Report pdf</t>
  </si>
  <si>
    <r>
      <t>FTA King County Report</t>
    </r>
    <r>
      <rPr>
        <vertAlign val="superscript"/>
        <sz val="11"/>
        <color theme="1"/>
        <rFont val="Calibri"/>
        <family val="2"/>
        <scheme val="minor"/>
      </rPr>
      <t>2</t>
    </r>
  </si>
  <si>
    <t>https://www.transit.dot.gov/sites/fta.dot.gov/files/docs/research-innovation/115086/zero-emission-bus-evaluation-results-king-county-metro-battery-electric-buses-fta-report-no-0118.pdf</t>
  </si>
  <si>
    <t>CARB 2016 Report</t>
  </si>
  <si>
    <t>https://ww3.arb.ca.gov/msprog/ict/meeting/mt170626/170626_wg_pres.pdf</t>
  </si>
  <si>
    <t>2015 CARB Technology Assessment: Medium and Heavy-duty Battery Electric Trucks and Buses</t>
  </si>
  <si>
    <t>Average</t>
  </si>
  <si>
    <t>Small 105 kWh battery - On-Route Charging</t>
  </si>
  <si>
    <t>Average of costs after deleting AFLEET</t>
  </si>
  <si>
    <t>Source: See Bus Price tab</t>
  </si>
  <si>
    <t>Annual Vehicle Miles Traveled Per Bus</t>
  </si>
  <si>
    <t>Annual Vehicle Hours Traveled Per Bus</t>
  </si>
  <si>
    <t>Emissions in Metric Tons (Cumulative)</t>
  </si>
  <si>
    <t>Emissions in Metric Tons (Annual)</t>
  </si>
  <si>
    <t>LBs/Mile</t>
  </si>
  <si>
    <t>Maintenance &amp; Other Operating Costs</t>
  </si>
  <si>
    <t>Capital Equipment Costs</t>
  </si>
  <si>
    <t>Fueling Station Costs</t>
  </si>
  <si>
    <t>Battery replacement (hybrids or BEB)</t>
  </si>
  <si>
    <t>Fueling Station Capital Costs</t>
  </si>
  <si>
    <t>Fueling Station Maintenance Costs</t>
  </si>
  <si>
    <t>Miles per bus (cumulative)</t>
  </si>
  <si>
    <t>Total Capital Equipment Cost</t>
  </si>
  <si>
    <t>Total Fueling Station Costs</t>
  </si>
  <si>
    <t>Total Operating Costs</t>
  </si>
  <si>
    <t>Fueling/Chargin Infrastructure Annual Maintenance</t>
  </si>
  <si>
    <t>Default Check</t>
  </si>
  <si>
    <t>Wilsonville</t>
  </si>
  <si>
    <t>VOLPE</t>
  </si>
  <si>
    <t>Vermont</t>
  </si>
  <si>
    <t>https://www.nrel.gov/docs/fy19osti/72864.pdf</t>
  </si>
  <si>
    <t>County Connection</t>
  </si>
  <si>
    <t>MBTA</t>
  </si>
  <si>
    <t>King County</t>
  </si>
  <si>
    <t>TriMet</t>
  </si>
  <si>
    <t>RVTD</t>
  </si>
  <si>
    <t>LTD</t>
  </si>
  <si>
    <t xml:space="preserve">2016 Data, G Drive&gt; </t>
  </si>
  <si>
    <t>Corvallis</t>
  </si>
  <si>
    <t>https://www.nrel.gov/docs/fy17osti/67698.pdf</t>
  </si>
  <si>
    <t>Foothill</t>
  </si>
  <si>
    <t>http://www.columbia.edu/~ja3041/Electric%20Bus%20Analysis%20for%20NYC%20Transit%20by%20J%20Aber%20Columbia%20University%20-%20May%202016.pdf</t>
  </si>
  <si>
    <t>New York</t>
  </si>
  <si>
    <t>https://afdc.energy.gov/data/10310</t>
  </si>
  <si>
    <t>AFDC</t>
  </si>
  <si>
    <t>Hybrid</t>
  </si>
  <si>
    <t>Fuel MPG</t>
  </si>
  <si>
    <t>Fuel Cost</t>
  </si>
  <si>
    <t>mile</t>
  </si>
  <si>
    <t>AVERAGE</t>
  </si>
  <si>
    <t>MBTA (Sierra C)</t>
  </si>
  <si>
    <t>BEB has a 15% lower TCO than new diesel busses</t>
  </si>
  <si>
    <t>https://www.sierraclub.org/sites/www.sierraclub.org/files/sce-authors/u2387/MBTA%20Bus%20Cost%20Analysis_26%20Oct%202017.pdf</t>
  </si>
  <si>
    <t>TCO/mi</t>
  </si>
  <si>
    <t>fuel $/mi</t>
  </si>
  <si>
    <t>VMT/yr</t>
  </si>
  <si>
    <t>Maintenance</t>
  </si>
  <si>
    <t>2017 &amp; 18 2019 AEO</t>
  </si>
  <si>
    <t>2020 AEO Energy $: Trans: Diesel Fuel: Ref. case</t>
  </si>
  <si>
    <t xml:space="preserve">2019 AEO Retail minus 2019 Highest DAS, OPIS, ODOT  </t>
  </si>
  <si>
    <t xml:space="preserve">2020 AEO Retail minus 2019 Highest DAS, OPIS, ODOT  </t>
  </si>
  <si>
    <t>2020 AEO</t>
  </si>
  <si>
    <t>2017&amp;18 2019 AEO</t>
  </si>
  <si>
    <t>CNG Fuel and Infrastructure Cost/mile</t>
  </si>
  <si>
    <t>AEO 2020 Nominal: Trans: Elect: Reference case</t>
  </si>
  <si>
    <t>Selected Utility GHG Emissions</t>
  </si>
  <si>
    <t>Selected Utility GHG Reduction (MT)</t>
  </si>
  <si>
    <t>E10 (W/tax)</t>
  </si>
  <si>
    <t>Eug through 2-24-20</t>
  </si>
  <si>
    <t>2019 AEO Retail =</t>
  </si>
  <si>
    <t>Fleet Fuel Factor to AEO</t>
  </si>
  <si>
    <t>Fleet Factor to Base Fuel (E10 or B5)</t>
  </si>
  <si>
    <t>DAS</t>
  </si>
  <si>
    <t>OPIS-Rack Total</t>
  </si>
  <si>
    <t>ODOT</t>
  </si>
  <si>
    <t>Average (DAS, OPIS, ODOT)</t>
  </si>
  <si>
    <t>diesel =</t>
  </si>
  <si>
    <t>gge to dge factor =</t>
  </si>
  <si>
    <t>DAS CNG Cost</t>
  </si>
  <si>
    <t>gas =</t>
  </si>
  <si>
    <t>1 scf =</t>
  </si>
  <si>
    <t>Btu's</t>
  </si>
  <si>
    <t>1 Therm =</t>
  </si>
  <si>
    <t>gge</t>
  </si>
  <si>
    <t>1 dge =</t>
  </si>
  <si>
    <t>1 bus</t>
  </si>
  <si>
    <t>AVG.-17,18&amp;19</t>
  </si>
  <si>
    <t>miles/yr</t>
  </si>
  <si>
    <t>dge</t>
  </si>
  <si>
    <t>Complete cost, electricity, operations and maintenance included</t>
  </si>
  <si>
    <t>mpg/diesel</t>
  </si>
  <si>
    <t>AVG. =</t>
  </si>
  <si>
    <t>E85</t>
  </si>
  <si>
    <t>EER</t>
  </si>
  <si>
    <t>Therms/year</t>
  </si>
  <si>
    <t xml:space="preserve">ODOT </t>
  </si>
  <si>
    <t>Average (OPIS,DAS,ODOT)</t>
  </si>
  <si>
    <t>mpg/cngdge</t>
  </si>
  <si>
    <t>Therms/month</t>
  </si>
  <si>
    <t>More/gal</t>
  </si>
  <si>
    <t>10 bus</t>
  </si>
  <si>
    <t>5 bus</t>
  </si>
  <si>
    <t>dge/cng</t>
  </si>
  <si>
    <t>ODOT Bulk picked due to wider delivery requirements</t>
  </si>
  <si>
    <t>Therms/yr</t>
  </si>
  <si>
    <t>B5 (Diesel)</t>
  </si>
  <si>
    <t>2020 AEO, yr 2019 Retail =</t>
  </si>
  <si>
    <t>(OPIS,DAS,ODOT)</t>
  </si>
  <si>
    <t>DAS (No OR Tax)</t>
  </si>
  <si>
    <t>ODOT Bulk</t>
  </si>
  <si>
    <t>EWEB</t>
  </si>
  <si>
    <t>High</t>
  </si>
  <si>
    <t>Avg</t>
  </si>
  <si>
    <t>dge/month</t>
  </si>
  <si>
    <t>NWN Schedule 41</t>
  </si>
  <si>
    <t>Monthly/10 bus</t>
  </si>
  <si>
    <t>Monthly/5bus</t>
  </si>
  <si>
    <t>$250 Customer Charge/month</t>
  </si>
  <si>
    <t>First 2,000 Therms</t>
  </si>
  <si>
    <t>AVG</t>
  </si>
  <si>
    <t>Additional Therms</t>
  </si>
  <si>
    <t>Firm Pipeline Capacity Charge</t>
  </si>
  <si>
    <t xml:space="preserve"> (OPIS,DAS,ODOT)</t>
  </si>
  <si>
    <t>Cost per bus</t>
  </si>
  <si>
    <t>Cost/therm</t>
  </si>
  <si>
    <t>Therm</t>
  </si>
  <si>
    <t>Cost/dge</t>
  </si>
  <si>
    <t>AVG =</t>
  </si>
  <si>
    <t>gge/month</t>
  </si>
  <si>
    <t>Maint. =</t>
  </si>
  <si>
    <t>CA study</t>
  </si>
  <si>
    <t>gge/day</t>
  </si>
  <si>
    <t>Electric =</t>
  </si>
  <si>
    <t>Total =</t>
  </si>
  <si>
    <t>w/fed tax</t>
  </si>
  <si>
    <t>Federal Fuel Taxes</t>
  </si>
  <si>
    <t>gge =</t>
  </si>
  <si>
    <t>Eugene (20-Port)</t>
  </si>
  <si>
    <t>year over 14 yrs</t>
  </si>
  <si>
    <t>AEO 2019 Retail =</t>
  </si>
  <si>
    <t>DAS gge</t>
  </si>
  <si>
    <t>CNG Analysis (NWN Sched 41 + maint &amp; op.)</t>
  </si>
  <si>
    <t>CNG minus RNG Payment of =</t>
  </si>
  <si>
    <t>per dge</t>
  </si>
  <si>
    <t>CNG factor + RNG payment =</t>
  </si>
  <si>
    <t>Total O&amp;M and Fuel Costs</t>
  </si>
  <si>
    <t>Fuel Costs</t>
  </si>
  <si>
    <t>Diesel (B5+DEF)</t>
  </si>
  <si>
    <t>Bio (B20+DEF)</t>
  </si>
  <si>
    <t xml:space="preserve">RD (R20+DEF) </t>
  </si>
  <si>
    <t>RD (R99+DEF)</t>
  </si>
  <si>
    <t>Bio (B20)</t>
  </si>
  <si>
    <t>RD (R20)</t>
  </si>
  <si>
    <t>RD (R99)</t>
  </si>
  <si>
    <t>Hybrid (B5+DEF)</t>
  </si>
  <si>
    <t>Hybrid (B20+DEF)</t>
  </si>
  <si>
    <t>Hybrid (R20+DEF)</t>
  </si>
  <si>
    <t>Hybrid(R99+DEF)</t>
  </si>
  <si>
    <t>Maintenance, Operations &amp; Repairs</t>
  </si>
  <si>
    <t>Hybrid (B5)</t>
  </si>
  <si>
    <t>Hybrid (B20)</t>
  </si>
  <si>
    <t>Hybrid (R20)</t>
  </si>
  <si>
    <t>Hybrid(R99)</t>
  </si>
  <si>
    <t>Hybrid B20 =</t>
  </si>
  <si>
    <t>Hybrid R20=</t>
  </si>
  <si>
    <t>Hybrid R99 =</t>
  </si>
  <si>
    <t>First Cost (No Fueling)</t>
  </si>
  <si>
    <t>Per Bus</t>
  </si>
  <si>
    <t>Project # Busses</t>
  </si>
  <si>
    <t>Total Cost (Busses only, no driver pay or fueling infrastructure)</t>
  </si>
  <si>
    <t xml:space="preserve">Cumulative Total Cost </t>
  </si>
  <si>
    <t>Clean Fuels Credits (MT)</t>
  </si>
  <si>
    <t>Clean Fuels Revenue</t>
  </si>
  <si>
    <t>Electricity Cost</t>
  </si>
  <si>
    <t>Utility</t>
  </si>
  <si>
    <t>Tier 1 kWh</t>
  </si>
  <si>
    <t>Tier 1 $/kWh</t>
  </si>
  <si>
    <t>Tier 2 $/kWh</t>
  </si>
  <si>
    <t>Tier 2 kW</t>
  </si>
  <si>
    <t>Tier 1 $/kW</t>
  </si>
  <si>
    <t>Tier 2 $/kW</t>
  </si>
  <si>
    <t>IOU</t>
  </si>
  <si>
    <t>COU</t>
  </si>
  <si>
    <t>1st  Tier</t>
  </si>
  <si>
    <t>1st kWh Tier</t>
  </si>
  <si>
    <t>Fueling Infrastructure Maintenance Costs</t>
  </si>
  <si>
    <t>Petroleum</t>
  </si>
  <si>
    <t>ODOT - Amy</t>
  </si>
  <si>
    <t>See ODOT DAS Fuel Dispenser and tank maintenance email in Fuel and Infrastructure folder</t>
  </si>
  <si>
    <t>Article on public works cost for commercial fueling</t>
  </si>
  <si>
    <t>https://www.chicagotribune.com/suburbs/hinsdale/ct-dhd-fuel-pumps-tl-0815-20190807-zjcgv6ecifcttle32gmhyswyli-story.html</t>
  </si>
  <si>
    <t>Maintaining pumps and tankls</t>
  </si>
  <si>
    <t>https://www.rrpetroservices.com/maintaining-your-gas-station-s-fuel-pumps-and-tanks</t>
  </si>
  <si>
    <t>Maintenance and repair</t>
  </si>
  <si>
    <t>https://www.jones-frank.com/services/repair-maintenance/</t>
  </si>
  <si>
    <t>https://totalenvironmental.net/petroleum-services-environmental-consulting/</t>
  </si>
  <si>
    <t>Army cost report</t>
  </si>
  <si>
    <t>https://www.nwo.usace.army.mil/Portals/23/Final%20LCC%20Study%20Report.pdf?ver=2017-09-18-124555-723</t>
  </si>
  <si>
    <t>Analysis gas stations</t>
  </si>
  <si>
    <t>https://www.hindawi.com/journals/jie/2013/278546/</t>
  </si>
  <si>
    <t>kwh/dge factor =</t>
  </si>
  <si>
    <t>mpdge</t>
  </si>
  <si>
    <t>kWh month</t>
  </si>
  <si>
    <t>Tier</t>
  </si>
  <si>
    <t>1st Tier $</t>
  </si>
  <si>
    <t>kW =</t>
  </si>
  <si>
    <t>2nd Tier $</t>
  </si>
  <si>
    <t>1st Tier kWh $</t>
  </si>
  <si>
    <t>2nd Tier kWh $</t>
  </si>
  <si>
    <t>1st Tier kW $</t>
  </si>
  <si>
    <t>2nd Tier kW $</t>
  </si>
  <si>
    <t>kW  Tier</t>
  </si>
  <si>
    <t xml:space="preserve"> kWh Tier</t>
  </si>
  <si>
    <t>kW Tier</t>
  </si>
  <si>
    <t>kWh Tier</t>
  </si>
  <si>
    <t>(((B4*B3)+((B11-B3)*B5))/E10</t>
  </si>
  <si>
    <t>(((Tier 1$*Tier)+((Total kW-Tier)*Tier 2$)))/Monthly VMT</t>
  </si>
  <si>
    <t>((($3.42/kW*31.83kW)+((60kW-31.83kW)*$6.73/kW)))/2500 miles</t>
  </si>
  <si>
    <t>kW cancel out and that leaves $/mile</t>
  </si>
  <si>
    <t>/mile</t>
  </si>
  <si>
    <t>(((B10*B8)+B6)/E10</t>
  </si>
  <si>
    <t>(((Total kWh/month*1st Tier kWh $)+Basic Charge)/Monthly VMT</t>
  </si>
  <si>
    <t>(((4,875 kWh*$0.0577/kWh)+$80.33)/2500 miles</t>
  </si>
  <si>
    <t>kWh cancels out and that leaves $/mile</t>
  </si>
  <si>
    <t>Total Cost / mile =</t>
  </si>
  <si>
    <t>yr/yr % increase</t>
  </si>
  <si>
    <t>The model looks at a 12 year service life 2020 to 2031 currently</t>
  </si>
  <si>
    <t>% $ increase 2020-2031</t>
  </si>
  <si>
    <t>kW Factor =</t>
  </si>
  <si>
    <t>kWh Factor =</t>
  </si>
  <si>
    <t>kW   $/mile</t>
  </si>
  <si>
    <t>kWh    $/mile</t>
  </si>
  <si>
    <t>Straight Utility Calculatioin year 2020</t>
  </si>
  <si>
    <t>After 2020 AEO % increase is applied</t>
  </si>
  <si>
    <t>% difference in methods</t>
  </si>
  <si>
    <t>Year One Costs (Capital)</t>
  </si>
  <si>
    <t>Total Annual VMT</t>
  </si>
  <si>
    <t>Social Costs Per Mile (MT)</t>
  </si>
  <si>
    <t>Credits Earned</t>
  </si>
  <si>
    <t>Credits Earned (MT)</t>
  </si>
  <si>
    <t>Monetized Credits</t>
  </si>
  <si>
    <t>Clean Fuels Program</t>
  </si>
  <si>
    <t>Electricity Example (Selected Utility)</t>
  </si>
  <si>
    <t>gCO2e/MJ</t>
  </si>
  <si>
    <t>Credit Value per credit</t>
  </si>
  <si>
    <t>Infrastructure Maint. $ (Year 1)</t>
  </si>
  <si>
    <t>Capital Equipment Costs (Bus)</t>
  </si>
  <si>
    <t>Total Monetized Credits</t>
  </si>
  <si>
    <t xml:space="preserve">Total Estimated Credits Generated </t>
  </si>
  <si>
    <t>Fuel cost per dge, kWh/mile (Year 1)</t>
  </si>
  <si>
    <t xml:space="preserve">Fuel costs </t>
  </si>
  <si>
    <t>% change yr/yr</t>
  </si>
  <si>
    <t>Investor-Owned Idaho</t>
  </si>
  <si>
    <t xml:space="preserve">Fuel cost per gallon (2020) or $kWh/mile </t>
  </si>
  <si>
    <t>Social Costs 1st Year</t>
  </si>
  <si>
    <t>Variable Cost/Year (2020 Baseline)</t>
  </si>
  <si>
    <t>Driver Costs per Fleet</t>
  </si>
  <si>
    <t>Bus Price</t>
  </si>
  <si>
    <t>Maintenance Costs Per Mile</t>
  </si>
  <si>
    <t>Transmission Overhaul Costs</t>
  </si>
  <si>
    <t>Engine Overhaul Costs</t>
  </si>
  <si>
    <t>Mileage Point for Conventional Overhaul</t>
  </si>
  <si>
    <t>Use Default Values or Enter Your Own Values</t>
  </si>
  <si>
    <t>NA - FIELD CANNOT BE EDITED from DEFAULT of 12 YEARS</t>
  </si>
  <si>
    <t>Bus and Fuel Type</t>
  </si>
  <si>
    <t>Select the bus and fuel type you want to analyze from the pulldown menu)</t>
  </si>
  <si>
    <r>
      <t xml:space="preserve">Useful Life (Years)
</t>
    </r>
    <r>
      <rPr>
        <b/>
        <i/>
        <sz val="12"/>
        <color theme="1"/>
        <rFont val="Calibri"/>
        <family val="2"/>
        <scheme val="minor"/>
      </rPr>
      <t>NOTE - this field cannot be edited from the default value</t>
    </r>
  </si>
  <si>
    <r>
      <t xml:space="preserve">Default Values
</t>
    </r>
    <r>
      <rPr>
        <b/>
        <i/>
        <sz val="12"/>
        <rFont val="Calibri"/>
        <family val="2"/>
        <scheme val="minor"/>
      </rPr>
      <t>NOTE - cells are locked, editing will impact calculations</t>
    </r>
  </si>
  <si>
    <r>
      <t xml:space="preserve">Use 30,000 if unknown
</t>
    </r>
    <r>
      <rPr>
        <i/>
        <sz val="12"/>
        <color theme="1"/>
        <rFont val="Calibri"/>
        <family val="2"/>
        <scheme val="minor"/>
      </rPr>
      <t>NOTE - no default is calculated for this value</t>
    </r>
  </si>
  <si>
    <t>Default Values</t>
  </si>
  <si>
    <r>
      <t xml:space="preserve">Use 2080 (40 hours/week) if unknown
</t>
    </r>
    <r>
      <rPr>
        <i/>
        <sz val="12"/>
        <color theme="1"/>
        <rFont val="Calibri"/>
        <family val="2"/>
        <scheme val="minor"/>
      </rPr>
      <t>NOTE - no default is calculated for this value</t>
    </r>
  </si>
  <si>
    <t xml:space="preserve">Mileage Point for Battery Overhaul (Electric or Hybrid Buses Only) </t>
  </si>
  <si>
    <t>No default value is provided. Contact bus manufacturer for additional information.</t>
  </si>
  <si>
    <t xml:space="preserve">Battery Replacement Cost (Electric or Hybrid Buses Only)
</t>
  </si>
  <si>
    <t>Fuel economy (MPG, MPGe, or kWh/mile)</t>
  </si>
  <si>
    <t xml:space="preserve">Other Per Mile Operating Costs </t>
  </si>
  <si>
    <r>
      <t xml:space="preserve">Fueling Infrastructure Cost </t>
    </r>
    <r>
      <rPr>
        <b/>
        <u/>
        <sz val="16"/>
        <color theme="1"/>
        <rFont val="Calibri"/>
        <family val="2"/>
        <scheme val="minor"/>
      </rPr>
      <t>Per Bus</t>
    </r>
  </si>
  <si>
    <t>Fueling Infrastructure Annual Maintenance Costs</t>
  </si>
  <si>
    <r>
      <t xml:space="preserve">TOTAL INFRASTRUCTURE COST
</t>
    </r>
    <r>
      <rPr>
        <i/>
        <sz val="12"/>
        <color theme="1"/>
        <rFont val="Calibri"/>
        <family val="2"/>
        <scheme val="minor"/>
      </rPr>
      <t>Multiplies Fueling Infrastructure Costs Per Bus by Total Buses</t>
    </r>
  </si>
  <si>
    <t>All powertrains are effected equally by deteriorating road conditions.</t>
  </si>
  <si>
    <t>All figures are nominal in year of expenditure, not purchasing power adjusted.</t>
  </si>
  <si>
    <t>Electric data assumes depot charging.</t>
  </si>
  <si>
    <t>Lifecycle analysis does not include social costs of raw materials or of ultimate disposal of assets.</t>
  </si>
  <si>
    <t>MPG is estimated as the aggregate average from statewide and national data sources and is not representative of any specific vehicle.</t>
  </si>
  <si>
    <t xml:space="preserve">The default inflation rate uses Consumers Power Index data using AFLEET projections for the 2018-2028 average per year. </t>
  </si>
  <si>
    <t>Full Burden Labor Costs per Hour</t>
  </si>
  <si>
    <r>
      <t xml:space="preserve">Do you want to include potential Clean Fuels Program credit revenues in the analysis?
</t>
    </r>
    <r>
      <rPr>
        <b/>
        <i/>
        <sz val="12"/>
        <color theme="1"/>
        <rFont val="Calibri"/>
        <family val="2"/>
        <scheme val="minor"/>
      </rPr>
      <t xml:space="preserve">NOTE - only the </t>
    </r>
    <r>
      <rPr>
        <b/>
        <i/>
        <u/>
        <sz val="12"/>
        <color theme="1"/>
        <rFont val="Calibri"/>
        <family val="2"/>
        <scheme val="minor"/>
      </rPr>
      <t>owner</t>
    </r>
    <r>
      <rPr>
        <b/>
        <i/>
        <sz val="12"/>
        <color theme="1"/>
        <rFont val="Calibri"/>
        <family val="2"/>
        <scheme val="minor"/>
      </rPr>
      <t xml:space="preserve"> of the electric or CNG fueling equipment is eligible for Clean Fuels Program Credits.</t>
    </r>
  </si>
  <si>
    <t>Good</t>
  </si>
  <si>
    <r>
      <t xml:space="preserve">Asphault Conditions 
</t>
    </r>
    <r>
      <rPr>
        <b/>
        <i/>
        <sz val="12"/>
        <color theme="1"/>
        <rFont val="Calibri"/>
        <family val="2"/>
        <scheme val="minor"/>
      </rPr>
      <t>NOTE - this affects the default values for fuel economy costs</t>
    </r>
  </si>
  <si>
    <r>
      <t xml:space="preserve">Fuel Cost (per gallon, gallon equivalent, or per kWh)
</t>
    </r>
    <r>
      <rPr>
        <b/>
        <i/>
        <sz val="12"/>
        <color theme="1"/>
        <rFont val="Calibri"/>
        <family val="2"/>
        <scheme val="minor"/>
      </rPr>
      <t>NOTE - The default includes detailed fuel price forecasting. If the user includes their own fuel price the inflation rate will be used to forecast future fuel costs.</t>
    </r>
  </si>
  <si>
    <r>
      <t xml:space="preserve">Select Electricity Provider (Electric Buses Only)
</t>
    </r>
    <r>
      <rPr>
        <b/>
        <i/>
        <sz val="12"/>
        <color theme="1"/>
        <rFont val="Calibri"/>
        <family val="2"/>
        <scheme val="minor"/>
      </rPr>
      <t>NOTE - this is used to calculate the carbon intensity and average costs for electric fuel.</t>
    </r>
  </si>
  <si>
    <t>Vehicle costs are developed from aggregate averages of statewide and national cost data. Data will be updated using available data sources in the future.</t>
  </si>
  <si>
    <t>Maintenance cost per mile uses figures from the U.S. Department of Energy's AFLEET tool. Significant uncertainty about electric bus maintenance cost-per-mile exists. This will be refined in future versions as data becomes available.</t>
  </si>
  <si>
    <t>Carbon Intensities are from the Oregon Department of Environmental Quality's Clean Fuels Program data from 2019.</t>
  </si>
  <si>
    <t>Inputs Tabs</t>
  </si>
  <si>
    <t>Summary Tab</t>
  </si>
  <si>
    <t xml:space="preserve">Provides an overall assessment of costs and emissions for the selected bus and fuel type. Outputs are provided in charts and raw numbers. Information provided on this tab includes first-year and cumulative costs for fuel, maintenance, capital, and driver. The tab also provides information on lifecycle emissions broken our into annual and cumulative emissions. 
NOTE - The information displayed is only relevant to the bus and fuel type selected on the "Inputs" tab. No comparison to other bus platforms or fuels is provided on this tab
</t>
  </si>
  <si>
    <t>Financial Cost Comparison Tab</t>
  </si>
  <si>
    <t>Lifecycle Cost Comparison Tab</t>
  </si>
  <si>
    <t xml:space="preserve">This tab provides a cost comparison across all bus and fuel types. This information is best used in this format with default values only. If the user wishes to compare different bus and/or fuel types using fleet-specific inputs rather than default data, it is recommended that they produce a separate analysis for each bus platform and/or fuel type by completing the inputs tab for each specific bus to be compared.
</t>
  </si>
  <si>
    <t xml:space="preserve">This tab includes social cost of carbon values to the previous Financial Cost Comparison tab, also across all bus and fuel types. This information is best used in this format with default values only. If the user wishes to compare different bus and/or fuel types using fleet-specific inputs rather than default data, it is recommended that they produce a separate analysis for each bus platform and/or fuel type by completing the inputs tab for each specific bus to be compared.
</t>
  </si>
  <si>
    <t>Assumptions Tab</t>
  </si>
  <si>
    <t>Fleet Carbon Footprint Tab</t>
  </si>
  <si>
    <t xml:space="preserve">This tab provides the user with information on assumptions that were built into the tool calculations. </t>
  </si>
  <si>
    <t xml:space="preserve">This tab compares annual and cumulative greenhouse gas emissions across all bus and fuel types. This information is best used in this format with default values only. If the user wishes to compare different bus and/or fuel types using fleet-specific inputs rather than default data, it is recommended that they produce a separate analysis for each bus platform and/or fuel type by completing the inputs tab for each specific bus to be compared.
</t>
  </si>
  <si>
    <t>Electric and Alternative Fuel Transit Bus Lifecycle Cost Analysis Tool (Version 1.0)</t>
  </si>
  <si>
    <t>Electric and Alternative Fuel Transit Bus Lifecycle Cost Analysis Tool</t>
  </si>
  <si>
    <r>
      <t xml:space="preserve">Electric and Alternative Fuel Transit Bus Lifecycle Cost Analysis Tool
</t>
    </r>
    <r>
      <rPr>
        <sz val="36"/>
        <color theme="0"/>
        <rFont val="Calibri"/>
        <family val="2"/>
        <scheme val="minor"/>
      </rPr>
      <t>Lifecycle Emissions Comparison</t>
    </r>
  </si>
  <si>
    <r>
      <t xml:space="preserve">Electric and Alternative Fuel Transit Bus Lifecycle Cost Analysis Tool
</t>
    </r>
    <r>
      <rPr>
        <sz val="36"/>
        <color theme="0"/>
        <rFont val="Calibri"/>
        <family val="2"/>
        <scheme val="minor"/>
      </rPr>
      <t>35- to 40-foot Buses</t>
    </r>
  </si>
  <si>
    <t>Road Conditions</t>
  </si>
  <si>
    <t>B5</t>
  </si>
  <si>
    <t>Fair</t>
  </si>
  <si>
    <t>Poor</t>
  </si>
  <si>
    <t>Maint.</t>
  </si>
  <si>
    <t>MPG</t>
  </si>
  <si>
    <t>EV</t>
  </si>
  <si>
    <t>Default Clean Fuels Program Credit Value</t>
  </si>
  <si>
    <t>Model Overview:</t>
  </si>
  <si>
    <r>
      <t xml:space="preserve">This tab enables users to input all costs associated with bus procurement, operation, maintenance, and fueling infrastucture. Once a bus and fuel type is selected default values will populate in all subsequent entries in columns B and C. If known, the user can also enter their own fleet-specific values into this column. Default values will remain in column C next to each entry for the user's reference. It is </t>
    </r>
    <r>
      <rPr>
        <b/>
        <sz val="22"/>
        <rFont val="Calibri"/>
        <family val="2"/>
        <scheme val="minor"/>
      </rPr>
      <t>highly</t>
    </r>
    <r>
      <rPr>
        <sz val="22"/>
        <rFont val="Calibri"/>
        <family val="2"/>
        <scheme val="minor"/>
      </rPr>
      <t xml:space="preserve"> recommended that the user start with a fresh, unedited spreadsheet for each analysis to ensure that all calculations are performed correctly.</t>
    </r>
  </si>
  <si>
    <r>
      <rPr>
        <sz val="22"/>
        <rFont val="Calibri"/>
        <family val="2"/>
        <scheme val="minor"/>
      </rPr>
      <t xml:space="preserve">This tab enables users to compare the lifecycle greenhouse gas emissions across all platforms of buses and alternative fuels. This chart provides the best comparison information when using only default values. If the user wants to compare and contrast across specific inputs for multiple buses it is recommended that a separate analysis for each fuel type be conducted. It is </t>
    </r>
    <r>
      <rPr>
        <b/>
        <sz val="22"/>
        <rFont val="Calibri"/>
        <family val="2"/>
        <scheme val="minor"/>
      </rPr>
      <t>highly</t>
    </r>
    <r>
      <rPr>
        <sz val="22"/>
        <rFont val="Calibri"/>
        <family val="2"/>
        <scheme val="minor"/>
      </rPr>
      <t xml:space="preserve"> recommended that users start each new analysis with a new transit tool template to avoid inadvertant changes to the tool.</t>
    </r>
  </si>
  <si>
    <t>After the user completes the Inputs tab (using default data or their own fleet-specific data) the remaining tabs provide an assessment of operational and maintenance costs, lifecycle costs, greenhouse gas emissions, and other air pollutant emissions. These are available across the different tabs:</t>
  </si>
  <si>
    <r>
      <rPr>
        <b/>
        <sz val="20"/>
        <color theme="0"/>
        <rFont val="Calibri"/>
        <family val="2"/>
        <scheme val="minor"/>
      </rPr>
      <t>Infrastructure and Miscellaneous Section</t>
    </r>
    <r>
      <rPr>
        <sz val="16"/>
        <color theme="0"/>
        <rFont val="Calibri"/>
        <family val="2"/>
        <scheme val="minor"/>
      </rPr>
      <t xml:space="preserve">
</t>
    </r>
  </si>
  <si>
    <r>
      <rPr>
        <b/>
        <sz val="20"/>
        <color theme="0"/>
        <rFont val="Calibri"/>
        <family val="2"/>
        <scheme val="minor"/>
      </rPr>
      <t>Basic Schedule Section</t>
    </r>
    <r>
      <rPr>
        <sz val="16"/>
        <color theme="0"/>
        <rFont val="Calibri"/>
        <family val="2"/>
        <scheme val="minor"/>
      </rPr>
      <t xml:space="preserve">
</t>
    </r>
  </si>
  <si>
    <r>
      <rPr>
        <b/>
        <sz val="20"/>
        <color theme="0"/>
        <rFont val="Calibri"/>
        <family val="2"/>
        <scheme val="minor"/>
      </rPr>
      <t>Operations and Maintenance Section</t>
    </r>
    <r>
      <rPr>
        <sz val="16"/>
        <color theme="0"/>
        <rFont val="Calibri"/>
        <family val="2"/>
        <scheme val="minor"/>
      </rPr>
      <t xml:space="preserve">
</t>
    </r>
  </si>
  <si>
    <r>
      <rPr>
        <b/>
        <sz val="20"/>
        <color theme="0"/>
        <rFont val="Calibri"/>
        <family val="2"/>
        <scheme val="minor"/>
      </rPr>
      <t>Bus, Service, Driver, and Environment Section</t>
    </r>
    <r>
      <rPr>
        <sz val="16"/>
        <color theme="0"/>
        <rFont val="Calibri"/>
        <family val="2"/>
        <scheme val="minor"/>
      </rPr>
      <t xml:space="preserve">
</t>
    </r>
  </si>
  <si>
    <t>BEV Decreased Fuel Econmy</t>
  </si>
  <si>
    <t xml:space="preserve">This tab will assist the user in assessing the annual and cumulative costs for the information the user entered on the "Inputs" tab. Information is broken out into fuel, maintenance, capital, and driver costs for first-year and cumulative costs in the charts at the top. A more granular cost table is provided below the charts. Life cycle emissions are also calculated and displayed to the right of the cost charts, and annual and cumulative emissions are broken down below. The information displayed is only relevant to the bus and fuel type selected on the "Inputs" tab. </t>
  </si>
  <si>
    <t>NOTE: altering values and calculations in this sheet will impact overall calculations and if not added appropriately may provide inaccurate results. Please contact the Oregon Department of Transportation for Assistance.</t>
  </si>
  <si>
    <r>
      <rPr>
        <b/>
        <sz val="16"/>
        <color theme="1"/>
        <rFont val="Calibri"/>
        <family val="2"/>
        <scheme val="minor"/>
      </rPr>
      <t xml:space="preserve">Line 38 – Fueling Infrastructure Annual Maintenance Cost
</t>
    </r>
    <r>
      <rPr>
        <sz val="16"/>
        <color theme="1"/>
        <rFont val="Calibri"/>
        <family val="2"/>
        <scheme val="minor"/>
      </rPr>
      <t>Anticipated annual costs to maintain the fueling infrastructure for the bus could include pump maintenance, filter replacement, and parts replacements.</t>
    </r>
  </si>
  <si>
    <r>
      <rPr>
        <b/>
        <sz val="16"/>
        <color theme="1"/>
        <rFont val="Calibri"/>
        <family val="2"/>
        <scheme val="minor"/>
      </rPr>
      <t>Bus and Fuel Type - Line 4 (Required Input)</t>
    </r>
    <r>
      <rPr>
        <sz val="16"/>
        <color theme="1"/>
        <rFont val="Calibri"/>
        <family val="2"/>
        <scheme val="minor"/>
      </rPr>
      <t xml:space="preserve">
This line is the primary toggle for alternative buses and fuels in the tool. The user can select from bus types, including diesel, diesel hybrids, compressed natural gas (CNG), renewable natural gas (RNG), and electric formats. Diesel and diesel hybrids are further split out by diesel and renewable diesel fuel types (B5, B20, R20, R99).
Note: the baseline format of a bus is a 2019 or newer model year diesel bus using B5 diesel fuel.
</t>
    </r>
  </si>
  <si>
    <r>
      <rPr>
        <b/>
        <sz val="16"/>
        <color theme="1"/>
        <rFont val="Calibri"/>
        <family val="2"/>
        <scheme val="minor"/>
      </rPr>
      <t>Line 8 – Bus Price (Recommended input</t>
    </r>
    <r>
      <rPr>
        <sz val="16"/>
        <color theme="1"/>
        <rFont val="Calibri"/>
        <family val="2"/>
        <scheme val="minor"/>
      </rPr>
      <t xml:space="preserve">)
A default price for each bus type will populate in this cell. The default prices are the average costs for the different platforms of transit buses. Oregon-specific pricing was used when possible, but there isn’t Oregon price data available for all listed platforms. National averages were used in those cases. 
Remember, these are averages. Bus prices are highly dependent on contract terms as well as additional features. If you know your own bus prices, substitute them in here.
</t>
    </r>
  </si>
  <si>
    <r>
      <rPr>
        <b/>
        <sz val="16"/>
        <color theme="1"/>
        <rFont val="Calibri"/>
        <family val="2"/>
        <scheme val="minor"/>
      </rPr>
      <t>Line 9 – Bus Expected Useful Life</t>
    </r>
    <r>
      <rPr>
        <sz val="16"/>
        <color theme="1"/>
        <rFont val="Calibri"/>
        <family val="2"/>
        <scheme val="minor"/>
      </rPr>
      <t xml:space="preserve"> 
This field defaults to 12 years — the standard federal useful life for this vehicle classification — and can’t be adjusted. It’s a widely-used baseline for cost assessments and assumes the bus is purchased new. (Buses often remain in service past 12 years, however.) </t>
    </r>
  </si>
  <si>
    <r>
      <rPr>
        <b/>
        <sz val="16"/>
        <color theme="1"/>
        <rFont val="Calibri"/>
        <family val="2"/>
        <scheme val="minor"/>
      </rPr>
      <t>Line 10 – Full Burden Labor Costs Per Hour (Highly Recommended Input)</t>
    </r>
    <r>
      <rPr>
        <sz val="16"/>
        <color theme="1"/>
        <rFont val="Calibri"/>
        <family val="2"/>
        <scheme val="minor"/>
      </rPr>
      <t xml:space="preserve">
This field reflects the transit agency’s overall labor costs for the bus drivers. The default value is $30, which includes salary and benefits. You can adjust this value to also include other operations costs determined on a per-hour basis.
</t>
    </r>
  </si>
  <si>
    <r>
      <rPr>
        <b/>
        <sz val="16"/>
        <color theme="1"/>
        <rFont val="Calibri"/>
        <family val="2"/>
        <scheme val="minor"/>
      </rPr>
      <t>Line 11 – Asphalt Conditions (Highly Recommended Input)</t>
    </r>
    <r>
      <rPr>
        <sz val="16"/>
        <color theme="1"/>
        <rFont val="Calibri"/>
        <family val="2"/>
        <scheme val="minor"/>
      </rPr>
      <t xml:space="preserve">
Select the asphalt condition for the route travelled by the buses. Asphalt conditions are important because fuel usage and maintenance costs greatly increase as asphalt conditions deteriorate. This is a judgement call on your part, but choose an option that represents the majority of the bus route. For more information on road conditions, see the ODOT Pavement Condition Standards at https://www.oregon.gov/odot/Construction/Pages/Pavement-Condition.aspx. 
</t>
    </r>
  </si>
  <si>
    <r>
      <rPr>
        <b/>
        <sz val="16"/>
        <color theme="1"/>
        <rFont val="Calibri"/>
        <family val="2"/>
        <scheme val="minor"/>
      </rPr>
      <t xml:space="preserve">Line 12 – Inflation Rate </t>
    </r>
    <r>
      <rPr>
        <sz val="16"/>
        <color theme="1"/>
        <rFont val="Calibri"/>
        <family val="2"/>
        <scheme val="minor"/>
      </rPr>
      <t xml:space="preserve">
The rate at which fuel and maintenance costs are expected to rise over the lifetime of the vehicle. The rate was derived from the U.S. Congressional Budget Office’s Consumer Price Index for transportation. </t>
    </r>
  </si>
  <si>
    <r>
      <rPr>
        <b/>
        <sz val="16"/>
        <color theme="1"/>
        <rFont val="Calibri"/>
        <family val="2"/>
        <scheme val="minor"/>
      </rPr>
      <t xml:space="preserve">Line 16 – Annual Vehicle Miles Traveled Per Bus (Highly Recommended Input)
</t>
    </r>
    <r>
      <rPr>
        <sz val="16"/>
        <color theme="1"/>
        <rFont val="Calibri"/>
        <family val="2"/>
        <scheme val="minor"/>
      </rPr>
      <t>Total anticipated miles the bus travels on an annual basis. Default is 30,000 miles per year. It’s not a calculated value, but if you don’t known your annual vehicle miles traveled, it’s a good starting point. 
If you are using the tool to assess costs for multiple buses that have varying routes lengths, we recommended you conduct separate analyses for each route.</t>
    </r>
    <r>
      <rPr>
        <sz val="11"/>
        <color theme="1"/>
        <rFont val="Calibri"/>
        <family val="2"/>
        <scheme val="minor"/>
      </rPr>
      <t xml:space="preserve">
</t>
    </r>
  </si>
  <si>
    <r>
      <rPr>
        <b/>
        <sz val="16"/>
        <color theme="1"/>
        <rFont val="Calibri"/>
        <family val="2"/>
        <scheme val="minor"/>
      </rPr>
      <t xml:space="preserve">Line 17 – Annual Vehicle Hours Traveled Per Bus (Highly Recommended Input)
</t>
    </r>
    <r>
      <rPr>
        <sz val="16"/>
        <color theme="1"/>
        <rFont val="Calibri"/>
        <family val="2"/>
        <scheme val="minor"/>
      </rPr>
      <t>Total anticipated hours of operation on an annual basis. The default value, 2,080 hours, is the equivalent of 40 hours per week over one year. This is not a calculated value, but if you don’t know your total annual hours, 2080 is a good starting point.</t>
    </r>
    <r>
      <rPr>
        <sz val="11"/>
        <color theme="1"/>
        <rFont val="Calibri"/>
        <family val="2"/>
        <scheme val="minor"/>
      </rPr>
      <t xml:space="preserve">
</t>
    </r>
  </si>
  <si>
    <r>
      <rPr>
        <b/>
        <sz val="16"/>
        <color theme="1"/>
        <rFont val="Calibri"/>
        <family val="2"/>
        <scheme val="minor"/>
      </rPr>
      <t xml:space="preserve">Line 18 – Number of Buses
</t>
    </r>
    <r>
      <rPr>
        <sz val="16"/>
        <color theme="1"/>
        <rFont val="Calibri"/>
        <family val="2"/>
        <scheme val="minor"/>
      </rPr>
      <t xml:space="preserve">The number of buses you plan to purchase and operate. </t>
    </r>
  </si>
  <si>
    <r>
      <rPr>
        <b/>
        <sz val="16"/>
        <color theme="1"/>
        <rFont val="Calibri"/>
        <family val="2"/>
        <scheme val="minor"/>
      </rPr>
      <t xml:space="preserve">Line 22 – Maintenance Costs Per Mile 
</t>
    </r>
    <r>
      <rPr>
        <sz val="16"/>
        <color theme="1"/>
        <rFont val="Calibri"/>
        <family val="2"/>
        <scheme val="minor"/>
      </rPr>
      <t xml:space="preserve">It’s important to add all maintenance costs for each bus in this field: cleaning, oil changes, tires, emission filter regeneration, etc. Once you have that number, divide by the number of miles driven from Line 16. Enter that result into Line 22. 
The default value shown is based on Argonne National Laboratory information for the specific type of bus and the 12-year expected useful life (Line 9). Determine annual vehicle maintenance costs, then divide by the annual vehicle miles traveled from Line 16. </t>
    </r>
  </si>
  <si>
    <r>
      <rPr>
        <b/>
        <sz val="16"/>
        <color theme="1"/>
        <rFont val="Calibri"/>
        <family val="2"/>
        <scheme val="minor"/>
      </rPr>
      <t xml:space="preserve">Line 23 – Fuel Economy (mpg or equivalent)
</t>
    </r>
    <r>
      <rPr>
        <sz val="16"/>
        <color theme="1"/>
        <rFont val="Calibri"/>
        <family val="2"/>
        <scheme val="minor"/>
      </rPr>
      <t>A default value is calculated for each vehicle and fuel type. B5, B20, R20 and R99 units are in miles per gallon, CNG and RNG units are in diesel gallon equivalent (dge), and electric is in kilowatt hours/mile (kWh per mile). 
Note: Generally, CNG and RNG are purchased in “therms.” However, for ease of use with this tool CNG and RNG are reported in dge/mile. You can calculate dge from therms/mile by multiplying the therms/mile by a conversion factor 1.27. Fuel economies vary, even for the same bus. If your buses have different fuel economies (for example, due to different routes) we recommend that you conduct separate analyses for each bus.</t>
    </r>
  </si>
  <si>
    <r>
      <rPr>
        <b/>
        <sz val="16"/>
        <color theme="1"/>
        <rFont val="Calibri"/>
        <family val="2"/>
        <scheme val="minor"/>
      </rPr>
      <t xml:space="preserve">Line 24 – Other Per Mile Operating Costs
</t>
    </r>
    <r>
      <rPr>
        <sz val="16"/>
        <color theme="1"/>
        <rFont val="Calibri"/>
        <family val="2"/>
        <scheme val="minor"/>
      </rPr>
      <t xml:space="preserve">On this line, enter any other operational costs per mile that have not been accounted for elsewhere. Common examples are diesel exhaust fluid or battery leasing costs. Operating overhead and indirect expenses could also be added to this field. This value is set  at $0.00 by default. 
Make sure your additional costs are calculated on an annual basis, then divided by the annual vehicle miles traveled from Line 16. </t>
    </r>
  </si>
  <si>
    <r>
      <rPr>
        <b/>
        <sz val="16"/>
        <color theme="1"/>
        <rFont val="Calibri"/>
        <family val="2"/>
        <scheme val="minor"/>
      </rPr>
      <t xml:space="preserve">Line 25 – Engine Overhaul Costs
</t>
    </r>
    <r>
      <rPr>
        <sz val="16"/>
        <color theme="1"/>
        <rFont val="Calibri"/>
        <family val="2"/>
        <scheme val="minor"/>
      </rPr>
      <t xml:space="preserve">Most combustion engines will need to be overhauled at least once in the vehicle’s lifetime. This tool uses 250,000 miles as the trigger point for a diesel engine overhaul (see cell B28). Overhaul needs will vary based on vehicle usage. </t>
    </r>
  </si>
  <si>
    <r>
      <rPr>
        <b/>
        <sz val="16"/>
        <color theme="1"/>
        <rFont val="Calibri"/>
        <family val="2"/>
        <scheme val="minor"/>
      </rPr>
      <t xml:space="preserve">Line 26 – Transmission Overhaul Costs
</t>
    </r>
    <r>
      <rPr>
        <sz val="16"/>
        <color theme="1"/>
        <rFont val="Calibri"/>
        <family val="2"/>
        <scheme val="minor"/>
      </rPr>
      <t xml:space="preserve">Most bus transmissions will need to be overhauled at least once in the vehicle’s lifetime. This model uses 250,000 miles as the trigger point for a diesel engine overhaul (see cell B28). Overhaul needs will vary based on vehicle usage. </t>
    </r>
  </si>
  <si>
    <r>
      <rPr>
        <b/>
        <sz val="16"/>
        <color theme="1"/>
        <rFont val="Calibri"/>
        <family val="2"/>
        <scheme val="minor"/>
      </rPr>
      <t xml:space="preserve">Line 27 – Mileage Point for Conventional Overhaul
</t>
    </r>
    <r>
      <rPr>
        <sz val="16"/>
        <color theme="1"/>
        <rFont val="Calibri"/>
        <family val="2"/>
        <scheme val="minor"/>
      </rPr>
      <t>This will change the mileage point that triggers a diesel bus engine and transmission overhaul. You can’t set different mileage trigger points for the engine and transmission overhauls. The default is set at 250,000 miles.</t>
    </r>
  </si>
  <si>
    <r>
      <rPr>
        <b/>
        <sz val="16"/>
        <color theme="1"/>
        <rFont val="Calibri"/>
        <family val="2"/>
        <scheme val="minor"/>
      </rPr>
      <t xml:space="preserve">Line 28 – Mileage Point for Battery Overhaul
</t>
    </r>
    <r>
      <rPr>
        <sz val="16"/>
        <color theme="1"/>
        <rFont val="Calibri"/>
        <family val="2"/>
        <scheme val="minor"/>
      </rPr>
      <t>There is no default value provided for Line 28 because information is scarce about the timing of battery overhaul (replacement). Battery and hybrid technology is still new and it will take time for transit authorities and manufacturers to collect reliable data. 
That said, many electric bus manufacturers offer a 12-year limited warranty for their batteries and state a mileage point for that warranty (see Line 24). If you know the mileage point for your battery warranty, enter that number here. Otherwise, leave it blank.</t>
    </r>
  </si>
  <si>
    <r>
      <rPr>
        <b/>
        <sz val="16"/>
        <color theme="1"/>
        <rFont val="Calibri"/>
        <family val="2"/>
        <scheme val="minor"/>
      </rPr>
      <t xml:space="preserve">Line 29 – Battery Replacement Cost
</t>
    </r>
    <r>
      <rPr>
        <sz val="16"/>
        <color theme="1"/>
        <rFont val="Calibri"/>
        <family val="2"/>
        <scheme val="minor"/>
      </rPr>
      <t xml:space="preserve">Information is scarce about battery replacement costs because electric and hybrid electric buses are relatively new to transit authorities. It will take time to collect reliable data and calculate an average cost. 
Therefore, this field is left blank by default. Only input a value here if your manufacturer provides you with a specific cost for battery replacement. 
</t>
    </r>
  </si>
  <si>
    <r>
      <rPr>
        <b/>
        <sz val="16"/>
        <color theme="1"/>
        <rFont val="Calibri"/>
        <family val="2"/>
        <scheme val="minor"/>
      </rPr>
      <t xml:space="preserve">Line 30 – Fuel Cost 
</t>
    </r>
    <r>
      <rPr>
        <sz val="16"/>
        <color theme="1"/>
        <rFont val="Calibri"/>
        <family val="2"/>
        <scheme val="minor"/>
      </rPr>
      <t>By default, the tool provides fuel costs for several types of fuel. The costs are derived from modeled projections on fuel cost changes over the lifetime of the vehicle. 
If you know your actual fuel costs, enter them in this field. The tool will project cost increases based on inflation rate from field B12. Diesel and hybrid diesel fuel is included as cost per gallon, electric as cost per kWh, CNG/RNG are included as cost per dge. See Line 23 for conversion from therms to dge).</t>
    </r>
  </si>
  <si>
    <r>
      <rPr>
        <b/>
        <sz val="16"/>
        <color theme="1"/>
        <rFont val="Calibri"/>
        <family val="2"/>
        <scheme val="minor"/>
      </rPr>
      <t xml:space="preserve">Line 31 – Select Electricity Provider (Input Required)
</t>
    </r>
    <r>
      <rPr>
        <sz val="16"/>
        <color theme="1"/>
        <rFont val="Calibri"/>
        <family val="2"/>
        <scheme val="minor"/>
      </rPr>
      <t>Click on cell B35 and use the pulldown menu to select your specific electric utility. This information is used to calculate the carbon intensity of the electricity and is directly related to the amount of Clean Fuels Program Credits an EV charger can receive. See below for more information on the Clean Fuels Program.</t>
    </r>
  </si>
  <si>
    <r>
      <rPr>
        <b/>
        <sz val="16"/>
        <color theme="1"/>
        <rFont val="Calibri"/>
        <family val="2"/>
        <scheme val="minor"/>
      </rPr>
      <t>Line 32 – Do you want to include potential Clean Fuels Program credit revenues in the analysis?</t>
    </r>
    <r>
      <rPr>
        <sz val="16"/>
        <color theme="1"/>
        <rFont val="Calibri"/>
        <family val="2"/>
        <scheme val="minor"/>
      </rPr>
      <t xml:space="preserve">
Click on cell B32 and select yes or no. Participation in the program is not required. 
More information about the Clean Fuels Program:
• The owner of the charging infrastructure can generate program credits and monetize them. 
• The funds received from this monetization can be used to offset the costs for adding or upgrading the equipment needed for electric or CNG/RNG buses.
• Credit values in the tool are based on 2019 program credit data. Actual revenue from the sale of credits will vary. 
• Some alternative fuels (B20, R20, R99) are also eligible to generate credits via the program but those typically go to the importers of those fuels. Not to the end users of the fuel. But you might be able to get a lower price because of the credits. 
• In some scenarios, fuel costs can appear as a negative value because of the credits generated via the program.
</t>
    </r>
  </si>
  <si>
    <r>
      <rPr>
        <b/>
        <sz val="16"/>
        <color theme="1"/>
        <rFont val="Calibri"/>
        <family val="2"/>
        <scheme val="minor"/>
      </rPr>
      <t xml:space="preserve">Line 36 – Fueling Infrastructure Cost Per Bus
</t>
    </r>
    <r>
      <rPr>
        <sz val="16"/>
        <color theme="1"/>
        <rFont val="Calibri"/>
        <family val="2"/>
        <scheme val="minor"/>
      </rPr>
      <t>If additional fueling infrastructure is needed (e.g., chargers for electric buses, leasing CNG/RNG fueling infrastructure) you can include the costs of that infrastructure here. 
If you are considering multiple buses, you will need to divide the total cost of the needed infrastructure by the total number of buses you entered in cell B18. The cost of some infrastructure may be high for one bus but would be spread out over multiple buses if more are procured. 
For diesel fuel, the assumption is that the infrastructure already exists and therefore the cost is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</si>
</sst>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5" formatCode="&quot;$&quot;#,##0_);\(&quot;$&quot;#,##0\)"/>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quot;$&quot;#,##0"/>
    <numFmt numFmtId="167" formatCode="_(* #,##0_);_(* \(#,##0\);_(* &quot;-&quot;??_);_(@_)"/>
    <numFmt numFmtId="168" formatCode="0.0%"/>
    <numFmt numFmtId="169" formatCode="_(&quot;$&quot;* #,##0_);_(&quot;$&quot;* \(#,##0\);_(&quot;$&quot;* &quot;-&quot;??_);_(@_)"/>
    <numFmt numFmtId="170" formatCode="&quot;$&quot;#,##0.000_);[Red]\(&quot;$&quot;#,##0.000\)"/>
    <numFmt numFmtId="171" formatCode="_(&quot;$&quot;* #,##0.0000_);_(&quot;$&quot;* \(#,##0.0000\);_(&quot;$&quot;* &quot;-&quot;??_);_(@_)"/>
    <numFmt numFmtId="172" formatCode="_(* #,##0.0000_);_(* \(#,##0.0000\);_(* &quot;-&quot;??_);_(@_)"/>
    <numFmt numFmtId="173" formatCode="0.000000"/>
    <numFmt numFmtId="174" formatCode="_(* #,##0.0000000_);_(* \(#,##0.0000000\);_(* &quot;-&quot;??_);_(@_)"/>
    <numFmt numFmtId="175" formatCode="&quot;$&quot;#,##0.0000"/>
    <numFmt numFmtId="176" formatCode="&quot;$&quot;#,##0.00000"/>
    <numFmt numFmtId="177" formatCode="_(* #,##0.00000_);_(* \(#,##0.00000\);_(* &quot;-&quot;??_);_(@_)"/>
    <numFmt numFmtId="178" formatCode="0.00000"/>
    <numFmt numFmtId="179" formatCode="&quot;$&quot;#,##0.000"/>
    <numFmt numFmtId="180" formatCode="_(* #,##0.000_);_(* \(#,##0.000\);_(* &quot;-&quot;??_);_(@_)"/>
    <numFmt numFmtId="181" formatCode="_(* #,##0.00000000_);_(* \(#,##0.00000000\);_(* &quot;-&quot;??_);_(@_)"/>
    <numFmt numFmtId="182" formatCode="#,##0.000"/>
    <numFmt numFmtId="183" formatCode="0.000"/>
    <numFmt numFmtId="184" formatCode="_(* #,##0.000000_);_(* \(#,##0.000000\);_(* &quot;-&quot;??_);_(@_)"/>
    <numFmt numFmtId="185" formatCode="0.00000E+00"/>
    <numFmt numFmtId="186" formatCode="&quot;$&quot;#,##0.00000_);[Red]\(&quot;$&quot;#,##0.00000\)"/>
    <numFmt numFmtId="187" formatCode="&quot;$&quot;#,##0.0000_);[Red]\(&quot;$&quot;#,##0.0000\)"/>
    <numFmt numFmtId="188" formatCode="_(&quot;$&quot;* #,##0.00000_);_(&quot;$&quot;* \(#,##0.00000\);_(&quot;$&quot;* &quot;-&quot;??_);_(@_)"/>
    <numFmt numFmtId="189" formatCode="_(&quot;$&quot;* #,##0.000000_);_(&quot;$&quot;* \(#,##0.000000\);_(&quot;$&quot;* &quot;-&quot;??_);_(@_)"/>
    <numFmt numFmtId="190" formatCode="_(&quot;$&quot;* #,##0.0000000_);_(&quot;$&quot;* \(#,##0.0000000\);_(&quot;$&quot;* &quot;-&quot;??_);_(@_)"/>
    <numFmt numFmtId="191" formatCode="0.000%"/>
  </numFmts>
  <fonts count="65" x14ac:knownFonts="1">
    <font>
      <sz val="11"/>
      <color theme="1"/>
      <name val="Calibri"/>
      <family val="2"/>
      <scheme val="minor"/>
    </font>
    <font>
      <sz val="11"/>
      <color theme="1"/>
      <name val="Calibri"/>
      <family val="2"/>
      <scheme val="minor"/>
    </font>
    <font>
      <sz val="11"/>
      <color rgb="FF3F3F76"/>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1"/>
      <color rgb="FF006100"/>
      <name val="Calibri"/>
      <family val="2"/>
      <scheme val="minor"/>
    </font>
    <font>
      <u/>
      <sz val="11"/>
      <color theme="10"/>
      <name val="Calibri"/>
      <family val="2"/>
    </font>
    <font>
      <sz val="10"/>
      <name val="Calibri"/>
      <family val="2"/>
      <scheme val="minor"/>
    </font>
    <font>
      <sz val="10"/>
      <color theme="0"/>
      <name val="Calibri"/>
      <family val="2"/>
      <scheme val="minor"/>
    </font>
    <font>
      <b/>
      <sz val="12"/>
      <color theme="1"/>
      <name val="Calibri"/>
      <family val="2"/>
      <scheme val="minor"/>
    </font>
    <font>
      <u/>
      <sz val="10"/>
      <color theme="10"/>
      <name val="Calibri"/>
      <family val="2"/>
    </font>
    <font>
      <sz val="10"/>
      <color theme="1"/>
      <name val="Times New Roman"/>
      <family val="1"/>
    </font>
    <font>
      <sz val="8"/>
      <color theme="1"/>
      <name val="Calibri"/>
      <family val="2"/>
      <scheme val="minor"/>
    </font>
    <font>
      <sz val="11"/>
      <color theme="1" tint="0.34998626667073579"/>
      <name val="Calibri"/>
      <family val="2"/>
      <scheme val="minor"/>
    </font>
    <font>
      <i/>
      <sz val="10"/>
      <color theme="1" tint="0.34998626667073579"/>
      <name val="Calibri"/>
      <family val="2"/>
      <scheme val="minor"/>
    </font>
    <font>
      <b/>
      <sz val="10"/>
      <name val="Calibri"/>
      <family val="2"/>
      <scheme val="minor"/>
    </font>
    <font>
      <b/>
      <sz val="14"/>
      <color theme="0"/>
      <name val="Calibri"/>
      <family val="2"/>
      <scheme val="minor"/>
    </font>
    <font>
      <b/>
      <sz val="16"/>
      <color theme="0"/>
      <name val="Calibri"/>
      <family val="2"/>
      <scheme val="minor"/>
    </font>
    <font>
      <sz val="16"/>
      <color theme="1"/>
      <name val="Calibri"/>
      <family val="2"/>
      <scheme val="minor"/>
    </font>
    <font>
      <b/>
      <sz val="11"/>
      <color theme="1"/>
      <name val="Calibri"/>
      <family val="2"/>
      <scheme val="minor"/>
    </font>
    <font>
      <b/>
      <sz val="14"/>
      <color theme="1"/>
      <name val="Calibri"/>
      <family val="2"/>
      <scheme val="minor"/>
    </font>
    <font>
      <sz val="9"/>
      <color indexed="81"/>
      <name val="Tahoma"/>
      <family val="2"/>
    </font>
    <font>
      <b/>
      <sz val="9"/>
      <color indexed="81"/>
      <name val="Tahoma"/>
      <family val="2"/>
    </font>
    <font>
      <sz val="10"/>
      <color theme="1"/>
      <name val="Arial"/>
      <family val="2"/>
    </font>
    <font>
      <b/>
      <sz val="16"/>
      <color theme="1"/>
      <name val="Arial"/>
      <family val="2"/>
    </font>
    <font>
      <u/>
      <sz val="10"/>
      <color theme="1"/>
      <name val="Arial"/>
      <family val="2"/>
    </font>
    <font>
      <u/>
      <sz val="11"/>
      <color theme="10"/>
      <name val="Calibri"/>
      <family val="2"/>
      <scheme val="minor"/>
    </font>
    <font>
      <b/>
      <sz val="10"/>
      <color theme="1"/>
      <name val="Arial"/>
      <family val="2"/>
    </font>
    <font>
      <sz val="11"/>
      <color rgb="FFFF0000"/>
      <name val="Calibri"/>
      <family val="2"/>
      <scheme val="minor"/>
    </font>
    <font>
      <b/>
      <sz val="12"/>
      <name val="Calibri"/>
      <family val="2"/>
      <scheme val="minor"/>
    </font>
    <font>
      <sz val="11"/>
      <name val="Calibri"/>
      <family val="2"/>
      <scheme val="minor"/>
    </font>
    <font>
      <b/>
      <sz val="11"/>
      <name val="Calibri"/>
      <family val="2"/>
      <scheme val="minor"/>
    </font>
    <font>
      <vertAlign val="superscript"/>
      <sz val="11"/>
      <color theme="1"/>
      <name val="Calibri"/>
      <family val="2"/>
      <scheme val="minor"/>
    </font>
    <font>
      <sz val="9"/>
      <color indexed="8"/>
      <name val="Calibri"/>
      <family val="2"/>
    </font>
    <font>
      <b/>
      <u/>
      <sz val="11"/>
      <color theme="1"/>
      <name val="Calibri"/>
      <family val="2"/>
      <scheme val="minor"/>
    </font>
    <font>
      <b/>
      <sz val="16"/>
      <color theme="1"/>
      <name val="Calibri"/>
      <family val="2"/>
      <scheme val="minor"/>
    </font>
    <font>
      <b/>
      <sz val="16"/>
      <name val="Calibri"/>
      <family val="2"/>
      <scheme val="minor"/>
    </font>
    <font>
      <sz val="16"/>
      <name val="Calibri"/>
      <family val="2"/>
      <scheme val="minor"/>
    </font>
    <font>
      <i/>
      <sz val="16"/>
      <color theme="1" tint="0.34998626667073579"/>
      <name val="Calibri"/>
      <family val="2"/>
      <scheme val="minor"/>
    </font>
    <font>
      <sz val="16"/>
      <color theme="0"/>
      <name val="Calibri"/>
      <family val="2"/>
      <scheme val="minor"/>
    </font>
    <font>
      <sz val="16"/>
      <color theme="1" tint="0.34998626667073579"/>
      <name val="Calibri"/>
      <family val="2"/>
      <scheme val="minor"/>
    </font>
    <font>
      <sz val="14"/>
      <color theme="1"/>
      <name val="Calibri"/>
      <family val="2"/>
      <scheme val="minor"/>
    </font>
    <font>
      <b/>
      <sz val="18"/>
      <color theme="1"/>
      <name val="Calibri"/>
      <family val="2"/>
      <scheme val="minor"/>
    </font>
    <font>
      <b/>
      <sz val="20"/>
      <color theme="1"/>
      <name val="Calibri"/>
      <family val="2"/>
      <scheme val="minor"/>
    </font>
    <font>
      <sz val="22"/>
      <color theme="0"/>
      <name val="Calibri"/>
      <family val="2"/>
      <scheme val="minor"/>
    </font>
    <font>
      <sz val="20"/>
      <color theme="0"/>
      <name val="Calibri"/>
      <family val="2"/>
      <scheme val="minor"/>
    </font>
    <font>
      <sz val="11"/>
      <color theme="0"/>
      <name val="Calibri"/>
      <family val="2"/>
      <scheme val="minor"/>
    </font>
    <font>
      <sz val="48"/>
      <color theme="0"/>
      <name val="Calibri"/>
      <family val="2"/>
      <scheme val="minor"/>
    </font>
    <font>
      <sz val="48"/>
      <color theme="1"/>
      <name val="Calibri"/>
      <family val="2"/>
      <scheme val="minor"/>
    </font>
    <font>
      <b/>
      <i/>
      <sz val="12"/>
      <color theme="1"/>
      <name val="Calibri"/>
      <family val="2"/>
      <scheme val="minor"/>
    </font>
    <font>
      <b/>
      <i/>
      <sz val="12"/>
      <name val="Calibri"/>
      <family val="2"/>
      <scheme val="minor"/>
    </font>
    <font>
      <i/>
      <sz val="12"/>
      <color theme="1"/>
      <name val="Calibri"/>
      <family val="2"/>
      <scheme val="minor"/>
    </font>
    <font>
      <b/>
      <i/>
      <u/>
      <sz val="12"/>
      <color theme="1"/>
      <name val="Calibri"/>
      <family val="2"/>
      <scheme val="minor"/>
    </font>
    <font>
      <b/>
      <u/>
      <sz val="16"/>
      <color theme="1"/>
      <name val="Calibri"/>
      <family val="2"/>
      <scheme val="minor"/>
    </font>
    <font>
      <b/>
      <i/>
      <sz val="16"/>
      <color theme="1" tint="0.34998626667073579"/>
      <name val="Calibri"/>
      <family val="2"/>
      <scheme val="minor"/>
    </font>
    <font>
      <sz val="36"/>
      <color theme="0"/>
      <name val="Calibri"/>
      <family val="2"/>
      <scheme val="minor"/>
    </font>
    <font>
      <sz val="22"/>
      <name val="Calibri"/>
      <family val="2"/>
      <scheme val="minor"/>
    </font>
    <font>
      <b/>
      <sz val="22"/>
      <name val="Calibri"/>
      <family val="2"/>
      <scheme val="minor"/>
    </font>
    <font>
      <sz val="22"/>
      <color theme="1"/>
      <name val="Calibri"/>
      <family val="2"/>
      <scheme val="minor"/>
    </font>
    <font>
      <sz val="24"/>
      <color theme="0"/>
      <name val="Calibri"/>
      <family val="2"/>
      <scheme val="minor"/>
    </font>
    <font>
      <b/>
      <sz val="20"/>
      <color theme="0"/>
      <name val="Calibri"/>
      <family val="2"/>
      <scheme val="minor"/>
    </font>
    <font>
      <b/>
      <sz val="14"/>
      <color rgb="FFFF0000"/>
      <name val="Calibri"/>
      <family val="2"/>
      <scheme val="minor"/>
    </font>
    <font>
      <b/>
      <sz val="14"/>
      <color rgb="FFFF0000"/>
      <name val="Arial"/>
      <family val="2"/>
    </font>
    <font>
      <b/>
      <sz val="11"/>
      <color rgb="FFFF0000"/>
      <name val="Calibri"/>
      <family val="2"/>
      <scheme val="minor"/>
    </font>
  </fonts>
  <fills count="34">
    <fill>
      <patternFill patternType="none"/>
    </fill>
    <fill>
      <patternFill patternType="gray125"/>
    </fill>
    <fill>
      <patternFill patternType="solid">
        <fgColor rgb="FFFFCC99"/>
      </patternFill>
    </fill>
    <fill>
      <patternFill patternType="solid">
        <fgColor rgb="FFFFFFCC"/>
      </patternFill>
    </fill>
    <fill>
      <patternFill patternType="solid">
        <fgColor rgb="FFC6EFCE"/>
      </patternFill>
    </fill>
    <fill>
      <patternFill patternType="solid">
        <fgColor theme="2"/>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A7DF93"/>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0E675A"/>
        <bgColor indexed="64"/>
      </patternFill>
    </fill>
    <fill>
      <patternFill patternType="solid">
        <fgColor theme="3" tint="-0.249977111117893"/>
        <bgColor indexed="64"/>
      </patternFill>
    </fill>
    <fill>
      <patternFill patternType="solid">
        <fgColor theme="1"/>
        <bgColor indexed="64"/>
      </patternFill>
    </fill>
    <fill>
      <patternFill patternType="solid">
        <fgColor theme="5" tint="-0.249977111117893"/>
        <bgColor indexed="64"/>
      </patternFill>
    </fill>
  </fills>
  <borders count="7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auto="1"/>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medium">
        <color auto="1"/>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
      <left/>
      <right/>
      <top/>
      <bottom style="medium">
        <color theme="2" tint="-0.499984740745262"/>
      </bottom>
      <diagonal/>
    </border>
    <border>
      <left/>
      <right/>
      <top/>
      <bottom style="thin">
        <color theme="2" tint="-0.499984740745262"/>
      </bottom>
      <diagonal/>
    </border>
    <border>
      <left/>
      <right/>
      <top style="medium">
        <color theme="2" tint="-0.499984740745262"/>
      </top>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ashed">
        <color rgb="FFBFBFBF"/>
      </bottom>
      <diagonal/>
    </border>
    <border>
      <left/>
      <right style="medium">
        <color indexed="64"/>
      </right>
      <top/>
      <bottom style="dashed">
        <color rgb="FFBFBFBF"/>
      </bottom>
      <diagonal/>
    </border>
    <border>
      <left style="thin">
        <color theme="0" tint="-0.24994659260841701"/>
      </left>
      <right/>
      <top/>
      <bottom/>
      <diagonal/>
    </border>
    <border>
      <left style="double">
        <color theme="1"/>
      </left>
      <right/>
      <top style="double">
        <color theme="1"/>
      </top>
      <bottom style="double">
        <color theme="1"/>
      </bottom>
      <diagonal/>
    </border>
    <border>
      <left style="thin">
        <color theme="2"/>
      </left>
      <right style="double">
        <color theme="1"/>
      </right>
      <top style="double">
        <color theme="1"/>
      </top>
      <bottom style="double">
        <color theme="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indexed="64"/>
      </left>
      <right style="medium">
        <color auto="1"/>
      </right>
      <top style="medium">
        <color indexed="64"/>
      </top>
      <bottom style="double">
        <color indexed="64"/>
      </bottom>
      <diagonal/>
    </border>
    <border>
      <left/>
      <right style="thin">
        <color indexed="64"/>
      </right>
      <top style="medium">
        <color indexed="64"/>
      </top>
      <bottom style="double">
        <color indexed="64"/>
      </bottom>
      <diagonal/>
    </border>
    <border>
      <left/>
      <right style="thin">
        <color auto="1"/>
      </right>
      <top style="thin">
        <color auto="1"/>
      </top>
      <bottom style="medium">
        <color auto="1"/>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auto="1"/>
      </top>
      <bottom style="medium">
        <color auto="1"/>
      </bottom>
      <diagonal/>
    </border>
    <border>
      <left style="medium">
        <color indexed="64"/>
      </left>
      <right/>
      <top style="thin">
        <color indexed="64"/>
      </top>
      <bottom style="thin">
        <color indexed="64"/>
      </bottom>
      <diagonal/>
    </border>
    <border>
      <left style="thin">
        <color auto="1"/>
      </left>
      <right style="medium">
        <color auto="1"/>
      </right>
      <top style="thin">
        <color auto="1"/>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s>
  <cellStyleXfs count="10">
    <xf numFmtId="0" fontId="0" fillId="0" borderId="0"/>
    <xf numFmtId="0" fontId="2" fillId="2" borderId="1" applyNumberFormat="0" applyAlignment="0" applyProtection="0"/>
    <xf numFmtId="0" fontId="5" fillId="5" borderId="2" applyNumberFormat="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6" fillId="4" borderId="0" applyNumberFormat="0" applyBorder="0" applyAlignment="0" applyProtection="0"/>
    <xf numFmtId="0" fontId="7" fillId="0" borderId="0" applyNumberFormat="0" applyFill="0" applyBorder="0" applyAlignment="0" applyProtection="0">
      <alignment vertical="top"/>
      <protection locked="0"/>
    </xf>
    <xf numFmtId="0" fontId="27" fillId="0" borderId="0" applyNumberFormat="0" applyFill="0" applyBorder="0" applyAlignment="0" applyProtection="0"/>
    <xf numFmtId="0" fontId="34" fillId="0" borderId="54" applyNumberFormat="0" applyFont="0" applyProtection="0">
      <alignment wrapText="1"/>
    </xf>
  </cellStyleXfs>
  <cellXfs count="845">
    <xf numFmtId="0" fontId="0" fillId="0" borderId="0" xfId="0"/>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horizontal="center" vertical="center" wrapText="1"/>
    </xf>
    <xf numFmtId="0" fontId="8" fillId="0" borderId="0" xfId="0" applyFont="1"/>
    <xf numFmtId="0" fontId="3" fillId="0" borderId="0" xfId="0" applyFont="1" applyAlignment="1">
      <alignment horizontal="right"/>
    </xf>
    <xf numFmtId="0" fontId="11" fillId="0" borderId="0" xfId="7" applyFont="1" applyAlignment="1" applyProtection="1"/>
    <xf numFmtId="0" fontId="12" fillId="0" borderId="0" xfId="0" applyFont="1"/>
    <xf numFmtId="164" fontId="3" fillId="0" borderId="0" xfId="0" applyNumberFormat="1" applyFont="1" applyAlignment="1"/>
    <xf numFmtId="164" fontId="3" fillId="0" borderId="0" xfId="0" applyNumberFormat="1" applyFont="1" applyAlignment="1">
      <alignment horizontal="right"/>
    </xf>
    <xf numFmtId="164" fontId="3" fillId="0" borderId="0" xfId="0" applyNumberFormat="1" applyFont="1" applyAlignment="1">
      <alignment horizontal="right" wrapText="1"/>
    </xf>
    <xf numFmtId="0" fontId="3" fillId="0" borderId="0" xfId="0" applyFont="1" applyBorder="1"/>
    <xf numFmtId="0" fontId="3" fillId="0" borderId="9" xfId="0" applyFont="1" applyBorder="1"/>
    <xf numFmtId="164" fontId="3" fillId="0" borderId="10" xfId="5" applyNumberFormat="1" applyFont="1" applyBorder="1" applyAlignment="1">
      <alignment horizontal="right"/>
    </xf>
    <xf numFmtId="0" fontId="3" fillId="0" borderId="11" xfId="0" applyFont="1" applyBorder="1"/>
    <xf numFmtId="0" fontId="0" fillId="0" borderId="0" xfId="0"/>
    <xf numFmtId="166" fontId="3" fillId="0" borderId="0" xfId="5" applyNumberFormat="1" applyFont="1" applyBorder="1" applyAlignment="1">
      <alignment horizontal="right"/>
    </xf>
    <xf numFmtId="166" fontId="3" fillId="0" borderId="0" xfId="0" applyNumberFormat="1" applyFont="1"/>
    <xf numFmtId="166" fontId="3" fillId="0" borderId="10" xfId="0" applyNumberFormat="1" applyFont="1" applyBorder="1" applyAlignment="1">
      <alignment horizontal="right"/>
    </xf>
    <xf numFmtId="166" fontId="3" fillId="0" borderId="10" xfId="5" applyNumberFormat="1" applyFont="1" applyBorder="1" applyAlignment="1">
      <alignment horizontal="right"/>
    </xf>
    <xf numFmtId="3" fontId="3" fillId="0" borderId="10" xfId="4" applyNumberFormat="1" applyFont="1" applyBorder="1" applyAlignment="1">
      <alignment horizontal="right"/>
    </xf>
    <xf numFmtId="0" fontId="15" fillId="0" borderId="0" xfId="0" applyFont="1"/>
    <xf numFmtId="0" fontId="16" fillId="5" borderId="15" xfId="0" applyFont="1" applyFill="1" applyBorder="1"/>
    <xf numFmtId="0" fontId="4" fillId="5" borderId="3" xfId="0" applyFont="1" applyFill="1" applyBorder="1" applyAlignment="1">
      <alignment horizontal="center" vertical="center" wrapText="1"/>
    </xf>
    <xf numFmtId="164" fontId="4" fillId="5" borderId="6"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8" xfId="0" applyFont="1" applyFill="1" applyBorder="1" applyAlignment="1">
      <alignment horizontal="center" vertical="center" wrapText="1"/>
    </xf>
    <xf numFmtId="164" fontId="4" fillId="5" borderId="19"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18" xfId="0" applyFont="1" applyFill="1" applyBorder="1" applyAlignment="1">
      <alignment horizontal="center" vertical="center"/>
    </xf>
    <xf numFmtId="164" fontId="4" fillId="5" borderId="20" xfId="0" applyNumberFormat="1" applyFont="1" applyFill="1" applyBorder="1" applyAlignment="1">
      <alignment horizontal="center" vertical="center"/>
    </xf>
    <xf numFmtId="0" fontId="3" fillId="0" borderId="21" xfId="0" applyFont="1" applyBorder="1"/>
    <xf numFmtId="0" fontId="3" fillId="0" borderId="23" xfId="0" applyFont="1" applyBorder="1" applyAlignment="1">
      <alignment wrapText="1"/>
    </xf>
    <xf numFmtId="164" fontId="8" fillId="0" borderId="23" xfId="5" applyNumberFormat="1" applyFont="1" applyBorder="1" applyAlignment="1">
      <alignment horizontal="right"/>
    </xf>
    <xf numFmtId="6" fontId="3" fillId="0" borderId="23" xfId="0" applyNumberFormat="1" applyFont="1" applyBorder="1" applyAlignment="1">
      <alignment horizontal="right"/>
    </xf>
    <xf numFmtId="3" fontId="3" fillId="0" borderId="23" xfId="0" applyNumberFormat="1" applyFont="1" applyBorder="1"/>
    <xf numFmtId="166" fontId="3" fillId="0" borderId="23" xfId="0" applyNumberFormat="1" applyFont="1" applyBorder="1" applyAlignment="1">
      <alignment horizontal="right"/>
    </xf>
    <xf numFmtId="0" fontId="3" fillId="0" borderId="23" xfId="0" applyFont="1" applyBorder="1"/>
    <xf numFmtId="0" fontId="3" fillId="0" borderId="23" xfId="0" applyFont="1" applyBorder="1" applyAlignment="1"/>
    <xf numFmtId="0" fontId="3" fillId="0" borderId="24" xfId="0" applyFont="1" applyBorder="1"/>
    <xf numFmtId="9" fontId="3" fillId="0" borderId="25" xfId="3" applyFont="1" applyBorder="1" applyAlignment="1"/>
    <xf numFmtId="9" fontId="3" fillId="0" borderId="26" xfId="0" applyNumberFormat="1" applyFont="1" applyBorder="1"/>
    <xf numFmtId="0" fontId="3" fillId="0" borderId="27" xfId="0" applyFont="1" applyBorder="1"/>
    <xf numFmtId="9" fontId="3" fillId="0" borderId="28" xfId="3" applyFont="1" applyBorder="1" applyAlignment="1"/>
    <xf numFmtId="9" fontId="3" fillId="0" borderId="29" xfId="0" applyNumberFormat="1" applyFont="1" applyBorder="1"/>
    <xf numFmtId="0" fontId="3" fillId="0" borderId="30" xfId="0" applyFont="1" applyBorder="1"/>
    <xf numFmtId="9" fontId="3" fillId="0" borderId="31" xfId="3" applyFont="1" applyBorder="1" applyAlignment="1"/>
    <xf numFmtId="9" fontId="3" fillId="0" borderId="32" xfId="0" applyNumberFormat="1" applyFont="1" applyBorder="1"/>
    <xf numFmtId="166" fontId="8" fillId="7" borderId="14" xfId="0" applyNumberFormat="1" applyFont="1" applyFill="1" applyBorder="1"/>
    <xf numFmtId="0" fontId="3" fillId="0" borderId="0" xfId="0" applyFont="1" applyBorder="1" applyAlignment="1">
      <alignment wrapText="1"/>
    </xf>
    <xf numFmtId="0" fontId="0" fillId="0" borderId="0" xfId="0"/>
    <xf numFmtId="0" fontId="0" fillId="0" borderId="0" xfId="0" applyAlignment="1"/>
    <xf numFmtId="164" fontId="3" fillId="0" borderId="23" xfId="0" applyNumberFormat="1" applyFont="1" applyBorder="1" applyAlignment="1"/>
    <xf numFmtId="164" fontId="3" fillId="0" borderId="23" xfId="5" applyNumberFormat="1" applyFont="1" applyBorder="1" applyAlignment="1"/>
    <xf numFmtId="0" fontId="8" fillId="0" borderId="23" xfId="0" applyFont="1" applyBorder="1" applyAlignment="1">
      <alignment horizontal="right" vertical="center"/>
    </xf>
    <xf numFmtId="0" fontId="8" fillId="0" borderId="23" xfId="0" applyFont="1" applyBorder="1" applyAlignment="1">
      <alignment horizontal="right" vertical="center" wrapText="1"/>
    </xf>
    <xf numFmtId="164" fontId="3" fillId="0" borderId="22" xfId="0" applyNumberFormat="1" applyFont="1" applyBorder="1" applyAlignment="1">
      <alignment horizontal="right"/>
    </xf>
    <xf numFmtId="166" fontId="3" fillId="0" borderId="23" xfId="0" applyNumberFormat="1" applyFont="1" applyBorder="1"/>
    <xf numFmtId="166" fontId="16" fillId="5" borderId="16" xfId="5" applyNumberFormat="1" applyFont="1" applyFill="1" applyBorder="1" applyAlignment="1">
      <alignment horizontal="right"/>
    </xf>
    <xf numFmtId="0" fontId="3" fillId="0" borderId="9" xfId="0" applyFont="1" applyBorder="1" applyAlignment="1">
      <alignment horizontal="left" vertical="top"/>
    </xf>
    <xf numFmtId="168" fontId="8" fillId="7" borderId="12" xfId="3" applyNumberFormat="1" applyFont="1" applyFill="1" applyBorder="1"/>
    <xf numFmtId="0" fontId="0" fillId="0" borderId="0" xfId="0" applyBorder="1" applyAlignment="1">
      <alignment horizontal="left" vertical="top" wrapText="1"/>
    </xf>
    <xf numFmtId="0" fontId="0" fillId="0" borderId="0" xfId="0" applyBorder="1"/>
    <xf numFmtId="0" fontId="20" fillId="0" borderId="0" xfId="0" applyFont="1" applyBorder="1"/>
    <xf numFmtId="169" fontId="20" fillId="0" borderId="0" xfId="5" applyNumberFormat="1" applyFont="1" applyBorder="1"/>
    <xf numFmtId="0" fontId="0" fillId="0" borderId="0" xfId="0" applyFont="1" applyBorder="1" applyAlignment="1">
      <alignment horizontal="left" indent="1"/>
    </xf>
    <xf numFmtId="169" fontId="1" fillId="0" borderId="0" xfId="5" applyNumberFormat="1" applyFont="1" applyBorder="1"/>
    <xf numFmtId="0" fontId="7" fillId="0" borderId="0" xfId="7" applyAlignment="1" applyProtection="1"/>
    <xf numFmtId="167" fontId="1" fillId="0" borderId="0" xfId="4" applyNumberFormat="1" applyFont="1" applyBorder="1"/>
    <xf numFmtId="0" fontId="20" fillId="0" borderId="0" xfId="0" applyFont="1"/>
    <xf numFmtId="0" fontId="20" fillId="0" borderId="0" xfId="0" applyFont="1" applyAlignment="1">
      <alignment horizontal="right"/>
    </xf>
    <xf numFmtId="0" fontId="0" fillId="0" borderId="0" xfId="0" applyAlignment="1">
      <alignment horizontal="right"/>
    </xf>
    <xf numFmtId="3" fontId="0" fillId="0" borderId="0" xfId="0" applyNumberFormat="1"/>
    <xf numFmtId="0" fontId="0" fillId="0" borderId="0" xfId="0" applyFont="1" applyAlignment="1">
      <alignment horizontal="right"/>
    </xf>
    <xf numFmtId="6" fontId="0" fillId="0" borderId="0" xfId="0" applyNumberFormat="1"/>
    <xf numFmtId="4" fontId="0" fillId="0" borderId="0" xfId="0" applyNumberFormat="1"/>
    <xf numFmtId="8" fontId="0" fillId="0" borderId="0" xfId="0" applyNumberFormat="1"/>
    <xf numFmtId="2" fontId="0" fillId="0" borderId="0" xfId="0" applyNumberFormat="1"/>
    <xf numFmtId="0" fontId="0" fillId="0" borderId="0" xfId="0" applyNumberFormat="1" applyAlignment="1">
      <alignment horizontal="right"/>
    </xf>
    <xf numFmtId="3" fontId="0" fillId="10" borderId="0" xfId="0" applyNumberFormat="1" applyFill="1"/>
    <xf numFmtId="9" fontId="0" fillId="0" borderId="0" xfId="0" applyNumberFormat="1"/>
    <xf numFmtId="0" fontId="0" fillId="0" borderId="0" xfId="0" applyFont="1"/>
    <xf numFmtId="9" fontId="0" fillId="0" borderId="0" xfId="3" applyFont="1"/>
    <xf numFmtId="4" fontId="0" fillId="10" borderId="0" xfId="0" applyNumberFormat="1" applyFill="1"/>
    <xf numFmtId="0" fontId="0" fillId="0" borderId="0" xfId="0" applyNumberFormat="1"/>
    <xf numFmtId="4" fontId="0" fillId="7" borderId="0" xfId="0" applyNumberFormat="1" applyFill="1"/>
    <xf numFmtId="0" fontId="20" fillId="0" borderId="3" xfId="0" applyFont="1" applyBorder="1"/>
    <xf numFmtId="0" fontId="0" fillId="0" borderId="6" xfId="0" applyBorder="1"/>
    <xf numFmtId="0" fontId="0" fillId="0" borderId="6" xfId="0" applyBorder="1" applyAlignment="1">
      <alignment horizontal="right"/>
    </xf>
    <xf numFmtId="169" fontId="0" fillId="0" borderId="0" xfId="5" applyNumberFormat="1" applyFont="1"/>
    <xf numFmtId="170" fontId="0" fillId="0" borderId="0" xfId="0" applyNumberFormat="1"/>
    <xf numFmtId="3" fontId="0" fillId="7" borderId="0" xfId="0" applyNumberFormat="1" applyFill="1"/>
    <xf numFmtId="0" fontId="0" fillId="0" borderId="4" xfId="0" applyBorder="1" applyAlignment="1">
      <alignment horizontal="right"/>
    </xf>
    <xf numFmtId="8" fontId="0" fillId="0" borderId="0" xfId="0" applyNumberFormat="1" applyBorder="1"/>
    <xf numFmtId="0" fontId="0" fillId="0" borderId="0" xfId="0" applyBorder="1" applyAlignment="1">
      <alignment horizontal="right"/>
    </xf>
    <xf numFmtId="8" fontId="0" fillId="0" borderId="38" xfId="0" applyNumberFormat="1" applyBorder="1" applyAlignment="1">
      <alignment horizontal="right"/>
    </xf>
    <xf numFmtId="169" fontId="0" fillId="7" borderId="0" xfId="5" applyNumberFormat="1" applyFont="1" applyFill="1"/>
    <xf numFmtId="167" fontId="0" fillId="0" borderId="0" xfId="4" applyNumberFormat="1" applyFont="1"/>
    <xf numFmtId="0" fontId="0" fillId="0" borderId="5" xfId="0" applyBorder="1" applyAlignment="1">
      <alignment horizontal="right"/>
    </xf>
    <xf numFmtId="8" fontId="0" fillId="0" borderId="7" xfId="0" applyNumberFormat="1" applyBorder="1"/>
    <xf numFmtId="0" fontId="0" fillId="0" borderId="7" xfId="0" applyBorder="1"/>
    <xf numFmtId="0" fontId="0" fillId="0" borderId="7" xfId="0" applyBorder="1" applyAlignment="1">
      <alignment horizontal="right"/>
    </xf>
    <xf numFmtId="0" fontId="0" fillId="0" borderId="39" xfId="0" applyBorder="1" applyAlignment="1">
      <alignment horizontal="right"/>
    </xf>
    <xf numFmtId="0" fontId="0" fillId="0" borderId="37" xfId="0" applyBorder="1"/>
    <xf numFmtId="0" fontId="0" fillId="0" borderId="5" xfId="0" applyBorder="1"/>
    <xf numFmtId="0" fontId="0" fillId="0" borderId="3" xfId="0" applyBorder="1"/>
    <xf numFmtId="44" fontId="0" fillId="0" borderId="6" xfId="5" applyFont="1" applyBorder="1"/>
    <xf numFmtId="0" fontId="0" fillId="0" borderId="4" xfId="0" applyBorder="1"/>
    <xf numFmtId="44" fontId="0" fillId="0" borderId="0" xfId="5" applyFont="1" applyBorder="1"/>
    <xf numFmtId="44" fontId="0" fillId="0" borderId="38" xfId="5" applyFont="1" applyBorder="1"/>
    <xf numFmtId="0" fontId="0" fillId="12" borderId="4" xfId="0" applyFill="1" applyBorder="1"/>
    <xf numFmtId="44" fontId="0" fillId="12" borderId="0" xfId="0" applyNumberFormat="1" applyFill="1" applyBorder="1"/>
    <xf numFmtId="44" fontId="0" fillId="12" borderId="38" xfId="0" applyNumberFormat="1" applyFill="1" applyBorder="1"/>
    <xf numFmtId="0" fontId="0" fillId="7" borderId="4" xfId="0" applyFill="1" applyBorder="1"/>
    <xf numFmtId="0" fontId="0" fillId="7" borderId="0" xfId="0" applyFill="1" applyBorder="1" applyAlignment="1">
      <alignment horizontal="right"/>
    </xf>
    <xf numFmtId="169" fontId="0" fillId="7" borderId="0" xfId="0" applyNumberFormat="1" applyFill="1" applyBorder="1"/>
    <xf numFmtId="169" fontId="0" fillId="7" borderId="38" xfId="0" applyNumberFormat="1" applyFill="1" applyBorder="1"/>
    <xf numFmtId="0" fontId="0" fillId="7" borderId="0" xfId="0" applyFill="1"/>
    <xf numFmtId="167" fontId="0" fillId="7" borderId="0" xfId="4" applyNumberFormat="1" applyFont="1" applyFill="1" applyBorder="1"/>
    <xf numFmtId="167" fontId="0" fillId="7" borderId="38" xfId="4" applyNumberFormat="1" applyFont="1" applyFill="1" applyBorder="1"/>
    <xf numFmtId="169" fontId="0" fillId="7" borderId="0" xfId="5" applyNumberFormat="1" applyFont="1" applyFill="1" applyBorder="1"/>
    <xf numFmtId="169" fontId="0" fillId="7" borderId="38" xfId="5" applyNumberFormat="1" applyFont="1" applyFill="1" applyBorder="1"/>
    <xf numFmtId="0" fontId="0" fillId="7" borderId="5" xfId="0" applyFill="1" applyBorder="1"/>
    <xf numFmtId="0" fontId="0" fillId="7" borderId="7" xfId="0" applyFill="1" applyBorder="1" applyAlignment="1">
      <alignment horizontal="right"/>
    </xf>
    <xf numFmtId="167" fontId="0" fillId="7" borderId="7" xfId="4" applyNumberFormat="1" applyFont="1" applyFill="1" applyBorder="1"/>
    <xf numFmtId="167" fontId="0" fillId="7" borderId="39" xfId="4" applyNumberFormat="1" applyFont="1" applyFill="1" applyBorder="1"/>
    <xf numFmtId="169" fontId="0" fillId="7" borderId="7" xfId="5" applyNumberFormat="1" applyFont="1" applyFill="1" applyBorder="1"/>
    <xf numFmtId="169" fontId="0" fillId="7" borderId="39" xfId="5" applyNumberFormat="1" applyFont="1" applyFill="1" applyBorder="1"/>
    <xf numFmtId="1" fontId="0" fillId="7" borderId="0" xfId="0" applyNumberFormat="1" applyFill="1" applyBorder="1"/>
    <xf numFmtId="1" fontId="0" fillId="7" borderId="38" xfId="0" applyNumberFormat="1" applyFill="1" applyBorder="1"/>
    <xf numFmtId="0" fontId="0" fillId="0" borderId="3" xfId="0" applyFont="1" applyBorder="1"/>
    <xf numFmtId="0" fontId="0" fillId="12" borderId="4" xfId="0" applyFont="1" applyFill="1" applyBorder="1"/>
    <xf numFmtId="44" fontId="0" fillId="12" borderId="0" xfId="0" applyNumberFormat="1" applyFont="1" applyFill="1" applyBorder="1"/>
    <xf numFmtId="0" fontId="0" fillId="0" borderId="4" xfId="0" applyFont="1" applyBorder="1"/>
    <xf numFmtId="169" fontId="0" fillId="0" borderId="0" xfId="0" applyNumberFormat="1" applyFont="1" applyBorder="1"/>
    <xf numFmtId="169" fontId="0" fillId="0" borderId="38" xfId="0" applyNumberFormat="1" applyFont="1" applyBorder="1"/>
    <xf numFmtId="1" fontId="0" fillId="0" borderId="0" xfId="0" applyNumberFormat="1" applyFont="1" applyBorder="1"/>
    <xf numFmtId="1" fontId="0" fillId="0" borderId="38" xfId="0" applyNumberFormat="1" applyFont="1" applyBorder="1"/>
    <xf numFmtId="167" fontId="0" fillId="0" borderId="0" xfId="0" applyNumberFormat="1" applyFont="1" applyBorder="1"/>
    <xf numFmtId="167" fontId="0" fillId="0" borderId="38" xfId="0" applyNumberFormat="1" applyFont="1" applyBorder="1"/>
    <xf numFmtId="0" fontId="0" fillId="0" borderId="5" xfId="0" applyFont="1" applyBorder="1"/>
    <xf numFmtId="169" fontId="1" fillId="0" borderId="7" xfId="5" applyNumberFormat="1" applyFont="1" applyBorder="1"/>
    <xf numFmtId="169" fontId="1" fillId="0" borderId="39" xfId="5" applyNumberFormat="1" applyFont="1" applyBorder="1"/>
    <xf numFmtId="44" fontId="0" fillId="0" borderId="0" xfId="0" applyNumberFormat="1" applyBorder="1"/>
    <xf numFmtId="169" fontId="0" fillId="0" borderId="0" xfId="0" applyNumberFormat="1" applyBorder="1"/>
    <xf numFmtId="169" fontId="0" fillId="0" borderId="38" xfId="0" applyNumberFormat="1" applyBorder="1"/>
    <xf numFmtId="167" fontId="0" fillId="0" borderId="0" xfId="4" applyNumberFormat="1" applyFont="1" applyBorder="1"/>
    <xf numFmtId="167" fontId="0" fillId="0" borderId="0" xfId="0" applyNumberFormat="1" applyBorder="1"/>
    <xf numFmtId="167" fontId="0" fillId="0" borderId="38" xfId="0" applyNumberFormat="1" applyBorder="1"/>
    <xf numFmtId="169" fontId="0" fillId="0" borderId="7" xfId="5" applyNumberFormat="1" applyFont="1" applyBorder="1"/>
    <xf numFmtId="169" fontId="0" fillId="0" borderId="39" xfId="5" applyNumberFormat="1" applyFont="1" applyBorder="1"/>
    <xf numFmtId="44" fontId="0" fillId="0" borderId="0" xfId="5" applyFont="1"/>
    <xf numFmtId="169" fontId="0" fillId="0" borderId="0" xfId="5" applyNumberFormat="1" applyFont="1" applyBorder="1"/>
    <xf numFmtId="169" fontId="0" fillId="0" borderId="38" xfId="5" applyNumberFormat="1" applyFont="1" applyBorder="1"/>
    <xf numFmtId="0" fontId="4" fillId="5" borderId="0" xfId="0" applyFont="1" applyFill="1" applyBorder="1" applyAlignment="1">
      <alignment horizontal="center" vertical="center" wrapText="1"/>
    </xf>
    <xf numFmtId="9" fontId="3" fillId="0" borderId="0" xfId="0" applyNumberFormat="1" applyFont="1" applyBorder="1"/>
    <xf numFmtId="166" fontId="3" fillId="0" borderId="0" xfId="0" applyNumberFormat="1" applyFont="1" applyBorder="1"/>
    <xf numFmtId="172" fontId="0" fillId="0" borderId="0" xfId="0" applyNumberFormat="1"/>
    <xf numFmtId="10" fontId="3" fillId="0" borderId="0" xfId="3" applyNumberFormat="1" applyFont="1" applyAlignment="1">
      <alignment horizontal="right"/>
    </xf>
    <xf numFmtId="43" fontId="0" fillId="0" borderId="0" xfId="0" applyNumberFormat="1" applyBorder="1"/>
    <xf numFmtId="174" fontId="0" fillId="0" borderId="0" xfId="0" applyNumberFormat="1" applyBorder="1"/>
    <xf numFmtId="0" fontId="3" fillId="15" borderId="0" xfId="0" applyFont="1" applyFill="1"/>
    <xf numFmtId="166" fontId="3" fillId="15" borderId="23" xfId="0" applyNumberFormat="1" applyFont="1" applyFill="1" applyBorder="1"/>
    <xf numFmtId="166" fontId="3" fillId="0" borderId="23" xfId="5" applyNumberFormat="1" applyFont="1" applyFill="1" applyBorder="1"/>
    <xf numFmtId="166" fontId="3" fillId="0" borderId="23" xfId="0" applyNumberFormat="1" applyFont="1" applyFill="1" applyBorder="1" applyAlignment="1">
      <alignment horizontal="right"/>
    </xf>
    <xf numFmtId="3" fontId="3" fillId="0" borderId="23" xfId="0" applyNumberFormat="1" applyFont="1" applyFill="1" applyBorder="1" applyAlignment="1">
      <alignment horizontal="right"/>
    </xf>
    <xf numFmtId="166" fontId="3" fillId="0" borderId="23" xfId="0" applyNumberFormat="1" applyFont="1" applyFill="1" applyBorder="1"/>
    <xf numFmtId="169" fontId="3" fillId="0" borderId="0" xfId="5" applyNumberFormat="1" applyFont="1"/>
    <xf numFmtId="169" fontId="3" fillId="0" borderId="0" xfId="0" applyNumberFormat="1" applyFont="1"/>
    <xf numFmtId="175" fontId="8" fillId="0" borderId="23" xfId="0" applyNumberFormat="1" applyFont="1" applyBorder="1" applyAlignment="1">
      <alignment horizontal="right" vertical="center"/>
    </xf>
    <xf numFmtId="164" fontId="4" fillId="5" borderId="0" xfId="0" applyNumberFormat="1" applyFont="1" applyFill="1" applyBorder="1" applyAlignment="1">
      <alignment horizontal="center" vertical="center"/>
    </xf>
    <xf numFmtId="164" fontId="3" fillId="0" borderId="0" xfId="5" applyNumberFormat="1" applyFont="1" applyBorder="1" applyAlignment="1">
      <alignment horizontal="right"/>
    </xf>
    <xf numFmtId="9" fontId="3" fillId="0" borderId="0" xfId="3" applyFont="1" applyBorder="1" applyAlignment="1">
      <alignment horizontal="right"/>
    </xf>
    <xf numFmtId="164" fontId="3" fillId="0" borderId="0" xfId="0" applyNumberFormat="1" applyFont="1" applyBorder="1" applyAlignment="1">
      <alignment horizontal="right"/>
    </xf>
    <xf numFmtId="164" fontId="13" fillId="0" borderId="0" xfId="0" applyNumberFormat="1" applyFont="1" applyBorder="1" applyAlignment="1">
      <alignment horizontal="right" wrapText="1"/>
    </xf>
    <xf numFmtId="166" fontId="3" fillId="0" borderId="0" xfId="0" applyNumberFormat="1" applyFont="1" applyBorder="1" applyAlignment="1"/>
    <xf numFmtId="0" fontId="3" fillId="0" borderId="8" xfId="0" applyFont="1" applyBorder="1"/>
    <xf numFmtId="176" fontId="3" fillId="14" borderId="10" xfId="5" applyNumberFormat="1" applyFont="1" applyFill="1" applyBorder="1" applyAlignment="1">
      <alignment horizontal="right"/>
    </xf>
    <xf numFmtId="176" fontId="3" fillId="14" borderId="12" xfId="5" applyNumberFormat="1" applyFont="1" applyFill="1" applyBorder="1" applyAlignment="1">
      <alignment horizontal="right"/>
    </xf>
    <xf numFmtId="166" fontId="3" fillId="16" borderId="23" xfId="5" applyNumberFormat="1" applyFont="1" applyFill="1" applyBorder="1" applyAlignment="1">
      <alignment wrapText="1"/>
    </xf>
    <xf numFmtId="167" fontId="3" fillId="16" borderId="23" xfId="4" applyNumberFormat="1" applyFont="1" applyFill="1" applyBorder="1" applyAlignment="1">
      <alignment wrapText="1"/>
    </xf>
    <xf numFmtId="164" fontId="3" fillId="16" borderId="23" xfId="0" applyNumberFormat="1" applyFont="1" applyFill="1" applyBorder="1" applyAlignment="1"/>
    <xf numFmtId="0" fontId="24" fillId="7" borderId="0" xfId="0" applyFont="1" applyFill="1" applyAlignment="1">
      <alignment horizontal="center"/>
    </xf>
    <xf numFmtId="0" fontId="24" fillId="7" borderId="0" xfId="4" applyNumberFormat="1" applyFont="1" applyFill="1" applyAlignment="1">
      <alignment horizontal="center"/>
    </xf>
    <xf numFmtId="0" fontId="24" fillId="0" borderId="0" xfId="0" applyFont="1" applyAlignment="1">
      <alignment horizontal="center"/>
    </xf>
    <xf numFmtId="0" fontId="26" fillId="7" borderId="0" xfId="0" applyFont="1" applyFill="1" applyAlignment="1">
      <alignment horizontal="center" vertical="center" wrapText="1"/>
    </xf>
    <xf numFmtId="0" fontId="26" fillId="7" borderId="0" xfId="4" applyNumberFormat="1" applyFont="1" applyFill="1" applyAlignment="1">
      <alignment horizontal="center" vertical="center" wrapText="1"/>
    </xf>
    <xf numFmtId="0" fontId="26" fillId="0" borderId="0" xfId="0" applyFont="1" applyFill="1" applyAlignment="1">
      <alignment horizontal="center" vertical="center" wrapText="1"/>
    </xf>
    <xf numFmtId="0" fontId="24" fillId="7" borderId="0" xfId="0" applyFont="1" applyFill="1" applyAlignment="1">
      <alignment horizontal="center" vertical="center" wrapText="1"/>
    </xf>
    <xf numFmtId="0" fontId="24" fillId="17" borderId="0" xfId="0" applyFont="1" applyFill="1" applyBorder="1" applyAlignment="1">
      <alignment horizontal="center"/>
    </xf>
    <xf numFmtId="0" fontId="24" fillId="0" borderId="0" xfId="0" applyFont="1" applyFill="1" applyAlignment="1">
      <alignment horizontal="center" vertical="center" wrapText="1"/>
    </xf>
    <xf numFmtId="0" fontId="24" fillId="0" borderId="36" xfId="0" applyFont="1" applyBorder="1" applyAlignment="1">
      <alignment horizontal="center"/>
    </xf>
    <xf numFmtId="0" fontId="24" fillId="18" borderId="36" xfId="0" applyFont="1" applyFill="1" applyBorder="1" applyAlignment="1">
      <alignment horizontal="center"/>
    </xf>
    <xf numFmtId="167" fontId="24" fillId="19" borderId="36" xfId="4" applyNumberFormat="1" applyFont="1" applyFill="1" applyBorder="1" applyAlignment="1">
      <alignment horizontal="center"/>
    </xf>
    <xf numFmtId="0" fontId="24" fillId="0" borderId="36" xfId="4" applyNumberFormat="1" applyFont="1" applyBorder="1" applyAlignment="1">
      <alignment horizontal="center"/>
    </xf>
    <xf numFmtId="0" fontId="24" fillId="9" borderId="36" xfId="0" applyFont="1" applyFill="1" applyBorder="1" applyAlignment="1">
      <alignment horizontal="center"/>
    </xf>
    <xf numFmtId="165" fontId="24" fillId="20" borderId="36" xfId="0" applyNumberFormat="1" applyFont="1" applyFill="1" applyBorder="1" applyAlignment="1">
      <alignment horizontal="center"/>
    </xf>
    <xf numFmtId="1" fontId="24" fillId="8" borderId="36" xfId="4" applyNumberFormat="1" applyFont="1" applyFill="1" applyBorder="1" applyAlignment="1">
      <alignment horizontal="center"/>
    </xf>
    <xf numFmtId="0" fontId="28" fillId="0" borderId="36" xfId="0" applyFont="1" applyBorder="1" applyAlignment="1">
      <alignment horizontal="center"/>
    </xf>
    <xf numFmtId="167" fontId="24" fillId="7" borderId="0" xfId="4" applyNumberFormat="1" applyFont="1" applyFill="1" applyAlignment="1">
      <alignment horizontal="center"/>
    </xf>
    <xf numFmtId="1" fontId="24" fillId="7" borderId="0" xfId="0" applyNumberFormat="1" applyFont="1" applyFill="1" applyAlignment="1">
      <alignment horizontal="center"/>
    </xf>
    <xf numFmtId="2" fontId="24" fillId="9" borderId="36" xfId="0" applyNumberFormat="1" applyFont="1" applyFill="1" applyBorder="1" applyAlignment="1">
      <alignment horizontal="center"/>
    </xf>
    <xf numFmtId="2" fontId="24" fillId="20" borderId="36" xfId="0" applyNumberFormat="1" applyFont="1" applyFill="1" applyBorder="1" applyAlignment="1">
      <alignment horizontal="center"/>
    </xf>
    <xf numFmtId="177" fontId="24" fillId="0" borderId="0" xfId="0" applyNumberFormat="1" applyFont="1" applyAlignment="1">
      <alignment horizontal="center"/>
    </xf>
    <xf numFmtId="165" fontId="24" fillId="7" borderId="0" xfId="0" applyNumberFormat="1" applyFont="1" applyFill="1" applyAlignment="1">
      <alignment horizontal="center"/>
    </xf>
    <xf numFmtId="177" fontId="24" fillId="7" borderId="0" xfId="0" applyNumberFormat="1" applyFont="1" applyFill="1" applyAlignment="1">
      <alignment horizontal="center"/>
    </xf>
    <xf numFmtId="1" fontId="24" fillId="7" borderId="0" xfId="0" applyNumberFormat="1" applyFont="1" applyFill="1" applyBorder="1" applyAlignment="1">
      <alignment horizontal="center"/>
    </xf>
    <xf numFmtId="0" fontId="24" fillId="20" borderId="36" xfId="0" applyFont="1" applyFill="1" applyBorder="1" applyAlignment="1">
      <alignment horizontal="center"/>
    </xf>
    <xf numFmtId="44" fontId="24" fillId="0" borderId="0" xfId="5" applyFont="1" applyAlignment="1">
      <alignment horizontal="center"/>
    </xf>
    <xf numFmtId="0" fontId="28" fillId="18" borderId="36" xfId="0" applyFont="1" applyFill="1" applyBorder="1" applyAlignment="1">
      <alignment horizontal="center"/>
    </xf>
    <xf numFmtId="0" fontId="24" fillId="0" borderId="0" xfId="0" applyFont="1" applyBorder="1" applyAlignment="1">
      <alignment horizontal="center" vertical="center" wrapText="1"/>
    </xf>
    <xf numFmtId="0" fontId="26" fillId="7" borderId="0" xfId="8" applyFont="1" applyFill="1" applyAlignment="1">
      <alignment horizontal="left"/>
    </xf>
    <xf numFmtId="0" fontId="24" fillId="7" borderId="8" xfId="8" applyFont="1" applyFill="1" applyBorder="1" applyAlignment="1">
      <alignment horizontal="left"/>
    </xf>
    <xf numFmtId="0" fontId="26" fillId="7" borderId="13" xfId="8" applyFont="1" applyFill="1" applyBorder="1" applyAlignment="1">
      <alignment horizontal="left"/>
    </xf>
    <xf numFmtId="0" fontId="26" fillId="7" borderId="40" xfId="8" applyFont="1" applyFill="1" applyBorder="1" applyAlignment="1">
      <alignment horizontal="left"/>
    </xf>
    <xf numFmtId="0" fontId="24" fillId="7" borderId="9" xfId="0" applyFont="1" applyFill="1" applyBorder="1" applyAlignment="1">
      <alignment horizontal="right"/>
    </xf>
    <xf numFmtId="0" fontId="24" fillId="18" borderId="9" xfId="0" applyFont="1" applyFill="1" applyBorder="1" applyAlignment="1">
      <alignment horizontal="right"/>
    </xf>
    <xf numFmtId="0" fontId="24" fillId="19" borderId="9" xfId="0" applyFont="1" applyFill="1" applyBorder="1" applyAlignment="1">
      <alignment horizontal="right"/>
    </xf>
    <xf numFmtId="0" fontId="24" fillId="9" borderId="9" xfId="0" applyFont="1" applyFill="1" applyBorder="1" applyAlignment="1">
      <alignment horizontal="right"/>
    </xf>
    <xf numFmtId="0" fontId="24" fillId="20" borderId="9" xfId="0" applyFont="1" applyFill="1" applyBorder="1" applyAlignment="1">
      <alignment horizontal="right"/>
    </xf>
    <xf numFmtId="0" fontId="24" fillId="8" borderId="11" xfId="0" applyFont="1" applyFill="1" applyBorder="1" applyAlignment="1">
      <alignment horizontal="right"/>
    </xf>
    <xf numFmtId="0" fontId="24" fillId="0" borderId="0" xfId="4" applyNumberFormat="1" applyFont="1" applyAlignment="1">
      <alignment horizontal="center"/>
    </xf>
    <xf numFmtId="167" fontId="8" fillId="13" borderId="23" xfId="4" applyNumberFormat="1" applyFont="1" applyFill="1" applyBorder="1" applyAlignment="1">
      <alignment horizontal="right" vertical="center"/>
    </xf>
    <xf numFmtId="0" fontId="24" fillId="14" borderId="36" xfId="0" applyFont="1" applyFill="1" applyBorder="1" applyAlignment="1">
      <alignment horizontal="center"/>
    </xf>
    <xf numFmtId="0" fontId="24" fillId="21" borderId="0" xfId="0" applyFont="1" applyFill="1" applyAlignment="1">
      <alignment horizontal="center"/>
    </xf>
    <xf numFmtId="0" fontId="24" fillId="21" borderId="36" xfId="0" applyFont="1" applyFill="1" applyBorder="1" applyAlignment="1">
      <alignment horizontal="center"/>
    </xf>
    <xf numFmtId="167" fontId="24" fillId="21" borderId="36" xfId="4" applyNumberFormat="1" applyFont="1" applyFill="1" applyBorder="1" applyAlignment="1">
      <alignment horizontal="center"/>
    </xf>
    <xf numFmtId="0" fontId="24" fillId="21" borderId="36" xfId="4" applyNumberFormat="1" applyFont="1" applyFill="1" applyBorder="1" applyAlignment="1">
      <alignment horizontal="center"/>
    </xf>
    <xf numFmtId="165" fontId="24" fillId="21" borderId="36" xfId="0" applyNumberFormat="1" applyFont="1" applyFill="1" applyBorder="1" applyAlignment="1">
      <alignment horizontal="center"/>
    </xf>
    <xf numFmtId="1" fontId="24" fillId="21" borderId="36" xfId="4" applyNumberFormat="1" applyFont="1" applyFill="1" applyBorder="1" applyAlignment="1">
      <alignment horizontal="center"/>
    </xf>
    <xf numFmtId="0" fontId="28" fillId="21" borderId="36" xfId="0" applyFont="1" applyFill="1" applyBorder="1" applyAlignment="1">
      <alignment horizontal="center"/>
    </xf>
    <xf numFmtId="167" fontId="24" fillId="21" borderId="0" xfId="4" applyNumberFormat="1" applyFont="1" applyFill="1" applyAlignment="1">
      <alignment horizontal="center"/>
    </xf>
    <xf numFmtId="0" fontId="24" fillId="21" borderId="0" xfId="4" applyNumberFormat="1" applyFont="1" applyFill="1" applyAlignment="1">
      <alignment horizontal="center"/>
    </xf>
    <xf numFmtId="1" fontId="24" fillId="21" borderId="0" xfId="0" applyNumberFormat="1" applyFont="1" applyFill="1" applyAlignment="1">
      <alignment horizontal="center"/>
    </xf>
    <xf numFmtId="2" fontId="24" fillId="21" borderId="36" xfId="0" applyNumberFormat="1" applyFont="1" applyFill="1" applyBorder="1" applyAlignment="1">
      <alignment horizontal="center"/>
    </xf>
    <xf numFmtId="177" fontId="24" fillId="21" borderId="0" xfId="0" applyNumberFormat="1" applyFont="1" applyFill="1" applyAlignment="1">
      <alignment horizontal="center"/>
    </xf>
    <xf numFmtId="0" fontId="0" fillId="21" borderId="0" xfId="0" applyFill="1"/>
    <xf numFmtId="1" fontId="24" fillId="21" borderId="36" xfId="0" applyNumberFormat="1" applyFont="1" applyFill="1" applyBorder="1" applyAlignment="1">
      <alignment horizontal="center"/>
    </xf>
    <xf numFmtId="2" fontId="28" fillId="21" borderId="36" xfId="0" applyNumberFormat="1" applyFont="1" applyFill="1" applyBorder="1" applyAlignment="1">
      <alignment horizontal="center"/>
    </xf>
    <xf numFmtId="0" fontId="24" fillId="21" borderId="0" xfId="0" applyFont="1" applyFill="1" applyBorder="1" applyAlignment="1">
      <alignment horizontal="center" vertical="center" wrapText="1"/>
    </xf>
    <xf numFmtId="0" fontId="24" fillId="21" borderId="0" xfId="0" applyFont="1" applyFill="1" applyBorder="1" applyAlignment="1">
      <alignment horizontal="center"/>
    </xf>
    <xf numFmtId="0" fontId="28" fillId="21" borderId="0" xfId="0" applyFont="1" applyFill="1" applyBorder="1" applyAlignment="1">
      <alignment horizontal="center"/>
    </xf>
    <xf numFmtId="167" fontId="24" fillId="21" borderId="0" xfId="4" applyNumberFormat="1" applyFont="1" applyFill="1" applyBorder="1" applyAlignment="1">
      <alignment horizontal="center"/>
    </xf>
    <xf numFmtId="0" fontId="24" fillId="21" borderId="0" xfId="4" applyNumberFormat="1" applyFont="1" applyFill="1" applyBorder="1" applyAlignment="1">
      <alignment horizontal="center"/>
    </xf>
    <xf numFmtId="2" fontId="24" fillId="21" borderId="0" xfId="0" applyNumberFormat="1" applyFont="1" applyFill="1" applyBorder="1" applyAlignment="1">
      <alignment horizontal="center"/>
    </xf>
    <xf numFmtId="165" fontId="24" fillId="21" borderId="0" xfId="0" applyNumberFormat="1" applyFont="1" applyFill="1" applyBorder="1" applyAlignment="1">
      <alignment horizontal="center"/>
    </xf>
    <xf numFmtId="1" fontId="24" fillId="21" borderId="0" xfId="4" applyNumberFormat="1" applyFont="1" applyFill="1" applyBorder="1" applyAlignment="1">
      <alignment horizontal="center"/>
    </xf>
    <xf numFmtId="0" fontId="24" fillId="0" borderId="0" xfId="0" applyFont="1" applyFill="1" applyAlignment="1">
      <alignment horizontal="center"/>
    </xf>
    <xf numFmtId="0" fontId="24" fillId="0" borderId="0" xfId="0" applyFont="1" applyFill="1" applyBorder="1" applyAlignment="1">
      <alignment horizontal="center" vertical="center" wrapText="1"/>
    </xf>
    <xf numFmtId="0" fontId="24" fillId="0" borderId="36" xfId="0" applyFont="1" applyFill="1" applyBorder="1" applyAlignment="1">
      <alignment horizontal="center"/>
    </xf>
    <xf numFmtId="0" fontId="28" fillId="0" borderId="36" xfId="0" applyFont="1" applyFill="1" applyBorder="1" applyAlignment="1">
      <alignment horizontal="center"/>
    </xf>
    <xf numFmtId="167" fontId="24" fillId="0" borderId="36" xfId="4" applyNumberFormat="1" applyFont="1" applyFill="1" applyBorder="1" applyAlignment="1">
      <alignment horizontal="center"/>
    </xf>
    <xf numFmtId="0" fontId="24" fillId="0" borderId="36" xfId="4" applyNumberFormat="1" applyFont="1" applyFill="1" applyBorder="1" applyAlignment="1">
      <alignment horizontal="center"/>
    </xf>
    <xf numFmtId="165" fontId="24" fillId="0" borderId="36" xfId="0" applyNumberFormat="1" applyFont="1" applyFill="1" applyBorder="1" applyAlignment="1">
      <alignment horizontal="center"/>
    </xf>
    <xf numFmtId="1" fontId="24" fillId="0" borderId="36" xfId="4" applyNumberFormat="1" applyFont="1" applyFill="1" applyBorder="1" applyAlignment="1">
      <alignment horizontal="center"/>
    </xf>
    <xf numFmtId="1" fontId="24" fillId="0" borderId="0" xfId="0" applyNumberFormat="1" applyFont="1" applyFill="1" applyAlignment="1">
      <alignment horizontal="center"/>
    </xf>
    <xf numFmtId="0" fontId="4" fillId="0" borderId="0" xfId="0" applyFont="1" applyFill="1" applyAlignment="1">
      <alignment horizontal="center" vertical="center" wrapText="1"/>
    </xf>
    <xf numFmtId="173" fontId="3" fillId="0" borderId="0" xfId="0" applyNumberFormat="1" applyFont="1" applyFill="1"/>
    <xf numFmtId="164" fontId="3" fillId="0" borderId="0" xfId="0" applyNumberFormat="1" applyFont="1" applyFill="1"/>
    <xf numFmtId="43" fontId="3" fillId="0" borderId="0" xfId="0" applyNumberFormat="1" applyFont="1" applyFill="1"/>
    <xf numFmtId="0" fontId="3" fillId="0" borderId="0" xfId="0" applyFont="1" applyFill="1"/>
    <xf numFmtId="178" fontId="0" fillId="0" borderId="0" xfId="0" applyNumberFormat="1"/>
    <xf numFmtId="179" fontId="3" fillId="0" borderId="10" xfId="5" applyNumberFormat="1" applyFont="1" applyBorder="1" applyAlignment="1">
      <alignment horizontal="right"/>
    </xf>
    <xf numFmtId="166" fontId="3" fillId="0" borderId="0" xfId="0" applyNumberFormat="1" applyFont="1" applyFill="1"/>
    <xf numFmtId="179" fontId="8" fillId="0" borderId="23" xfId="0" applyNumberFormat="1" applyFont="1" applyBorder="1" applyAlignment="1">
      <alignment horizontal="right" vertical="center"/>
    </xf>
    <xf numFmtId="2" fontId="8" fillId="13" borderId="23" xfId="0" applyNumberFormat="1" applyFont="1" applyFill="1" applyBorder="1" applyAlignment="1">
      <alignment horizontal="right" vertical="center"/>
    </xf>
    <xf numFmtId="176" fontId="3" fillId="0" borderId="40" xfId="5" applyNumberFormat="1" applyFont="1" applyFill="1" applyBorder="1" applyAlignment="1">
      <alignment horizontal="right"/>
    </xf>
    <xf numFmtId="164" fontId="8" fillId="0" borderId="23" xfId="5" applyNumberFormat="1" applyFont="1" applyFill="1" applyBorder="1" applyAlignment="1">
      <alignment horizontal="right"/>
    </xf>
    <xf numFmtId="169" fontId="4" fillId="0" borderId="0" xfId="5" applyNumberFormat="1" applyFont="1" applyFill="1" applyAlignment="1">
      <alignment horizontal="center" vertical="center" wrapText="1"/>
    </xf>
    <xf numFmtId="169" fontId="3" fillId="0" borderId="0" xfId="5" applyNumberFormat="1" applyFont="1" applyFill="1"/>
    <xf numFmtId="1" fontId="3" fillId="0" borderId="0" xfId="0" applyNumberFormat="1" applyFont="1" applyFill="1"/>
    <xf numFmtId="43" fontId="3" fillId="0" borderId="10" xfId="4" applyFont="1" applyBorder="1" applyAlignment="1">
      <alignment horizontal="right"/>
    </xf>
    <xf numFmtId="43" fontId="3" fillId="0" borderId="0" xfId="4" applyFont="1"/>
    <xf numFmtId="44" fontId="0" fillId="0" borderId="0" xfId="0" applyNumberFormat="1"/>
    <xf numFmtId="174" fontId="3" fillId="0" borderId="0" xfId="4" applyNumberFormat="1" applyFont="1" applyFill="1"/>
    <xf numFmtId="174" fontId="3" fillId="0" borderId="0" xfId="0" applyNumberFormat="1" applyFont="1" applyFill="1"/>
    <xf numFmtId="181" fontId="3" fillId="0" borderId="0" xfId="0" applyNumberFormat="1" applyFont="1" applyFill="1"/>
    <xf numFmtId="174" fontId="3" fillId="15" borderId="0" xfId="0" applyNumberFormat="1" applyFont="1" applyFill="1"/>
    <xf numFmtId="44" fontId="3" fillId="15" borderId="0" xfId="0" applyNumberFormat="1" applyFont="1" applyFill="1"/>
    <xf numFmtId="43" fontId="3" fillId="0" borderId="10" xfId="4" applyNumberFormat="1" applyFont="1" applyBorder="1" applyAlignment="1">
      <alignment horizontal="right"/>
    </xf>
    <xf numFmtId="166" fontId="3" fillId="0" borderId="0" xfId="0" applyNumberFormat="1" applyFont="1" applyFill="1" applyBorder="1"/>
    <xf numFmtId="6" fontId="3" fillId="0" borderId="23" xfId="0" applyNumberFormat="1" applyFont="1" applyFill="1" applyBorder="1" applyAlignment="1">
      <alignment horizontal="right"/>
    </xf>
    <xf numFmtId="3" fontId="3" fillId="0" borderId="23" xfId="0" applyNumberFormat="1" applyFont="1" applyFill="1" applyBorder="1"/>
    <xf numFmtId="0" fontId="3" fillId="0" borderId="10" xfId="0" quotePrefix="1" applyFont="1" applyBorder="1" applyAlignment="1">
      <alignment horizontal="right"/>
    </xf>
    <xf numFmtId="0" fontId="3" fillId="0" borderId="0" xfId="0" applyFont="1" applyFill="1" applyBorder="1"/>
    <xf numFmtId="166" fontId="0" fillId="0" borderId="0" xfId="0" applyNumberFormat="1"/>
    <xf numFmtId="0" fontId="0" fillId="14" borderId="0" xfId="0" applyFill="1"/>
    <xf numFmtId="0" fontId="29" fillId="0" borderId="0" xfId="0" applyFont="1"/>
    <xf numFmtId="1" fontId="3" fillId="7" borderId="0" xfId="0" applyNumberFormat="1" applyFont="1" applyFill="1" applyBorder="1"/>
    <xf numFmtId="0" fontId="0" fillId="0" borderId="0" xfId="0" applyFont="1" applyAlignment="1">
      <alignment horizontal="center"/>
    </xf>
    <xf numFmtId="0" fontId="4" fillId="22" borderId="0" xfId="0" applyFont="1" applyFill="1" applyBorder="1" applyAlignment="1">
      <alignment horizontal="center"/>
    </xf>
    <xf numFmtId="182" fontId="3" fillId="22" borderId="0" xfId="0" applyNumberFormat="1" applyFont="1" applyFill="1" applyBorder="1"/>
    <xf numFmtId="2" fontId="0" fillId="0" borderId="0" xfId="0" applyNumberFormat="1" applyFont="1"/>
    <xf numFmtId="167" fontId="10" fillId="22" borderId="41" xfId="4" applyNumberFormat="1" applyFont="1" applyFill="1" applyBorder="1"/>
    <xf numFmtId="0" fontId="10" fillId="0" borderId="0" xfId="0" applyFont="1"/>
    <xf numFmtId="167" fontId="10" fillId="17" borderId="45" xfId="4" applyNumberFormat="1" applyFont="1" applyFill="1" applyBorder="1"/>
    <xf numFmtId="0" fontId="10" fillId="22" borderId="3" xfId="0" applyFont="1" applyFill="1" applyBorder="1" applyAlignment="1">
      <alignment horizontal="center"/>
    </xf>
    <xf numFmtId="0" fontId="10" fillId="22" borderId="6" xfId="0" applyFont="1" applyFill="1" applyBorder="1" applyAlignment="1">
      <alignment horizontal="center"/>
    </xf>
    <xf numFmtId="0" fontId="10" fillId="22" borderId="37" xfId="0" applyFont="1" applyFill="1" applyBorder="1" applyAlignment="1">
      <alignment horizontal="center"/>
    </xf>
    <xf numFmtId="0" fontId="10" fillId="17" borderId="3" xfId="0" applyFont="1" applyFill="1" applyBorder="1" applyAlignment="1">
      <alignment horizontal="center"/>
    </xf>
    <xf numFmtId="0" fontId="10" fillId="17" borderId="6" xfId="0" applyFont="1" applyFill="1" applyBorder="1" applyAlignment="1">
      <alignment horizontal="center"/>
    </xf>
    <xf numFmtId="0" fontId="10" fillId="17" borderId="37" xfId="0" applyFont="1" applyFill="1" applyBorder="1" applyAlignment="1">
      <alignment horizontal="center"/>
    </xf>
    <xf numFmtId="0" fontId="30" fillId="17" borderId="3" xfId="0" applyFont="1" applyFill="1" applyBorder="1" applyAlignment="1">
      <alignment horizontal="center"/>
    </xf>
    <xf numFmtId="0" fontId="30" fillId="17" borderId="6" xfId="0" applyFont="1" applyFill="1" applyBorder="1" applyAlignment="1">
      <alignment horizontal="center"/>
    </xf>
    <xf numFmtId="0" fontId="30" fillId="17" borderId="37" xfId="0" applyFont="1" applyFill="1" applyBorder="1" applyAlignment="1">
      <alignment horizontal="center"/>
    </xf>
    <xf numFmtId="0" fontId="30" fillId="17" borderId="46" xfId="0" applyFont="1" applyFill="1" applyBorder="1" applyAlignment="1">
      <alignment horizontal="center"/>
    </xf>
    <xf numFmtId="0" fontId="30" fillId="17" borderId="0" xfId="0" applyFont="1" applyFill="1" applyBorder="1" applyAlignment="1">
      <alignment horizontal="center"/>
    </xf>
    <xf numFmtId="0" fontId="20" fillId="22" borderId="47" xfId="0" applyFont="1" applyFill="1" applyBorder="1" applyAlignment="1">
      <alignment horizontal="left"/>
    </xf>
    <xf numFmtId="0" fontId="20" fillId="17" borderId="15" xfId="0" applyFont="1" applyFill="1" applyBorder="1" applyAlignment="1">
      <alignment horizontal="left"/>
    </xf>
    <xf numFmtId="167" fontId="0" fillId="22" borderId="36" xfId="4" applyNumberFormat="1" applyFont="1" applyFill="1" applyBorder="1"/>
    <xf numFmtId="183" fontId="0" fillId="22" borderId="36" xfId="0" applyNumberFormat="1" applyFill="1" applyBorder="1"/>
    <xf numFmtId="167" fontId="0" fillId="17" borderId="36" xfId="4" applyNumberFormat="1" applyFont="1" applyFill="1" applyBorder="1"/>
    <xf numFmtId="183" fontId="0" fillId="17" borderId="36" xfId="4" applyNumberFormat="1" applyFont="1" applyFill="1" applyBorder="1"/>
    <xf numFmtId="167" fontId="31" fillId="17" borderId="36" xfId="4" applyNumberFormat="1" applyFont="1" applyFill="1" applyBorder="1"/>
    <xf numFmtId="183" fontId="31" fillId="17" borderId="36" xfId="4" applyNumberFormat="1" applyFont="1" applyFill="1" applyBorder="1"/>
    <xf numFmtId="167" fontId="31" fillId="17" borderId="0" xfId="4" applyNumberFormat="1" applyFont="1" applyFill="1" applyBorder="1"/>
    <xf numFmtId="183" fontId="31" fillId="17" borderId="0" xfId="4" applyNumberFormat="1" applyFont="1" applyFill="1" applyBorder="1"/>
    <xf numFmtId="182" fontId="4" fillId="23" borderId="0" xfId="0" applyNumberFormat="1" applyFont="1" applyFill="1" applyBorder="1"/>
    <xf numFmtId="2" fontId="20" fillId="23" borderId="0" xfId="0" applyNumberFormat="1" applyFont="1" applyFill="1"/>
    <xf numFmtId="43" fontId="0" fillId="0" borderId="0" xfId="0" applyNumberFormat="1" applyFont="1"/>
    <xf numFmtId="2" fontId="0" fillId="16" borderId="0" xfId="0" applyNumberFormat="1" applyFont="1" applyFill="1"/>
    <xf numFmtId="0" fontId="32" fillId="22" borderId="47" xfId="0" applyFont="1" applyFill="1" applyBorder="1" applyAlignment="1">
      <alignment horizontal="left"/>
    </xf>
    <xf numFmtId="0" fontId="32" fillId="17" borderId="15" xfId="0" applyFont="1" applyFill="1" applyBorder="1" applyAlignment="1">
      <alignment horizontal="left"/>
    </xf>
    <xf numFmtId="167" fontId="31" fillId="22" borderId="36" xfId="4" applyNumberFormat="1" applyFont="1" applyFill="1" applyBorder="1"/>
    <xf numFmtId="183" fontId="31" fillId="22" borderId="36" xfId="0" applyNumberFormat="1" applyFont="1" applyFill="1" applyBorder="1"/>
    <xf numFmtId="0" fontId="31" fillId="0" borderId="0" xfId="0" applyFont="1"/>
    <xf numFmtId="0" fontId="20" fillId="23" borderId="47" xfId="0" applyFont="1" applyFill="1" applyBorder="1" applyAlignment="1">
      <alignment horizontal="left"/>
    </xf>
    <xf numFmtId="0" fontId="32" fillId="17" borderId="47" xfId="0" applyFont="1" applyFill="1" applyBorder="1" applyAlignment="1">
      <alignment horizontal="left"/>
    </xf>
    <xf numFmtId="0" fontId="32" fillId="23" borderId="47" xfId="0" applyFont="1" applyFill="1" applyBorder="1" applyAlignment="1">
      <alignment horizontal="left"/>
    </xf>
    <xf numFmtId="37" fontId="0" fillId="17" borderId="36" xfId="4" applyNumberFormat="1" applyFont="1" applyFill="1" applyBorder="1"/>
    <xf numFmtId="0" fontId="20" fillId="0" borderId="0" xfId="0" applyFont="1" applyFill="1" applyAlignment="1">
      <alignment horizontal="left"/>
    </xf>
    <xf numFmtId="167" fontId="0" fillId="0" borderId="0" xfId="4" applyNumberFormat="1" applyFont="1" applyFill="1" applyBorder="1"/>
    <xf numFmtId="167" fontId="29" fillId="0" borderId="0" xfId="4" applyNumberFormat="1" applyFont="1" applyFill="1" applyBorder="1"/>
    <xf numFmtId="0" fontId="0" fillId="0" borderId="0" xfId="0" applyFill="1"/>
    <xf numFmtId="0" fontId="20" fillId="24" borderId="48" xfId="0" applyFont="1" applyFill="1" applyBorder="1" applyAlignment="1">
      <alignment horizontal="left"/>
    </xf>
    <xf numFmtId="0" fontId="20" fillId="24" borderId="49" xfId="0" applyFont="1" applyFill="1" applyBorder="1" applyAlignment="1">
      <alignment horizontal="left"/>
    </xf>
    <xf numFmtId="0" fontId="20" fillId="22" borderId="3" xfId="0" applyFont="1" applyFill="1" applyBorder="1" applyAlignment="1">
      <alignment horizontal="center"/>
    </xf>
    <xf numFmtId="0" fontId="20" fillId="22" borderId="6" xfId="0" applyFont="1" applyFill="1" applyBorder="1" applyAlignment="1">
      <alignment horizontal="center"/>
    </xf>
    <xf numFmtId="0" fontId="20" fillId="22" borderId="37" xfId="0" applyFont="1" applyFill="1" applyBorder="1" applyAlignment="1">
      <alignment horizontal="center"/>
    </xf>
    <xf numFmtId="0" fontId="20" fillId="17" borderId="3" xfId="0" applyFont="1" applyFill="1" applyBorder="1" applyAlignment="1">
      <alignment horizontal="center"/>
    </xf>
    <xf numFmtId="0" fontId="20" fillId="17" borderId="6" xfId="0" applyFont="1" applyFill="1" applyBorder="1" applyAlignment="1">
      <alignment horizontal="center"/>
    </xf>
    <xf numFmtId="0" fontId="20" fillId="17" borderId="37" xfId="0" applyFont="1" applyFill="1" applyBorder="1" applyAlignment="1">
      <alignment horizontal="center"/>
    </xf>
    <xf numFmtId="0" fontId="32" fillId="17" borderId="3" xfId="0" applyFont="1" applyFill="1" applyBorder="1" applyAlignment="1">
      <alignment horizontal="center"/>
    </xf>
    <xf numFmtId="0" fontId="32" fillId="17" borderId="6" xfId="0" applyFont="1" applyFill="1" applyBorder="1" applyAlignment="1">
      <alignment horizontal="center"/>
    </xf>
    <xf numFmtId="0" fontId="32" fillId="17" borderId="37" xfId="0" applyFont="1" applyFill="1" applyBorder="1" applyAlignment="1">
      <alignment horizontal="center"/>
    </xf>
    <xf numFmtId="0" fontId="20" fillId="24" borderId="50" xfId="0" applyFont="1" applyFill="1" applyBorder="1" applyAlignment="1">
      <alignment horizontal="center"/>
    </xf>
    <xf numFmtId="167" fontId="0" fillId="22" borderId="51" xfId="4" applyNumberFormat="1" applyFont="1" applyFill="1" applyBorder="1"/>
    <xf numFmtId="183" fontId="0" fillId="22" borderId="52" xfId="0" applyNumberFormat="1" applyFill="1" applyBorder="1"/>
    <xf numFmtId="167" fontId="31" fillId="17" borderId="47" xfId="4" applyNumberFormat="1" applyFont="1" applyFill="1" applyBorder="1"/>
    <xf numFmtId="167" fontId="31" fillId="17" borderId="53" xfId="4" applyNumberFormat="1" applyFont="1" applyFill="1" applyBorder="1"/>
    <xf numFmtId="183" fontId="31" fillId="17" borderId="52" xfId="0" applyNumberFormat="1" applyFont="1" applyFill="1" applyBorder="1"/>
    <xf numFmtId="167" fontId="0" fillId="17" borderId="47" xfId="4" applyNumberFormat="1" applyFont="1" applyFill="1" applyBorder="1"/>
    <xf numFmtId="167" fontId="0" fillId="17" borderId="53" xfId="4" applyNumberFormat="1" applyFont="1" applyFill="1" applyBorder="1"/>
    <xf numFmtId="183" fontId="0" fillId="17" borderId="52" xfId="0" applyNumberFormat="1" applyFill="1" applyBorder="1"/>
    <xf numFmtId="167" fontId="0" fillId="22" borderId="53" xfId="4" applyNumberFormat="1" applyFont="1" applyFill="1" applyBorder="1"/>
    <xf numFmtId="167" fontId="31" fillId="17" borderId="51" xfId="4" applyNumberFormat="1" applyFont="1" applyFill="1" applyBorder="1"/>
    <xf numFmtId="167" fontId="31" fillId="22" borderId="51" xfId="4" applyNumberFormat="1" applyFont="1" applyFill="1" applyBorder="1"/>
    <xf numFmtId="167" fontId="31" fillId="22" borderId="53" xfId="4" applyNumberFormat="1" applyFont="1" applyFill="1" applyBorder="1"/>
    <xf numFmtId="183" fontId="31" fillId="22" borderId="52" xfId="0" applyNumberFormat="1" applyFont="1" applyFill="1" applyBorder="1"/>
    <xf numFmtId="180" fontId="0" fillId="0" borderId="0" xfId="0" applyNumberFormat="1"/>
    <xf numFmtId="183" fontId="0" fillId="0" borderId="0" xfId="0" applyNumberFormat="1"/>
    <xf numFmtId="0" fontId="20" fillId="0" borderId="0" xfId="0" applyFont="1" applyAlignment="1">
      <alignment horizontal="left"/>
    </xf>
    <xf numFmtId="167" fontId="0" fillId="0" borderId="0" xfId="0" applyNumberFormat="1" applyFont="1"/>
    <xf numFmtId="167" fontId="0" fillId="0" borderId="0" xfId="0" applyNumberFormat="1"/>
    <xf numFmtId="3" fontId="3" fillId="7" borderId="9" xfId="0" applyNumberFormat="1" applyFont="1" applyFill="1" applyBorder="1"/>
    <xf numFmtId="43" fontId="0" fillId="0" borderId="0" xfId="0" applyNumberFormat="1"/>
    <xf numFmtId="167" fontId="10" fillId="22" borderId="18" xfId="4" applyNumberFormat="1" applyFont="1" applyFill="1" applyBorder="1"/>
    <xf numFmtId="0" fontId="0" fillId="24" borderId="0" xfId="0" applyFill="1"/>
    <xf numFmtId="0" fontId="3" fillId="0" borderId="0" xfId="0" applyFont="1" applyFill="1" applyAlignment="1">
      <alignment horizontal="right"/>
    </xf>
    <xf numFmtId="10" fontId="0" fillId="0" borderId="0" xfId="0" applyNumberFormat="1"/>
    <xf numFmtId="1" fontId="0" fillId="0" borderId="0" xfId="0" applyNumberFormat="1"/>
    <xf numFmtId="0" fontId="20" fillId="25" borderId="47" xfId="0" applyFont="1" applyFill="1" applyBorder="1" applyAlignment="1">
      <alignment horizontal="left"/>
    </xf>
    <xf numFmtId="0" fontId="20" fillId="25" borderId="15" xfId="0" applyFont="1" applyFill="1" applyBorder="1" applyAlignment="1">
      <alignment horizontal="left"/>
    </xf>
    <xf numFmtId="167" fontId="0" fillId="25" borderId="36" xfId="4" applyNumberFormat="1" applyFont="1" applyFill="1" applyBorder="1"/>
    <xf numFmtId="183" fontId="0" fillId="25" borderId="36" xfId="0" applyNumberFormat="1" applyFill="1" applyBorder="1"/>
    <xf numFmtId="183" fontId="0" fillId="25" borderId="36" xfId="4" applyNumberFormat="1" applyFont="1" applyFill="1" applyBorder="1"/>
    <xf numFmtId="167" fontId="31" fillId="25" borderId="36" xfId="4" applyNumberFormat="1" applyFont="1" applyFill="1" applyBorder="1"/>
    <xf numFmtId="183" fontId="31" fillId="25" borderId="36" xfId="4" applyNumberFormat="1" applyFont="1" applyFill="1" applyBorder="1"/>
    <xf numFmtId="167" fontId="31" fillId="25" borderId="0" xfId="4" applyNumberFormat="1" applyFont="1" applyFill="1" applyBorder="1"/>
    <xf numFmtId="183" fontId="31" fillId="25" borderId="0" xfId="4" applyNumberFormat="1" applyFont="1" applyFill="1" applyBorder="1"/>
    <xf numFmtId="182" fontId="4" fillId="25" borderId="0" xfId="0" applyNumberFormat="1" applyFont="1" applyFill="1" applyBorder="1"/>
    <xf numFmtId="2" fontId="20" fillId="25" borderId="0" xfId="0" applyNumberFormat="1" applyFont="1" applyFill="1"/>
    <xf numFmtId="43" fontId="0" fillId="25" borderId="0" xfId="0" applyNumberFormat="1" applyFont="1" applyFill="1"/>
    <xf numFmtId="2" fontId="0" fillId="25" borderId="0" xfId="0" applyNumberFormat="1" applyFont="1" applyFill="1"/>
    <xf numFmtId="0" fontId="0" fillId="25" borderId="0" xfId="0" applyFill="1"/>
    <xf numFmtId="2" fontId="0" fillId="25" borderId="0" xfId="0" applyNumberFormat="1" applyFill="1"/>
    <xf numFmtId="0" fontId="32" fillId="25" borderId="47" xfId="0" applyFont="1" applyFill="1" applyBorder="1" applyAlignment="1">
      <alignment horizontal="left"/>
    </xf>
    <xf numFmtId="0" fontId="32" fillId="25" borderId="15" xfId="0" applyFont="1" applyFill="1" applyBorder="1" applyAlignment="1">
      <alignment horizontal="left"/>
    </xf>
    <xf numFmtId="183" fontId="31" fillId="25" borderId="36" xfId="0" applyNumberFormat="1" applyFont="1" applyFill="1" applyBorder="1"/>
    <xf numFmtId="0" fontId="31" fillId="25" borderId="0" xfId="0" applyFont="1" applyFill="1"/>
    <xf numFmtId="0" fontId="0" fillId="0" borderId="0" xfId="0" applyFill="1" applyAlignment="1">
      <alignment horizontal="right"/>
    </xf>
    <xf numFmtId="167" fontId="32" fillId="0" borderId="0" xfId="4" applyNumberFormat="1" applyFont="1" applyFill="1" applyBorder="1"/>
    <xf numFmtId="0" fontId="32" fillId="17" borderId="0" xfId="0" applyFont="1" applyFill="1" applyBorder="1" applyAlignment="1">
      <alignment horizontal="center"/>
    </xf>
    <xf numFmtId="172" fontId="32" fillId="0" borderId="0" xfId="4" applyNumberFormat="1" applyFont="1" applyFill="1" applyBorder="1"/>
    <xf numFmtId="1" fontId="0" fillId="0" borderId="0" xfId="0" applyNumberFormat="1" applyFont="1"/>
    <xf numFmtId="2" fontId="0" fillId="0" borderId="0" xfId="0" applyNumberFormat="1" applyFill="1"/>
    <xf numFmtId="2" fontId="0" fillId="0" borderId="0" xfId="0" applyNumberFormat="1" applyFill="1" applyAlignment="1">
      <alignment horizontal="right"/>
    </xf>
    <xf numFmtId="0" fontId="31" fillId="17" borderId="0" xfId="0" applyFont="1" applyFill="1" applyBorder="1" applyAlignment="1">
      <alignment horizontal="right"/>
    </xf>
    <xf numFmtId="10" fontId="3" fillId="0" borderId="22" xfId="3" applyNumberFormat="1" applyFont="1" applyBorder="1" applyAlignment="1">
      <alignment horizontal="right"/>
    </xf>
    <xf numFmtId="0" fontId="27" fillId="0" borderId="0" xfId="8"/>
    <xf numFmtId="10" fontId="20" fillId="0" borderId="0" xfId="0" applyNumberFormat="1" applyFont="1" applyAlignment="1">
      <alignment horizontal="right"/>
    </xf>
    <xf numFmtId="0" fontId="0" fillId="7" borderId="3" xfId="0" applyFill="1" applyBorder="1"/>
    <xf numFmtId="0" fontId="27" fillId="7" borderId="6" xfId="8" applyFill="1" applyBorder="1"/>
    <xf numFmtId="0" fontId="0" fillId="7" borderId="37" xfId="0" applyFill="1" applyBorder="1"/>
    <xf numFmtId="0" fontId="0" fillId="7" borderId="4" xfId="0" applyFill="1" applyBorder="1" applyAlignment="1">
      <alignment horizontal="left"/>
    </xf>
    <xf numFmtId="0" fontId="0" fillId="7" borderId="0" xfId="0" applyFill="1" applyBorder="1" applyAlignment="1">
      <alignment horizontal="left"/>
    </xf>
    <xf numFmtId="0" fontId="20" fillId="23" borderId="38" xfId="0" applyFont="1" applyFill="1" applyBorder="1" applyAlignment="1">
      <alignment horizontal="center"/>
    </xf>
    <xf numFmtId="183" fontId="0" fillId="7" borderId="0" xfId="0" applyNumberFormat="1" applyFill="1" applyBorder="1" applyAlignment="1">
      <alignment horizontal="left"/>
    </xf>
    <xf numFmtId="0" fontId="0" fillId="7" borderId="38" xfId="0" applyFill="1" applyBorder="1"/>
    <xf numFmtId="0" fontId="0" fillId="21" borderId="4" xfId="0" applyFill="1" applyBorder="1" applyAlignment="1">
      <alignment horizontal="left"/>
    </xf>
    <xf numFmtId="183" fontId="0" fillId="21" borderId="0" xfId="0" applyNumberFormat="1" applyFill="1" applyBorder="1" applyAlignment="1">
      <alignment horizontal="left"/>
    </xf>
    <xf numFmtId="0" fontId="0" fillId="21" borderId="38" xfId="0" applyFill="1" applyBorder="1"/>
    <xf numFmtId="0" fontId="0" fillId="21" borderId="5" xfId="0" applyFill="1" applyBorder="1" applyAlignment="1">
      <alignment horizontal="left"/>
    </xf>
    <xf numFmtId="183" fontId="0" fillId="21" borderId="7" xfId="0" applyNumberFormat="1" applyFill="1" applyBorder="1" applyAlignment="1">
      <alignment horizontal="left"/>
    </xf>
    <xf numFmtId="0" fontId="0" fillId="21" borderId="39" xfId="0" applyFill="1" applyBorder="1"/>
    <xf numFmtId="169" fontId="0" fillId="0" borderId="0" xfId="0" applyNumberFormat="1"/>
    <xf numFmtId="0" fontId="27" fillId="0" borderId="0" xfId="8" applyAlignment="1">
      <alignment horizontal="left" vertical="center"/>
    </xf>
    <xf numFmtId="184" fontId="1" fillId="0" borderId="0" xfId="4" applyNumberFormat="1" applyFont="1" applyBorder="1"/>
    <xf numFmtId="44" fontId="3" fillId="0" borderId="0" xfId="0" applyNumberFormat="1" applyFont="1" applyFill="1"/>
    <xf numFmtId="166" fontId="3" fillId="23" borderId="0" xfId="0" applyNumberFormat="1" applyFont="1" applyFill="1" applyBorder="1"/>
    <xf numFmtId="185" fontId="0" fillId="0" borderId="0" xfId="0" applyNumberFormat="1" applyFill="1"/>
    <xf numFmtId="0" fontId="20" fillId="0" borderId="37" xfId="0" applyFont="1" applyBorder="1"/>
    <xf numFmtId="0" fontId="20" fillId="26" borderId="3" xfId="0" applyFont="1" applyFill="1" applyBorder="1"/>
    <xf numFmtId="0" fontId="0" fillId="26" borderId="6" xfId="0" applyFill="1" applyBorder="1"/>
    <xf numFmtId="0" fontId="0" fillId="26" borderId="37" xfId="0" applyFill="1" applyBorder="1"/>
    <xf numFmtId="0" fontId="0" fillId="27" borderId="6" xfId="0" applyFill="1" applyBorder="1"/>
    <xf numFmtId="0" fontId="0" fillId="27" borderId="37" xfId="0" applyFill="1" applyBorder="1"/>
    <xf numFmtId="0" fontId="0" fillId="27" borderId="39" xfId="0" applyFill="1" applyBorder="1"/>
    <xf numFmtId="0" fontId="0" fillId="26" borderId="5" xfId="0" applyFill="1" applyBorder="1"/>
    <xf numFmtId="0" fontId="0" fillId="26" borderId="7" xfId="0" applyFill="1" applyBorder="1"/>
    <xf numFmtId="0" fontId="0" fillId="26" borderId="39" xfId="0" applyFill="1" applyBorder="1"/>
    <xf numFmtId="4" fontId="0" fillId="27" borderId="54" xfId="9" applyNumberFormat="1" applyFont="1" applyFill="1" applyBorder="1" applyAlignment="1">
      <alignment horizontal="right" wrapText="1"/>
    </xf>
    <xf numFmtId="4" fontId="0" fillId="27" borderId="55" xfId="9" applyNumberFormat="1" applyFont="1" applyFill="1" applyBorder="1" applyAlignment="1">
      <alignment horizontal="right" wrapText="1"/>
    </xf>
    <xf numFmtId="0" fontId="0" fillId="28" borderId="3" xfId="0" applyFill="1" applyBorder="1" applyAlignment="1">
      <alignment horizontal="right"/>
    </xf>
    <xf numFmtId="44" fontId="0" fillId="26" borderId="6" xfId="5" applyFont="1" applyFill="1" applyBorder="1"/>
    <xf numFmtId="44" fontId="0" fillId="26" borderId="37" xfId="5" applyFont="1" applyFill="1" applyBorder="1"/>
    <xf numFmtId="44" fontId="0" fillId="27" borderId="6" xfId="5" applyFont="1" applyFill="1" applyBorder="1"/>
    <xf numFmtId="44" fontId="0" fillId="27" borderId="37" xfId="5" applyFont="1" applyFill="1" applyBorder="1"/>
    <xf numFmtId="0" fontId="0" fillId="28" borderId="38" xfId="0" applyFill="1" applyBorder="1"/>
    <xf numFmtId="8" fontId="0" fillId="28" borderId="4" xfId="0" applyNumberFormat="1" applyFill="1" applyBorder="1"/>
    <xf numFmtId="0" fontId="0" fillId="12" borderId="38" xfId="0" applyFill="1" applyBorder="1" applyAlignment="1">
      <alignment horizontal="right"/>
    </xf>
    <xf numFmtId="0" fontId="0" fillId="7" borderId="38" xfId="0" applyFill="1" applyBorder="1" applyAlignment="1">
      <alignment horizontal="right"/>
    </xf>
    <xf numFmtId="0" fontId="0" fillId="7" borderId="39" xfId="0" applyFill="1" applyBorder="1" applyAlignment="1">
      <alignment horizontal="right"/>
    </xf>
    <xf numFmtId="0" fontId="0" fillId="28" borderId="37" xfId="0" applyFill="1" applyBorder="1"/>
    <xf numFmtId="8" fontId="0" fillId="28" borderId="3" xfId="0" applyNumberFormat="1" applyFill="1" applyBorder="1"/>
    <xf numFmtId="44" fontId="0" fillId="26" borderId="6" xfId="0" applyNumberFormat="1" applyFill="1" applyBorder="1"/>
    <xf numFmtId="44" fontId="0" fillId="26" borderId="37" xfId="0" applyNumberFormat="1" applyFill="1" applyBorder="1"/>
    <xf numFmtId="44" fontId="0" fillId="27" borderId="6" xfId="0" applyNumberFormat="1" applyFill="1" applyBorder="1"/>
    <xf numFmtId="44" fontId="0" fillId="27" borderId="37" xfId="0" applyNumberFormat="1" applyFill="1" applyBorder="1"/>
    <xf numFmtId="0" fontId="0" fillId="29" borderId="37" xfId="0" applyFill="1" applyBorder="1"/>
    <xf numFmtId="0" fontId="0" fillId="26" borderId="3" xfId="0" applyFill="1" applyBorder="1"/>
    <xf numFmtId="4" fontId="0" fillId="29" borderId="54" xfId="9" applyNumberFormat="1" applyFont="1" applyFill="1" applyBorder="1" applyAlignment="1">
      <alignment horizontal="right" wrapText="1"/>
    </xf>
    <xf numFmtId="4" fontId="0" fillId="29" borderId="55" xfId="9" applyNumberFormat="1" applyFont="1" applyFill="1" applyBorder="1" applyAlignment="1">
      <alignment horizontal="right" wrapText="1"/>
    </xf>
    <xf numFmtId="44" fontId="0" fillId="26" borderId="7" xfId="5" applyFont="1" applyFill="1" applyBorder="1"/>
    <xf numFmtId="44" fontId="0" fillId="26" borderId="39" xfId="5" applyFont="1" applyFill="1" applyBorder="1"/>
    <xf numFmtId="44" fontId="0" fillId="29" borderId="7" xfId="5" applyFont="1" applyFill="1" applyBorder="1"/>
    <xf numFmtId="44" fontId="0" fillId="29" borderId="39" xfId="5" applyFont="1" applyFill="1" applyBorder="1"/>
    <xf numFmtId="0" fontId="0" fillId="28" borderId="37" xfId="0" applyFont="1" applyFill="1" applyBorder="1" applyAlignment="1">
      <alignment horizontal="right"/>
    </xf>
    <xf numFmtId="8" fontId="0" fillId="28" borderId="3" xfId="0" applyNumberFormat="1" applyFont="1" applyFill="1" applyBorder="1"/>
    <xf numFmtId="44" fontId="0" fillId="26" borderId="6" xfId="0" applyNumberFormat="1" applyFont="1" applyFill="1" applyBorder="1"/>
    <xf numFmtId="44" fontId="0" fillId="26" borderId="37" xfId="0" applyNumberFormat="1" applyFont="1" applyFill="1" applyBorder="1"/>
    <xf numFmtId="44" fontId="0" fillId="29" borderId="6" xfId="0" applyNumberFormat="1" applyFont="1" applyFill="1" applyBorder="1"/>
    <xf numFmtId="44" fontId="0" fillId="29" borderId="37" xfId="0" applyNumberFormat="1" applyFont="1" applyFill="1" applyBorder="1"/>
    <xf numFmtId="0" fontId="0" fillId="12" borderId="38" xfId="0" applyFont="1" applyFill="1" applyBorder="1" applyAlignment="1">
      <alignment horizontal="right"/>
    </xf>
    <xf numFmtId="44" fontId="0" fillId="26" borderId="0" xfId="0" applyNumberFormat="1" applyFont="1" applyFill="1" applyBorder="1"/>
    <xf numFmtId="44" fontId="0" fillId="26" borderId="38" xfId="0" applyNumberFormat="1" applyFont="1" applyFill="1" applyBorder="1"/>
    <xf numFmtId="44" fontId="0" fillId="12" borderId="38" xfId="0" applyNumberFormat="1" applyFont="1" applyFill="1" applyBorder="1"/>
    <xf numFmtId="0" fontId="0" fillId="7" borderId="38" xfId="0" applyFont="1" applyFill="1" applyBorder="1" applyAlignment="1">
      <alignment horizontal="right"/>
    </xf>
    <xf numFmtId="167" fontId="1" fillId="0" borderId="38" xfId="4" applyNumberFormat="1" applyFont="1" applyBorder="1"/>
    <xf numFmtId="0" fontId="0" fillId="7" borderId="39" xfId="0" applyFont="1" applyFill="1" applyBorder="1" applyAlignment="1">
      <alignment horizontal="right"/>
    </xf>
    <xf numFmtId="0" fontId="20" fillId="0" borderId="4" xfId="0" applyFont="1" applyBorder="1"/>
    <xf numFmtId="0" fontId="0" fillId="28" borderId="37" xfId="0" applyFill="1" applyBorder="1" applyAlignment="1">
      <alignment horizontal="right"/>
    </xf>
    <xf numFmtId="8" fontId="0" fillId="26" borderId="37" xfId="0" applyNumberFormat="1" applyFill="1" applyBorder="1"/>
    <xf numFmtId="44" fontId="0" fillId="29" borderId="6" xfId="0" applyNumberFormat="1" applyFill="1" applyBorder="1"/>
    <xf numFmtId="44" fontId="0" fillId="29" borderId="37" xfId="0" applyNumberFormat="1" applyFill="1" applyBorder="1"/>
    <xf numFmtId="44" fontId="0" fillId="26" borderId="0" xfId="0" applyNumberFormat="1" applyFill="1" applyBorder="1"/>
    <xf numFmtId="44" fontId="0" fillId="26" borderId="38" xfId="0" applyNumberFormat="1" applyFill="1" applyBorder="1"/>
    <xf numFmtId="167" fontId="0" fillId="0" borderId="38" xfId="4" applyNumberFormat="1" applyFont="1" applyBorder="1"/>
    <xf numFmtId="0" fontId="0" fillId="7" borderId="37" xfId="0" applyFont="1" applyFill="1" applyBorder="1" applyAlignment="1">
      <alignment horizontal="right"/>
    </xf>
    <xf numFmtId="44" fontId="0" fillId="12" borderId="6" xfId="0" applyNumberFormat="1" applyFont="1" applyFill="1" applyBorder="1"/>
    <xf numFmtId="44" fontId="0" fillId="12" borderId="37" xfId="0" applyNumberFormat="1" applyFont="1" applyFill="1" applyBorder="1"/>
    <xf numFmtId="44" fontId="0" fillId="7" borderId="0" xfId="5" applyFont="1" applyFill="1" applyBorder="1"/>
    <xf numFmtId="44" fontId="0" fillId="26" borderId="38" xfId="5" applyFont="1" applyFill="1" applyBorder="1"/>
    <xf numFmtId="44" fontId="0" fillId="29" borderId="0" xfId="5" applyFont="1" applyFill="1" applyBorder="1"/>
    <xf numFmtId="44" fontId="0" fillId="29" borderId="38" xfId="5" applyFont="1" applyFill="1" applyBorder="1"/>
    <xf numFmtId="171" fontId="0" fillId="28" borderId="4" xfId="5" applyNumberFormat="1" applyFont="1" applyFill="1" applyBorder="1"/>
    <xf numFmtId="44" fontId="0" fillId="28" borderId="4" xfId="5" applyFont="1" applyFill="1" applyBorder="1"/>
    <xf numFmtId="44" fontId="0" fillId="12" borderId="6" xfId="5" applyFont="1" applyFill="1" applyBorder="1"/>
    <xf numFmtId="44" fontId="0" fillId="12" borderId="37" xfId="5" applyFont="1" applyFill="1" applyBorder="1"/>
    <xf numFmtId="0" fontId="0" fillId="26" borderId="0" xfId="0" applyFill="1"/>
    <xf numFmtId="0" fontId="0" fillId="26" borderId="0" xfId="0" applyFill="1" applyAlignment="1">
      <alignment horizontal="right"/>
    </xf>
    <xf numFmtId="0" fontId="0" fillId="10" borderId="0" xfId="0" applyFill="1"/>
    <xf numFmtId="8" fontId="0" fillId="26" borderId="0" xfId="0" applyNumberFormat="1" applyFill="1"/>
    <xf numFmtId="8" fontId="0" fillId="7" borderId="0" xfId="0" applyNumberFormat="1" applyFill="1"/>
    <xf numFmtId="8" fontId="0" fillId="10" borderId="0" xfId="0" applyNumberFormat="1" applyFill="1"/>
    <xf numFmtId="8" fontId="20" fillId="0" borderId="0" xfId="0" applyNumberFormat="1" applyFont="1"/>
    <xf numFmtId="186" fontId="0" fillId="0" borderId="0" xfId="0" applyNumberFormat="1"/>
    <xf numFmtId="44" fontId="0" fillId="0" borderId="0" xfId="5" applyNumberFormat="1" applyFont="1"/>
    <xf numFmtId="8" fontId="0" fillId="0" borderId="0" xfId="5" applyNumberFormat="1" applyFont="1"/>
    <xf numFmtId="44" fontId="0" fillId="26" borderId="0" xfId="0" applyNumberFormat="1" applyFill="1"/>
    <xf numFmtId="8" fontId="0" fillId="11" borderId="0" xfId="0" applyNumberFormat="1" applyFill="1"/>
    <xf numFmtId="166" fontId="0" fillId="0" borderId="0" xfId="4" applyNumberFormat="1" applyFont="1"/>
    <xf numFmtId="169" fontId="3" fillId="0" borderId="0" xfId="5" applyNumberFormat="1" applyFont="1" applyAlignment="1">
      <alignment horizontal="right"/>
    </xf>
    <xf numFmtId="8" fontId="0" fillId="0" borderId="37" xfId="0" applyNumberFormat="1" applyBorder="1" applyAlignment="1">
      <alignment horizontal="right"/>
    </xf>
    <xf numFmtId="8" fontId="0" fillId="0" borderId="39" xfId="0" applyNumberFormat="1" applyBorder="1" applyAlignment="1">
      <alignment horizontal="right"/>
    </xf>
    <xf numFmtId="8" fontId="0" fillId="0" borderId="0" xfId="0" applyNumberFormat="1" applyAlignment="1">
      <alignment horizontal="right"/>
    </xf>
    <xf numFmtId="0" fontId="21" fillId="0" borderId="0" xfId="0" applyFont="1"/>
    <xf numFmtId="0" fontId="0" fillId="17" borderId="36" xfId="0" applyFill="1" applyBorder="1"/>
    <xf numFmtId="0" fontId="0" fillId="17" borderId="36" xfId="0" applyFill="1" applyBorder="1" applyAlignment="1">
      <alignment horizontal="right"/>
    </xf>
    <xf numFmtId="6" fontId="0" fillId="17" borderId="36" xfId="0" applyNumberFormat="1" applyFill="1" applyBorder="1" applyAlignment="1">
      <alignment horizontal="right"/>
    </xf>
    <xf numFmtId="167" fontId="0" fillId="17" borderId="36" xfId="0" applyNumberFormat="1" applyFill="1" applyBorder="1" applyAlignment="1">
      <alignment horizontal="right"/>
    </xf>
    <xf numFmtId="187" fontId="0" fillId="17" borderId="36" xfId="0" applyNumberFormat="1" applyFill="1" applyBorder="1" applyAlignment="1">
      <alignment horizontal="right"/>
    </xf>
    <xf numFmtId="2" fontId="0" fillId="17" borderId="36" xfId="0" applyNumberFormat="1" applyFill="1" applyBorder="1" applyAlignment="1">
      <alignment horizontal="right"/>
    </xf>
    <xf numFmtId="8" fontId="0" fillId="17" borderId="36" xfId="0" applyNumberFormat="1" applyFill="1" applyBorder="1" applyAlignment="1">
      <alignment horizontal="right"/>
    </xf>
    <xf numFmtId="167" fontId="0" fillId="17" borderId="36" xfId="4" applyNumberFormat="1" applyFont="1" applyFill="1" applyBorder="1" applyAlignment="1">
      <alignment horizontal="right"/>
    </xf>
    <xf numFmtId="0" fontId="0" fillId="0" borderId="36" xfId="0" applyBorder="1"/>
    <xf numFmtId="0" fontId="35" fillId="0" borderId="36" xfId="0" applyFont="1" applyBorder="1" applyAlignment="1">
      <alignment horizontal="right"/>
    </xf>
    <xf numFmtId="0" fontId="0" fillId="0" borderId="36" xfId="0" applyBorder="1" applyAlignment="1">
      <alignment horizontal="right"/>
    </xf>
    <xf numFmtId="2" fontId="0" fillId="0" borderId="36" xfId="0" applyNumberFormat="1" applyBorder="1"/>
    <xf numFmtId="8" fontId="0" fillId="0" borderId="36" xfId="0" applyNumberFormat="1" applyBorder="1"/>
    <xf numFmtId="3" fontId="0" fillId="0" borderId="36" xfId="0" applyNumberFormat="1" applyBorder="1"/>
    <xf numFmtId="170" fontId="0" fillId="0" borderId="36" xfId="0" applyNumberFormat="1" applyBorder="1"/>
    <xf numFmtId="187" fontId="0" fillId="0" borderId="36" xfId="0" applyNumberFormat="1" applyBorder="1"/>
    <xf numFmtId="0" fontId="0" fillId="23" borderId="0" xfId="0" applyFill="1" applyAlignment="1">
      <alignment horizontal="center"/>
    </xf>
    <xf numFmtId="0" fontId="0" fillId="23" borderId="0" xfId="0" applyFill="1" applyAlignment="1">
      <alignment horizontal="right"/>
    </xf>
    <xf numFmtId="188" fontId="0" fillId="0" borderId="0" xfId="5" applyNumberFormat="1" applyFont="1"/>
    <xf numFmtId="171" fontId="0" fillId="0" borderId="0" xfId="0" applyNumberFormat="1"/>
    <xf numFmtId="188" fontId="0" fillId="0" borderId="0" xfId="0" applyNumberFormat="1"/>
    <xf numFmtId="171" fontId="0" fillId="12" borderId="0" xfId="0" applyNumberFormat="1" applyFill="1" applyBorder="1"/>
    <xf numFmtId="188" fontId="0" fillId="12" borderId="0" xfId="0" applyNumberFormat="1" applyFill="1" applyBorder="1"/>
    <xf numFmtId="189" fontId="0" fillId="0" borderId="0" xfId="5" applyNumberFormat="1" applyFont="1"/>
    <xf numFmtId="190" fontId="0" fillId="0" borderId="0" xfId="5" applyNumberFormat="1" applyFont="1"/>
    <xf numFmtId="168" fontId="0" fillId="0" borderId="0" xfId="3" applyNumberFormat="1" applyFont="1"/>
    <xf numFmtId="191" fontId="0" fillId="29" borderId="0" xfId="3" applyNumberFormat="1" applyFont="1" applyFill="1" applyBorder="1"/>
    <xf numFmtId="10" fontId="0" fillId="0" borderId="0" xfId="3" applyNumberFormat="1" applyFont="1"/>
    <xf numFmtId="168" fontId="0" fillId="0" borderId="0" xfId="3" applyNumberFormat="1" applyFont="1" applyAlignment="1">
      <alignment horizontal="right"/>
    </xf>
    <xf numFmtId="191" fontId="0" fillId="0" borderId="0" xfId="0" applyNumberFormat="1"/>
    <xf numFmtId="171" fontId="0" fillId="0" borderId="0" xfId="0" applyNumberFormat="1" applyAlignment="1">
      <alignment horizontal="right"/>
    </xf>
    <xf numFmtId="10" fontId="0" fillId="0" borderId="0" xfId="3" applyNumberFormat="1" applyFont="1" applyAlignment="1">
      <alignment horizontal="right"/>
    </xf>
    <xf numFmtId="188" fontId="0" fillId="7" borderId="4" xfId="0" applyNumberFormat="1" applyFill="1" applyBorder="1"/>
    <xf numFmtId="0" fontId="3" fillId="0" borderId="56" xfId="0" applyFont="1" applyFill="1" applyBorder="1" applyAlignment="1">
      <alignment horizontal="center" wrapText="1"/>
    </xf>
    <xf numFmtId="0" fontId="4" fillId="0" borderId="0" xfId="0" applyFont="1" applyFill="1" applyBorder="1"/>
    <xf numFmtId="2" fontId="24" fillId="18" borderId="36" xfId="0" applyNumberFormat="1" applyFont="1" applyFill="1" applyBorder="1" applyAlignment="1">
      <alignment horizontal="center"/>
    </xf>
    <xf numFmtId="1" fontId="3" fillId="0" borderId="0" xfId="0" applyNumberFormat="1" applyFont="1"/>
    <xf numFmtId="10" fontId="0" fillId="29" borderId="0" xfId="3" applyNumberFormat="1" applyFont="1" applyFill="1" applyBorder="1"/>
    <xf numFmtId="166" fontId="19" fillId="0" borderId="17" xfId="0" applyNumberFormat="1" applyFont="1" applyFill="1" applyBorder="1" applyAlignment="1">
      <alignment horizontal="center" vertical="center" wrapText="1"/>
    </xf>
    <xf numFmtId="169" fontId="19" fillId="0" borderId="0" xfId="5" applyNumberFormat="1" applyFont="1" applyFill="1" applyBorder="1" applyAlignment="1">
      <alignment horizontal="right"/>
    </xf>
    <xf numFmtId="169" fontId="19" fillId="0" borderId="12" xfId="5" applyNumberFormat="1" applyFont="1" applyFill="1" applyBorder="1" applyAlignment="1">
      <alignment horizontal="right"/>
    </xf>
    <xf numFmtId="169" fontId="19" fillId="0" borderId="0" xfId="5" applyNumberFormat="1" applyFont="1" applyFill="1" applyBorder="1" applyAlignment="1">
      <alignment horizontal="left"/>
    </xf>
    <xf numFmtId="176" fontId="19" fillId="0" borderId="40" xfId="5" applyNumberFormat="1" applyFont="1" applyFill="1" applyBorder="1" applyAlignment="1">
      <alignment horizontal="right"/>
    </xf>
    <xf numFmtId="176" fontId="19" fillId="0" borderId="10" xfId="5" applyNumberFormat="1" applyFont="1" applyFill="1" applyBorder="1" applyAlignment="1">
      <alignment horizontal="right"/>
    </xf>
    <xf numFmtId="176" fontId="19" fillId="0" borderId="12" xfId="5" applyNumberFormat="1" applyFont="1" applyFill="1" applyBorder="1" applyAlignment="1">
      <alignment horizontal="right"/>
    </xf>
    <xf numFmtId="0" fontId="19" fillId="0" borderId="0" xfId="0" applyFont="1" applyFill="1" applyAlignment="1">
      <alignment horizontal="right"/>
    </xf>
    <xf numFmtId="0" fontId="19" fillId="0" borderId="0" xfId="0" applyFont="1" applyFill="1" applyAlignment="1">
      <alignment horizontal="center"/>
    </xf>
    <xf numFmtId="166" fontId="19" fillId="0" borderId="0" xfId="0" applyNumberFormat="1" applyFont="1" applyFill="1" applyAlignment="1">
      <alignment horizontal="center"/>
    </xf>
    <xf numFmtId="166" fontId="19" fillId="0" borderId="0" xfId="0" applyNumberFormat="1" applyFont="1" applyFill="1"/>
    <xf numFmtId="0" fontId="19" fillId="0" borderId="0" xfId="0" applyFont="1" applyFill="1"/>
    <xf numFmtId="0" fontId="18" fillId="0" borderId="1" xfId="1" applyFont="1" applyFill="1" applyAlignment="1" applyProtection="1">
      <alignment horizontal="right"/>
      <protection locked="0"/>
    </xf>
    <xf numFmtId="0" fontId="37" fillId="0" borderId="15" xfId="0" applyFont="1" applyFill="1" applyBorder="1"/>
    <xf numFmtId="0" fontId="37" fillId="0" borderId="13" xfId="0" applyFont="1" applyFill="1" applyBorder="1"/>
    <xf numFmtId="166" fontId="38" fillId="0" borderId="13" xfId="0" applyNumberFormat="1" applyFont="1" applyFill="1" applyBorder="1"/>
    <xf numFmtId="166" fontId="38" fillId="0" borderId="17" xfId="0" applyNumberFormat="1" applyFont="1" applyFill="1" applyBorder="1" applyAlignment="1">
      <alignment horizontal="center"/>
    </xf>
    <xf numFmtId="166" fontId="38" fillId="0" borderId="13" xfId="0" applyNumberFormat="1" applyFont="1" applyFill="1" applyBorder="1" applyAlignment="1">
      <alignment horizontal="center"/>
    </xf>
    <xf numFmtId="166" fontId="19" fillId="0" borderId="17" xfId="0" applyNumberFormat="1" applyFont="1" applyFill="1" applyBorder="1"/>
    <xf numFmtId="0" fontId="19" fillId="0" borderId="15" xfId="0" applyFont="1" applyFill="1" applyBorder="1" applyAlignment="1">
      <alignment horizontal="center" wrapText="1"/>
    </xf>
    <xf numFmtId="166" fontId="19" fillId="0" borderId="17" xfId="0" applyNumberFormat="1" applyFont="1" applyFill="1" applyBorder="1" applyAlignment="1">
      <alignment horizontal="center"/>
    </xf>
    <xf numFmtId="166" fontId="19" fillId="0" borderId="15" xfId="0" applyNumberFormat="1" applyFont="1" applyFill="1" applyBorder="1" applyAlignment="1">
      <alignment horizontal="center" vertical="center" wrapText="1"/>
    </xf>
    <xf numFmtId="166" fontId="19" fillId="0" borderId="16" xfId="0" applyNumberFormat="1" applyFont="1" applyFill="1" applyBorder="1" applyAlignment="1">
      <alignment horizontal="center" vertical="center" wrapText="1"/>
    </xf>
    <xf numFmtId="0" fontId="19" fillId="0" borderId="15" xfId="0" applyFont="1" applyFill="1" applyBorder="1" applyAlignment="1">
      <alignment horizontal="center" vertical="center"/>
    </xf>
    <xf numFmtId="0" fontId="19" fillId="0" borderId="17" xfId="0" applyFont="1" applyFill="1" applyBorder="1" applyAlignment="1">
      <alignment horizontal="center" vertical="center" wrapText="1"/>
    </xf>
    <xf numFmtId="0" fontId="19" fillId="0" borderId="16" xfId="0" applyFont="1" applyFill="1" applyBorder="1" applyAlignment="1">
      <alignment horizontal="center" vertical="center"/>
    </xf>
    <xf numFmtId="0" fontId="19" fillId="0" borderId="9" xfId="0" applyFont="1" applyFill="1" applyBorder="1"/>
    <xf numFmtId="0" fontId="19" fillId="0" borderId="10" xfId="0" applyFont="1" applyFill="1" applyBorder="1" applyAlignment="1">
      <alignment horizontal="right"/>
    </xf>
    <xf numFmtId="0" fontId="19" fillId="0" borderId="9" xfId="0" applyFont="1" applyFill="1" applyBorder="1" applyAlignment="1">
      <alignment horizontal="left"/>
    </xf>
    <xf numFmtId="169" fontId="19" fillId="0" borderId="8" xfId="5" applyNumberFormat="1" applyFont="1" applyFill="1" applyBorder="1" applyAlignment="1">
      <alignment horizontal="right"/>
    </xf>
    <xf numFmtId="169" fontId="19" fillId="0" borderId="13" xfId="5" applyNumberFormat="1" applyFont="1" applyFill="1" applyBorder="1" applyAlignment="1">
      <alignment horizontal="right"/>
    </xf>
    <xf numFmtId="169" fontId="19" fillId="0" borderId="40" xfId="5" applyNumberFormat="1" applyFont="1" applyFill="1" applyBorder="1" applyAlignment="1">
      <alignment horizontal="right"/>
    </xf>
    <xf numFmtId="3" fontId="19" fillId="0" borderId="9" xfId="4" applyNumberFormat="1" applyFont="1" applyFill="1" applyBorder="1" applyAlignment="1">
      <alignment horizontal="right"/>
    </xf>
    <xf numFmtId="169" fontId="19" fillId="0" borderId="10" xfId="5" applyNumberFormat="1" applyFont="1" applyFill="1" applyBorder="1" applyAlignment="1">
      <alignment horizontal="right"/>
    </xf>
    <xf numFmtId="169" fontId="19" fillId="0" borderId="9" xfId="5" applyNumberFormat="1" applyFont="1" applyFill="1" applyBorder="1" applyAlignment="1">
      <alignment horizontal="right"/>
    </xf>
    <xf numFmtId="169" fontId="19" fillId="0" borderId="0" xfId="5" applyNumberFormat="1" applyFont="1" applyFill="1" applyBorder="1"/>
    <xf numFmtId="43" fontId="19" fillId="0" borderId="9" xfId="0" applyNumberFormat="1" applyFont="1" applyFill="1" applyBorder="1"/>
    <xf numFmtId="43" fontId="19" fillId="0" borderId="0" xfId="0" applyNumberFormat="1" applyFont="1" applyFill="1" applyBorder="1"/>
    <xf numFmtId="43" fontId="19" fillId="0" borderId="10" xfId="0" applyNumberFormat="1" applyFont="1" applyFill="1" applyBorder="1"/>
    <xf numFmtId="1" fontId="19" fillId="0" borderId="0" xfId="0" applyNumberFormat="1" applyFont="1" applyFill="1"/>
    <xf numFmtId="169" fontId="19" fillId="0" borderId="0" xfId="5" applyNumberFormat="1" applyFont="1" applyFill="1"/>
    <xf numFmtId="169" fontId="19" fillId="0" borderId="0" xfId="0" applyNumberFormat="1" applyFont="1" applyFill="1"/>
    <xf numFmtId="3" fontId="19" fillId="0" borderId="10" xfId="4" applyNumberFormat="1" applyFont="1" applyFill="1" applyBorder="1" applyAlignment="1">
      <alignment horizontal="right"/>
    </xf>
    <xf numFmtId="166" fontId="19" fillId="0" borderId="10" xfId="5" applyNumberFormat="1" applyFont="1" applyFill="1" applyBorder="1" applyAlignment="1">
      <alignment horizontal="right"/>
    </xf>
    <xf numFmtId="179" fontId="19" fillId="0" borderId="10" xfId="5" applyNumberFormat="1" applyFont="1" applyFill="1" applyBorder="1" applyAlignment="1">
      <alignment horizontal="right"/>
    </xf>
    <xf numFmtId="164" fontId="19" fillId="0" borderId="10" xfId="5" applyNumberFormat="1" applyFont="1" applyFill="1" applyBorder="1" applyAlignment="1">
      <alignment horizontal="right"/>
    </xf>
    <xf numFmtId="0" fontId="19" fillId="0" borderId="11" xfId="0" applyFont="1" applyFill="1" applyBorder="1" applyAlignment="1">
      <alignment horizontal="left"/>
    </xf>
    <xf numFmtId="169" fontId="19" fillId="0" borderId="11" xfId="5" applyNumberFormat="1" applyFont="1" applyFill="1" applyBorder="1" applyAlignment="1">
      <alignment horizontal="right"/>
    </xf>
    <xf numFmtId="169" fontId="19" fillId="0" borderId="14" xfId="5" applyNumberFormat="1" applyFont="1" applyFill="1" applyBorder="1" applyAlignment="1">
      <alignment horizontal="right"/>
    </xf>
    <xf numFmtId="3" fontId="19" fillId="0" borderId="11" xfId="4" applyNumberFormat="1" applyFont="1" applyFill="1" applyBorder="1" applyAlignment="1">
      <alignment horizontal="right"/>
    </xf>
    <xf numFmtId="169" fontId="19" fillId="0" borderId="14" xfId="5" applyNumberFormat="1" applyFont="1" applyFill="1" applyBorder="1"/>
    <xf numFmtId="43" fontId="19" fillId="0" borderId="11" xfId="0" applyNumberFormat="1" applyFont="1" applyFill="1" applyBorder="1"/>
    <xf numFmtId="43" fontId="19" fillId="0" borderId="14" xfId="0" applyNumberFormat="1" applyFont="1" applyFill="1" applyBorder="1"/>
    <xf numFmtId="43" fontId="19" fillId="0" borderId="12" xfId="0" applyNumberFormat="1" applyFont="1" applyFill="1" applyBorder="1"/>
    <xf numFmtId="166" fontId="19" fillId="0" borderId="10" xfId="0" applyNumberFormat="1" applyFont="1" applyFill="1" applyBorder="1" applyAlignment="1">
      <alignment horizontal="right"/>
    </xf>
    <xf numFmtId="0" fontId="19" fillId="0" borderId="0" xfId="0" applyFont="1" applyFill="1" applyBorder="1" applyAlignment="1">
      <alignment horizontal="left"/>
    </xf>
    <xf numFmtId="167" fontId="19" fillId="0" borderId="0" xfId="4" applyNumberFormat="1" applyFont="1" applyFill="1" applyBorder="1" applyAlignment="1">
      <alignment horizontal="left"/>
    </xf>
    <xf numFmtId="166" fontId="19" fillId="0" borderId="0" xfId="0" applyNumberFormat="1" applyFont="1" applyFill="1" applyBorder="1" applyAlignment="1">
      <alignment horizontal="right"/>
    </xf>
    <xf numFmtId="166" fontId="19" fillId="0" borderId="0" xfId="0" applyNumberFormat="1" applyFont="1" applyFill="1" applyBorder="1"/>
    <xf numFmtId="43" fontId="19" fillId="0" borderId="0" xfId="4" applyFont="1" applyFill="1" applyBorder="1"/>
    <xf numFmtId="3" fontId="19" fillId="0" borderId="0" xfId="4" applyNumberFormat="1" applyFont="1" applyFill="1" applyBorder="1" applyAlignment="1">
      <alignment horizontal="right"/>
    </xf>
    <xf numFmtId="166" fontId="19" fillId="0" borderId="0" xfId="5" applyNumberFormat="1" applyFont="1" applyFill="1" applyBorder="1" applyAlignment="1">
      <alignment horizontal="right"/>
    </xf>
    <xf numFmtId="166" fontId="38" fillId="0" borderId="11" xfId="0" applyNumberFormat="1" applyFont="1" applyFill="1" applyBorder="1"/>
    <xf numFmtId="168" fontId="38" fillId="0" borderId="12" xfId="3" applyNumberFormat="1" applyFont="1" applyFill="1" applyBorder="1"/>
    <xf numFmtId="166" fontId="37" fillId="0" borderId="16" xfId="5" applyNumberFormat="1" applyFont="1" applyFill="1" applyBorder="1" applyAlignment="1">
      <alignment horizontal="right"/>
    </xf>
    <xf numFmtId="166" fontId="38" fillId="0" borderId="8" xfId="0" applyNumberFormat="1" applyFont="1" applyFill="1" applyBorder="1"/>
    <xf numFmtId="44" fontId="38" fillId="0" borderId="40" xfId="5" applyFont="1" applyFill="1" applyBorder="1"/>
    <xf numFmtId="43" fontId="19" fillId="0" borderId="10" xfId="4" applyFont="1" applyFill="1" applyBorder="1" applyAlignment="1">
      <alignment horizontal="right"/>
    </xf>
    <xf numFmtId="164" fontId="19" fillId="0" borderId="0" xfId="0" applyNumberFormat="1" applyFont="1" applyFill="1" applyBorder="1" applyAlignment="1">
      <alignment horizontal="left"/>
    </xf>
    <xf numFmtId="43" fontId="19" fillId="0" borderId="10" xfId="4" applyNumberFormat="1" applyFont="1" applyFill="1" applyBorder="1" applyAlignment="1">
      <alignment horizontal="right"/>
    </xf>
    <xf numFmtId="0" fontId="19" fillId="0" borderId="11" xfId="0" applyFont="1" applyFill="1" applyBorder="1"/>
    <xf numFmtId="180" fontId="19" fillId="0" borderId="12" xfId="4" applyNumberFormat="1" applyFont="1" applyFill="1" applyBorder="1"/>
    <xf numFmtId="0" fontId="19" fillId="0" borderId="0" xfId="0" applyFont="1" applyFill="1" applyBorder="1"/>
    <xf numFmtId="3" fontId="19" fillId="0" borderId="0" xfId="4" applyNumberFormat="1" applyFont="1" applyFill="1" applyBorder="1" applyAlignment="1">
      <alignment horizontal="center"/>
    </xf>
    <xf numFmtId="166" fontId="19" fillId="0" borderId="0" xfId="0" applyNumberFormat="1" applyFont="1" applyFill="1" applyBorder="1" applyAlignment="1">
      <alignment horizontal="center" vertical="center" wrapText="1"/>
    </xf>
    <xf numFmtId="0" fontId="19" fillId="0" borderId="8" xfId="0" applyFont="1" applyFill="1" applyBorder="1"/>
    <xf numFmtId="166" fontId="19" fillId="0" borderId="40" xfId="5" applyNumberFormat="1" applyFont="1" applyFill="1" applyBorder="1" applyAlignment="1">
      <alignment horizontal="right"/>
    </xf>
    <xf numFmtId="166" fontId="19" fillId="0" borderId="12" xfId="5" applyNumberFormat="1" applyFont="1" applyFill="1" applyBorder="1" applyAlignment="1">
      <alignment horizontal="right"/>
    </xf>
    <xf numFmtId="1" fontId="19" fillId="0" borderId="0" xfId="5" applyNumberFormat="1" applyFont="1" applyFill="1" applyBorder="1" applyAlignment="1">
      <alignment horizontal="right"/>
    </xf>
    <xf numFmtId="0" fontId="3" fillId="0" borderId="0" xfId="0" applyFont="1" applyFill="1" applyAlignment="1">
      <alignment horizontal="center"/>
    </xf>
    <xf numFmtId="166" fontId="3" fillId="0" borderId="0" xfId="0" applyNumberFormat="1" applyFont="1" applyFill="1" applyAlignment="1">
      <alignment horizontal="center"/>
    </xf>
    <xf numFmtId="0" fontId="4" fillId="0" borderId="0" xfId="0" applyFont="1" applyFill="1"/>
    <xf numFmtId="9" fontId="3" fillId="0" borderId="0" xfId="0" applyNumberFormat="1" applyFont="1" applyFill="1" applyAlignment="1">
      <alignment horizontal="right"/>
    </xf>
    <xf numFmtId="0" fontId="19" fillId="0" borderId="0" xfId="0" applyFont="1" applyAlignment="1">
      <alignment horizontal="right"/>
    </xf>
    <xf numFmtId="0" fontId="39" fillId="0" borderId="0" xfId="0" applyFont="1"/>
    <xf numFmtId="0" fontId="42" fillId="0" borderId="0" xfId="0" applyFont="1"/>
    <xf numFmtId="0" fontId="42" fillId="0" borderId="0" xfId="0" applyFont="1" applyFill="1"/>
    <xf numFmtId="0" fontId="17" fillId="0" borderId="0" xfId="0" applyFont="1" applyFill="1" applyBorder="1" applyAlignment="1">
      <alignment horizontal="center" vertical="center" wrapText="1"/>
    </xf>
    <xf numFmtId="0" fontId="0" fillId="0" borderId="0" xfId="0" applyFill="1" applyBorder="1"/>
    <xf numFmtId="44" fontId="19" fillId="0" borderId="0" xfId="5" applyFont="1" applyFill="1" applyBorder="1" applyAlignment="1">
      <alignment horizontal="right"/>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9" fillId="0" borderId="9" xfId="0" applyFont="1" applyFill="1" applyBorder="1" applyAlignment="1">
      <alignment horizontal="left" vertical="top"/>
    </xf>
    <xf numFmtId="0" fontId="19" fillId="0" borderId="10" xfId="0" applyFont="1" applyFill="1" applyBorder="1" applyAlignment="1">
      <alignment horizontal="right" vertical="top" wrapText="1"/>
    </xf>
    <xf numFmtId="0" fontId="19" fillId="0" borderId="36" xfId="0" applyFont="1" applyFill="1" applyBorder="1"/>
    <xf numFmtId="0" fontId="19" fillId="0" borderId="36" xfId="0" applyFont="1" applyFill="1" applyBorder="1" applyAlignment="1">
      <alignment horizontal="right"/>
    </xf>
    <xf numFmtId="0" fontId="19" fillId="0" borderId="36" xfId="0" applyFont="1" applyFill="1" applyBorder="1" applyAlignment="1">
      <alignment horizontal="center"/>
    </xf>
    <xf numFmtId="0" fontId="38" fillId="0" borderId="36" xfId="0" applyFont="1" applyFill="1" applyBorder="1"/>
    <xf numFmtId="166" fontId="36" fillId="0" borderId="0" xfId="0" applyNumberFormat="1" applyFont="1" applyAlignment="1">
      <alignment horizontal="left" vertical="top"/>
    </xf>
    <xf numFmtId="0" fontId="9" fillId="30" borderId="0" xfId="6" applyFont="1" applyFill="1" applyAlignment="1">
      <alignment horizontal="right"/>
    </xf>
    <xf numFmtId="0" fontId="14" fillId="30" borderId="0" xfId="6" applyFont="1" applyFill="1"/>
    <xf numFmtId="0" fontId="3" fillId="30" borderId="0" xfId="0" applyFont="1" applyFill="1"/>
    <xf numFmtId="0" fontId="40" fillId="30" borderId="0" xfId="6" applyFont="1" applyFill="1" applyAlignment="1">
      <alignment horizontal="right"/>
    </xf>
    <xf numFmtId="0" fontId="41" fillId="30" borderId="0" xfId="6" applyFont="1" applyFill="1"/>
    <xf numFmtId="0" fontId="0" fillId="30" borderId="0" xfId="0" applyFill="1"/>
    <xf numFmtId="0" fontId="42" fillId="30" borderId="0" xfId="0" applyFont="1" applyFill="1"/>
    <xf numFmtId="0" fontId="3" fillId="30" borderId="0" xfId="0" applyFont="1" applyFill="1" applyAlignment="1">
      <alignment horizontal="right"/>
    </xf>
    <xf numFmtId="0" fontId="3" fillId="30" borderId="0" xfId="0" applyFont="1" applyFill="1" applyAlignment="1">
      <alignment horizontal="center"/>
    </xf>
    <xf numFmtId="166" fontId="3" fillId="30" borderId="0" xfId="0" applyNumberFormat="1" applyFont="1" applyFill="1" applyAlignment="1">
      <alignment horizontal="center"/>
    </xf>
    <xf numFmtId="166" fontId="3" fillId="30" borderId="0" xfId="0" applyNumberFormat="1" applyFont="1" applyFill="1"/>
    <xf numFmtId="166" fontId="3" fillId="30" borderId="0" xfId="0" applyNumberFormat="1" applyFont="1" applyFill="1" applyBorder="1"/>
    <xf numFmtId="0" fontId="42" fillId="0" borderId="0" xfId="0" applyFont="1" applyBorder="1"/>
    <xf numFmtId="0" fontId="45" fillId="30" borderId="0" xfId="6" applyFont="1" applyFill="1" applyAlignment="1"/>
    <xf numFmtId="0" fontId="19" fillId="0" borderId="0" xfId="0" applyFont="1" applyAlignment="1">
      <alignment wrapText="1"/>
    </xf>
    <xf numFmtId="0" fontId="46" fillId="30" borderId="0" xfId="6" applyFont="1" applyFill="1" applyAlignment="1">
      <alignment wrapText="1"/>
    </xf>
    <xf numFmtId="0" fontId="19" fillId="0" borderId="0" xfId="0" applyFont="1" applyFill="1" applyAlignment="1">
      <alignment horizontal="right" wrapText="1"/>
    </xf>
    <xf numFmtId="0" fontId="0" fillId="0" borderId="0" xfId="0" applyAlignment="1"/>
    <xf numFmtId="0" fontId="36" fillId="0" borderId="57" xfId="0" applyFont="1" applyBorder="1" applyAlignment="1">
      <alignment horizontal="right" vertical="center" wrapText="1"/>
    </xf>
    <xf numFmtId="0" fontId="45" fillId="31" borderId="0" xfId="0" applyFont="1" applyFill="1" applyAlignment="1">
      <alignment wrapText="1"/>
    </xf>
    <xf numFmtId="0" fontId="45" fillId="0" borderId="0" xfId="0" applyFont="1" applyFill="1" applyAlignment="1">
      <alignment wrapText="1"/>
    </xf>
    <xf numFmtId="0" fontId="19" fillId="0" borderId="0" xfId="0" applyFont="1" applyFill="1" applyAlignment="1"/>
    <xf numFmtId="0" fontId="36" fillId="0" borderId="0" xfId="0" applyFont="1" applyAlignment="1">
      <alignment horizontal="right" vertical="top"/>
    </xf>
    <xf numFmtId="167" fontId="38" fillId="3" borderId="59" xfId="4" applyNumberFormat="1" applyFont="1" applyFill="1" applyBorder="1" applyAlignment="1">
      <alignment horizontal="right" vertical="center"/>
    </xf>
    <xf numFmtId="164" fontId="38" fillId="6" borderId="59" xfId="5" applyNumberFormat="1" applyFont="1" applyFill="1" applyBorder="1" applyAlignment="1">
      <alignment horizontal="right" vertical="center"/>
    </xf>
    <xf numFmtId="0" fontId="38" fillId="6" borderId="59" xfId="2" applyFont="1" applyFill="1" applyBorder="1" applyAlignment="1">
      <alignment horizontal="right" vertical="center" wrapText="1"/>
    </xf>
    <xf numFmtId="168" fontId="38" fillId="6" borderId="60" xfId="2" applyNumberFormat="1" applyFont="1" applyFill="1" applyBorder="1" applyAlignment="1">
      <alignment horizontal="right" vertical="center"/>
    </xf>
    <xf numFmtId="0" fontId="37" fillId="25" borderId="62" xfId="0" applyFont="1" applyFill="1" applyBorder="1" applyAlignment="1">
      <alignment horizontal="center" wrapText="1"/>
    </xf>
    <xf numFmtId="0" fontId="36" fillId="25" borderId="63" xfId="0" applyFont="1" applyFill="1" applyBorder="1" applyAlignment="1">
      <alignment horizontal="center" wrapText="1"/>
    </xf>
    <xf numFmtId="0" fontId="4" fillId="25" borderId="65" xfId="0" applyFont="1" applyFill="1" applyBorder="1" applyAlignment="1">
      <alignment wrapText="1"/>
    </xf>
    <xf numFmtId="168" fontId="38" fillId="6" borderId="60" xfId="2" applyNumberFormat="1" applyFont="1" applyFill="1" applyBorder="1" applyAlignment="1">
      <alignment horizontal="right" vertical="center" wrapText="1"/>
    </xf>
    <xf numFmtId="166" fontId="38" fillId="3" borderId="61" xfId="5" applyNumberFormat="1" applyFont="1" applyFill="1" applyBorder="1" applyAlignment="1">
      <alignment horizontal="right" vertical="center"/>
    </xf>
    <xf numFmtId="0" fontId="36" fillId="32" borderId="16" xfId="0" applyFont="1" applyFill="1" applyBorder="1" applyAlignment="1">
      <alignment horizontal="right" vertical="center" wrapText="1"/>
    </xf>
    <xf numFmtId="0" fontId="36" fillId="25" borderId="66" xfId="0" applyFont="1" applyFill="1" applyBorder="1" applyAlignment="1">
      <alignment horizontal="right" vertical="center" wrapText="1"/>
    </xf>
    <xf numFmtId="0" fontId="36" fillId="25" borderId="67" xfId="0" applyFont="1" applyFill="1" applyBorder="1" applyAlignment="1">
      <alignment horizontal="right" vertical="center" wrapText="1"/>
    </xf>
    <xf numFmtId="0" fontId="36" fillId="25" borderId="68" xfId="0" applyFont="1" applyFill="1" applyBorder="1" applyAlignment="1">
      <alignment horizontal="right" vertical="center" wrapText="1"/>
    </xf>
    <xf numFmtId="0" fontId="19" fillId="25" borderId="68" xfId="0" applyFont="1" applyFill="1" applyBorder="1" applyAlignment="1">
      <alignment horizontal="right" wrapText="1"/>
    </xf>
    <xf numFmtId="0" fontId="19" fillId="25" borderId="66" xfId="0" applyFont="1" applyFill="1" applyBorder="1" applyAlignment="1">
      <alignment horizontal="right" wrapText="1"/>
    </xf>
    <xf numFmtId="164" fontId="38" fillId="6" borderId="61" xfId="5" applyNumberFormat="1" applyFont="1" applyFill="1" applyBorder="1" applyAlignment="1">
      <alignment horizontal="right"/>
    </xf>
    <xf numFmtId="2" fontId="38" fillId="6" borderId="59" xfId="2" applyNumberFormat="1" applyFont="1" applyFill="1" applyBorder="1" applyAlignment="1">
      <alignment horizontal="right"/>
    </xf>
    <xf numFmtId="176" fontId="38" fillId="6" borderId="59" xfId="5" applyNumberFormat="1" applyFont="1" applyFill="1" applyBorder="1" applyAlignment="1">
      <alignment horizontal="right"/>
    </xf>
    <xf numFmtId="166" fontId="38" fillId="6" borderId="59" xfId="5" applyNumberFormat="1" applyFont="1" applyFill="1" applyBorder="1" applyAlignment="1">
      <alignment horizontal="right"/>
    </xf>
    <xf numFmtId="166" fontId="38" fillId="6" borderId="59" xfId="2" applyNumberFormat="1" applyFont="1" applyFill="1" applyBorder="1" applyAlignment="1">
      <alignment horizontal="right"/>
    </xf>
    <xf numFmtId="167" fontId="38" fillId="6" borderId="59" xfId="4" applyNumberFormat="1" applyFont="1" applyFill="1" applyBorder="1" applyAlignment="1">
      <alignment horizontal="right"/>
    </xf>
    <xf numFmtId="164" fontId="38" fillId="6" borderId="59" xfId="2" applyNumberFormat="1" applyFont="1" applyFill="1" applyBorder="1" applyAlignment="1">
      <alignment horizontal="right"/>
    </xf>
    <xf numFmtId="167" fontId="38" fillId="6" borderId="59" xfId="4" applyNumberFormat="1" applyFont="1" applyFill="1" applyBorder="1" applyAlignment="1">
      <alignment horizontal="right" wrapText="1"/>
    </xf>
    <xf numFmtId="0" fontId="0" fillId="0" borderId="0" xfId="0" applyFont="1" applyFill="1"/>
    <xf numFmtId="166" fontId="39" fillId="6" borderId="60" xfId="2" applyNumberFormat="1" applyFont="1" applyFill="1" applyBorder="1" applyAlignment="1">
      <alignment horizontal="right"/>
    </xf>
    <xf numFmtId="166" fontId="39" fillId="6" borderId="61" xfId="2" applyNumberFormat="1" applyFont="1" applyFill="1" applyBorder="1" applyAlignment="1">
      <alignment horizontal="right"/>
    </xf>
    <xf numFmtId="0" fontId="36" fillId="25" borderId="67" xfId="0" applyFont="1" applyFill="1" applyBorder="1" applyAlignment="1">
      <alignment horizontal="right" wrapText="1"/>
    </xf>
    <xf numFmtId="166" fontId="55" fillId="6" borderId="59" xfId="2" applyNumberFormat="1" applyFont="1" applyFill="1" applyBorder="1" applyAlignment="1">
      <alignment horizontal="right"/>
    </xf>
    <xf numFmtId="0" fontId="19" fillId="0" borderId="15" xfId="0" applyFont="1" applyFill="1" applyBorder="1" applyAlignment="1">
      <alignment horizontal="center"/>
    </xf>
    <xf numFmtId="169" fontId="19" fillId="0" borderId="17" xfId="5" applyNumberFormat="1" applyFont="1" applyFill="1" applyBorder="1" applyAlignment="1">
      <alignment horizontal="right"/>
    </xf>
    <xf numFmtId="169" fontId="19" fillId="0" borderId="16" xfId="5" applyNumberFormat="1" applyFont="1" applyFill="1" applyBorder="1" applyAlignment="1">
      <alignment horizontal="right"/>
    </xf>
    <xf numFmtId="0" fontId="43" fillId="15" borderId="0" xfId="0" applyFont="1" applyFill="1"/>
    <xf numFmtId="0" fontId="18" fillId="33" borderId="58" xfId="1" applyFont="1" applyFill="1" applyBorder="1" applyAlignment="1" applyProtection="1">
      <alignment horizontal="center" vertical="center" wrapText="1"/>
      <protection locked="0"/>
    </xf>
    <xf numFmtId="0" fontId="18" fillId="33" borderId="16" xfId="1" applyFont="1" applyFill="1" applyBorder="1" applyAlignment="1" applyProtection="1">
      <alignment horizontal="right" vertical="center"/>
      <protection locked="0"/>
    </xf>
    <xf numFmtId="164" fontId="18" fillId="33" borderId="16" xfId="5" applyNumberFormat="1" applyFont="1" applyFill="1" applyBorder="1" applyAlignment="1" applyProtection="1">
      <alignment horizontal="right"/>
      <protection locked="0"/>
    </xf>
    <xf numFmtId="0" fontId="36" fillId="25" borderId="66" xfId="0" applyFont="1" applyFill="1" applyBorder="1" applyAlignment="1">
      <alignment horizontal="right" wrapText="1"/>
    </xf>
    <xf numFmtId="0" fontId="36" fillId="25" borderId="68" xfId="0" applyFont="1" applyFill="1" applyBorder="1" applyAlignment="1">
      <alignment horizontal="right" wrapText="1"/>
    </xf>
    <xf numFmtId="1" fontId="38" fillId="6" borderId="60" xfId="2" applyNumberFormat="1" applyFont="1" applyFill="1" applyBorder="1" applyAlignment="1">
      <alignment horizontal="right" vertical="center"/>
    </xf>
    <xf numFmtId="0" fontId="36" fillId="7" borderId="0" xfId="0" applyFont="1" applyFill="1"/>
    <xf numFmtId="0" fontId="19" fillId="7" borderId="0" xfId="0" applyFont="1" applyFill="1" applyAlignment="1">
      <alignment horizontal="right"/>
    </xf>
    <xf numFmtId="0" fontId="19" fillId="7" borderId="0" xfId="0" applyFont="1" applyFill="1" applyAlignment="1">
      <alignment horizontal="center"/>
    </xf>
    <xf numFmtId="166" fontId="19" fillId="7" borderId="0" xfId="0" applyNumberFormat="1" applyFont="1" applyFill="1" applyAlignment="1">
      <alignment horizontal="center"/>
    </xf>
    <xf numFmtId="166" fontId="19" fillId="7" borderId="0" xfId="0" applyNumberFormat="1" applyFont="1" applyFill="1"/>
    <xf numFmtId="0" fontId="19" fillId="7" borderId="0" xfId="0" applyFont="1" applyFill="1"/>
    <xf numFmtId="0" fontId="0" fillId="0" borderId="0" xfId="3" applyNumberFormat="1" applyFont="1"/>
    <xf numFmtId="164" fontId="38" fillId="6" borderId="70" xfId="2" applyNumberFormat="1" applyFont="1" applyFill="1" applyBorder="1" applyAlignment="1">
      <alignment horizontal="right"/>
    </xf>
    <xf numFmtId="166" fontId="39" fillId="6" borderId="36" xfId="2" applyNumberFormat="1" applyFont="1" applyFill="1" applyBorder="1" applyAlignment="1">
      <alignment horizontal="right"/>
    </xf>
    <xf numFmtId="164" fontId="18" fillId="33" borderId="40" xfId="5" applyNumberFormat="1" applyFont="1" applyFill="1" applyBorder="1" applyAlignment="1" applyProtection="1">
      <alignment horizontal="right"/>
      <protection locked="0"/>
    </xf>
    <xf numFmtId="166" fontId="18" fillId="14" borderId="16" xfId="1" applyNumberFormat="1" applyFont="1" applyFill="1" applyBorder="1" applyAlignment="1" applyProtection="1">
      <alignment horizontal="right" vertical="center"/>
      <protection locked="0"/>
    </xf>
    <xf numFmtId="164" fontId="18" fillId="14" borderId="16" xfId="1" applyNumberFormat="1" applyFont="1" applyFill="1" applyBorder="1" applyAlignment="1" applyProtection="1">
      <alignment horizontal="right" vertical="center"/>
      <protection locked="0"/>
    </xf>
    <xf numFmtId="168" fontId="18" fillId="14" borderId="16" xfId="1" applyNumberFormat="1" applyFont="1" applyFill="1" applyBorder="1" applyAlignment="1" applyProtection="1">
      <alignment horizontal="right" vertical="center"/>
      <protection locked="0"/>
    </xf>
    <xf numFmtId="167" fontId="18" fillId="14" borderId="12" xfId="4" applyNumberFormat="1" applyFont="1" applyFill="1" applyBorder="1" applyAlignment="1" applyProtection="1">
      <alignment horizontal="right" vertical="center"/>
      <protection locked="0"/>
    </xf>
    <xf numFmtId="167" fontId="18" fillId="14" borderId="16" xfId="4" applyNumberFormat="1" applyFont="1" applyFill="1" applyBorder="1" applyAlignment="1" applyProtection="1">
      <alignment horizontal="right" vertical="center"/>
      <protection locked="0"/>
    </xf>
    <xf numFmtId="0" fontId="18" fillId="14" borderId="64" xfId="1" applyFont="1" applyFill="1" applyBorder="1" applyAlignment="1" applyProtection="1">
      <alignment horizontal="right" vertical="center"/>
      <protection locked="0"/>
    </xf>
    <xf numFmtId="164" fontId="18" fillId="14" borderId="12" xfId="5" applyNumberFormat="1" applyFont="1" applyFill="1" applyBorder="1" applyAlignment="1" applyProtection="1">
      <alignment horizontal="right"/>
      <protection locked="0"/>
    </xf>
    <xf numFmtId="0" fontId="18" fillId="14" borderId="16" xfId="1" applyNumberFormat="1" applyFont="1" applyFill="1" applyBorder="1" applyAlignment="1" applyProtection="1">
      <alignment horizontal="right" vertical="center"/>
      <protection locked="0"/>
    </xf>
    <xf numFmtId="176" fontId="18" fillId="14" borderId="16" xfId="1" applyNumberFormat="1" applyFont="1" applyFill="1" applyBorder="1" applyAlignment="1" applyProtection="1">
      <alignment horizontal="right" vertical="center"/>
      <protection locked="0"/>
    </xf>
    <xf numFmtId="41" fontId="18" fillId="14" borderId="16" xfId="4" applyNumberFormat="1" applyFont="1" applyFill="1" applyBorder="1" applyAlignment="1" applyProtection="1">
      <alignment horizontal="right"/>
      <protection locked="0"/>
    </xf>
    <xf numFmtId="5" fontId="18" fillId="14" borderId="16" xfId="4" applyNumberFormat="1" applyFont="1" applyFill="1" applyBorder="1" applyAlignment="1" applyProtection="1">
      <alignment horizontal="right"/>
      <protection locked="0"/>
    </xf>
    <xf numFmtId="7" fontId="18" fillId="14" borderId="16" xfId="4" applyNumberFormat="1" applyFont="1" applyFill="1" applyBorder="1" applyAlignment="1" applyProtection="1">
      <alignment horizontal="right"/>
      <protection locked="0"/>
    </xf>
    <xf numFmtId="166" fontId="18" fillId="14" borderId="36" xfId="5" applyNumberFormat="1" applyFont="1" applyFill="1" applyBorder="1" applyAlignment="1" applyProtection="1">
      <alignment horizontal="right"/>
      <protection locked="0"/>
    </xf>
    <xf numFmtId="166" fontId="18" fillId="0" borderId="0" xfId="5" applyNumberFormat="1" applyFont="1" applyFill="1" applyBorder="1" applyAlignment="1" applyProtection="1">
      <alignment horizontal="right"/>
      <protection locked="0"/>
    </xf>
    <xf numFmtId="166" fontId="39" fillId="0" borderId="0" xfId="2" applyNumberFormat="1" applyFont="1" applyFill="1" applyBorder="1" applyAlignment="1">
      <alignment horizontal="right"/>
    </xf>
    <xf numFmtId="0" fontId="3" fillId="5" borderId="35" xfId="0" applyFont="1" applyFill="1" applyBorder="1" applyAlignment="1">
      <alignment horizontal="center" vertical="top" wrapText="1"/>
    </xf>
    <xf numFmtId="0" fontId="17" fillId="5" borderId="0" xfId="0" applyFont="1" applyFill="1" applyBorder="1" applyAlignment="1">
      <alignment horizontal="center" vertical="center" wrapText="1"/>
    </xf>
    <xf numFmtId="0" fontId="45" fillId="31" borderId="0" xfId="0" applyFont="1" applyFill="1" applyBorder="1" applyAlignment="1">
      <alignment wrapText="1"/>
    </xf>
    <xf numFmtId="0" fontId="45" fillId="0" borderId="0" xfId="0" applyFont="1" applyFill="1" applyBorder="1" applyAlignment="1">
      <alignment wrapText="1"/>
    </xf>
    <xf numFmtId="0" fontId="45" fillId="30" borderId="0" xfId="0" applyFont="1" applyFill="1" applyBorder="1" applyAlignment="1">
      <alignment wrapText="1"/>
    </xf>
    <xf numFmtId="0" fontId="59" fillId="0" borderId="0" xfId="0" applyFont="1"/>
    <xf numFmtId="166" fontId="19" fillId="0" borderId="17" xfId="0" applyNumberFormat="1" applyFont="1" applyFill="1" applyBorder="1" applyAlignment="1">
      <alignment horizontal="center" wrapText="1"/>
    </xf>
    <xf numFmtId="166" fontId="19" fillId="0" borderId="16" xfId="0" applyNumberFormat="1" applyFont="1" applyFill="1" applyBorder="1" applyAlignment="1">
      <alignment horizontal="center" wrapText="1"/>
    </xf>
    <xf numFmtId="0" fontId="57" fillId="0" borderId="0" xfId="0" applyFont="1" applyFill="1" applyAlignment="1">
      <alignment wrapText="1"/>
    </xf>
    <xf numFmtId="0" fontId="0" fillId="0" borderId="0" xfId="0" applyFill="1" applyAlignment="1">
      <alignment wrapText="1"/>
    </xf>
    <xf numFmtId="0" fontId="64" fillId="0" borderId="0" xfId="0" applyFont="1"/>
    <xf numFmtId="0" fontId="60" fillId="30" borderId="33" xfId="0" applyFont="1" applyFill="1" applyBorder="1" applyAlignment="1">
      <alignment horizontal="center" vertical="center"/>
    </xf>
    <xf numFmtId="0" fontId="19" fillId="30" borderId="33" xfId="0" applyFont="1" applyFill="1" applyBorder="1" applyAlignment="1">
      <alignment horizontal="center" vertical="center"/>
    </xf>
    <xf numFmtId="0" fontId="46" fillId="30" borderId="0" xfId="0" applyFont="1" applyFill="1" applyBorder="1" applyAlignment="1">
      <alignment horizontal="center" vertical="center" wrapText="1"/>
    </xf>
    <xf numFmtId="0" fontId="17" fillId="30" borderId="0" xfId="0" applyFont="1" applyFill="1" applyBorder="1" applyAlignment="1">
      <alignment horizontal="center" vertical="center" wrapText="1"/>
    </xf>
    <xf numFmtId="0" fontId="17" fillId="30" borderId="34" xfId="0" applyFont="1" applyFill="1" applyBorder="1" applyAlignment="1">
      <alignment horizontal="center" vertical="center" wrapText="1"/>
    </xf>
    <xf numFmtId="0" fontId="40" fillId="30" borderId="15" xfId="0" applyFont="1" applyFill="1" applyBorder="1" applyAlignment="1">
      <alignment vertical="top" wrapText="1"/>
    </xf>
    <xf numFmtId="0" fontId="47" fillId="30" borderId="17" xfId="0" applyFont="1" applyFill="1" applyBorder="1"/>
    <xf numFmtId="0" fontId="47" fillId="30" borderId="16" xfId="0" applyFont="1" applyFill="1" applyBorder="1"/>
    <xf numFmtId="0" fontId="19" fillId="0" borderId="15" xfId="0" applyFont="1" applyBorder="1" applyAlignment="1">
      <alignment vertical="top" wrapText="1"/>
    </xf>
    <xf numFmtId="0" fontId="0" fillId="0" borderId="17" xfId="0" applyBorder="1"/>
    <xf numFmtId="0" fontId="0" fillId="0" borderId="16" xfId="0" applyBorder="1"/>
    <xf numFmtId="0" fontId="44" fillId="9" borderId="15" xfId="0" applyFont="1" applyFill="1" applyBorder="1" applyAlignment="1"/>
    <xf numFmtId="0" fontId="0" fillId="9" borderId="17" xfId="0" applyFont="1" applyFill="1" applyBorder="1"/>
    <xf numFmtId="0" fontId="0" fillId="9" borderId="16" xfId="0" applyFont="1" applyFill="1" applyBorder="1"/>
    <xf numFmtId="0" fontId="36" fillId="5" borderId="35" xfId="0" applyFont="1" applyFill="1" applyBorder="1" applyAlignment="1">
      <alignment horizontal="center" vertical="center" wrapText="1"/>
    </xf>
    <xf numFmtId="0" fontId="0" fillId="5" borderId="35" xfId="0" applyFill="1" applyBorder="1" applyAlignment="1">
      <alignment horizontal="center" vertical="center" wrapText="1"/>
    </xf>
    <xf numFmtId="0" fontId="0" fillId="0" borderId="8" xfId="0" applyBorder="1" applyAlignment="1">
      <alignment vertical="top" wrapText="1"/>
    </xf>
    <xf numFmtId="0" fontId="0" fillId="0" borderId="13" xfId="0" applyBorder="1"/>
    <xf numFmtId="0" fontId="0" fillId="0" borderId="40" xfId="0" applyBorder="1"/>
    <xf numFmtId="0" fontId="44" fillId="6" borderId="15" xfId="0" applyFont="1" applyFill="1" applyBorder="1" applyAlignment="1"/>
    <xf numFmtId="0" fontId="0" fillId="6" borderId="17" xfId="0" applyFont="1" applyFill="1" applyBorder="1"/>
    <xf numFmtId="0" fontId="0" fillId="6" borderId="16" xfId="0" applyFont="1" applyFill="1" applyBorder="1"/>
    <xf numFmtId="0" fontId="0" fillId="0" borderId="15" xfId="0" applyBorder="1" applyAlignment="1">
      <alignment vertical="top" wrapText="1"/>
    </xf>
    <xf numFmtId="0" fontId="19" fillId="0" borderId="8" xfId="0" applyFont="1" applyBorder="1" applyAlignment="1">
      <alignment vertical="top" wrapText="1"/>
    </xf>
    <xf numFmtId="0" fontId="19" fillId="0" borderId="36" xfId="0" applyFont="1" applyBorder="1" applyAlignment="1">
      <alignment vertical="top" wrapText="1"/>
    </xf>
    <xf numFmtId="0" fontId="0" fillId="0" borderId="36" xfId="0" applyBorder="1"/>
    <xf numFmtId="0" fontId="19" fillId="0" borderId="11" xfId="0" applyFont="1" applyBorder="1" applyAlignment="1">
      <alignment vertical="top" wrapText="1"/>
    </xf>
    <xf numFmtId="0" fontId="0" fillId="0" borderId="14" xfId="0" applyBorder="1"/>
    <xf numFmtId="0" fontId="0" fillId="0" borderId="12" xfId="0" applyBorder="1"/>
    <xf numFmtId="0" fontId="36" fillId="0" borderId="15" xfId="0" applyFont="1" applyBorder="1" applyAlignment="1">
      <alignment vertical="top" wrapText="1"/>
    </xf>
    <xf numFmtId="0" fontId="19" fillId="0" borderId="17" xfId="0" applyFont="1" applyBorder="1" applyAlignment="1">
      <alignment wrapText="1"/>
    </xf>
    <xf numFmtId="0" fontId="19" fillId="0" borderId="16" xfId="0" applyFont="1" applyBorder="1" applyAlignment="1">
      <alignment wrapText="1"/>
    </xf>
    <xf numFmtId="0" fontId="57" fillId="0" borderId="0" xfId="0" applyFont="1" applyFill="1" applyAlignment="1">
      <alignment vertical="center" wrapText="1"/>
    </xf>
    <xf numFmtId="0" fontId="0" fillId="0" borderId="0" xfId="0" applyFill="1" applyAlignment="1">
      <alignment vertical="center" wrapText="1"/>
    </xf>
    <xf numFmtId="0" fontId="48" fillId="30" borderId="0" xfId="0" applyFont="1" applyFill="1" applyBorder="1" applyAlignment="1">
      <alignment horizontal="center" vertical="center" wrapText="1"/>
    </xf>
    <xf numFmtId="0" fontId="49" fillId="30" borderId="0" xfId="0" applyFont="1" applyFill="1" applyBorder="1" applyAlignment="1">
      <alignment horizontal="center" vertical="center" wrapText="1"/>
    </xf>
    <xf numFmtId="0" fontId="36" fillId="25" borderId="69" xfId="0" applyFont="1" applyFill="1" applyBorder="1" applyAlignment="1">
      <alignment horizontal="right" wrapText="1"/>
    </xf>
    <xf numFmtId="0" fontId="0" fillId="0" borderId="16" xfId="0" applyBorder="1" applyAlignment="1"/>
    <xf numFmtId="0" fontId="19" fillId="0" borderId="0" xfId="0" applyFont="1" applyFill="1" applyAlignment="1">
      <alignment horizontal="left" wrapText="1"/>
    </xf>
    <xf numFmtId="0" fontId="46" fillId="30" borderId="0" xfId="0" applyFont="1" applyFill="1" applyAlignment="1">
      <alignment horizontal="left" vertical="top"/>
    </xf>
    <xf numFmtId="0" fontId="40" fillId="30" borderId="0" xfId="0" applyFont="1" applyFill="1" applyAlignment="1">
      <alignment horizontal="left" vertical="top"/>
    </xf>
    <xf numFmtId="166" fontId="19" fillId="0" borderId="15" xfId="0" applyNumberFormat="1" applyFont="1" applyFill="1" applyBorder="1" applyAlignment="1">
      <alignment horizontal="center" wrapText="1"/>
    </xf>
    <xf numFmtId="166" fontId="19" fillId="0" borderId="17" xfId="0" applyNumberFormat="1" applyFont="1" applyFill="1" applyBorder="1" applyAlignment="1">
      <alignment horizontal="center" wrapText="1"/>
    </xf>
    <xf numFmtId="166" fontId="19" fillId="0" borderId="16" xfId="0" applyNumberFormat="1" applyFont="1" applyFill="1" applyBorder="1" applyAlignment="1">
      <alignment horizontal="center" wrapText="1"/>
    </xf>
    <xf numFmtId="0" fontId="0" fillId="30" borderId="0" xfId="0" applyFill="1" applyBorder="1" applyAlignment="1">
      <alignment horizontal="center" wrapText="1"/>
    </xf>
    <xf numFmtId="0" fontId="45" fillId="30" borderId="71" xfId="0" applyFont="1" applyFill="1" applyBorder="1" applyAlignment="1">
      <alignment vertical="center"/>
    </xf>
    <xf numFmtId="0" fontId="59" fillId="30" borderId="71" xfId="0" applyFont="1" applyFill="1" applyBorder="1" applyAlignment="1">
      <alignment vertical="center"/>
    </xf>
    <xf numFmtId="0" fontId="57" fillId="0" borderId="0" xfId="0" applyFont="1" applyFill="1" applyAlignment="1">
      <alignment wrapText="1"/>
    </xf>
    <xf numFmtId="0" fontId="0" fillId="0" borderId="0" xfId="0" applyFill="1" applyAlignment="1">
      <alignment wrapText="1"/>
    </xf>
    <xf numFmtId="0" fontId="59" fillId="0" borderId="71" xfId="0" applyFont="1" applyBorder="1" applyAlignment="1">
      <alignment vertical="center"/>
    </xf>
    <xf numFmtId="0" fontId="45" fillId="30" borderId="71" xfId="0" applyFont="1" applyFill="1" applyBorder="1" applyAlignment="1">
      <alignment vertical="center" wrapText="1"/>
    </xf>
    <xf numFmtId="0" fontId="59" fillId="30" borderId="71" xfId="0" applyFont="1" applyFill="1" applyBorder="1" applyAlignment="1">
      <alignment vertical="center" wrapText="1"/>
    </xf>
    <xf numFmtId="164" fontId="62" fillId="0" borderId="0" xfId="5" applyNumberFormat="1" applyFont="1" applyBorder="1" applyAlignment="1">
      <alignment wrapText="1"/>
    </xf>
    <xf numFmtId="0" fontId="62" fillId="0" borderId="0" xfId="0" applyFont="1" applyAlignment="1"/>
    <xf numFmtId="0" fontId="0" fillId="0" borderId="0" xfId="0" applyAlignment="1"/>
    <xf numFmtId="0" fontId="62" fillId="0" borderId="0" xfId="0" applyFont="1" applyAlignment="1">
      <alignment horizontal="left" vertical="center" wrapText="1"/>
    </xf>
    <xf numFmtId="0" fontId="29" fillId="0" borderId="0" xfId="0" applyFont="1" applyAlignment="1">
      <alignment wrapText="1"/>
    </xf>
    <xf numFmtId="0" fontId="63" fillId="0" borderId="0" xfId="0" applyFont="1" applyAlignment="1">
      <alignment horizontal="left" vertical="center" wrapText="1"/>
    </xf>
    <xf numFmtId="0" fontId="24" fillId="9" borderId="0" xfId="0" applyFont="1" applyFill="1" applyBorder="1" applyAlignment="1">
      <alignment horizontal="left"/>
    </xf>
    <xf numFmtId="0" fontId="24" fillId="9" borderId="10" xfId="0" applyFont="1" applyFill="1" applyBorder="1" applyAlignment="1">
      <alignment horizontal="left"/>
    </xf>
    <xf numFmtId="0" fontId="24" fillId="20" borderId="0" xfId="0" applyFont="1" applyFill="1" applyBorder="1" applyAlignment="1">
      <alignment horizontal="left"/>
    </xf>
    <xf numFmtId="0" fontId="24" fillId="20" borderId="10" xfId="0" applyFont="1" applyFill="1" applyBorder="1" applyAlignment="1">
      <alignment horizontal="left"/>
    </xf>
    <xf numFmtId="0" fontId="24" fillId="8" borderId="14" xfId="0" applyFont="1" applyFill="1" applyBorder="1" applyAlignment="1">
      <alignment horizontal="left"/>
    </xf>
    <xf numFmtId="0" fontId="24" fillId="8" borderId="12" xfId="0" applyFont="1" applyFill="1" applyBorder="1" applyAlignment="1">
      <alignment horizontal="left"/>
    </xf>
    <xf numFmtId="0" fontId="24" fillId="0" borderId="36" xfId="0" applyFont="1" applyBorder="1" applyAlignment="1">
      <alignment horizontal="center" vertical="center" wrapText="1"/>
    </xf>
    <xf numFmtId="0" fontId="24" fillId="7" borderId="0" xfId="0" applyFont="1" applyFill="1" applyBorder="1" applyAlignment="1">
      <alignment horizontal="left"/>
    </xf>
    <xf numFmtId="0" fontId="24" fillId="7" borderId="10" xfId="0" applyFont="1" applyFill="1" applyBorder="1" applyAlignment="1">
      <alignment horizontal="left"/>
    </xf>
    <xf numFmtId="0" fontId="24" fillId="18" borderId="0" xfId="0" applyFont="1" applyFill="1" applyBorder="1" applyAlignment="1">
      <alignment horizontal="left"/>
    </xf>
    <xf numFmtId="0" fontId="24" fillId="18" borderId="10" xfId="0" applyFont="1" applyFill="1" applyBorder="1" applyAlignment="1">
      <alignment horizontal="left"/>
    </xf>
    <xf numFmtId="0" fontId="24" fillId="19" borderId="0" xfId="0" applyFont="1" applyFill="1" applyBorder="1" applyAlignment="1">
      <alignment horizontal="left"/>
    </xf>
    <xf numFmtId="0" fontId="24" fillId="19" borderId="10" xfId="0" applyFont="1" applyFill="1" applyBorder="1" applyAlignment="1">
      <alignment horizontal="left"/>
    </xf>
    <xf numFmtId="0" fontId="24" fillId="21" borderId="36" xfId="0" applyFont="1" applyFill="1" applyBorder="1" applyAlignment="1">
      <alignment horizontal="center" vertical="center" wrapText="1"/>
    </xf>
    <xf numFmtId="0" fontId="24" fillId="7" borderId="15" xfId="0" applyFont="1" applyFill="1" applyBorder="1" applyAlignment="1">
      <alignment horizontal="left" vertical="top" wrapText="1"/>
    </xf>
    <xf numFmtId="0" fontId="24" fillId="7" borderId="17" xfId="0" applyFont="1" applyFill="1" applyBorder="1" applyAlignment="1">
      <alignment horizontal="left" vertical="top" wrapText="1"/>
    </xf>
    <xf numFmtId="0" fontId="24" fillId="7" borderId="16" xfId="0" applyFont="1" applyFill="1" applyBorder="1" applyAlignment="1">
      <alignment horizontal="left" vertical="top" wrapText="1"/>
    </xf>
    <xf numFmtId="0" fontId="27" fillId="7" borderId="11" xfId="8" applyFill="1" applyBorder="1" applyAlignment="1">
      <alignment horizontal="left"/>
    </xf>
    <xf numFmtId="0" fontId="27" fillId="7" borderId="14" xfId="8" applyFill="1" applyBorder="1" applyAlignment="1">
      <alignment horizontal="left"/>
    </xf>
    <xf numFmtId="0" fontId="27" fillId="7" borderId="12" xfId="8" applyFill="1" applyBorder="1" applyAlignment="1">
      <alignment horizontal="left"/>
    </xf>
    <xf numFmtId="0" fontId="25" fillId="7" borderId="0" xfId="0" applyFont="1" applyFill="1" applyAlignment="1">
      <alignment horizontal="center"/>
    </xf>
    <xf numFmtId="0" fontId="24" fillId="17" borderId="0" xfId="0" applyFont="1" applyFill="1" applyBorder="1" applyAlignment="1">
      <alignment horizontal="center" vertical="center"/>
    </xf>
    <xf numFmtId="0" fontId="24" fillId="17" borderId="0" xfId="4" applyNumberFormat="1" applyFont="1" applyFill="1" applyBorder="1" applyAlignment="1">
      <alignment horizontal="center" vertical="center"/>
    </xf>
    <xf numFmtId="0" fontId="24" fillId="17" borderId="0" xfId="0" applyFont="1" applyFill="1" applyBorder="1" applyAlignment="1">
      <alignment horizontal="center" vertical="center" wrapText="1"/>
    </xf>
    <xf numFmtId="0" fontId="32" fillId="17" borderId="3" xfId="0" applyFont="1" applyFill="1" applyBorder="1" applyAlignment="1">
      <alignment horizontal="center"/>
    </xf>
    <xf numFmtId="0" fontId="32" fillId="17" borderId="6" xfId="0" applyFont="1" applyFill="1" applyBorder="1" applyAlignment="1">
      <alignment horizontal="center"/>
    </xf>
    <xf numFmtId="0" fontId="32" fillId="17" borderId="37" xfId="0" applyFont="1" applyFill="1" applyBorder="1" applyAlignment="1">
      <alignment horizontal="center"/>
    </xf>
    <xf numFmtId="0" fontId="10" fillId="22" borderId="3" xfId="0" applyFont="1" applyFill="1" applyBorder="1" applyAlignment="1">
      <alignment horizontal="center"/>
    </xf>
    <xf numFmtId="0" fontId="10" fillId="22" borderId="6" xfId="0" applyFont="1" applyFill="1" applyBorder="1" applyAlignment="1">
      <alignment horizontal="center"/>
    </xf>
    <xf numFmtId="0" fontId="10" fillId="22" borderId="37" xfId="0" applyFont="1" applyFill="1" applyBorder="1" applyAlignment="1">
      <alignment horizontal="center"/>
    </xf>
    <xf numFmtId="0" fontId="30" fillId="17" borderId="3" xfId="0" applyFont="1" applyFill="1" applyBorder="1" applyAlignment="1">
      <alignment horizontal="center"/>
    </xf>
    <xf numFmtId="0" fontId="30" fillId="17" borderId="6" xfId="0" applyFont="1" applyFill="1" applyBorder="1" applyAlignment="1">
      <alignment horizontal="center"/>
    </xf>
    <xf numFmtId="0" fontId="30" fillId="17" borderId="37" xfId="0" applyFont="1" applyFill="1" applyBorder="1" applyAlignment="1">
      <alignment horizontal="center"/>
    </xf>
    <xf numFmtId="0" fontId="20" fillId="17" borderId="42" xfId="4" applyNumberFormat="1" applyFont="1" applyFill="1" applyBorder="1" applyAlignment="1">
      <alignment horizontal="center"/>
    </xf>
    <xf numFmtId="0" fontId="20" fillId="17" borderId="43" xfId="4" applyNumberFormat="1" applyFont="1" applyFill="1" applyBorder="1" applyAlignment="1">
      <alignment horizontal="center"/>
    </xf>
    <xf numFmtId="0" fontId="20" fillId="17" borderId="44" xfId="4" applyNumberFormat="1" applyFont="1" applyFill="1" applyBorder="1" applyAlignment="1">
      <alignment horizontal="center"/>
    </xf>
    <xf numFmtId="0" fontId="20" fillId="17" borderId="3" xfId="0" applyFont="1" applyFill="1" applyBorder="1" applyAlignment="1">
      <alignment horizontal="center"/>
    </xf>
    <xf numFmtId="0" fontId="20" fillId="17" borderId="6" xfId="0" applyFont="1" applyFill="1" applyBorder="1" applyAlignment="1">
      <alignment horizontal="center"/>
    </xf>
    <xf numFmtId="0" fontId="20" fillId="17" borderId="37" xfId="0" applyFont="1" applyFill="1" applyBorder="1" applyAlignment="1">
      <alignment horizontal="center"/>
    </xf>
    <xf numFmtId="0" fontId="20" fillId="22" borderId="3" xfId="0" applyFont="1" applyFill="1" applyBorder="1" applyAlignment="1">
      <alignment horizontal="center"/>
    </xf>
    <xf numFmtId="0" fontId="20" fillId="22" borderId="6" xfId="0" applyFont="1" applyFill="1" applyBorder="1" applyAlignment="1">
      <alignment horizontal="center"/>
    </xf>
    <xf numFmtId="0" fontId="20" fillId="22" borderId="37" xfId="0" applyFont="1" applyFill="1" applyBorder="1" applyAlignment="1">
      <alignment horizontal="center"/>
    </xf>
    <xf numFmtId="0" fontId="10" fillId="17" borderId="3" xfId="0" applyFont="1" applyFill="1" applyBorder="1" applyAlignment="1">
      <alignment horizontal="center"/>
    </xf>
    <xf numFmtId="0" fontId="10" fillId="17" borderId="6" xfId="0" applyFont="1" applyFill="1" applyBorder="1" applyAlignment="1">
      <alignment horizontal="center"/>
    </xf>
    <xf numFmtId="0" fontId="10" fillId="17" borderId="37" xfId="0" applyFont="1" applyFill="1" applyBorder="1" applyAlignment="1">
      <alignment horizontal="center"/>
    </xf>
  </cellXfs>
  <cellStyles count="10">
    <cellStyle name="Body: normal cell" xfId="9"/>
    <cellStyle name="Comma" xfId="4" builtinId="3"/>
    <cellStyle name="Currency" xfId="5" builtinId="4"/>
    <cellStyle name="Good" xfId="6" builtinId="26"/>
    <cellStyle name="Hyperlink" xfId="7" builtinId="8"/>
    <cellStyle name="Hyperlink 2" xfId="8"/>
    <cellStyle name="Input" xfId="1" builtinId="20"/>
    <cellStyle name="Normal" xfId="0" builtinId="0"/>
    <cellStyle name="Note" xfId="2" builtinId="10" customBuiltin="1"/>
    <cellStyle name="Percent" xfId="3" builtinId="5"/>
  </cellStyles>
  <dxfs count="19">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FFC000"/>
        </patternFill>
      </fill>
    </dxf>
  </dxfs>
  <tableStyles count="0" defaultTableStyle="TableStyleMedium9" defaultPivotStyle="PivotStyleLight16"/>
  <colors>
    <mruColors>
      <color rgb="FFFFFFCC"/>
      <color rgb="FFEADA4E"/>
      <color rgb="FF0E675A"/>
      <color rgb="FFC3D93C"/>
      <color rgb="FFF5B567"/>
      <color rgb="FFF19422"/>
      <color rgb="FF178785"/>
      <color rgb="FF8E78C7"/>
      <color rgb="FF8C0B4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0.xml"/><Relationship Id="rId18" Type="http://schemas.openxmlformats.org/officeDocument/2006/relationships/worksheet" Target="worksheets/sheet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18.xml"/><Relationship Id="rId7" Type="http://schemas.openxmlformats.org/officeDocument/2006/relationships/worksheet" Target="worksheets/sheet5.xml"/><Relationship Id="rId12" Type="http://schemas.openxmlformats.org/officeDocument/2006/relationships/chartsheet" Target="chartsheets/sheet3.xml"/><Relationship Id="rId17" Type="http://schemas.openxmlformats.org/officeDocument/2006/relationships/worksheet" Target="worksheets/sheet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worksheet" Target="worksheets/sheet9.xml"/><Relationship Id="rId24" Type="http://schemas.openxmlformats.org/officeDocument/2006/relationships/theme" Target="theme/theme1.xml"/><Relationship Id="rId5" Type="http://schemas.openxmlformats.org/officeDocument/2006/relationships/chartsheet" Target="chartsheets/sheet2.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customXml" Target="../customXml/item1.xml"/><Relationship Id="rId10" Type="http://schemas.openxmlformats.org/officeDocument/2006/relationships/worksheet" Target="worksheets/sheet8.xml"/><Relationship Id="rId19" Type="http://schemas.openxmlformats.org/officeDocument/2006/relationships/worksheet" Target="worksheets/sheet16.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1.xml"/><Relationship Id="rId22" Type="http://schemas.openxmlformats.org/officeDocument/2006/relationships/worksheet" Target="worksheets/sheet19.xml"/><Relationship Id="rId27" Type="http://schemas.openxmlformats.org/officeDocument/2006/relationships/calcChain" Target="calcChain.xml"/><Relationship Id="rId30"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solidFill>
                  <a:sysClr val="windowText" lastClr="000000"/>
                </a:solidFill>
              </a:defRPr>
            </a:pPr>
            <a:r>
              <a:rPr lang="en-US" sz="1400">
                <a:solidFill>
                  <a:sysClr val="windowText" lastClr="000000"/>
                </a:solidFill>
              </a:rPr>
              <a:t>Cost Summary - Direct</a:t>
            </a:r>
            <a:r>
              <a:rPr lang="en-US" sz="1400" baseline="0">
                <a:solidFill>
                  <a:sysClr val="windowText" lastClr="000000"/>
                </a:solidFill>
              </a:rPr>
              <a:t> Financial C</a:t>
            </a:r>
            <a:r>
              <a:rPr lang="en-US" sz="1400">
                <a:solidFill>
                  <a:sysClr val="windowText" lastClr="000000"/>
                </a:solidFill>
              </a:rPr>
              <a:t>osts</a:t>
            </a:r>
            <a:r>
              <a:rPr lang="en-US" sz="1400" baseline="0">
                <a:solidFill>
                  <a:sysClr val="windowText" lastClr="000000"/>
                </a:solidFill>
              </a:rPr>
              <a:t> per year</a:t>
            </a:r>
          </a:p>
        </c:rich>
      </c:tx>
      <c:layout>
        <c:manualLayout>
          <c:xMode val="edge"/>
          <c:yMode val="edge"/>
          <c:x val="0.26558429384547316"/>
          <c:y val="2.1442816779833687E-2"/>
        </c:manualLayout>
      </c:layout>
      <c:overlay val="0"/>
    </c:title>
    <c:autoTitleDeleted val="0"/>
    <c:plotArea>
      <c:layout/>
      <c:lineChart>
        <c:grouping val="standard"/>
        <c:varyColors val="0"/>
        <c:ser>
          <c:idx val="0"/>
          <c:order val="0"/>
          <c:spPr>
            <a:ln>
              <a:solidFill>
                <a:srgbClr val="89B579"/>
              </a:solidFill>
            </a:ln>
          </c:spPr>
          <c:marker>
            <c:symbol val="none"/>
          </c:marker>
          <c:val>
            <c:numRef>
              <c:f>' Summary'!$R$39:$R$50</c:f>
              <c:numCache>
                <c:formatCode>_("$"* #,##0_);_("$"* \(#,##0\);_("$"* "-"??_);_(@_)</c:formatCode>
                <c:ptCount val="12"/>
                <c:pt idx="0">
                  <c:v>935027.28908852884</c:v>
                </c:pt>
                <c:pt idx="1">
                  <c:v>100056.3454657353</c:v>
                </c:pt>
                <c:pt idx="2">
                  <c:v>102951.46316665459</c:v>
                </c:pt>
                <c:pt idx="3">
                  <c:v>105964.48674457708</c:v>
                </c:pt>
                <c:pt idx="4">
                  <c:v>109008.82196366871</c:v>
                </c:pt>
                <c:pt idx="5">
                  <c:v>112292.07138609001</c:v>
                </c:pt>
                <c:pt idx="6">
                  <c:v>115379.85396928832</c:v>
                </c:pt>
                <c:pt idx="7">
                  <c:v>118399.8229714698</c:v>
                </c:pt>
                <c:pt idx="8">
                  <c:v>121349.48163075501</c:v>
                </c:pt>
                <c:pt idx="9">
                  <c:v>124328.40939522845</c:v>
                </c:pt>
                <c:pt idx="10">
                  <c:v>127357.50351227359</c:v>
                </c:pt>
                <c:pt idx="11">
                  <c:v>130491.74355541695</c:v>
                </c:pt>
              </c:numCache>
            </c:numRef>
          </c:val>
          <c:smooth val="0"/>
          <c:extLst>
            <c:ext xmlns:c16="http://schemas.microsoft.com/office/drawing/2014/chart" uri="{C3380CC4-5D6E-409C-BE32-E72D297353CC}">
              <c16:uniqueId val="{00000000-18F1-406D-8AD2-BD786241EAE1}"/>
            </c:ext>
          </c:extLst>
        </c:ser>
        <c:dLbls>
          <c:showLegendKey val="0"/>
          <c:showVal val="0"/>
          <c:showCatName val="0"/>
          <c:showSerName val="0"/>
          <c:showPercent val="0"/>
          <c:showBubbleSize val="0"/>
        </c:dLbls>
        <c:smooth val="0"/>
        <c:axId val="458519240"/>
        <c:axId val="461329704"/>
      </c:lineChart>
      <c:catAx>
        <c:axId val="458519240"/>
        <c:scaling>
          <c:orientation val="minMax"/>
        </c:scaling>
        <c:delete val="0"/>
        <c:axPos val="b"/>
        <c:majorTickMark val="out"/>
        <c:minorTickMark val="none"/>
        <c:tickLblPos val="nextTo"/>
        <c:txPr>
          <a:bodyPr/>
          <a:lstStyle/>
          <a:p>
            <a:pPr>
              <a:defRPr>
                <a:solidFill>
                  <a:sysClr val="windowText" lastClr="000000"/>
                </a:solidFill>
              </a:defRPr>
            </a:pPr>
            <a:endParaRPr lang="en-US"/>
          </a:p>
        </c:txPr>
        <c:crossAx val="461329704"/>
        <c:crosses val="autoZero"/>
        <c:auto val="1"/>
        <c:lblAlgn val="ctr"/>
        <c:lblOffset val="100"/>
        <c:noMultiLvlLbl val="0"/>
      </c:catAx>
      <c:valAx>
        <c:axId val="461329704"/>
        <c:scaling>
          <c:orientation val="minMax"/>
        </c:scaling>
        <c:delete val="0"/>
        <c:axPos val="l"/>
        <c:majorGridlines/>
        <c:numFmt formatCode="_(&quot;$&quot;* #,##0_);_(&quot;$&quot;* \(#,##0\);_(&quot;$&quot;* &quot;-&quot;??_);_(@_)" sourceLinked="1"/>
        <c:majorTickMark val="out"/>
        <c:minorTickMark val="none"/>
        <c:tickLblPos val="nextTo"/>
        <c:txPr>
          <a:bodyPr/>
          <a:lstStyle/>
          <a:p>
            <a:pPr>
              <a:defRPr>
                <a:solidFill>
                  <a:sysClr val="windowText" lastClr="000000"/>
                </a:solidFill>
              </a:defRPr>
            </a:pPr>
            <a:endParaRPr lang="en-US"/>
          </a:p>
        </c:txPr>
        <c:crossAx val="458519240"/>
        <c:crosses val="autoZero"/>
        <c:crossBetween val="between"/>
      </c:valAx>
    </c:plotArea>
    <c:plotVisOnly val="1"/>
    <c:dispBlanksAs val="gap"/>
    <c:showDLblsOverMax val="0"/>
  </c:chart>
  <c:spPr>
    <a:solidFill>
      <a:schemeClr val="bg2"/>
    </a:solidFill>
  </c:spPr>
  <c:printSettings>
    <c:headerFooter/>
    <c:pageMargins b="0.75000000000000888" l="0.70000000000000062" r="0.70000000000000062" t="0.750000000000008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lumMod val="75000"/>
                  </a:schemeClr>
                </a:solidFill>
                <a:effectLst/>
                <a:latin typeface="+mn-lt"/>
                <a:ea typeface="+mn-ea"/>
                <a:cs typeface="+mn-cs"/>
              </a:defRPr>
            </a:pPr>
            <a:r>
              <a:rPr lang="en-US" sz="1600" b="1">
                <a:solidFill>
                  <a:schemeClr val="tx2">
                    <a:lumMod val="75000"/>
                  </a:schemeClr>
                </a:solidFill>
              </a:rPr>
              <a:t>12 Year Cumulative Carbon Emissions (MT CO2e)</a:t>
            </a:r>
          </a:p>
        </c:rich>
      </c:tx>
      <c:overlay val="0"/>
      <c:spPr>
        <a:noFill/>
        <a:ln>
          <a:solidFill>
            <a:schemeClr val="tx2"/>
          </a:solidFill>
        </a:ln>
        <a:effectLst/>
      </c:spPr>
      <c:txPr>
        <a:bodyPr rot="0" spcFirstLastPara="1" vertOverflow="ellipsis" vert="horz" wrap="square" anchor="ctr" anchorCtr="1"/>
        <a:lstStyle/>
        <a:p>
          <a:pPr>
            <a:defRPr sz="1600" b="1" i="0" u="none" strike="noStrike" kern="1200" baseline="0">
              <a:solidFill>
                <a:schemeClr val="tx2">
                  <a:lumMod val="7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'Fleet Carbon Footprint'!$B$19:$B$25</c:f>
              <c:strCache>
                <c:ptCount val="7"/>
                <c:pt idx="0">
                  <c:v>Diesel B5 </c:v>
                </c:pt>
                <c:pt idx="1">
                  <c:v>B20</c:v>
                </c:pt>
                <c:pt idx="2">
                  <c:v>R20</c:v>
                </c:pt>
                <c:pt idx="3">
                  <c:v>R99</c:v>
                </c:pt>
                <c:pt idx="4">
                  <c:v>CNG</c:v>
                </c:pt>
                <c:pt idx="5">
                  <c:v>RNG</c:v>
                </c:pt>
                <c:pt idx="6">
                  <c:v>Electricity</c:v>
                </c:pt>
              </c:strCache>
            </c:strRef>
          </c:cat>
          <c:val>
            <c:numRef>
              <c:f>'Fleet Carbon Footprint'!$C$19:$C$25</c:f>
              <c:numCache>
                <c:formatCode>0</c:formatCode>
                <c:ptCount val="7"/>
                <c:pt idx="0">
                  <c:v>1155.6863317411419</c:v>
                </c:pt>
                <c:pt idx="1">
                  <c:v>1047.2174780794307</c:v>
                </c:pt>
                <c:pt idx="2">
                  <c:v>963.99228490626365</c:v>
                </c:pt>
                <c:pt idx="3">
                  <c:v>460.69680391592289</c:v>
                </c:pt>
                <c:pt idx="4">
                  <c:v>1038.6714471848716</c:v>
                </c:pt>
                <c:pt idx="5">
                  <c:v>450.39983071207212</c:v>
                </c:pt>
                <c:pt idx="6">
                  <c:v>483.74810759308843</c:v>
                </c:pt>
              </c:numCache>
            </c:numRef>
          </c:val>
          <c:extLst>
            <c:ext xmlns:c16="http://schemas.microsoft.com/office/drawing/2014/chart" uri="{C3380CC4-5D6E-409C-BE32-E72D297353CC}">
              <c16:uniqueId val="{00000000-3CA9-4A4E-84E3-D5C2ACCD2D2F}"/>
            </c:ext>
          </c:extLst>
        </c:ser>
        <c:dLbls>
          <c:dLblPos val="inEnd"/>
          <c:showLegendKey val="0"/>
          <c:showVal val="1"/>
          <c:showCatName val="0"/>
          <c:showSerName val="0"/>
          <c:showPercent val="0"/>
          <c:showBubbleSize val="0"/>
        </c:dLbls>
        <c:gapWidth val="41"/>
        <c:axId val="370988607"/>
        <c:axId val="241629791"/>
      </c:barChart>
      <c:catAx>
        <c:axId val="37098860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241629791"/>
        <c:crosses val="autoZero"/>
        <c:auto val="1"/>
        <c:lblAlgn val="ctr"/>
        <c:lblOffset val="100"/>
        <c:noMultiLvlLbl val="0"/>
      </c:catAx>
      <c:valAx>
        <c:axId val="241629791"/>
        <c:scaling>
          <c:orientation val="minMax"/>
        </c:scaling>
        <c:delete val="1"/>
        <c:axPos val="l"/>
        <c:numFmt formatCode="0" sourceLinked="1"/>
        <c:majorTickMark val="none"/>
        <c:minorTickMark val="none"/>
        <c:tickLblPos val="nextTo"/>
        <c:crossAx val="370988607"/>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lumMod val="75000"/>
                  </a:schemeClr>
                </a:solidFill>
                <a:effectLst/>
                <a:latin typeface="+mn-lt"/>
                <a:ea typeface="+mn-ea"/>
                <a:cs typeface="+mn-cs"/>
              </a:defRPr>
            </a:pPr>
            <a:r>
              <a:rPr lang="en-US" sz="1600" b="1">
                <a:solidFill>
                  <a:schemeClr val="tx2">
                    <a:lumMod val="75000"/>
                  </a:schemeClr>
                </a:solidFill>
              </a:rPr>
              <a:t>Annual MT CO2e Emissions Reductions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lumMod val="7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dLbl>
              <c:idx val="1"/>
              <c:layout>
                <c:manualLayout>
                  <c:x val="0"/>
                  <c:y val="8.16991105278506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7A-4E17-9543-E801D2B9C38C}"/>
                </c:ext>
              </c:extLst>
            </c:dLbl>
            <c:dLbl>
              <c:idx val="4"/>
              <c:layout>
                <c:manualLayout>
                  <c:x val="-1.0185067526415994E-16"/>
                  <c:y val="8.59474336541265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7A-4E17-9543-E801D2B9C38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'Fleet Carbon Footprint'!$B$5:$B$11</c:f>
              <c:strCache>
                <c:ptCount val="7"/>
                <c:pt idx="0">
                  <c:v>Diesel B5 </c:v>
                </c:pt>
                <c:pt idx="1">
                  <c:v>B20</c:v>
                </c:pt>
                <c:pt idx="2">
                  <c:v>R20</c:v>
                </c:pt>
                <c:pt idx="3">
                  <c:v>R99</c:v>
                </c:pt>
                <c:pt idx="4">
                  <c:v>CNG</c:v>
                </c:pt>
                <c:pt idx="5">
                  <c:v>RNG</c:v>
                </c:pt>
                <c:pt idx="6">
                  <c:v>Electricity</c:v>
                </c:pt>
              </c:strCache>
            </c:strRef>
          </c:cat>
          <c:val>
            <c:numRef>
              <c:f>'Fleet Carbon Footprint'!$E$5:$E$11</c:f>
              <c:numCache>
                <c:formatCode>0</c:formatCode>
                <c:ptCount val="7"/>
                <c:pt idx="0" formatCode="General">
                  <c:v>0</c:v>
                </c:pt>
                <c:pt idx="1">
                  <c:v>9.0390711384759328</c:v>
                </c:pt>
                <c:pt idx="2">
                  <c:v>15.974503902906562</c:v>
                </c:pt>
                <c:pt idx="3">
                  <c:v>57.915793985434938</c:v>
                </c:pt>
                <c:pt idx="4">
                  <c:v>9.7512403796892073</c:v>
                </c:pt>
                <c:pt idx="5">
                  <c:v>58.773875085755847</c:v>
                </c:pt>
                <c:pt idx="6">
                  <c:v>55.994852012337802</c:v>
                </c:pt>
              </c:numCache>
            </c:numRef>
          </c:val>
          <c:extLst>
            <c:ext xmlns:c16="http://schemas.microsoft.com/office/drawing/2014/chart" uri="{C3380CC4-5D6E-409C-BE32-E72D297353CC}">
              <c16:uniqueId val="{00000000-027A-4E17-9543-E801D2B9C38C}"/>
            </c:ext>
          </c:extLst>
        </c:ser>
        <c:dLbls>
          <c:dLblPos val="inEnd"/>
          <c:showLegendKey val="0"/>
          <c:showVal val="1"/>
          <c:showCatName val="0"/>
          <c:showSerName val="0"/>
          <c:showPercent val="0"/>
          <c:showBubbleSize val="0"/>
        </c:dLbls>
        <c:gapWidth val="41"/>
        <c:axId val="235092559"/>
        <c:axId val="372254511"/>
      </c:barChart>
      <c:catAx>
        <c:axId val="23509255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372254511"/>
        <c:crosses val="autoZero"/>
        <c:auto val="1"/>
        <c:lblAlgn val="ctr"/>
        <c:lblOffset val="100"/>
        <c:noMultiLvlLbl val="0"/>
      </c:catAx>
      <c:valAx>
        <c:axId val="372254511"/>
        <c:scaling>
          <c:orientation val="minMax"/>
        </c:scaling>
        <c:delete val="1"/>
        <c:axPos val="l"/>
        <c:numFmt formatCode="General" sourceLinked="1"/>
        <c:majorTickMark val="none"/>
        <c:minorTickMark val="none"/>
        <c:tickLblPos val="nextTo"/>
        <c:crossAx val="235092559"/>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lumMod val="75000"/>
                  </a:schemeClr>
                </a:solidFill>
                <a:effectLst/>
                <a:latin typeface="+mn-lt"/>
                <a:ea typeface="+mn-ea"/>
                <a:cs typeface="+mn-cs"/>
              </a:defRPr>
            </a:pPr>
            <a:r>
              <a:rPr lang="en-US" sz="1600" b="1">
                <a:solidFill>
                  <a:schemeClr val="tx2">
                    <a:lumMod val="75000"/>
                  </a:schemeClr>
                </a:solidFill>
              </a:rPr>
              <a:t>12 Year Cumulative GHG Reductions (MTCO2e)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lumMod val="7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dLbl>
              <c:idx val="1"/>
              <c:layout>
                <c:manualLayout>
                  <c:x val="-2.5462668816039986E-17"/>
                  <c:y val="7.95421405657626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08-499C-A8CD-0A073D3F835A}"/>
                </c:ext>
              </c:extLst>
            </c:dLbl>
            <c:dLbl>
              <c:idx val="4"/>
              <c:layout>
                <c:manualLayout>
                  <c:x val="-1.0185067526415994E-16"/>
                  <c:y val="7.43613298337707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08-499C-A8CD-0A073D3F835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'Fleet Carbon Footprint'!$B$19:$B$25</c:f>
              <c:strCache>
                <c:ptCount val="7"/>
                <c:pt idx="0">
                  <c:v>Diesel B5 </c:v>
                </c:pt>
                <c:pt idx="1">
                  <c:v>B20</c:v>
                </c:pt>
                <c:pt idx="2">
                  <c:v>R20</c:v>
                </c:pt>
                <c:pt idx="3">
                  <c:v>R99</c:v>
                </c:pt>
                <c:pt idx="4">
                  <c:v>CNG</c:v>
                </c:pt>
                <c:pt idx="5">
                  <c:v>RNG</c:v>
                </c:pt>
                <c:pt idx="6">
                  <c:v>Electricity</c:v>
                </c:pt>
              </c:strCache>
            </c:strRef>
          </c:cat>
          <c:val>
            <c:numRef>
              <c:f>'Fleet Carbon Footprint'!$E$19:$E$25</c:f>
              <c:numCache>
                <c:formatCode>0</c:formatCode>
                <c:ptCount val="7"/>
                <c:pt idx="0" formatCode="General">
                  <c:v>0</c:v>
                </c:pt>
                <c:pt idx="1">
                  <c:v>108.46885366171119</c:v>
                </c:pt>
                <c:pt idx="2">
                  <c:v>191.6940468348788</c:v>
                </c:pt>
                <c:pt idx="3">
                  <c:v>694.98952782521917</c:v>
                </c:pt>
                <c:pt idx="4">
                  <c:v>117.01488455627049</c:v>
                </c:pt>
                <c:pt idx="5">
                  <c:v>705.28650102907022</c:v>
                </c:pt>
                <c:pt idx="6">
                  <c:v>671.93822414805356</c:v>
                </c:pt>
              </c:numCache>
            </c:numRef>
          </c:val>
          <c:extLst>
            <c:ext xmlns:c16="http://schemas.microsoft.com/office/drawing/2014/chart" uri="{C3380CC4-5D6E-409C-BE32-E72D297353CC}">
              <c16:uniqueId val="{00000000-3108-499C-A8CD-0A073D3F835A}"/>
            </c:ext>
          </c:extLst>
        </c:ser>
        <c:dLbls>
          <c:dLblPos val="inEnd"/>
          <c:showLegendKey val="0"/>
          <c:showVal val="1"/>
          <c:showCatName val="0"/>
          <c:showSerName val="0"/>
          <c:showPercent val="0"/>
          <c:showBubbleSize val="0"/>
        </c:dLbls>
        <c:gapWidth val="41"/>
        <c:axId val="202598447"/>
        <c:axId val="405567183"/>
      </c:barChart>
      <c:catAx>
        <c:axId val="20259844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405567183"/>
        <c:crosses val="autoZero"/>
        <c:auto val="1"/>
        <c:lblAlgn val="ctr"/>
        <c:lblOffset val="100"/>
        <c:noMultiLvlLbl val="0"/>
      </c:catAx>
      <c:valAx>
        <c:axId val="405567183"/>
        <c:scaling>
          <c:orientation val="minMax"/>
        </c:scaling>
        <c:delete val="1"/>
        <c:axPos val="l"/>
        <c:numFmt formatCode="General" sourceLinked="1"/>
        <c:majorTickMark val="none"/>
        <c:minorTickMark val="none"/>
        <c:tickLblPos val="nextTo"/>
        <c:crossAx val="202598447"/>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a:t>
            </a:r>
            <a:r>
              <a:rPr lang="en-US" baseline="0"/>
              <a:t> Lifecycle Costs and CFP Cumulative Credit Estimate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'Default Data'!$AG$1</c:f>
              <c:strCache>
                <c:ptCount val="1"/>
                <c:pt idx="0">
                  <c:v>Cumulative CFP Credit Value</c:v>
                </c:pt>
              </c:strCache>
            </c:strRef>
          </c:tx>
          <c:spPr>
            <a:solidFill>
              <a:schemeClr val="accent3"/>
            </a:solidFill>
            <a:ln>
              <a:noFill/>
            </a:ln>
            <a:effectLst/>
          </c:spPr>
          <c:invertIfNegative val="0"/>
          <c:cat>
            <c:strRef>
              <c:f>'Default Data'!$A$2:$A$12</c:f>
              <c:strCache>
                <c:ptCount val="11"/>
                <c:pt idx="0">
                  <c:v>Diesel (B5)</c:v>
                </c:pt>
                <c:pt idx="1">
                  <c:v>Diesel (B20)</c:v>
                </c:pt>
                <c:pt idx="2">
                  <c:v>Diesel (R20)</c:v>
                </c:pt>
                <c:pt idx="3">
                  <c:v>Diesel (R99)</c:v>
                </c:pt>
                <c:pt idx="4">
                  <c:v>Diesel Hybrid (B5)</c:v>
                </c:pt>
                <c:pt idx="5">
                  <c:v>Diesel Hybrid (B20)</c:v>
                </c:pt>
                <c:pt idx="6">
                  <c:v>Diesel Hybrid (R20)</c:v>
                </c:pt>
                <c:pt idx="7">
                  <c:v>Diesel Hybrid (R99)</c:v>
                </c:pt>
                <c:pt idx="8">
                  <c:v>CNG</c:v>
                </c:pt>
                <c:pt idx="9">
                  <c:v>RNG</c:v>
                </c:pt>
                <c:pt idx="10">
                  <c:v>Battery Electric</c:v>
                </c:pt>
              </c:strCache>
            </c:strRef>
          </c:cat>
          <c:val>
            <c:numRef>
              <c:f>'Default Data'!$AG$2:$AG$12</c:f>
              <c:numCache>
                <c:formatCode>_("$"* #,##0_);_("$"* \(#,##0\);_("$"* "-"??_);_(@_)</c:formatCode>
                <c:ptCount val="11"/>
                <c:pt idx="0">
                  <c:v>0</c:v>
                </c:pt>
                <c:pt idx="1">
                  <c:v>0</c:v>
                </c:pt>
                <c:pt idx="2">
                  <c:v>0</c:v>
                </c:pt>
                <c:pt idx="3">
                  <c:v>0</c:v>
                </c:pt>
                <c:pt idx="4">
                  <c:v>0</c:v>
                </c:pt>
                <c:pt idx="5">
                  <c:v>0</c:v>
                </c:pt>
                <c:pt idx="6">
                  <c:v>0</c:v>
                </c:pt>
                <c:pt idx="7">
                  <c:v>0</c:v>
                </c:pt>
                <c:pt idx="8">
                  <c:v>-2566.341947050933</c:v>
                </c:pt>
                <c:pt idx="9">
                  <c:v>0</c:v>
                </c:pt>
                <c:pt idx="10">
                  <c:v>-125162.75795400002</c:v>
                </c:pt>
              </c:numCache>
            </c:numRef>
          </c:val>
          <c:extLst>
            <c:ext xmlns:c16="http://schemas.microsoft.com/office/drawing/2014/chart" uri="{C3380CC4-5D6E-409C-BE32-E72D297353CC}">
              <c16:uniqueId val="{00000001-2569-4AEE-9D86-802F9E8A4637}"/>
            </c:ext>
          </c:extLst>
        </c:ser>
        <c:ser>
          <c:idx val="0"/>
          <c:order val="1"/>
          <c:tx>
            <c:strRef>
              <c:f>'Default Data'!$AI$1</c:f>
              <c:strCache>
                <c:ptCount val="1"/>
                <c:pt idx="0">
                  <c:v>Total Lifecycle Cost</c:v>
                </c:pt>
              </c:strCache>
            </c:strRef>
          </c:tx>
          <c:spPr>
            <a:solidFill>
              <a:schemeClr val="accent1"/>
            </a:solidFill>
            <a:ln>
              <a:noFill/>
            </a:ln>
            <a:effectLst/>
          </c:spPr>
          <c:invertIfNegative val="0"/>
          <c:cat>
            <c:strRef>
              <c:f>'Default Data'!$A$2:$A$12</c:f>
              <c:strCache>
                <c:ptCount val="11"/>
                <c:pt idx="0">
                  <c:v>Diesel (B5)</c:v>
                </c:pt>
                <c:pt idx="1">
                  <c:v>Diesel (B20)</c:v>
                </c:pt>
                <c:pt idx="2">
                  <c:v>Diesel (R20)</c:v>
                </c:pt>
                <c:pt idx="3">
                  <c:v>Diesel (R99)</c:v>
                </c:pt>
                <c:pt idx="4">
                  <c:v>Diesel Hybrid (B5)</c:v>
                </c:pt>
                <c:pt idx="5">
                  <c:v>Diesel Hybrid (B20)</c:v>
                </c:pt>
                <c:pt idx="6">
                  <c:v>Diesel Hybrid (R20)</c:v>
                </c:pt>
                <c:pt idx="7">
                  <c:v>Diesel Hybrid (R99)</c:v>
                </c:pt>
                <c:pt idx="8">
                  <c:v>CNG</c:v>
                </c:pt>
                <c:pt idx="9">
                  <c:v>RNG</c:v>
                </c:pt>
                <c:pt idx="10">
                  <c:v>Battery Electric</c:v>
                </c:pt>
              </c:strCache>
            </c:strRef>
          </c:cat>
          <c:val>
            <c:numRef>
              <c:f>'Default Data'!$AI$2:$AI$12</c:f>
              <c:numCache>
                <c:formatCode>_("$"* #,##0_);_("$"* \(#,##0\);_("$"* "-"??_);_(@_)</c:formatCode>
                <c:ptCount val="11"/>
                <c:pt idx="0">
                  <c:v>2112170.2185811047</c:v>
                </c:pt>
                <c:pt idx="1">
                  <c:v>2101656.4118499458</c:v>
                </c:pt>
                <c:pt idx="2">
                  <c:v>2099681.5424387031</c:v>
                </c:pt>
                <c:pt idx="3">
                  <c:v>2060577.7270234085</c:v>
                </c:pt>
                <c:pt idx="4">
                  <c:v>2242665.1041274257</c:v>
                </c:pt>
                <c:pt idx="5">
                  <c:v>2232874.8416688135</c:v>
                </c:pt>
                <c:pt idx="6">
                  <c:v>2230636.9471069523</c:v>
                </c:pt>
                <c:pt idx="7">
                  <c:v>2194758.4554341016</c:v>
                </c:pt>
                <c:pt idx="8">
                  <c:v>2091143.0517223838</c:v>
                </c:pt>
                <c:pt idx="9">
                  <c:v>1972114.4456060859</c:v>
                </c:pt>
                <c:pt idx="10">
                  <c:v>1868487.745192938</c:v>
                </c:pt>
              </c:numCache>
            </c:numRef>
          </c:val>
          <c:extLst>
            <c:ext xmlns:c16="http://schemas.microsoft.com/office/drawing/2014/chart" uri="{C3380CC4-5D6E-409C-BE32-E72D297353CC}">
              <c16:uniqueId val="{00000000-2569-4AEE-9D86-802F9E8A4637}"/>
            </c:ext>
          </c:extLst>
        </c:ser>
        <c:dLbls>
          <c:showLegendKey val="0"/>
          <c:showVal val="0"/>
          <c:showCatName val="0"/>
          <c:showSerName val="0"/>
          <c:showPercent val="0"/>
          <c:showBubbleSize val="0"/>
        </c:dLbls>
        <c:gapWidth val="182"/>
        <c:axId val="607053384"/>
        <c:axId val="607053712"/>
      </c:barChart>
      <c:catAx>
        <c:axId val="6070533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053712"/>
        <c:crosses val="autoZero"/>
        <c:auto val="1"/>
        <c:lblAlgn val="ctr"/>
        <c:lblOffset val="100"/>
        <c:noMultiLvlLbl val="0"/>
      </c:catAx>
      <c:valAx>
        <c:axId val="60705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053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Estimated Annual Fuel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Analysis!$A$4</c:f>
              <c:strCache>
                <c:ptCount val="1"/>
                <c:pt idx="0">
                  <c:v>Diesel (B5+DEF)</c:v>
                </c:pt>
              </c:strCache>
            </c:strRef>
          </c:tx>
          <c:spPr>
            <a:ln w="28575" cap="rnd">
              <a:solidFill>
                <a:schemeClr val="accent1"/>
              </a:solidFill>
              <a:round/>
            </a:ln>
            <a:effectLst/>
          </c:spPr>
          <c:marker>
            <c:symbol val="none"/>
          </c:marker>
          <c:cat>
            <c:numRef>
              <c:f>Analysis!$B$3:$M$3</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Analysis!$B$4:$M$4</c:f>
              <c:numCache>
                <c:formatCode>_("$"* #,##0_);_("$"* \(#,##0\);_("$"* "-"??_);_(@_)</c:formatCode>
                <c:ptCount val="12"/>
                <c:pt idx="0">
                  <c:v>17305.104135335052</c:v>
                </c:pt>
                <c:pt idx="1">
                  <c:v>17920.018249442935</c:v>
                </c:pt>
                <c:pt idx="2">
                  <c:v>18784.738831211609</c:v>
                </c:pt>
                <c:pt idx="3">
                  <c:v>19448.529355660299</c:v>
                </c:pt>
                <c:pt idx="4">
                  <c:v>20378.687392281445</c:v>
                </c:pt>
                <c:pt idx="5">
                  <c:v>21057.296802132154</c:v>
                </c:pt>
                <c:pt idx="6">
                  <c:v>22075.869899743277</c:v>
                </c:pt>
                <c:pt idx="7">
                  <c:v>22746.123066207092</c:v>
                </c:pt>
                <c:pt idx="8">
                  <c:v>23772.005145775031</c:v>
                </c:pt>
                <c:pt idx="9">
                  <c:v>24671.206767292253</c:v>
                </c:pt>
                <c:pt idx="10">
                  <c:v>25909.140235249652</c:v>
                </c:pt>
                <c:pt idx="11">
                  <c:v>26898.369872135307</c:v>
                </c:pt>
              </c:numCache>
            </c:numRef>
          </c:val>
          <c:smooth val="0"/>
          <c:extLst>
            <c:ext xmlns:c16="http://schemas.microsoft.com/office/drawing/2014/chart" uri="{C3380CC4-5D6E-409C-BE32-E72D297353CC}">
              <c16:uniqueId val="{00000000-1066-4A85-BA8D-30F30FFDA3C7}"/>
            </c:ext>
          </c:extLst>
        </c:ser>
        <c:ser>
          <c:idx val="1"/>
          <c:order val="1"/>
          <c:tx>
            <c:strRef>
              <c:f>Analysis!$A$5</c:f>
              <c:strCache>
                <c:ptCount val="1"/>
                <c:pt idx="0">
                  <c:v>Bio (B20+DEF)</c:v>
                </c:pt>
              </c:strCache>
            </c:strRef>
          </c:tx>
          <c:spPr>
            <a:ln w="28575" cap="rnd">
              <a:solidFill>
                <a:schemeClr val="accent2"/>
              </a:solidFill>
              <a:round/>
            </a:ln>
            <a:effectLst/>
          </c:spPr>
          <c:marker>
            <c:symbol val="none"/>
          </c:marker>
          <c:cat>
            <c:numRef>
              <c:f>Analysis!$B$3:$M$3</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Analysis!$B$5:$M$5</c:f>
              <c:numCache>
                <c:formatCode>_("$"* #,##0_);_("$"* \(#,##0\);_("$"* "-"??_);_(@_)</c:formatCode>
                <c:ptCount val="12"/>
                <c:pt idx="0">
                  <c:v>17485.393990407516</c:v>
                </c:pt>
                <c:pt idx="1">
                  <c:v>18099.417669732793</c:v>
                </c:pt>
                <c:pt idx="2">
                  <c:v>18963.226446284076</c:v>
                </c:pt>
                <c:pt idx="3">
                  <c:v>19626.083282190157</c:v>
                </c:pt>
                <c:pt idx="4">
                  <c:v>20555.28522174367</c:v>
                </c:pt>
                <c:pt idx="5">
                  <c:v>21232.915588197127</c:v>
                </c:pt>
                <c:pt idx="6">
                  <c:v>22250.486145369458</c:v>
                </c:pt>
                <c:pt idx="7">
                  <c:v>22919.712710423955</c:v>
                </c:pt>
                <c:pt idx="8">
                  <c:v>23944.543550148752</c:v>
                </c:pt>
                <c:pt idx="9">
                  <c:v>24842.668702066592</c:v>
                </c:pt>
                <c:pt idx="10">
                  <c:v>26079.499865154226</c:v>
                </c:pt>
                <c:pt idx="11">
                  <c:v>27067.600741853243</c:v>
                </c:pt>
              </c:numCache>
            </c:numRef>
          </c:val>
          <c:smooth val="0"/>
          <c:extLst>
            <c:ext xmlns:c16="http://schemas.microsoft.com/office/drawing/2014/chart" uri="{C3380CC4-5D6E-409C-BE32-E72D297353CC}">
              <c16:uniqueId val="{00000001-1066-4A85-BA8D-30F30FFDA3C7}"/>
            </c:ext>
          </c:extLst>
        </c:ser>
        <c:ser>
          <c:idx val="2"/>
          <c:order val="2"/>
          <c:tx>
            <c:strRef>
              <c:f>Analysis!$A$6</c:f>
              <c:strCache>
                <c:ptCount val="1"/>
                <c:pt idx="0">
                  <c:v>RD (R20+DEF) </c:v>
                </c:pt>
              </c:strCache>
            </c:strRef>
          </c:tx>
          <c:spPr>
            <a:ln w="28575" cap="rnd">
              <a:solidFill>
                <a:schemeClr val="accent3"/>
              </a:solidFill>
              <a:round/>
            </a:ln>
            <a:effectLst/>
          </c:spPr>
          <c:marker>
            <c:symbol val="none"/>
          </c:marker>
          <c:cat>
            <c:numRef>
              <c:f>Analysis!$B$3:$M$3</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Analysis!$B$6:$M$6</c:f>
              <c:numCache>
                <c:formatCode>_("$"* #,##0_);_("$"* \(#,##0\);_("$"* "-"??_);_(@_)</c:formatCode>
                <c:ptCount val="12"/>
                <c:pt idx="0">
                  <c:v>18137.567903450992</c:v>
                </c:pt>
                <c:pt idx="1">
                  <c:v>18751.591582776269</c:v>
                </c:pt>
                <c:pt idx="2">
                  <c:v>19615.400359327552</c:v>
                </c:pt>
                <c:pt idx="3">
                  <c:v>20278.257195233633</c:v>
                </c:pt>
                <c:pt idx="4">
                  <c:v>21207.459134787146</c:v>
                </c:pt>
                <c:pt idx="5">
                  <c:v>21885.089501240607</c:v>
                </c:pt>
                <c:pt idx="6">
                  <c:v>22902.660058412934</c:v>
                </c:pt>
                <c:pt idx="7">
                  <c:v>23571.886623467431</c:v>
                </c:pt>
                <c:pt idx="8">
                  <c:v>24596.717463192228</c:v>
                </c:pt>
                <c:pt idx="9">
                  <c:v>25494.842615110072</c:v>
                </c:pt>
                <c:pt idx="10">
                  <c:v>26731.673778197703</c:v>
                </c:pt>
                <c:pt idx="11">
                  <c:v>27719.774654896722</c:v>
                </c:pt>
              </c:numCache>
            </c:numRef>
          </c:val>
          <c:smooth val="0"/>
          <c:extLst>
            <c:ext xmlns:c16="http://schemas.microsoft.com/office/drawing/2014/chart" uri="{C3380CC4-5D6E-409C-BE32-E72D297353CC}">
              <c16:uniqueId val="{00000002-1066-4A85-BA8D-30F30FFDA3C7}"/>
            </c:ext>
          </c:extLst>
        </c:ser>
        <c:ser>
          <c:idx val="3"/>
          <c:order val="3"/>
          <c:tx>
            <c:strRef>
              <c:f>Analysis!$A$7</c:f>
              <c:strCache>
                <c:ptCount val="1"/>
                <c:pt idx="0">
                  <c:v>RD (R99+DEF)</c:v>
                </c:pt>
              </c:strCache>
            </c:strRef>
          </c:tx>
          <c:spPr>
            <a:ln w="28575" cap="rnd">
              <a:solidFill>
                <a:schemeClr val="accent4"/>
              </a:solidFill>
              <a:round/>
            </a:ln>
            <a:effectLst/>
          </c:spPr>
          <c:marker>
            <c:symbol val="none"/>
          </c:marker>
          <c:cat>
            <c:numRef>
              <c:f>Analysis!$B$3:$M$3</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Analysis!$B$7:$M$7</c:f>
              <c:numCache>
                <c:formatCode>_("$"* #,##0_);_("$"* \(#,##0\);_("$"* "-"??_);_(@_)</c:formatCode>
                <c:ptCount val="12"/>
                <c:pt idx="0">
                  <c:v>19187.422975914764</c:v>
                </c:pt>
                <c:pt idx="1">
                  <c:v>19800.556220457431</c:v>
                </c:pt>
                <c:pt idx="2">
                  <c:v>20663.453191791323</c:v>
                </c:pt>
                <c:pt idx="3">
                  <c:v>21325.376339154795</c:v>
                </c:pt>
                <c:pt idx="4">
                  <c:v>22253.622181640676</c:v>
                </c:pt>
                <c:pt idx="5">
                  <c:v>22930.273504696881</c:v>
                </c:pt>
                <c:pt idx="6">
                  <c:v>23946.841521430419</c:v>
                </c:pt>
                <c:pt idx="7">
                  <c:v>24615.041485075595</c:v>
                </c:pt>
                <c:pt idx="8">
                  <c:v>25638.82108495725</c:v>
                </c:pt>
                <c:pt idx="9">
                  <c:v>26535.869767275712</c:v>
                </c:pt>
                <c:pt idx="10">
                  <c:v>27771.598625493585</c:v>
                </c:pt>
                <c:pt idx="11">
                  <c:v>28758.570742005963</c:v>
                </c:pt>
              </c:numCache>
            </c:numRef>
          </c:val>
          <c:smooth val="0"/>
          <c:extLst>
            <c:ext xmlns:c16="http://schemas.microsoft.com/office/drawing/2014/chart" uri="{C3380CC4-5D6E-409C-BE32-E72D297353CC}">
              <c16:uniqueId val="{00000003-1066-4A85-BA8D-30F30FFDA3C7}"/>
            </c:ext>
          </c:extLst>
        </c:ser>
        <c:ser>
          <c:idx val="4"/>
          <c:order val="4"/>
          <c:tx>
            <c:strRef>
              <c:f>Analysis!$A$12</c:f>
              <c:strCache>
                <c:ptCount val="1"/>
                <c:pt idx="0">
                  <c:v>CNG</c:v>
                </c:pt>
              </c:strCache>
            </c:strRef>
          </c:tx>
          <c:spPr>
            <a:ln w="28575" cap="rnd">
              <a:solidFill>
                <a:schemeClr val="accent5"/>
              </a:solidFill>
              <a:round/>
            </a:ln>
            <a:effectLst/>
          </c:spPr>
          <c:marker>
            <c:symbol val="none"/>
          </c:marker>
          <c:cat>
            <c:numRef>
              <c:f>Analysis!$B$3:$M$3</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Analysis!$B$12:$M$12</c:f>
              <c:numCache>
                <c:formatCode>_("$"* #,##0_);_("$"* \(#,##0\);_("$"* "-"??_);_(@_)</c:formatCode>
                <c:ptCount val="12"/>
                <c:pt idx="0">
                  <c:v>10263.707460997619</c:v>
                </c:pt>
                <c:pt idx="1">
                  <c:v>9931.8157067510547</c:v>
                </c:pt>
                <c:pt idx="2">
                  <c:v>10005.605121101429</c:v>
                </c:pt>
                <c:pt idx="3">
                  <c:v>10351.58132372207</c:v>
                </c:pt>
                <c:pt idx="4">
                  <c:v>10527.118665032483</c:v>
                </c:pt>
                <c:pt idx="5">
                  <c:v>10860.722227781522</c:v>
                </c:pt>
                <c:pt idx="6">
                  <c:v>11147.599986503183</c:v>
                </c:pt>
                <c:pt idx="7">
                  <c:v>11352.51824245229</c:v>
                </c:pt>
                <c:pt idx="8">
                  <c:v>11458.652422133891</c:v>
                </c:pt>
                <c:pt idx="9">
                  <c:v>11471.23955120035</c:v>
                </c:pt>
                <c:pt idx="10">
                  <c:v>12387.546627995276</c:v>
                </c:pt>
                <c:pt idx="11">
                  <c:v>12381.118109734185</c:v>
                </c:pt>
              </c:numCache>
            </c:numRef>
          </c:val>
          <c:smooth val="0"/>
          <c:extLst>
            <c:ext xmlns:c16="http://schemas.microsoft.com/office/drawing/2014/chart" uri="{C3380CC4-5D6E-409C-BE32-E72D297353CC}">
              <c16:uniqueId val="{00000004-1066-4A85-BA8D-30F30FFDA3C7}"/>
            </c:ext>
          </c:extLst>
        </c:ser>
        <c:ser>
          <c:idx val="5"/>
          <c:order val="5"/>
          <c:tx>
            <c:strRef>
              <c:f>Analysis!$A$13</c:f>
              <c:strCache>
                <c:ptCount val="1"/>
                <c:pt idx="0">
                  <c:v>RNG</c:v>
                </c:pt>
              </c:strCache>
            </c:strRef>
          </c:tx>
          <c:spPr>
            <a:ln w="28575" cap="rnd">
              <a:solidFill>
                <a:schemeClr val="accent6"/>
              </a:solidFill>
              <a:round/>
            </a:ln>
            <a:effectLst/>
          </c:spPr>
          <c:marker>
            <c:symbol val="none"/>
          </c:marker>
          <c:cat>
            <c:numRef>
              <c:f>Analysis!$B$3:$M$3</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Analysis!$B$13:$M$13</c:f>
              <c:numCache>
                <c:formatCode>_("$"* #,##0_);_("$"* \(#,##0\);_("$"* "-"??_);_(@_)</c:formatCode>
                <c:ptCount val="12"/>
                <c:pt idx="0">
                  <c:v>3500.4224368430305</c:v>
                </c:pt>
                <c:pt idx="1">
                  <c:v>3168.5306825964649</c:v>
                </c:pt>
                <c:pt idx="2">
                  <c:v>3242.3200969468385</c:v>
                </c:pt>
                <c:pt idx="3">
                  <c:v>3588.2962995674811</c:v>
                </c:pt>
                <c:pt idx="4">
                  <c:v>3763.8336408778923</c:v>
                </c:pt>
                <c:pt idx="5">
                  <c:v>4097.4372036269315</c:v>
                </c:pt>
                <c:pt idx="6">
                  <c:v>4384.3149623485924</c:v>
                </c:pt>
                <c:pt idx="7">
                  <c:v>4589.2332182976988</c:v>
                </c:pt>
                <c:pt idx="8">
                  <c:v>4695.3673979793011</c:v>
                </c:pt>
                <c:pt idx="9">
                  <c:v>4707.9545270457602</c:v>
                </c:pt>
                <c:pt idx="10">
                  <c:v>5624.2616038406868</c:v>
                </c:pt>
                <c:pt idx="11">
                  <c:v>5617.8330855795957</c:v>
                </c:pt>
              </c:numCache>
            </c:numRef>
          </c:val>
          <c:smooth val="0"/>
          <c:extLst>
            <c:ext xmlns:c16="http://schemas.microsoft.com/office/drawing/2014/chart" uri="{C3380CC4-5D6E-409C-BE32-E72D297353CC}">
              <c16:uniqueId val="{00000005-1066-4A85-BA8D-30F30FFDA3C7}"/>
            </c:ext>
          </c:extLst>
        </c:ser>
        <c:ser>
          <c:idx val="6"/>
          <c:order val="6"/>
          <c:tx>
            <c:strRef>
              <c:f>Analysis!$A$14</c:f>
              <c:strCache>
                <c:ptCount val="1"/>
                <c:pt idx="0">
                  <c:v>Electricity</c:v>
                </c:pt>
              </c:strCache>
            </c:strRef>
          </c:tx>
          <c:spPr>
            <a:ln w="28575" cap="rnd">
              <a:solidFill>
                <a:schemeClr val="accent1">
                  <a:lumMod val="60000"/>
                </a:schemeClr>
              </a:solidFill>
              <a:round/>
            </a:ln>
            <a:effectLst/>
          </c:spPr>
          <c:marker>
            <c:symbol val="none"/>
          </c:marker>
          <c:cat>
            <c:numRef>
              <c:f>Analysis!$B$3:$M$3</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Analysis!$B$14:$M$14</c:f>
              <c:numCache>
                <c:formatCode>_("$"* #,##0_);_("$"* \(#,##0\);_("$"* "-"??_);_(@_)</c:formatCode>
                <c:ptCount val="12"/>
                <c:pt idx="0">
                  <c:v>13788.519</c:v>
                </c:pt>
                <c:pt idx="1">
                  <c:v>14143.078339514608</c:v>
                </c:pt>
                <c:pt idx="2">
                  <c:v>14645.226661997436</c:v>
                </c:pt>
                <c:pt idx="3">
                  <c:v>15213.170110560974</c:v>
                </c:pt>
                <c:pt idx="4">
                  <c:v>15757.866909429045</c:v>
                </c:pt>
                <c:pt idx="5">
                  <c:v>16428.337551781435</c:v>
                </c:pt>
                <c:pt idx="6">
                  <c:v>17075.223520509153</c:v>
                </c:pt>
                <c:pt idx="7">
                  <c:v>17595.714389472767</c:v>
                </c:pt>
                <c:pt idx="8">
                  <c:v>17985.907440342893</c:v>
                </c:pt>
                <c:pt idx="9">
                  <c:v>18343.942421799249</c:v>
                </c:pt>
                <c:pt idx="10">
                  <c:v>18689.242329034947</c:v>
                </c:pt>
                <c:pt idx="11">
                  <c:v>19075.277101333402</c:v>
                </c:pt>
              </c:numCache>
            </c:numRef>
          </c:val>
          <c:smooth val="0"/>
          <c:extLst>
            <c:ext xmlns:c16="http://schemas.microsoft.com/office/drawing/2014/chart" uri="{C3380CC4-5D6E-409C-BE32-E72D297353CC}">
              <c16:uniqueId val="{00000006-1066-4A85-BA8D-30F30FFDA3C7}"/>
            </c:ext>
          </c:extLst>
        </c:ser>
        <c:ser>
          <c:idx val="7"/>
          <c:order val="7"/>
          <c:tx>
            <c:strRef>
              <c:f>Analysis!$A$8</c:f>
              <c:strCache>
                <c:ptCount val="1"/>
                <c:pt idx="0">
                  <c:v>Hybrid (B5+DEF)</c:v>
                </c:pt>
              </c:strCache>
            </c:strRef>
          </c:tx>
          <c:spPr>
            <a:ln w="28575" cap="rnd">
              <a:solidFill>
                <a:schemeClr val="accent2">
                  <a:lumMod val="60000"/>
                </a:schemeClr>
              </a:solidFill>
              <a:round/>
            </a:ln>
            <a:effectLst/>
          </c:spPr>
          <c:marker>
            <c:symbol val="none"/>
          </c:marker>
          <c:val>
            <c:numRef>
              <c:f>Analysis!$B$8:$M$8</c:f>
              <c:numCache>
                <c:formatCode>_("$"* #,##0_);_("$"* \(#,##0\);_("$"* "-"??_);_(@_)</c:formatCode>
                <c:ptCount val="12"/>
                <c:pt idx="0">
                  <c:v>14853.205745823539</c:v>
                </c:pt>
                <c:pt idx="1">
                  <c:v>15384.748210316471</c:v>
                </c:pt>
                <c:pt idx="2">
                  <c:v>16135.213140935608</c:v>
                </c:pt>
                <c:pt idx="3">
                  <c:v>16709.246629400346</c:v>
                </c:pt>
                <c:pt idx="4">
                  <c:v>17516.719479614669</c:v>
                </c:pt>
                <c:pt idx="5">
                  <c:v>18103.353072863742</c:v>
                </c:pt>
                <c:pt idx="6">
                  <c:v>18987.969058021405</c:v>
                </c:pt>
                <c:pt idx="7">
                  <c:v>19566.856094210889</c:v>
                </c:pt>
                <c:pt idx="8">
                  <c:v>20457.455772156896</c:v>
                </c:pt>
                <c:pt idx="9">
                  <c:v>21236.720363611774</c:v>
                </c:pt>
                <c:pt idx="10">
                  <c:v>22312.866366945545</c:v>
                </c:pt>
                <c:pt idx="11">
                  <c:v>23170.637558678554</c:v>
                </c:pt>
              </c:numCache>
            </c:numRef>
          </c:val>
          <c:smooth val="0"/>
          <c:extLst>
            <c:ext xmlns:c16="http://schemas.microsoft.com/office/drawing/2014/chart" uri="{C3380CC4-5D6E-409C-BE32-E72D297353CC}">
              <c16:uniqueId val="{00000007-1066-4A85-BA8D-30F30FFDA3C7}"/>
            </c:ext>
          </c:extLst>
        </c:ser>
        <c:ser>
          <c:idx val="8"/>
          <c:order val="8"/>
          <c:tx>
            <c:strRef>
              <c:f>Analysis!$A$9</c:f>
              <c:strCache>
                <c:ptCount val="1"/>
                <c:pt idx="0">
                  <c:v>Hybrid (B20+DEF)</c:v>
                </c:pt>
              </c:strCache>
            </c:strRef>
          </c:tx>
          <c:spPr>
            <a:ln w="28575" cap="rnd">
              <a:solidFill>
                <a:schemeClr val="accent3">
                  <a:lumMod val="60000"/>
                </a:schemeClr>
              </a:solidFill>
              <a:round/>
            </a:ln>
            <a:effectLst/>
          </c:spPr>
          <c:marker>
            <c:symbol val="none"/>
          </c:marker>
          <c:val>
            <c:numRef>
              <c:f>Analysis!$B$9:$M$9</c:f>
              <c:numCache>
                <c:formatCode>_("$"* #,##0_);_("$"* \(#,##0\);_("$"* "-"??_);_(@_)</c:formatCode>
                <c:ptCount val="12"/>
                <c:pt idx="0">
                  <c:v>15043.883711925237</c:v>
                </c:pt>
                <c:pt idx="1">
                  <c:v>15575.426176418168</c:v>
                </c:pt>
                <c:pt idx="2">
                  <c:v>16325.891107037303</c:v>
                </c:pt>
                <c:pt idx="3">
                  <c:v>16899.924595502041</c:v>
                </c:pt>
                <c:pt idx="4">
                  <c:v>17707.397445716368</c:v>
                </c:pt>
                <c:pt idx="5">
                  <c:v>18294.031038965437</c:v>
                </c:pt>
                <c:pt idx="6">
                  <c:v>19178.647024123104</c:v>
                </c:pt>
                <c:pt idx="7">
                  <c:v>19757.534060312588</c:v>
                </c:pt>
                <c:pt idx="8">
                  <c:v>20648.133738258592</c:v>
                </c:pt>
                <c:pt idx="9">
                  <c:v>21427.398329713473</c:v>
                </c:pt>
                <c:pt idx="10">
                  <c:v>22503.544333047244</c:v>
                </c:pt>
                <c:pt idx="11">
                  <c:v>23361.315524780253</c:v>
                </c:pt>
              </c:numCache>
            </c:numRef>
          </c:val>
          <c:smooth val="0"/>
          <c:extLst>
            <c:ext xmlns:c16="http://schemas.microsoft.com/office/drawing/2014/chart" uri="{C3380CC4-5D6E-409C-BE32-E72D297353CC}">
              <c16:uniqueId val="{00000008-1066-4A85-BA8D-30F30FFDA3C7}"/>
            </c:ext>
          </c:extLst>
        </c:ser>
        <c:ser>
          <c:idx val="9"/>
          <c:order val="9"/>
          <c:tx>
            <c:strRef>
              <c:f>Analysis!$A$10</c:f>
              <c:strCache>
                <c:ptCount val="1"/>
                <c:pt idx="0">
                  <c:v>Hybrid (R20+DEF)</c:v>
                </c:pt>
              </c:strCache>
            </c:strRef>
          </c:tx>
          <c:spPr>
            <a:ln w="28575" cap="rnd">
              <a:solidFill>
                <a:schemeClr val="accent4">
                  <a:lumMod val="60000"/>
                </a:schemeClr>
              </a:solidFill>
              <a:round/>
            </a:ln>
            <a:effectLst/>
          </c:spPr>
          <c:marker>
            <c:symbol val="none"/>
          </c:marker>
          <c:val>
            <c:numRef>
              <c:f>Analysis!$B$10:$M$10</c:f>
              <c:numCache>
                <c:formatCode>_("$"* #,##0_);_("$"* \(#,##0\);_("$"* "-"??_);_(@_)</c:formatCode>
                <c:ptCount val="12"/>
                <c:pt idx="0">
                  <c:v>15615.917610230321</c:v>
                </c:pt>
                <c:pt idx="1">
                  <c:v>16147.460074723253</c:v>
                </c:pt>
                <c:pt idx="2">
                  <c:v>16897.925005342389</c:v>
                </c:pt>
                <c:pt idx="3">
                  <c:v>17471.958493807128</c:v>
                </c:pt>
                <c:pt idx="4">
                  <c:v>18279.43134402145</c:v>
                </c:pt>
                <c:pt idx="5">
                  <c:v>18866.064937270523</c:v>
                </c:pt>
                <c:pt idx="6">
                  <c:v>19750.680922428186</c:v>
                </c:pt>
                <c:pt idx="7">
                  <c:v>20329.56795861767</c:v>
                </c:pt>
                <c:pt idx="8">
                  <c:v>21220.167636563678</c:v>
                </c:pt>
                <c:pt idx="9">
                  <c:v>21999.432228018555</c:v>
                </c:pt>
                <c:pt idx="10">
                  <c:v>23075.578231352327</c:v>
                </c:pt>
                <c:pt idx="11">
                  <c:v>23933.349423085336</c:v>
                </c:pt>
              </c:numCache>
            </c:numRef>
          </c:val>
          <c:smooth val="0"/>
          <c:extLst>
            <c:ext xmlns:c16="http://schemas.microsoft.com/office/drawing/2014/chart" uri="{C3380CC4-5D6E-409C-BE32-E72D297353CC}">
              <c16:uniqueId val="{00000009-1066-4A85-BA8D-30F30FFDA3C7}"/>
            </c:ext>
          </c:extLst>
        </c:ser>
        <c:ser>
          <c:idx val="10"/>
          <c:order val="10"/>
          <c:tx>
            <c:strRef>
              <c:f>Analysis!$A$11</c:f>
              <c:strCache>
                <c:ptCount val="1"/>
                <c:pt idx="0">
                  <c:v>Hybrid(R99+DEF)</c:v>
                </c:pt>
              </c:strCache>
            </c:strRef>
          </c:tx>
          <c:spPr>
            <a:ln w="28575" cap="rnd">
              <a:solidFill>
                <a:schemeClr val="accent5">
                  <a:lumMod val="60000"/>
                </a:schemeClr>
              </a:solidFill>
              <a:round/>
            </a:ln>
            <a:effectLst/>
          </c:spPr>
          <c:marker>
            <c:symbol val="none"/>
          </c:marker>
          <c:val>
            <c:numRef>
              <c:f>Analysis!$B$11:$M$11</c:f>
              <c:numCache>
                <c:formatCode>_("$"* #,##0_);_("$"* \(#,##0\);_("$"* "-"??_);_(@_)</c:formatCode>
                <c:ptCount val="12"/>
                <c:pt idx="0">
                  <c:v>16569.307440738794</c:v>
                </c:pt>
                <c:pt idx="1">
                  <c:v>17100.849905231727</c:v>
                </c:pt>
                <c:pt idx="2">
                  <c:v>17851.314835850862</c:v>
                </c:pt>
                <c:pt idx="3">
                  <c:v>18425.348324315601</c:v>
                </c:pt>
                <c:pt idx="4">
                  <c:v>19232.821174529923</c:v>
                </c:pt>
                <c:pt idx="5">
                  <c:v>19819.454767778996</c:v>
                </c:pt>
                <c:pt idx="6">
                  <c:v>20704.070752936659</c:v>
                </c:pt>
                <c:pt idx="7">
                  <c:v>21282.957789126143</c:v>
                </c:pt>
                <c:pt idx="8">
                  <c:v>22173.557467072151</c:v>
                </c:pt>
                <c:pt idx="9">
                  <c:v>22952.822058527028</c:v>
                </c:pt>
                <c:pt idx="10">
                  <c:v>24028.9680618608</c:v>
                </c:pt>
                <c:pt idx="11">
                  <c:v>24886.739253593809</c:v>
                </c:pt>
              </c:numCache>
            </c:numRef>
          </c:val>
          <c:smooth val="0"/>
          <c:extLst>
            <c:ext xmlns:c16="http://schemas.microsoft.com/office/drawing/2014/chart" uri="{C3380CC4-5D6E-409C-BE32-E72D297353CC}">
              <c16:uniqueId val="{0000000A-1066-4A85-BA8D-30F30FFDA3C7}"/>
            </c:ext>
          </c:extLst>
        </c:ser>
        <c:dLbls>
          <c:showLegendKey val="0"/>
          <c:showVal val="0"/>
          <c:showCatName val="0"/>
          <c:showSerName val="0"/>
          <c:showPercent val="0"/>
          <c:showBubbleSize val="0"/>
        </c:dLbls>
        <c:smooth val="0"/>
        <c:axId val="1886273696"/>
        <c:axId val="141174976"/>
      </c:lineChart>
      <c:catAx>
        <c:axId val="1886273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174976"/>
        <c:crosses val="autoZero"/>
        <c:auto val="1"/>
        <c:lblAlgn val="ctr"/>
        <c:lblOffset val="100"/>
        <c:noMultiLvlLbl val="0"/>
      </c:catAx>
      <c:valAx>
        <c:axId val="1411749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627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Maint., Operations &amp; Repairs</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Analysis!$A$18</c:f>
              <c:strCache>
                <c:ptCount val="1"/>
                <c:pt idx="0">
                  <c:v>Diesel (B5)</c:v>
                </c:pt>
              </c:strCache>
            </c:strRef>
          </c:tx>
          <c:spPr>
            <a:ln w="28575" cap="rnd">
              <a:solidFill>
                <a:schemeClr val="accent1"/>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Analysis!$B$18:$M$18</c:f>
              <c:numCache>
                <c:formatCode>_("$"* #,##0_);_("$"* \(#,##0\);_("$"* "-"??_);_(@_)</c:formatCode>
                <c:ptCount val="12"/>
                <c:pt idx="0">
                  <c:v>30720</c:v>
                </c:pt>
                <c:pt idx="1">
                  <c:v>31457.279999999999</c:v>
                </c:pt>
                <c:pt idx="2">
                  <c:v>32212.254720000001</c:v>
                </c:pt>
                <c:pt idx="3">
                  <c:v>32985.348833280004</c:v>
                </c:pt>
                <c:pt idx="4">
                  <c:v>33776.997205278727</c:v>
                </c:pt>
                <c:pt idx="5">
                  <c:v>34587.645138205415</c:v>
                </c:pt>
                <c:pt idx="6">
                  <c:v>35417.748621522347</c:v>
                </c:pt>
                <c:pt idx="7">
                  <c:v>66767.774588438886</c:v>
                </c:pt>
                <c:pt idx="8">
                  <c:v>37138.201178561423</c:v>
                </c:pt>
                <c:pt idx="9">
                  <c:v>38029.518006846898</c:v>
                </c:pt>
                <c:pt idx="10">
                  <c:v>38942.226439011225</c:v>
                </c:pt>
                <c:pt idx="11">
                  <c:v>39876.839873547498</c:v>
                </c:pt>
              </c:numCache>
            </c:numRef>
          </c:val>
          <c:smooth val="0"/>
          <c:extLst>
            <c:ext xmlns:c16="http://schemas.microsoft.com/office/drawing/2014/chart" uri="{C3380CC4-5D6E-409C-BE32-E72D297353CC}">
              <c16:uniqueId val="{00000000-5392-4475-B0C4-232DB279E2CA}"/>
            </c:ext>
          </c:extLst>
        </c:ser>
        <c:ser>
          <c:idx val="1"/>
          <c:order val="1"/>
          <c:tx>
            <c:strRef>
              <c:f>Analysis!$A$19</c:f>
              <c:strCache>
                <c:ptCount val="1"/>
                <c:pt idx="0">
                  <c:v>Bio (B20)</c:v>
                </c:pt>
              </c:strCache>
            </c:strRef>
          </c:tx>
          <c:spPr>
            <a:ln w="28575" cap="rnd">
              <a:solidFill>
                <a:schemeClr val="accent2"/>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Analysis!$B$19:$M$19</c:f>
              <c:numCache>
                <c:formatCode>_("$"* #,##0_);_("$"* \(#,##0\);_("$"* "-"??_);_(@_)</c:formatCode>
                <c:ptCount val="12"/>
                <c:pt idx="0">
                  <c:v>30412.799999999999</c:v>
                </c:pt>
                <c:pt idx="1">
                  <c:v>31142.707200000001</c:v>
                </c:pt>
                <c:pt idx="2">
                  <c:v>31890.1321728</c:v>
                </c:pt>
                <c:pt idx="3">
                  <c:v>32655.495344947201</c:v>
                </c:pt>
                <c:pt idx="4">
                  <c:v>33439.227233225938</c:v>
                </c:pt>
                <c:pt idx="5">
                  <c:v>34241.768686823358</c:v>
                </c:pt>
                <c:pt idx="6">
                  <c:v>35063.571135307116</c:v>
                </c:pt>
                <c:pt idx="7">
                  <c:v>66405.096842554485</c:v>
                </c:pt>
                <c:pt idx="8">
                  <c:v>36766.819166775793</c:v>
                </c:pt>
                <c:pt idx="9">
                  <c:v>37649.222826778416</c:v>
                </c:pt>
                <c:pt idx="10">
                  <c:v>38552.804174621102</c:v>
                </c:pt>
                <c:pt idx="11">
                  <c:v>39478.071474812008</c:v>
                </c:pt>
              </c:numCache>
            </c:numRef>
          </c:val>
          <c:smooth val="0"/>
          <c:extLst>
            <c:ext xmlns:c16="http://schemas.microsoft.com/office/drawing/2014/chart" uri="{C3380CC4-5D6E-409C-BE32-E72D297353CC}">
              <c16:uniqueId val="{00000001-5392-4475-B0C4-232DB279E2CA}"/>
            </c:ext>
          </c:extLst>
        </c:ser>
        <c:ser>
          <c:idx val="2"/>
          <c:order val="2"/>
          <c:tx>
            <c:strRef>
              <c:f>Analysis!$A$20</c:f>
              <c:strCache>
                <c:ptCount val="1"/>
                <c:pt idx="0">
                  <c:v>RD (R20)</c:v>
                </c:pt>
              </c:strCache>
            </c:strRef>
          </c:tx>
          <c:spPr>
            <a:ln w="28575" cap="rnd">
              <a:solidFill>
                <a:schemeClr val="accent3"/>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Analysis!$B$20:$M$20</c:f>
              <c:numCache>
                <c:formatCode>_("$"* #,##0_);_("$"* \(#,##0\);_("$"* "-"??_);_(@_)</c:formatCode>
                <c:ptCount val="12"/>
                <c:pt idx="0">
                  <c:v>30105.600000000002</c:v>
                </c:pt>
                <c:pt idx="1">
                  <c:v>30828.134400000003</c:v>
                </c:pt>
                <c:pt idx="2">
                  <c:v>31568.009625600003</c:v>
                </c:pt>
                <c:pt idx="3">
                  <c:v>32325.641856614406</c:v>
                </c:pt>
                <c:pt idx="4">
                  <c:v>33101.457261173149</c:v>
                </c:pt>
                <c:pt idx="5">
                  <c:v>33895.892235441308</c:v>
                </c:pt>
                <c:pt idx="6">
                  <c:v>34709.3936490919</c:v>
                </c:pt>
                <c:pt idx="7">
                  <c:v>66042.419096670114</c:v>
                </c:pt>
                <c:pt idx="8">
                  <c:v>36395.437154990192</c:v>
                </c:pt>
                <c:pt idx="9">
                  <c:v>37268.927646709955</c:v>
                </c:pt>
                <c:pt idx="10">
                  <c:v>38163.381910230994</c:v>
                </c:pt>
                <c:pt idx="11">
                  <c:v>39079.30307607654</c:v>
                </c:pt>
              </c:numCache>
            </c:numRef>
          </c:val>
          <c:smooth val="0"/>
          <c:extLst>
            <c:ext xmlns:c16="http://schemas.microsoft.com/office/drawing/2014/chart" uri="{C3380CC4-5D6E-409C-BE32-E72D297353CC}">
              <c16:uniqueId val="{00000002-5392-4475-B0C4-232DB279E2CA}"/>
            </c:ext>
          </c:extLst>
        </c:ser>
        <c:ser>
          <c:idx val="3"/>
          <c:order val="3"/>
          <c:tx>
            <c:strRef>
              <c:f>Analysis!$A$21</c:f>
              <c:strCache>
                <c:ptCount val="1"/>
                <c:pt idx="0">
                  <c:v>RD (R99)</c:v>
                </c:pt>
              </c:strCache>
            </c:strRef>
          </c:tx>
          <c:spPr>
            <a:ln w="28575" cap="rnd">
              <a:solidFill>
                <a:schemeClr val="accent4"/>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Analysis!$B$21:$M$21</c:f>
              <c:numCache>
                <c:formatCode>_("$"* #,##0_);_("$"* \(#,##0\);_("$"* "-"??_);_(@_)</c:formatCode>
                <c:ptCount val="12"/>
                <c:pt idx="0">
                  <c:v>29184</c:v>
                </c:pt>
                <c:pt idx="1">
                  <c:v>29884.416000000001</c:v>
                </c:pt>
                <c:pt idx="2">
                  <c:v>30601.641984000002</c:v>
                </c:pt>
                <c:pt idx="3">
                  <c:v>31336.081391616004</c:v>
                </c:pt>
                <c:pt idx="4">
                  <c:v>32088.14734501479</c:v>
                </c:pt>
                <c:pt idx="5">
                  <c:v>32858.262881295144</c:v>
                </c:pt>
                <c:pt idx="6">
                  <c:v>33646.86119044623</c:v>
                </c:pt>
                <c:pt idx="7">
                  <c:v>64954.38585901694</c:v>
                </c:pt>
                <c:pt idx="8">
                  <c:v>35281.291119633344</c:v>
                </c:pt>
                <c:pt idx="9">
                  <c:v>36128.042106504545</c:v>
                </c:pt>
                <c:pt idx="10">
                  <c:v>36995.115117060654</c:v>
                </c:pt>
                <c:pt idx="11">
                  <c:v>37882.997879870112</c:v>
                </c:pt>
              </c:numCache>
            </c:numRef>
          </c:val>
          <c:smooth val="0"/>
          <c:extLst>
            <c:ext xmlns:c16="http://schemas.microsoft.com/office/drawing/2014/chart" uri="{C3380CC4-5D6E-409C-BE32-E72D297353CC}">
              <c16:uniqueId val="{00000003-5392-4475-B0C4-232DB279E2CA}"/>
            </c:ext>
          </c:extLst>
        </c:ser>
        <c:ser>
          <c:idx val="4"/>
          <c:order val="4"/>
          <c:tx>
            <c:strRef>
              <c:f>Analysis!$A$22</c:f>
              <c:strCache>
                <c:ptCount val="1"/>
                <c:pt idx="0">
                  <c:v>Hybrid (B5)</c:v>
                </c:pt>
              </c:strCache>
            </c:strRef>
          </c:tx>
          <c:spPr>
            <a:ln w="28575" cap="rnd">
              <a:solidFill>
                <a:schemeClr val="accent5"/>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Analysis!$B$22:$M$22</c:f>
              <c:numCache>
                <c:formatCode>_("$"* #,##0_);_("$"* \(#,##0\);_("$"* "-"??_);_(@_)</c:formatCode>
                <c:ptCount val="12"/>
                <c:pt idx="0">
                  <c:v>28800</c:v>
                </c:pt>
                <c:pt idx="1">
                  <c:v>29491.200000000001</c:v>
                </c:pt>
                <c:pt idx="2">
                  <c:v>30198.988800000003</c:v>
                </c:pt>
                <c:pt idx="3">
                  <c:v>30923.764531200002</c:v>
                </c:pt>
                <c:pt idx="4">
                  <c:v>31665.934879948803</c:v>
                </c:pt>
                <c:pt idx="5">
                  <c:v>32425.917317067575</c:v>
                </c:pt>
                <c:pt idx="6">
                  <c:v>33204.139332677194</c:v>
                </c:pt>
                <c:pt idx="7">
                  <c:v>80301.038676661439</c:v>
                </c:pt>
                <c:pt idx="8">
                  <c:v>34001.038676661447</c:v>
                </c:pt>
                <c:pt idx="9">
                  <c:v>34817.063604901319</c:v>
                </c:pt>
                <c:pt idx="10">
                  <c:v>35652.673131418953</c:v>
                </c:pt>
                <c:pt idx="11">
                  <c:v>36508.337286573005</c:v>
                </c:pt>
              </c:numCache>
            </c:numRef>
          </c:val>
          <c:smooth val="0"/>
          <c:extLst>
            <c:ext xmlns:c16="http://schemas.microsoft.com/office/drawing/2014/chart" uri="{C3380CC4-5D6E-409C-BE32-E72D297353CC}">
              <c16:uniqueId val="{00000004-5392-4475-B0C4-232DB279E2CA}"/>
            </c:ext>
          </c:extLst>
        </c:ser>
        <c:ser>
          <c:idx val="5"/>
          <c:order val="5"/>
          <c:tx>
            <c:strRef>
              <c:f>Analysis!$A$23</c:f>
              <c:strCache>
                <c:ptCount val="1"/>
                <c:pt idx="0">
                  <c:v>Hybrid (B20)</c:v>
                </c:pt>
              </c:strCache>
            </c:strRef>
          </c:tx>
          <c:spPr>
            <a:ln w="28575" cap="rnd">
              <a:solidFill>
                <a:schemeClr val="accent6"/>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Analysis!$B$23:$M$23</c:f>
              <c:numCache>
                <c:formatCode>_("$"* #,##0_);_("$"* \(#,##0\);_("$"* "-"??_);_(@_)</c:formatCode>
                <c:ptCount val="12"/>
                <c:pt idx="0">
                  <c:v>28500</c:v>
                </c:pt>
                <c:pt idx="1">
                  <c:v>29184</c:v>
                </c:pt>
                <c:pt idx="2">
                  <c:v>29884.416000000001</c:v>
                </c:pt>
                <c:pt idx="3">
                  <c:v>30601.641984000002</c:v>
                </c:pt>
                <c:pt idx="4">
                  <c:v>31336.081391616004</c:v>
                </c:pt>
                <c:pt idx="5">
                  <c:v>32088.14734501479</c:v>
                </c:pt>
                <c:pt idx="6">
                  <c:v>32858.262881295144</c:v>
                </c:pt>
                <c:pt idx="7">
                  <c:v>79946.86119044623</c:v>
                </c:pt>
                <c:pt idx="8">
                  <c:v>33646.86119044623</c:v>
                </c:pt>
                <c:pt idx="9">
                  <c:v>34454.38585901694</c:v>
                </c:pt>
                <c:pt idx="10">
                  <c:v>35281.291119633344</c:v>
                </c:pt>
                <c:pt idx="11">
                  <c:v>36128.042106504545</c:v>
                </c:pt>
              </c:numCache>
            </c:numRef>
          </c:val>
          <c:smooth val="0"/>
          <c:extLst>
            <c:ext xmlns:c16="http://schemas.microsoft.com/office/drawing/2014/chart" uri="{C3380CC4-5D6E-409C-BE32-E72D297353CC}">
              <c16:uniqueId val="{00000005-5392-4475-B0C4-232DB279E2CA}"/>
            </c:ext>
          </c:extLst>
        </c:ser>
        <c:ser>
          <c:idx val="6"/>
          <c:order val="6"/>
          <c:tx>
            <c:strRef>
              <c:f>Analysis!$A$24</c:f>
              <c:strCache>
                <c:ptCount val="1"/>
                <c:pt idx="0">
                  <c:v>Hybrid (R20)</c:v>
                </c:pt>
              </c:strCache>
            </c:strRef>
          </c:tx>
          <c:spPr>
            <a:ln w="28575" cap="rnd">
              <a:solidFill>
                <a:schemeClr val="accent1">
                  <a:lumMod val="60000"/>
                </a:schemeClr>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Analysis!$B$24:$M$24</c:f>
              <c:numCache>
                <c:formatCode>_("$"* #,##0_);_("$"* \(#,##0\);_("$"* "-"??_);_(@_)</c:formatCode>
                <c:ptCount val="12"/>
                <c:pt idx="0">
                  <c:v>28200</c:v>
                </c:pt>
                <c:pt idx="1">
                  <c:v>28876.799999999999</c:v>
                </c:pt>
                <c:pt idx="2">
                  <c:v>29569.843199999999</c:v>
                </c:pt>
                <c:pt idx="3">
                  <c:v>30279.519436800001</c:v>
                </c:pt>
                <c:pt idx="4">
                  <c:v>31006.227903283201</c:v>
                </c:pt>
                <c:pt idx="5">
                  <c:v>31750.377372961997</c:v>
                </c:pt>
                <c:pt idx="6">
                  <c:v>32512.386429913087</c:v>
                </c:pt>
                <c:pt idx="7">
                  <c:v>79592.683704230993</c:v>
                </c:pt>
                <c:pt idx="8">
                  <c:v>33292.683704231</c:v>
                </c:pt>
                <c:pt idx="9">
                  <c:v>34091.708113132547</c:v>
                </c:pt>
                <c:pt idx="10">
                  <c:v>34909.909107847729</c:v>
                </c:pt>
                <c:pt idx="11">
                  <c:v>35747.746926436077</c:v>
                </c:pt>
              </c:numCache>
            </c:numRef>
          </c:val>
          <c:smooth val="0"/>
          <c:extLst>
            <c:ext xmlns:c16="http://schemas.microsoft.com/office/drawing/2014/chart" uri="{C3380CC4-5D6E-409C-BE32-E72D297353CC}">
              <c16:uniqueId val="{00000006-5392-4475-B0C4-232DB279E2CA}"/>
            </c:ext>
          </c:extLst>
        </c:ser>
        <c:ser>
          <c:idx val="7"/>
          <c:order val="7"/>
          <c:tx>
            <c:strRef>
              <c:f>Analysis!$A$25</c:f>
              <c:strCache>
                <c:ptCount val="1"/>
                <c:pt idx="0">
                  <c:v>Hybrid(R99)</c:v>
                </c:pt>
              </c:strCache>
            </c:strRef>
          </c:tx>
          <c:spPr>
            <a:ln w="28575" cap="rnd">
              <a:solidFill>
                <a:schemeClr val="accent2">
                  <a:lumMod val="60000"/>
                </a:schemeClr>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Analysis!$B$25:$M$25</c:f>
              <c:numCache>
                <c:formatCode>_("$"* #,##0_);_("$"* \(#,##0\);_("$"* "-"??_);_(@_)</c:formatCode>
                <c:ptCount val="12"/>
                <c:pt idx="0">
                  <c:v>27300</c:v>
                </c:pt>
                <c:pt idx="1">
                  <c:v>27955.200000000001</c:v>
                </c:pt>
                <c:pt idx="2">
                  <c:v>28626.124800000001</c:v>
                </c:pt>
                <c:pt idx="3">
                  <c:v>29313.151795200003</c:v>
                </c:pt>
                <c:pt idx="4">
                  <c:v>30016.667438284803</c:v>
                </c:pt>
                <c:pt idx="5">
                  <c:v>30737.067456803637</c:v>
                </c:pt>
                <c:pt idx="6">
                  <c:v>31474.757075766924</c:v>
                </c:pt>
                <c:pt idx="7">
                  <c:v>78530.151245585323</c:v>
                </c:pt>
                <c:pt idx="8">
                  <c:v>32230.15124558533</c:v>
                </c:pt>
                <c:pt idx="9">
                  <c:v>33003.674875479381</c:v>
                </c:pt>
                <c:pt idx="10">
                  <c:v>33795.763072490889</c:v>
                </c:pt>
                <c:pt idx="11">
                  <c:v>34606.861386230674</c:v>
                </c:pt>
              </c:numCache>
            </c:numRef>
          </c:val>
          <c:smooth val="0"/>
          <c:extLst>
            <c:ext xmlns:c16="http://schemas.microsoft.com/office/drawing/2014/chart" uri="{C3380CC4-5D6E-409C-BE32-E72D297353CC}">
              <c16:uniqueId val="{00000007-5392-4475-B0C4-232DB279E2CA}"/>
            </c:ext>
          </c:extLst>
        </c:ser>
        <c:ser>
          <c:idx val="8"/>
          <c:order val="8"/>
          <c:tx>
            <c:strRef>
              <c:f>Analysis!$A$26</c:f>
              <c:strCache>
                <c:ptCount val="1"/>
                <c:pt idx="0">
                  <c:v>CNG</c:v>
                </c:pt>
              </c:strCache>
            </c:strRef>
          </c:tx>
          <c:spPr>
            <a:ln w="28575" cap="rnd">
              <a:solidFill>
                <a:schemeClr val="accent3">
                  <a:lumMod val="60000"/>
                </a:schemeClr>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Analysis!$B$26:$M$26</c:f>
              <c:numCache>
                <c:formatCode>_("$"* #,##0_);_("$"* \(#,##0\);_("$"* "-"??_);_(@_)</c:formatCode>
                <c:ptCount val="12"/>
                <c:pt idx="0">
                  <c:v>31180.799999999996</c:v>
                </c:pt>
                <c:pt idx="1">
                  <c:v>31929.139199999998</c:v>
                </c:pt>
                <c:pt idx="2">
                  <c:v>32695.438540799998</c:v>
                </c:pt>
                <c:pt idx="3">
                  <c:v>33480.129065779198</c:v>
                </c:pt>
                <c:pt idx="4">
                  <c:v>34283.652163357896</c:v>
                </c:pt>
                <c:pt idx="5">
                  <c:v>35106.459815278489</c:v>
                </c:pt>
                <c:pt idx="6">
                  <c:v>35949.014850845175</c:v>
                </c:pt>
                <c:pt idx="7">
                  <c:v>70361.791207265458</c:v>
                </c:pt>
                <c:pt idx="8">
                  <c:v>37695.274196239829</c:v>
                </c:pt>
                <c:pt idx="9">
                  <c:v>38599.960776949585</c:v>
                </c:pt>
                <c:pt idx="10">
                  <c:v>39526.359835596377</c:v>
                </c:pt>
                <c:pt idx="11">
                  <c:v>40474.992471650694</c:v>
                </c:pt>
              </c:numCache>
            </c:numRef>
          </c:val>
          <c:smooth val="0"/>
          <c:extLst>
            <c:ext xmlns:c16="http://schemas.microsoft.com/office/drawing/2014/chart" uri="{C3380CC4-5D6E-409C-BE32-E72D297353CC}">
              <c16:uniqueId val="{00000008-5392-4475-B0C4-232DB279E2CA}"/>
            </c:ext>
          </c:extLst>
        </c:ser>
        <c:ser>
          <c:idx val="9"/>
          <c:order val="9"/>
          <c:tx>
            <c:strRef>
              <c:f>Analysis!$A$27</c:f>
              <c:strCache>
                <c:ptCount val="1"/>
                <c:pt idx="0">
                  <c:v>RNG</c:v>
                </c:pt>
              </c:strCache>
            </c:strRef>
          </c:tx>
          <c:spPr>
            <a:ln w="28575" cap="rnd">
              <a:solidFill>
                <a:schemeClr val="accent4">
                  <a:lumMod val="60000"/>
                </a:schemeClr>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Analysis!$B$27:$M$27</c:f>
              <c:numCache>
                <c:formatCode>_("$"* #,##0_);_("$"* \(#,##0\);_("$"* "-"??_);_(@_)</c:formatCode>
                <c:ptCount val="12"/>
                <c:pt idx="0">
                  <c:v>31180.799999999996</c:v>
                </c:pt>
                <c:pt idx="1">
                  <c:v>31929.139199999998</c:v>
                </c:pt>
                <c:pt idx="2">
                  <c:v>32695.438540799998</c:v>
                </c:pt>
                <c:pt idx="3">
                  <c:v>33480.129065779198</c:v>
                </c:pt>
                <c:pt idx="4">
                  <c:v>34283.652163357896</c:v>
                </c:pt>
                <c:pt idx="5">
                  <c:v>35106.459815278489</c:v>
                </c:pt>
                <c:pt idx="6">
                  <c:v>35949.014850845175</c:v>
                </c:pt>
                <c:pt idx="7">
                  <c:v>70361.791207265458</c:v>
                </c:pt>
                <c:pt idx="8">
                  <c:v>37695.274196239829</c:v>
                </c:pt>
                <c:pt idx="9">
                  <c:v>38599.960776949585</c:v>
                </c:pt>
                <c:pt idx="10">
                  <c:v>39526.359835596377</c:v>
                </c:pt>
                <c:pt idx="11">
                  <c:v>40474.992471650694</c:v>
                </c:pt>
              </c:numCache>
            </c:numRef>
          </c:val>
          <c:smooth val="0"/>
          <c:extLst>
            <c:ext xmlns:c16="http://schemas.microsoft.com/office/drawing/2014/chart" uri="{C3380CC4-5D6E-409C-BE32-E72D297353CC}">
              <c16:uniqueId val="{00000009-5392-4475-B0C4-232DB279E2CA}"/>
            </c:ext>
          </c:extLst>
        </c:ser>
        <c:ser>
          <c:idx val="10"/>
          <c:order val="10"/>
          <c:tx>
            <c:strRef>
              <c:f>Analysis!$A$28</c:f>
              <c:strCache>
                <c:ptCount val="1"/>
                <c:pt idx="0">
                  <c:v>Electricity</c:v>
                </c:pt>
              </c:strCache>
            </c:strRef>
          </c:tx>
          <c:spPr>
            <a:ln w="28575" cap="rnd">
              <a:solidFill>
                <a:schemeClr val="accent5">
                  <a:lumMod val="60000"/>
                </a:schemeClr>
              </a:solidFill>
              <a:round/>
            </a:ln>
            <a:effectLst/>
          </c:spPr>
          <c:marker>
            <c:symbol val="none"/>
          </c:marker>
          <c:cat>
            <c:numRef>
              <c:f>Analysis!$B$17:$M$17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Analysis!$B$28:$M$28</c:f>
              <c:numCache>
                <c:formatCode>_("$"* #,##0_);_("$"* \(#,##0\);_("$"* "-"??_);_(@_)</c:formatCode>
                <c:ptCount val="12"/>
                <c:pt idx="0">
                  <c:v>28569.600000000002</c:v>
                </c:pt>
                <c:pt idx="1">
                  <c:v>29255.270400000001</c:v>
                </c:pt>
                <c:pt idx="2">
                  <c:v>29957.396889600001</c:v>
                </c:pt>
                <c:pt idx="3">
                  <c:v>30676.374414950402</c:v>
                </c:pt>
                <c:pt idx="4">
                  <c:v>31412.607400909212</c:v>
                </c:pt>
                <c:pt idx="5">
                  <c:v>32166.509978531034</c:v>
                </c:pt>
                <c:pt idx="6">
                  <c:v>32938.506218015777</c:v>
                </c:pt>
                <c:pt idx="7">
                  <c:v>33729.030367248153</c:v>
                </c:pt>
                <c:pt idx="8">
                  <c:v>34538.527096062113</c:v>
                </c:pt>
                <c:pt idx="9">
                  <c:v>35367.451746367602</c:v>
                </c:pt>
                <c:pt idx="10">
                  <c:v>36216.270588280422</c:v>
                </c:pt>
                <c:pt idx="11">
                  <c:v>37085.461082399153</c:v>
                </c:pt>
              </c:numCache>
            </c:numRef>
          </c:val>
          <c:smooth val="0"/>
          <c:extLst>
            <c:ext xmlns:c16="http://schemas.microsoft.com/office/drawing/2014/chart" uri="{C3380CC4-5D6E-409C-BE32-E72D297353CC}">
              <c16:uniqueId val="{0000000A-5392-4475-B0C4-232DB279E2CA}"/>
            </c:ext>
          </c:extLst>
        </c:ser>
        <c:dLbls>
          <c:showLegendKey val="0"/>
          <c:showVal val="0"/>
          <c:showCatName val="0"/>
          <c:showSerName val="0"/>
          <c:showPercent val="0"/>
          <c:showBubbleSize val="0"/>
        </c:dLbls>
        <c:smooth val="0"/>
        <c:axId val="272085024"/>
        <c:axId val="1877435648"/>
      </c:lineChart>
      <c:catAx>
        <c:axId val="27208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7435648"/>
        <c:crosses val="autoZero"/>
        <c:auto val="1"/>
        <c:lblAlgn val="ctr"/>
        <c:lblOffset val="100"/>
        <c:noMultiLvlLbl val="0"/>
      </c:catAx>
      <c:valAx>
        <c:axId val="187743564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08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Cumulative Total Cost (No</a:t>
            </a:r>
            <a:r>
              <a:rPr lang="en-US" baseline="0"/>
              <a:t> fueling Inf. or Driver Pay)</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Analysis!$A$69</c:f>
              <c:strCache>
                <c:ptCount val="1"/>
                <c:pt idx="0">
                  <c:v>Diesel (B5)</c:v>
                </c:pt>
              </c:strCache>
            </c:strRef>
          </c:tx>
          <c:spPr>
            <a:ln w="28575" cap="rnd">
              <a:solidFill>
                <a:schemeClr val="accent1"/>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Analysis!$B$69:$M$69</c:f>
              <c:numCache>
                <c:formatCode>_("$"* #,##0_);_("$"* \(#,##0\);_("$"* "-"??_);_(@_)</c:formatCode>
                <c:ptCount val="12"/>
                <c:pt idx="0">
                  <c:v>527973.10413533507</c:v>
                </c:pt>
                <c:pt idx="1">
                  <c:v>577350.40238477802</c:v>
                </c:pt>
                <c:pt idx="2">
                  <c:v>628347.39593598968</c:v>
                </c:pt>
                <c:pt idx="3">
                  <c:v>680781.27412493003</c:v>
                </c:pt>
                <c:pt idx="4">
                  <c:v>734936.95872249024</c:v>
                </c:pt>
                <c:pt idx="5">
                  <c:v>790581.90066282777</c:v>
                </c:pt>
                <c:pt idx="6">
                  <c:v>848075.51918409346</c:v>
                </c:pt>
                <c:pt idx="7">
                  <c:v>937589.41683873942</c:v>
                </c:pt>
                <c:pt idx="8">
                  <c:v>998499.62316307588</c:v>
                </c:pt>
                <c:pt idx="9">
                  <c:v>1061200.3479372151</c:v>
                </c:pt>
                <c:pt idx="10">
                  <c:v>1126051.7146114761</c:v>
                </c:pt>
                <c:pt idx="11">
                  <c:v>1192826.9243571588</c:v>
                </c:pt>
              </c:numCache>
            </c:numRef>
          </c:val>
          <c:smooth val="0"/>
          <c:extLst>
            <c:ext xmlns:c16="http://schemas.microsoft.com/office/drawing/2014/chart" uri="{C3380CC4-5D6E-409C-BE32-E72D297353CC}">
              <c16:uniqueId val="{00000000-4340-4420-B66A-42233CB489B2}"/>
            </c:ext>
          </c:extLst>
        </c:ser>
        <c:ser>
          <c:idx val="1"/>
          <c:order val="1"/>
          <c:tx>
            <c:strRef>
              <c:f>Analysis!$A$70</c:f>
              <c:strCache>
                <c:ptCount val="1"/>
                <c:pt idx="0">
                  <c:v>Bio (B20)</c:v>
                </c:pt>
              </c:strCache>
            </c:strRef>
          </c:tx>
          <c:spPr>
            <a:ln w="28575" cap="rnd">
              <a:solidFill>
                <a:schemeClr val="accent2"/>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Analysis!$B$70:$M$70</c:f>
              <c:numCache>
                <c:formatCode>_("$"* #,##0_);_("$"* \(#,##0\);_("$"* "-"??_);_(@_)</c:formatCode>
                <c:ptCount val="12"/>
                <c:pt idx="0">
                  <c:v>527846.19399040751</c:v>
                </c:pt>
                <c:pt idx="1">
                  <c:v>577088.31886014028</c:v>
                </c:pt>
                <c:pt idx="2">
                  <c:v>627941.6774792244</c:v>
                </c:pt>
                <c:pt idx="3">
                  <c:v>680223.25610636175</c:v>
                </c:pt>
                <c:pt idx="4">
                  <c:v>734217.76856133132</c:v>
                </c:pt>
                <c:pt idx="5">
                  <c:v>789692.45283635182</c:v>
                </c:pt>
                <c:pt idx="6">
                  <c:v>847006.51011702837</c:v>
                </c:pt>
                <c:pt idx="7">
                  <c:v>936331.31967000687</c:v>
                </c:pt>
                <c:pt idx="8">
                  <c:v>997042.68238693138</c:v>
                </c:pt>
                <c:pt idx="9">
                  <c:v>1059534.5739157763</c:v>
                </c:pt>
                <c:pt idx="10">
                  <c:v>1124166.8779555517</c:v>
                </c:pt>
                <c:pt idx="11">
                  <c:v>1190712.550172217</c:v>
                </c:pt>
              </c:numCache>
            </c:numRef>
          </c:val>
          <c:smooth val="0"/>
          <c:extLst>
            <c:ext xmlns:c16="http://schemas.microsoft.com/office/drawing/2014/chart" uri="{C3380CC4-5D6E-409C-BE32-E72D297353CC}">
              <c16:uniqueId val="{00000001-4340-4420-B66A-42233CB489B2}"/>
            </c:ext>
          </c:extLst>
        </c:ser>
        <c:ser>
          <c:idx val="2"/>
          <c:order val="2"/>
          <c:tx>
            <c:strRef>
              <c:f>Analysis!$A$71</c:f>
              <c:strCache>
                <c:ptCount val="1"/>
                <c:pt idx="0">
                  <c:v>RD (R20)</c:v>
                </c:pt>
              </c:strCache>
            </c:strRef>
          </c:tx>
          <c:spPr>
            <a:ln w="28575" cap="rnd">
              <a:solidFill>
                <a:schemeClr val="accent3"/>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Analysis!$B$71:$M$71</c:f>
              <c:numCache>
                <c:formatCode>_("$"* #,##0_);_("$"* \(#,##0\);_("$"* "-"??_);_(@_)</c:formatCode>
                <c:ptCount val="12"/>
                <c:pt idx="0">
                  <c:v>528191.16790345102</c:v>
                </c:pt>
                <c:pt idx="1">
                  <c:v>577770.89388622728</c:v>
                </c:pt>
                <c:pt idx="2">
                  <c:v>628954.30387115479</c:v>
                </c:pt>
                <c:pt idx="3">
                  <c:v>681558.20292300289</c:v>
                </c:pt>
                <c:pt idx="4">
                  <c:v>735867.11931896314</c:v>
                </c:pt>
                <c:pt idx="5">
                  <c:v>791648.10105564503</c:v>
                </c:pt>
                <c:pt idx="6">
                  <c:v>849260.15476314991</c:v>
                </c:pt>
                <c:pt idx="7">
                  <c:v>938874.46048328746</c:v>
                </c:pt>
                <c:pt idx="8">
                  <c:v>999866.61510146991</c:v>
                </c:pt>
                <c:pt idx="9">
                  <c:v>1062630.3853632899</c:v>
                </c:pt>
                <c:pt idx="10">
                  <c:v>1127525.4410517185</c:v>
                </c:pt>
                <c:pt idx="11">
                  <c:v>1194324.5187826918</c:v>
                </c:pt>
              </c:numCache>
            </c:numRef>
          </c:val>
          <c:smooth val="0"/>
          <c:extLst>
            <c:ext xmlns:c16="http://schemas.microsoft.com/office/drawing/2014/chart" uri="{C3380CC4-5D6E-409C-BE32-E72D297353CC}">
              <c16:uniqueId val="{00000002-4340-4420-B66A-42233CB489B2}"/>
            </c:ext>
          </c:extLst>
        </c:ser>
        <c:ser>
          <c:idx val="3"/>
          <c:order val="3"/>
          <c:tx>
            <c:strRef>
              <c:f>Analysis!$A$72</c:f>
              <c:strCache>
                <c:ptCount val="1"/>
                <c:pt idx="0">
                  <c:v>RD (R99)</c:v>
                </c:pt>
              </c:strCache>
            </c:strRef>
          </c:tx>
          <c:spPr>
            <a:ln w="28575" cap="rnd">
              <a:solidFill>
                <a:schemeClr val="accent4"/>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Analysis!$B$72:$M$72</c:f>
              <c:numCache>
                <c:formatCode>_("$"* #,##0_);_("$"* \(#,##0\);_("$"* "-"??_);_(@_)</c:formatCode>
                <c:ptCount val="12"/>
                <c:pt idx="0">
                  <c:v>528319.42297591479</c:v>
                </c:pt>
                <c:pt idx="1">
                  <c:v>578004.39519637218</c:v>
                </c:pt>
                <c:pt idx="2">
                  <c:v>629269.49037216348</c:v>
                </c:pt>
                <c:pt idx="3">
                  <c:v>681930.94810293429</c:v>
                </c:pt>
                <c:pt idx="4">
                  <c:v>736272.71762958972</c:v>
                </c:pt>
                <c:pt idx="5">
                  <c:v>792061.2540155818</c:v>
                </c:pt>
                <c:pt idx="6">
                  <c:v>849654.9567274584</c:v>
                </c:pt>
                <c:pt idx="7">
                  <c:v>939224.38407155091</c:v>
                </c:pt>
                <c:pt idx="8">
                  <c:v>1000144.4962761415</c:v>
                </c:pt>
                <c:pt idx="9">
                  <c:v>1062808.4081499218</c:v>
                </c:pt>
                <c:pt idx="10">
                  <c:v>1127575.121892476</c:v>
                </c:pt>
                <c:pt idx="11">
                  <c:v>1194216.6905143522</c:v>
                </c:pt>
              </c:numCache>
            </c:numRef>
          </c:val>
          <c:smooth val="0"/>
          <c:extLst>
            <c:ext xmlns:c16="http://schemas.microsoft.com/office/drawing/2014/chart" uri="{C3380CC4-5D6E-409C-BE32-E72D297353CC}">
              <c16:uniqueId val="{00000003-4340-4420-B66A-42233CB489B2}"/>
            </c:ext>
          </c:extLst>
        </c:ser>
        <c:ser>
          <c:idx val="4"/>
          <c:order val="4"/>
          <c:tx>
            <c:strRef>
              <c:f>Analysis!$A$73</c:f>
              <c:strCache>
                <c:ptCount val="1"/>
                <c:pt idx="0">
                  <c:v>Hybrid (B5)</c:v>
                </c:pt>
              </c:strCache>
            </c:strRef>
          </c:tx>
          <c:spPr>
            <a:ln w="28575" cap="rnd">
              <a:solidFill>
                <a:schemeClr val="accent5"/>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Analysis!$B$73:$M$73</c:f>
              <c:numCache>
                <c:formatCode>_("$"* #,##0_);_("$"* \(#,##0\);_("$"* "-"??_);_(@_)</c:formatCode>
                <c:ptCount val="12"/>
                <c:pt idx="0">
                  <c:v>695198.20574582356</c:v>
                </c:pt>
                <c:pt idx="1">
                  <c:v>740074.15395614004</c:v>
                </c:pt>
                <c:pt idx="2">
                  <c:v>786408.35589707561</c:v>
                </c:pt>
                <c:pt idx="3">
                  <c:v>834041.36705767596</c:v>
                </c:pt>
                <c:pt idx="4">
                  <c:v>883224.02141723945</c:v>
                </c:pt>
                <c:pt idx="5">
                  <c:v>933753.29180717072</c:v>
                </c:pt>
                <c:pt idx="6">
                  <c:v>985945.40019786928</c:v>
                </c:pt>
                <c:pt idx="7">
                  <c:v>1085813.2949687417</c:v>
                </c:pt>
                <c:pt idx="8">
                  <c:v>1140271.78941756</c:v>
                </c:pt>
                <c:pt idx="9">
                  <c:v>1196325.5733860731</c:v>
                </c:pt>
                <c:pt idx="10">
                  <c:v>1254291.1128844377</c:v>
                </c:pt>
                <c:pt idx="11">
                  <c:v>1313970.0877296892</c:v>
                </c:pt>
              </c:numCache>
            </c:numRef>
          </c:val>
          <c:smooth val="0"/>
          <c:extLst>
            <c:ext xmlns:c16="http://schemas.microsoft.com/office/drawing/2014/chart" uri="{C3380CC4-5D6E-409C-BE32-E72D297353CC}">
              <c16:uniqueId val="{00000004-4340-4420-B66A-42233CB489B2}"/>
            </c:ext>
          </c:extLst>
        </c:ser>
        <c:ser>
          <c:idx val="5"/>
          <c:order val="5"/>
          <c:tx>
            <c:strRef>
              <c:f>Analysis!$A$74</c:f>
              <c:strCache>
                <c:ptCount val="1"/>
                <c:pt idx="0">
                  <c:v>Hybrid (B20)</c:v>
                </c:pt>
              </c:strCache>
            </c:strRef>
          </c:tx>
          <c:spPr>
            <a:ln w="28575" cap="rnd">
              <a:solidFill>
                <a:schemeClr val="accent6"/>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Analysis!$B$74:$M$74</c:f>
              <c:numCache>
                <c:formatCode>_("$"* #,##0_);_("$"* \(#,##0\);_("$"* "-"??_);_(@_)</c:formatCode>
                <c:ptCount val="12"/>
                <c:pt idx="0">
                  <c:v>695088.88371192524</c:v>
                </c:pt>
                <c:pt idx="1">
                  <c:v>739848.30988834344</c:v>
                </c:pt>
                <c:pt idx="2">
                  <c:v>786058.61699538073</c:v>
                </c:pt>
                <c:pt idx="3">
                  <c:v>833560.1835748828</c:v>
                </c:pt>
                <c:pt idx="4">
                  <c:v>882603.66241221514</c:v>
                </c:pt>
                <c:pt idx="5">
                  <c:v>932985.84079619532</c:v>
                </c:pt>
                <c:pt idx="6">
                  <c:v>985022.75070161361</c:v>
                </c:pt>
                <c:pt idx="7">
                  <c:v>1084727.1459523723</c:v>
                </c:pt>
                <c:pt idx="8">
                  <c:v>1139022.1408810772</c:v>
                </c:pt>
                <c:pt idx="9">
                  <c:v>1194903.9250698076</c:v>
                </c:pt>
                <c:pt idx="10">
                  <c:v>1252688.760522488</c:v>
                </c:pt>
                <c:pt idx="11">
                  <c:v>1312178.1181537728</c:v>
                </c:pt>
              </c:numCache>
            </c:numRef>
          </c:val>
          <c:smooth val="0"/>
          <c:extLst>
            <c:ext xmlns:c16="http://schemas.microsoft.com/office/drawing/2014/chart" uri="{C3380CC4-5D6E-409C-BE32-E72D297353CC}">
              <c16:uniqueId val="{00000005-4340-4420-B66A-42233CB489B2}"/>
            </c:ext>
          </c:extLst>
        </c:ser>
        <c:ser>
          <c:idx val="6"/>
          <c:order val="6"/>
          <c:tx>
            <c:strRef>
              <c:f>Analysis!$A$75</c:f>
              <c:strCache>
                <c:ptCount val="1"/>
                <c:pt idx="0">
                  <c:v>Hybrid (R20)</c:v>
                </c:pt>
              </c:strCache>
            </c:strRef>
          </c:tx>
          <c:spPr>
            <a:ln w="28575" cap="rnd">
              <a:solidFill>
                <a:schemeClr val="accent1">
                  <a:lumMod val="60000"/>
                </a:schemeClr>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Analysis!$B$75:$M$75</c:f>
              <c:numCache>
                <c:formatCode>_("$"* #,##0_);_("$"* \(#,##0\);_("$"* "-"??_);_(@_)</c:formatCode>
                <c:ptCount val="12"/>
                <c:pt idx="0">
                  <c:v>695360.91761023027</c:v>
                </c:pt>
                <c:pt idx="1">
                  <c:v>740385.17768495355</c:v>
                </c:pt>
                <c:pt idx="2">
                  <c:v>786852.9458902959</c:v>
                </c:pt>
                <c:pt idx="3">
                  <c:v>834604.42382090306</c:v>
                </c:pt>
                <c:pt idx="4">
                  <c:v>883890.08306820772</c:v>
                </c:pt>
                <c:pt idx="5">
                  <c:v>934506.52537844027</c:v>
                </c:pt>
                <c:pt idx="6">
                  <c:v>986769.59273078153</c:v>
                </c:pt>
                <c:pt idx="7">
                  <c:v>1086691.8443936303</c:v>
                </c:pt>
                <c:pt idx="8">
                  <c:v>1141204.695734425</c:v>
                </c:pt>
                <c:pt idx="9">
                  <c:v>1197295.836075576</c:v>
                </c:pt>
                <c:pt idx="10">
                  <c:v>1255281.323414776</c:v>
                </c:pt>
                <c:pt idx="11">
                  <c:v>1314962.4197642973</c:v>
                </c:pt>
              </c:numCache>
            </c:numRef>
          </c:val>
          <c:smooth val="0"/>
          <c:extLst>
            <c:ext xmlns:c16="http://schemas.microsoft.com/office/drawing/2014/chart" uri="{C3380CC4-5D6E-409C-BE32-E72D297353CC}">
              <c16:uniqueId val="{00000006-4340-4420-B66A-42233CB489B2}"/>
            </c:ext>
          </c:extLst>
        </c:ser>
        <c:ser>
          <c:idx val="7"/>
          <c:order val="7"/>
          <c:tx>
            <c:strRef>
              <c:f>Analysis!$A$76</c:f>
              <c:strCache>
                <c:ptCount val="1"/>
                <c:pt idx="0">
                  <c:v>Hybrid(R99)</c:v>
                </c:pt>
              </c:strCache>
            </c:strRef>
          </c:tx>
          <c:spPr>
            <a:ln w="28575" cap="rnd">
              <a:solidFill>
                <a:schemeClr val="accent2">
                  <a:lumMod val="60000"/>
                </a:schemeClr>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Analysis!$B$76:$M$76</c:f>
              <c:numCache>
                <c:formatCode>_("$"* #,##0_);_("$"* \(#,##0\);_("$"* "-"??_);_(@_)</c:formatCode>
                <c:ptCount val="12"/>
                <c:pt idx="0">
                  <c:v>695414.30744073878</c:v>
                </c:pt>
                <c:pt idx="1">
                  <c:v>740470.35734597046</c:v>
                </c:pt>
                <c:pt idx="2">
                  <c:v>786947.7969818213</c:v>
                </c:pt>
                <c:pt idx="3">
                  <c:v>834686.29710133688</c:v>
                </c:pt>
                <c:pt idx="4">
                  <c:v>883935.78571415157</c:v>
                </c:pt>
                <c:pt idx="5">
                  <c:v>934492.30793873419</c:v>
                </c:pt>
                <c:pt idx="6">
                  <c:v>986671.13576743775</c:v>
                </c:pt>
                <c:pt idx="7">
                  <c:v>1086484.2448021492</c:v>
                </c:pt>
                <c:pt idx="8">
                  <c:v>1140887.9535148067</c:v>
                </c:pt>
                <c:pt idx="9">
                  <c:v>1196844.4504488131</c:v>
                </c:pt>
                <c:pt idx="10">
                  <c:v>1254669.1815831647</c:v>
                </c:pt>
                <c:pt idx="11">
                  <c:v>1314162.7822229892</c:v>
                </c:pt>
              </c:numCache>
            </c:numRef>
          </c:val>
          <c:smooth val="0"/>
          <c:extLst>
            <c:ext xmlns:c16="http://schemas.microsoft.com/office/drawing/2014/chart" uri="{C3380CC4-5D6E-409C-BE32-E72D297353CC}">
              <c16:uniqueId val="{00000007-4340-4420-B66A-42233CB489B2}"/>
            </c:ext>
          </c:extLst>
        </c:ser>
        <c:ser>
          <c:idx val="8"/>
          <c:order val="8"/>
          <c:tx>
            <c:strRef>
              <c:f>Analysis!$A$77</c:f>
              <c:strCache>
                <c:ptCount val="1"/>
                <c:pt idx="0">
                  <c:v>CNG</c:v>
                </c:pt>
              </c:strCache>
            </c:strRef>
          </c:tx>
          <c:spPr>
            <a:ln w="28575" cap="rnd">
              <a:solidFill>
                <a:schemeClr val="accent3">
                  <a:lumMod val="60000"/>
                </a:schemeClr>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Analysis!$B$77:$M$77</c:f>
              <c:numCache>
                <c:formatCode>_("$"* #,##0_);_("$"* \(#,##0\);_("$"* "-"??_);_(@_)</c:formatCode>
                <c:ptCount val="12"/>
                <c:pt idx="0">
                  <c:v>553618.50746099767</c:v>
                </c:pt>
                <c:pt idx="1">
                  <c:v>595479.46236774873</c:v>
                </c:pt>
                <c:pt idx="2">
                  <c:v>638180.5060296501</c:v>
                </c:pt>
                <c:pt idx="3">
                  <c:v>682012.2164191514</c:v>
                </c:pt>
                <c:pt idx="4">
                  <c:v>726822.98724754178</c:v>
                </c:pt>
                <c:pt idx="5">
                  <c:v>772790.16929060174</c:v>
                </c:pt>
                <c:pt idx="6">
                  <c:v>819886.78412795009</c:v>
                </c:pt>
                <c:pt idx="7">
                  <c:v>901601.09357766784</c:v>
                </c:pt>
                <c:pt idx="8">
                  <c:v>950755.02019604156</c:v>
                </c:pt>
                <c:pt idx="9">
                  <c:v>1000826.2205241915</c:v>
                </c:pt>
                <c:pt idx="10">
                  <c:v>1052740.1269877832</c:v>
                </c:pt>
                <c:pt idx="11">
                  <c:v>1105596.2375691682</c:v>
                </c:pt>
              </c:numCache>
            </c:numRef>
          </c:val>
          <c:smooth val="0"/>
          <c:extLst>
            <c:ext xmlns:c16="http://schemas.microsoft.com/office/drawing/2014/chart" uri="{C3380CC4-5D6E-409C-BE32-E72D297353CC}">
              <c16:uniqueId val="{00000008-4340-4420-B66A-42233CB489B2}"/>
            </c:ext>
          </c:extLst>
        </c:ser>
        <c:ser>
          <c:idx val="9"/>
          <c:order val="9"/>
          <c:tx>
            <c:strRef>
              <c:f>Analysis!$A$78</c:f>
              <c:strCache>
                <c:ptCount val="1"/>
                <c:pt idx="0">
                  <c:v>RNG</c:v>
                </c:pt>
              </c:strCache>
            </c:strRef>
          </c:tx>
          <c:spPr>
            <a:ln w="28575" cap="rnd">
              <a:solidFill>
                <a:schemeClr val="accent4">
                  <a:lumMod val="60000"/>
                </a:schemeClr>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Analysis!$B$78:$M$78</c:f>
              <c:numCache>
                <c:formatCode>_("$"* #,##0_);_("$"* \(#,##0\);_("$"* "-"??_);_(@_)</c:formatCode>
                <c:ptCount val="12"/>
                <c:pt idx="0">
                  <c:v>546855.22243684297</c:v>
                </c:pt>
                <c:pt idx="1">
                  <c:v>581952.89231943944</c:v>
                </c:pt>
                <c:pt idx="2">
                  <c:v>617890.65095718624</c:v>
                </c:pt>
                <c:pt idx="3">
                  <c:v>654959.07632253296</c:v>
                </c:pt>
                <c:pt idx="4">
                  <c:v>693006.56212676875</c:v>
                </c:pt>
                <c:pt idx="5">
                  <c:v>732210.45914567413</c:v>
                </c:pt>
                <c:pt idx="6">
                  <c:v>772543.7889588679</c:v>
                </c:pt>
                <c:pt idx="7">
                  <c:v>847494.81338443107</c:v>
                </c:pt>
                <c:pt idx="8">
                  <c:v>889885.4549786502</c:v>
                </c:pt>
                <c:pt idx="9">
                  <c:v>933193.37028264557</c:v>
                </c:pt>
                <c:pt idx="10">
                  <c:v>978343.9917220826</c:v>
                </c:pt>
                <c:pt idx="11">
                  <c:v>1024436.8172793129</c:v>
                </c:pt>
              </c:numCache>
            </c:numRef>
          </c:val>
          <c:smooth val="0"/>
          <c:extLst>
            <c:ext xmlns:c16="http://schemas.microsoft.com/office/drawing/2014/chart" uri="{C3380CC4-5D6E-409C-BE32-E72D297353CC}">
              <c16:uniqueId val="{00000009-4340-4420-B66A-42233CB489B2}"/>
            </c:ext>
          </c:extLst>
        </c:ser>
        <c:ser>
          <c:idx val="10"/>
          <c:order val="10"/>
          <c:tx>
            <c:strRef>
              <c:f>Analysis!$A$79</c:f>
              <c:strCache>
                <c:ptCount val="1"/>
                <c:pt idx="0">
                  <c:v>Electricity</c:v>
                </c:pt>
              </c:strCache>
            </c:strRef>
          </c:tx>
          <c:spPr>
            <a:ln w="28575" cap="rnd">
              <a:solidFill>
                <a:schemeClr val="accent5">
                  <a:lumMod val="60000"/>
                </a:schemeClr>
              </a:solidFill>
              <a:round/>
            </a:ln>
            <a:effectLst/>
          </c:spPr>
          <c:marker>
            <c:symbol val="none"/>
          </c:marker>
          <c:cat>
            <c:numRef>
              <c:f>Analysis!$B$68:$M$68</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Analysis!$B$79:$M$79</c:f>
              <c:numCache>
                <c:formatCode>_("$"* #,##0_);_("$"* \(#,##0\);_("$"* "-"??_);_(@_)</c:formatCode>
                <c:ptCount val="12"/>
                <c:pt idx="0">
                  <c:v>984966.11899999995</c:v>
                </c:pt>
                <c:pt idx="1">
                  <c:v>1028364.4677395145</c:v>
                </c:pt>
                <c:pt idx="2">
                  <c:v>1072967.0912911119</c:v>
                </c:pt>
                <c:pt idx="3">
                  <c:v>1118856.6358166232</c:v>
                </c:pt>
                <c:pt idx="4">
                  <c:v>1166027.1101269615</c:v>
                </c:pt>
                <c:pt idx="5">
                  <c:v>1214621.9576572739</c:v>
                </c:pt>
                <c:pt idx="6">
                  <c:v>1264635.6873957987</c:v>
                </c:pt>
                <c:pt idx="7">
                  <c:v>1315960.4321525197</c:v>
                </c:pt>
                <c:pt idx="8">
                  <c:v>1368484.8666889246</c:v>
                </c:pt>
                <c:pt idx="9">
                  <c:v>1422196.2608570915</c:v>
                </c:pt>
                <c:pt idx="10">
                  <c:v>1477101.7737744069</c:v>
                </c:pt>
                <c:pt idx="11">
                  <c:v>1533262.5119581395</c:v>
                </c:pt>
              </c:numCache>
            </c:numRef>
          </c:val>
          <c:smooth val="0"/>
          <c:extLst>
            <c:ext xmlns:c16="http://schemas.microsoft.com/office/drawing/2014/chart" uri="{C3380CC4-5D6E-409C-BE32-E72D297353CC}">
              <c16:uniqueId val="{0000000A-4340-4420-B66A-42233CB489B2}"/>
            </c:ext>
          </c:extLst>
        </c:ser>
        <c:dLbls>
          <c:showLegendKey val="0"/>
          <c:showVal val="0"/>
          <c:showCatName val="0"/>
          <c:showSerName val="0"/>
          <c:showPercent val="0"/>
          <c:showBubbleSize val="0"/>
        </c:dLbls>
        <c:smooth val="0"/>
        <c:axId val="349959712"/>
        <c:axId val="382261168"/>
      </c:lineChart>
      <c:catAx>
        <c:axId val="34995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2261168"/>
        <c:crosses val="autoZero"/>
        <c:auto val="1"/>
        <c:lblAlgn val="ctr"/>
        <c:lblOffset val="100"/>
        <c:noMultiLvlLbl val="0"/>
      </c:catAx>
      <c:valAx>
        <c:axId val="3822611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5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Direct Financial Costs per year</a:t>
            </a:r>
            <a:endParaRPr lang="en-US" sz="1400">
              <a:effectLst/>
            </a:endParaRPr>
          </a:p>
        </c:rich>
      </c:tx>
      <c:overlay val="0"/>
    </c:title>
    <c:autoTitleDeleted val="0"/>
    <c:plotArea>
      <c:layout/>
      <c:lineChart>
        <c:grouping val="standard"/>
        <c:varyColors val="0"/>
        <c:ser>
          <c:idx val="0"/>
          <c:order val="0"/>
          <c:spPr>
            <a:ln>
              <a:solidFill>
                <a:srgbClr val="89B579"/>
              </a:solidFill>
            </a:ln>
          </c:spPr>
          <c:marker>
            <c:symbol val="none"/>
          </c:marker>
          <c:val>
            <c:numRef>
              <c:f>' Summary'!$R$39:$R$50</c:f>
              <c:numCache>
                <c:formatCode>_("$"* #,##0_);_("$"* \(#,##0\);_("$"* "-"??_);_(@_)</c:formatCode>
                <c:ptCount val="12"/>
                <c:pt idx="0">
                  <c:v>935027.28908852884</c:v>
                </c:pt>
                <c:pt idx="1">
                  <c:v>100056.3454657353</c:v>
                </c:pt>
                <c:pt idx="2">
                  <c:v>102951.46316665459</c:v>
                </c:pt>
                <c:pt idx="3">
                  <c:v>105964.48674457708</c:v>
                </c:pt>
                <c:pt idx="4">
                  <c:v>109008.82196366871</c:v>
                </c:pt>
                <c:pt idx="5">
                  <c:v>112292.07138609001</c:v>
                </c:pt>
                <c:pt idx="6">
                  <c:v>115379.85396928832</c:v>
                </c:pt>
                <c:pt idx="7">
                  <c:v>118399.8229714698</c:v>
                </c:pt>
                <c:pt idx="8">
                  <c:v>121349.48163075501</c:v>
                </c:pt>
                <c:pt idx="9">
                  <c:v>124328.40939522845</c:v>
                </c:pt>
                <c:pt idx="10">
                  <c:v>127357.50351227359</c:v>
                </c:pt>
                <c:pt idx="11">
                  <c:v>130491.74355541695</c:v>
                </c:pt>
              </c:numCache>
            </c:numRef>
          </c:val>
          <c:smooth val="0"/>
          <c:extLst>
            <c:ext xmlns:c16="http://schemas.microsoft.com/office/drawing/2014/chart" uri="{C3380CC4-5D6E-409C-BE32-E72D297353CC}">
              <c16:uniqueId val="{00000000-BBF8-4FF6-B100-C726D46BDB68}"/>
            </c:ext>
          </c:extLst>
        </c:ser>
        <c:dLbls>
          <c:showLegendKey val="0"/>
          <c:showVal val="0"/>
          <c:showCatName val="0"/>
          <c:showSerName val="0"/>
          <c:showPercent val="0"/>
          <c:showBubbleSize val="0"/>
        </c:dLbls>
        <c:smooth val="0"/>
        <c:axId val="461330880"/>
        <c:axId val="461331272"/>
      </c:lineChart>
      <c:catAx>
        <c:axId val="461330880"/>
        <c:scaling>
          <c:orientation val="minMax"/>
        </c:scaling>
        <c:delete val="0"/>
        <c:axPos val="b"/>
        <c:majorTickMark val="out"/>
        <c:minorTickMark val="none"/>
        <c:tickLblPos val="nextTo"/>
        <c:crossAx val="461331272"/>
        <c:crosses val="autoZero"/>
        <c:auto val="1"/>
        <c:lblAlgn val="ctr"/>
        <c:lblOffset val="100"/>
        <c:noMultiLvlLbl val="0"/>
      </c:catAx>
      <c:valAx>
        <c:axId val="461331272"/>
        <c:scaling>
          <c:orientation val="minMax"/>
        </c:scaling>
        <c:delete val="0"/>
        <c:axPos val="l"/>
        <c:majorGridlines/>
        <c:numFmt formatCode="_(&quot;$&quot;* #,##0_);_(&quot;$&quot;* \(#,##0\);_(&quot;$&quot;* &quot;-&quot;??_);_(@_)" sourceLinked="1"/>
        <c:majorTickMark val="out"/>
        <c:minorTickMark val="none"/>
        <c:tickLblPos val="nextTo"/>
        <c:txPr>
          <a:bodyPr/>
          <a:lstStyle/>
          <a:p>
            <a:pPr>
              <a:defRPr sz="1200"/>
            </a:pPr>
            <a:endParaRPr lang="en-US"/>
          </a:p>
        </c:txPr>
        <c:crossAx val="461330880"/>
        <c:crosses val="autoZero"/>
        <c:crossBetween val="between"/>
      </c:valAx>
    </c:plotArea>
    <c:plotVisOnly val="1"/>
    <c:dispBlanksAs val="gap"/>
    <c:showDLblsOverMax val="0"/>
  </c:chart>
  <c:spPr>
    <a:solidFill>
      <a:schemeClr val="bg2"/>
    </a:solidFill>
  </c:spPr>
  <c:printSettings>
    <c:headerFooter/>
    <c:pageMargins b="0.75000000000000866" l="0.70000000000000062" r="0.70000000000000062" t="0.750000000000008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Direct Financial Cumulative costs</a:t>
            </a:r>
          </a:p>
        </c:rich>
      </c:tx>
      <c:overlay val="0"/>
    </c:title>
    <c:autoTitleDeleted val="0"/>
    <c:plotArea>
      <c:layout>
        <c:manualLayout>
          <c:layoutTarget val="inner"/>
          <c:xMode val="edge"/>
          <c:yMode val="edge"/>
          <c:x val="0.12152668897573304"/>
          <c:y val="0.22546223921546468"/>
          <c:w val="0.86126733068366979"/>
          <c:h val="0.66263516638518993"/>
        </c:manualLayout>
      </c:layout>
      <c:lineChart>
        <c:grouping val="standard"/>
        <c:varyColors val="0"/>
        <c:ser>
          <c:idx val="0"/>
          <c:order val="0"/>
          <c:spPr>
            <a:ln>
              <a:solidFill>
                <a:srgbClr val="89B579"/>
              </a:solidFill>
            </a:ln>
          </c:spPr>
          <c:marker>
            <c:symbol val="none"/>
          </c:marker>
          <c:val>
            <c:numRef>
              <c:f>' Summary'!$S$39:$S$50</c:f>
              <c:numCache>
                <c:formatCode>_("$"* #,##0_);_("$"* \(#,##0\);_("$"* "-"??_);_(@_)</c:formatCode>
                <c:ptCount val="12"/>
                <c:pt idx="0">
                  <c:v>935027.28908852884</c:v>
                </c:pt>
                <c:pt idx="1">
                  <c:v>1035083.6345542641</c:v>
                </c:pt>
                <c:pt idx="2">
                  <c:v>1138035.0977209187</c:v>
                </c:pt>
                <c:pt idx="3">
                  <c:v>1243999.5844654958</c:v>
                </c:pt>
                <c:pt idx="4">
                  <c:v>1353008.4064291646</c:v>
                </c:pt>
                <c:pt idx="5">
                  <c:v>1465300.4778152546</c:v>
                </c:pt>
                <c:pt idx="6">
                  <c:v>1580680.3317845429</c:v>
                </c:pt>
                <c:pt idx="7">
                  <c:v>1699080.1547560126</c:v>
                </c:pt>
                <c:pt idx="8">
                  <c:v>1820429.6363867675</c:v>
                </c:pt>
                <c:pt idx="9">
                  <c:v>1944758.0457819959</c:v>
                </c:pt>
                <c:pt idx="10">
                  <c:v>2072115.5492942694</c:v>
                </c:pt>
                <c:pt idx="11">
                  <c:v>2202607.2928496865</c:v>
                </c:pt>
              </c:numCache>
            </c:numRef>
          </c:val>
          <c:smooth val="0"/>
          <c:extLst>
            <c:ext xmlns:c16="http://schemas.microsoft.com/office/drawing/2014/chart" uri="{C3380CC4-5D6E-409C-BE32-E72D297353CC}">
              <c16:uniqueId val="{00000000-6165-42EA-940A-3D314C4F3113}"/>
            </c:ext>
          </c:extLst>
        </c:ser>
        <c:dLbls>
          <c:showLegendKey val="0"/>
          <c:showVal val="0"/>
          <c:showCatName val="0"/>
          <c:showSerName val="0"/>
          <c:showPercent val="0"/>
          <c:showBubbleSize val="0"/>
        </c:dLbls>
        <c:smooth val="0"/>
        <c:axId val="458404800"/>
        <c:axId val="438941808"/>
      </c:lineChart>
      <c:catAx>
        <c:axId val="458404800"/>
        <c:scaling>
          <c:orientation val="minMax"/>
        </c:scaling>
        <c:delete val="0"/>
        <c:axPos val="b"/>
        <c:majorTickMark val="out"/>
        <c:minorTickMark val="none"/>
        <c:tickLblPos val="nextTo"/>
        <c:crossAx val="438941808"/>
        <c:crosses val="autoZero"/>
        <c:auto val="1"/>
        <c:lblAlgn val="ctr"/>
        <c:lblOffset val="100"/>
        <c:noMultiLvlLbl val="0"/>
      </c:catAx>
      <c:valAx>
        <c:axId val="438941808"/>
        <c:scaling>
          <c:orientation val="minMax"/>
        </c:scaling>
        <c:delete val="0"/>
        <c:axPos val="l"/>
        <c:majorGridlines/>
        <c:numFmt formatCode="_(&quot;$&quot;* #,##0_);_(&quot;$&quot;* \(#,##0\);_(&quot;$&quot;* &quot;-&quot;??_);_(@_)" sourceLinked="1"/>
        <c:majorTickMark val="out"/>
        <c:minorTickMark val="none"/>
        <c:tickLblPos val="nextTo"/>
        <c:txPr>
          <a:bodyPr/>
          <a:lstStyle/>
          <a:p>
            <a:pPr>
              <a:defRPr sz="1200"/>
            </a:pPr>
            <a:endParaRPr lang="en-US"/>
          </a:p>
        </c:txPr>
        <c:crossAx val="458404800"/>
        <c:crosses val="autoZero"/>
        <c:crossBetween val="between"/>
      </c:valAx>
    </c:plotArea>
    <c:plotVisOnly val="1"/>
    <c:dispBlanksAs val="gap"/>
    <c:showDLblsOverMax val="0"/>
  </c:chart>
  <c:spPr>
    <a:solidFill>
      <a:schemeClr val="bg2"/>
    </a:solidFill>
  </c:spPr>
  <c:printSettings>
    <c:headerFooter/>
    <c:pageMargins b="0.75000000000000644" l="0.70000000000000062" r="0.70000000000000062" t="0.750000000000006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First Year Financial Costs</a:t>
            </a:r>
          </a:p>
        </c:rich>
      </c:tx>
      <c:overlay val="0"/>
    </c:title>
    <c:autoTitleDeleted val="0"/>
    <c:plotArea>
      <c:layout>
        <c:manualLayout>
          <c:layoutTarget val="inner"/>
          <c:xMode val="edge"/>
          <c:yMode val="edge"/>
          <c:x val="9.7681651512142725E-3"/>
          <c:y val="0"/>
          <c:w val="0.98046366969757148"/>
          <c:h val="0.74131011935622093"/>
        </c:manualLayout>
      </c:layout>
      <c:barChart>
        <c:barDir val="col"/>
        <c:grouping val="clustered"/>
        <c:varyColors val="0"/>
        <c:ser>
          <c:idx val="0"/>
          <c:order val="0"/>
          <c:spPr>
            <a:solidFill>
              <a:srgbClr val="F5B567"/>
            </a:solidFill>
          </c:spPr>
          <c:invertIfNegative val="0"/>
          <c:dLbls>
            <c:dLbl>
              <c:idx val="1"/>
              <c:layout>
                <c:manualLayout>
                  <c:x val="-4.4400750687337929E-3"/>
                  <c:y val="-0.112203522014498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16-4092-8E12-9A24A77BF997}"/>
                </c:ext>
              </c:extLst>
            </c:dLbl>
            <c:numFmt formatCode="&quot;$&quot;#,##0" sourceLinked="0"/>
            <c:spPr>
              <a:noFill/>
              <a:ln>
                <a:noFill/>
              </a:ln>
              <a:effectLst/>
            </c:spPr>
            <c:txPr>
              <a:bodyPr/>
              <a:lstStyle/>
              <a:p>
                <a:pPr>
                  <a:defRPr sz="12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Summary'!$A$42,' Summary'!$A$44,' Summary'!$A$46,' Summary'!$A$63:$A$64)</c:f>
              <c:strCache>
                <c:ptCount val="5"/>
                <c:pt idx="0">
                  <c:v>Driver costs per fleet</c:v>
                </c:pt>
                <c:pt idx="1">
                  <c:v>Fuel costs </c:v>
                </c:pt>
                <c:pt idx="2">
                  <c:v>Maintenence cost  (per fleet)</c:v>
                </c:pt>
                <c:pt idx="3">
                  <c:v>Capital Equipment Costs</c:v>
                </c:pt>
                <c:pt idx="4">
                  <c:v>Fueling Station Costs</c:v>
                </c:pt>
              </c:strCache>
            </c:strRef>
          </c:cat>
          <c:val>
            <c:numRef>
              <c:f>(' Summary'!$B$42,' Summary'!$B$44,' Summary'!$B$55,' Summary'!$B$63:$B$64)</c:f>
              <c:numCache>
                <c:formatCode>"$"#,##0</c:formatCode>
                <c:ptCount val="5"/>
                <c:pt idx="0">
                  <c:v>62400</c:v>
                </c:pt>
                <c:pt idx="1">
                  <c:v>7087.9683513679529</c:v>
                </c:pt>
                <c:pt idx="2">
                  <c:v>27931.320737160881</c:v>
                </c:pt>
                <c:pt idx="3">
                  <c:v>837608</c:v>
                </c:pt>
                <c:pt idx="4">
                  <c:v>105000</c:v>
                </c:pt>
              </c:numCache>
            </c:numRef>
          </c:val>
          <c:extLst>
            <c:ext xmlns:c16="http://schemas.microsoft.com/office/drawing/2014/chart" uri="{C3380CC4-5D6E-409C-BE32-E72D297353CC}">
              <c16:uniqueId val="{00000000-D552-4731-A417-CA98A9BDCD70}"/>
            </c:ext>
          </c:extLst>
        </c:ser>
        <c:dLbls>
          <c:showLegendKey val="0"/>
          <c:showVal val="0"/>
          <c:showCatName val="0"/>
          <c:showSerName val="0"/>
          <c:showPercent val="0"/>
          <c:showBubbleSize val="0"/>
        </c:dLbls>
        <c:gapWidth val="100"/>
        <c:axId val="438942592"/>
        <c:axId val="438942984"/>
      </c:barChart>
      <c:catAx>
        <c:axId val="438942592"/>
        <c:scaling>
          <c:orientation val="minMax"/>
        </c:scaling>
        <c:delete val="0"/>
        <c:axPos val="b"/>
        <c:numFmt formatCode="General" sourceLinked="0"/>
        <c:majorTickMark val="out"/>
        <c:minorTickMark val="none"/>
        <c:tickLblPos val="nextTo"/>
        <c:txPr>
          <a:bodyPr/>
          <a:lstStyle/>
          <a:p>
            <a:pPr>
              <a:defRPr sz="1200"/>
            </a:pPr>
            <a:endParaRPr lang="en-US"/>
          </a:p>
        </c:txPr>
        <c:crossAx val="438942984"/>
        <c:crosses val="autoZero"/>
        <c:auto val="1"/>
        <c:lblAlgn val="ctr"/>
        <c:lblOffset val="100"/>
        <c:noMultiLvlLbl val="0"/>
      </c:catAx>
      <c:valAx>
        <c:axId val="438942984"/>
        <c:scaling>
          <c:orientation val="minMax"/>
        </c:scaling>
        <c:delete val="1"/>
        <c:axPos val="l"/>
        <c:numFmt formatCode="&quot;$&quot;#,##0" sourceLinked="1"/>
        <c:majorTickMark val="out"/>
        <c:minorTickMark val="none"/>
        <c:tickLblPos val="none"/>
        <c:crossAx val="438942592"/>
        <c:crosses val="autoZero"/>
        <c:crossBetween val="between"/>
      </c:valAx>
    </c:plotArea>
    <c:plotVisOnly val="1"/>
    <c:dispBlanksAs val="zero"/>
    <c:showDLblsOverMax val="0"/>
  </c:chart>
  <c:printSettings>
    <c:headerFooter/>
    <c:pageMargins b="0.75000000000000644" l="0.70000000000000062" r="0.70000000000000062" t="0.750000000000006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Cumulative Financial Costs</a:t>
            </a:r>
          </a:p>
        </c:rich>
      </c:tx>
      <c:overlay val="0"/>
    </c:title>
    <c:autoTitleDeleted val="0"/>
    <c:plotArea>
      <c:layout/>
      <c:barChart>
        <c:barDir val="col"/>
        <c:grouping val="clustered"/>
        <c:varyColors val="0"/>
        <c:ser>
          <c:idx val="0"/>
          <c:order val="0"/>
          <c:spPr>
            <a:solidFill>
              <a:srgbClr val="F5B567"/>
            </a:solidFill>
          </c:spPr>
          <c:invertIfNegative val="0"/>
          <c:dLbls>
            <c:dLbl>
              <c:idx val="1"/>
              <c:layout>
                <c:manualLayout>
                  <c:x val="8.880150137467195E-4"/>
                  <c:y val="-9.1239836539229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9-40D5-ADF9-C531DEEC891B}"/>
                </c:ext>
              </c:extLst>
            </c:dLbl>
            <c:numFmt formatCode="&quot;$&quot;#,##0" sourceLinked="0"/>
            <c:spPr>
              <a:noFill/>
              <a:ln>
                <a:noFill/>
              </a:ln>
              <a:effectLst/>
            </c:spPr>
            <c:txPr>
              <a:bodyPr/>
              <a:lstStyle/>
              <a:p>
                <a:pPr>
                  <a:defRPr sz="12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Summary'!$A$42,' Summary'!$A$44,' Summary'!$A$46,' Summary'!$A$63,' Summary'!$A$64)</c:f>
              <c:strCache>
                <c:ptCount val="5"/>
                <c:pt idx="0">
                  <c:v>Driver costs per fleet</c:v>
                </c:pt>
                <c:pt idx="1">
                  <c:v>Fuel costs </c:v>
                </c:pt>
                <c:pt idx="2">
                  <c:v>Maintenence cost  (per fleet)</c:v>
                </c:pt>
                <c:pt idx="3">
                  <c:v>Capital Equipment Costs</c:v>
                </c:pt>
                <c:pt idx="4">
                  <c:v>Fueling Station Costs</c:v>
                </c:pt>
              </c:strCache>
            </c:strRef>
          </c:cat>
          <c:val>
            <c:numRef>
              <c:f>(' Summary'!$E$51,' Summary'!$G$51,' Summary'!$F$51,' Summary'!$N$51,' Summary'!$Q$51)</c:f>
              <c:numCache>
                <c:formatCode>_("$"* #,##0_);_("$"* \(#,##0\);_("$"* "-"??_);_(@_)</c:formatCode>
                <c:ptCount val="5"/>
                <c:pt idx="0">
                  <c:v>855992.78904078121</c:v>
                </c:pt>
                <c:pt idx="1">
                  <c:v>125849.30606219135</c:v>
                </c:pt>
                <c:pt idx="2">
                  <c:v>383157.197746714</c:v>
                </c:pt>
                <c:pt idx="3">
                  <c:v>837608</c:v>
                </c:pt>
                <c:pt idx="4">
                  <c:v>105000</c:v>
                </c:pt>
              </c:numCache>
            </c:numRef>
          </c:val>
          <c:extLst>
            <c:ext xmlns:c16="http://schemas.microsoft.com/office/drawing/2014/chart" uri="{C3380CC4-5D6E-409C-BE32-E72D297353CC}">
              <c16:uniqueId val="{00000000-6B93-42AA-8334-99DA45592908}"/>
            </c:ext>
          </c:extLst>
        </c:ser>
        <c:dLbls>
          <c:showLegendKey val="0"/>
          <c:showVal val="0"/>
          <c:showCatName val="0"/>
          <c:showSerName val="0"/>
          <c:showPercent val="0"/>
          <c:showBubbleSize val="0"/>
        </c:dLbls>
        <c:gapWidth val="100"/>
        <c:axId val="438942592"/>
        <c:axId val="438942984"/>
      </c:barChart>
      <c:catAx>
        <c:axId val="438942592"/>
        <c:scaling>
          <c:orientation val="minMax"/>
        </c:scaling>
        <c:delete val="0"/>
        <c:axPos val="b"/>
        <c:numFmt formatCode="General" sourceLinked="0"/>
        <c:majorTickMark val="out"/>
        <c:minorTickMark val="none"/>
        <c:tickLblPos val="nextTo"/>
        <c:txPr>
          <a:bodyPr/>
          <a:lstStyle/>
          <a:p>
            <a:pPr>
              <a:defRPr sz="1200"/>
            </a:pPr>
            <a:endParaRPr lang="en-US"/>
          </a:p>
        </c:txPr>
        <c:crossAx val="438942984"/>
        <c:crosses val="autoZero"/>
        <c:auto val="1"/>
        <c:lblAlgn val="ctr"/>
        <c:lblOffset val="100"/>
        <c:noMultiLvlLbl val="0"/>
      </c:catAx>
      <c:valAx>
        <c:axId val="438942984"/>
        <c:scaling>
          <c:orientation val="minMax"/>
        </c:scaling>
        <c:delete val="1"/>
        <c:axPos val="l"/>
        <c:numFmt formatCode="_(&quot;$&quot;* #,##0_);_(&quot;$&quot;* \(#,##0\);_(&quot;$&quot;* &quot;-&quot;??_);_(@_)" sourceLinked="1"/>
        <c:majorTickMark val="out"/>
        <c:minorTickMark val="none"/>
        <c:tickLblPos val="none"/>
        <c:crossAx val="438942592"/>
        <c:crosses val="autoZero"/>
        <c:crossBetween val="between"/>
      </c:valAx>
    </c:plotArea>
    <c:plotVisOnly val="1"/>
    <c:dispBlanksAs val="zero"/>
    <c:showDLblsOverMax val="0"/>
  </c:chart>
  <c:printSettings>
    <c:headerFooter/>
    <c:pageMargins b="0.75000000000000644" l="0.70000000000000062" r="0.70000000000000062" t="0.750000000000006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Life Cycle Emissions (%)</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6CF2-463D-8866-A5A3738537D8}"/>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6CF2-463D-8866-A5A3738537D8}"/>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6CF2-463D-8866-A5A3738537D8}"/>
              </c:ext>
            </c:extLst>
          </c:dPt>
          <c:dLbls>
            <c:dLbl>
              <c:idx val="1"/>
              <c:layout>
                <c:manualLayout>
                  <c:x val="-0.15970961887477314"/>
                  <c:y val="6.467259498787388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F2-463D-8866-A5A3738537D8}"/>
                </c:ext>
              </c:extLst>
            </c:dLbl>
            <c:dLbl>
              <c:idx val="2"/>
              <c:layout>
                <c:manualLayout>
                  <c:x val="0.22068965517241379"/>
                  <c:y val="-9.700889248181084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F2-463D-8866-A5A3738537D8}"/>
                </c:ext>
              </c:extLst>
            </c:dLbl>
            <c:numFmt formatCode="#,##0.00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multiLvlStrRef>
              <c:f>' Summary'!$V$37:$X$38</c:f>
              <c:multiLvlStrCache>
                <c:ptCount val="3"/>
                <c:lvl>
                  <c:pt idx="0">
                    <c:v>CO2</c:v>
                  </c:pt>
                  <c:pt idx="1">
                    <c:v>NOx</c:v>
                  </c:pt>
                  <c:pt idx="2">
                    <c:v>Particulates</c:v>
                  </c:pt>
                </c:lvl>
                <c:lvl>
                  <c:pt idx="0">
                    <c:v>Emissions in Metric Tons (Annual)</c:v>
                  </c:pt>
                </c:lvl>
              </c:multiLvlStrCache>
            </c:multiLvlStrRef>
          </c:cat>
          <c:val>
            <c:numRef>
              <c:f>' Summary'!$V$51:$X$51</c:f>
              <c:numCache>
                <c:formatCode>_(* #,##0.00_);_(* \(#,##0.00\);_(* "-"??_);_(@_)</c:formatCode>
                <c:ptCount val="3"/>
                <c:pt idx="0">
                  <c:v>483.74810759308843</c:v>
                </c:pt>
                <c:pt idx="1">
                  <c:v>0</c:v>
                </c:pt>
                <c:pt idx="2">
                  <c:v>5.9718746476555083E-2</c:v>
                </c:pt>
              </c:numCache>
            </c:numRef>
          </c:val>
          <c:extLst>
            <c:ext xmlns:c16="http://schemas.microsoft.com/office/drawing/2014/chart" uri="{C3380CC4-5D6E-409C-BE32-E72D297353CC}">
              <c16:uniqueId val="{00000006-6CF2-463D-8866-A5A3738537D8}"/>
            </c:ext>
          </c:extLst>
        </c:ser>
        <c:dLbls>
          <c:showLegendKey val="0"/>
          <c:showVal val="0"/>
          <c:showCatName val="0"/>
          <c:showSerName val="0"/>
          <c:showPercent val="0"/>
          <c:showBubbleSize val="0"/>
          <c:showLeaderLines val="0"/>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680" b="1" i="0" u="none" strike="noStrike" kern="1200" cap="none" spc="0" normalizeH="0" baseline="0">
                <a:solidFill>
                  <a:schemeClr val="dk1">
                    <a:lumMod val="50000"/>
                    <a:lumOff val="50000"/>
                  </a:schemeClr>
                </a:solidFill>
                <a:latin typeface="+mj-lt"/>
                <a:ea typeface="+mj-ea"/>
                <a:cs typeface="+mj-cs"/>
              </a:defRPr>
            </a:pPr>
            <a:r>
              <a:rPr lang="en-US"/>
              <a:t>Financial Costs by Fuel Type 35-40 ft Transit Bus</a:t>
            </a:r>
          </a:p>
          <a:p>
            <a:pPr>
              <a:defRPr/>
            </a:pPr>
            <a:r>
              <a:rPr lang="en-US" sz="1400" baseline="0"/>
              <a:t>See User Guide for More Information</a:t>
            </a:r>
            <a:r>
              <a:rPr lang="en-US"/>
              <a:t> </a:t>
            </a:r>
          </a:p>
        </c:rich>
      </c:tx>
      <c:overlay val="0"/>
      <c:spPr>
        <a:noFill/>
        <a:ln>
          <a:noFill/>
        </a:ln>
        <a:effectLst/>
      </c:spPr>
      <c:txPr>
        <a:bodyPr rot="0" spcFirstLastPara="1" vertOverflow="ellipsis" vert="horz" wrap="square" anchor="ctr" anchorCtr="1"/>
        <a:lstStyle/>
        <a:p>
          <a:pPr>
            <a:defRPr sz="168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stacked"/>
        <c:varyColors val="0"/>
        <c:ser>
          <c:idx val="0"/>
          <c:order val="0"/>
          <c:tx>
            <c:strRef>
              <c:f>'All Fuel Types Calc'!$A$31</c:f>
              <c:strCache>
                <c:ptCount val="1"/>
                <c:pt idx="0">
                  <c:v>Total Fixed Costs</c:v>
                </c:pt>
              </c:strCache>
            </c:strRef>
          </c:tx>
          <c:spPr>
            <a:solidFill>
              <a:schemeClr val="accent1"/>
            </a:solidFill>
            <a:ln>
              <a:noFill/>
            </a:ln>
            <a:effectLst/>
          </c:spPr>
          <c:invertIfNegative val="0"/>
          <c:cat>
            <c:strRef>
              <c:f>'Default Data'!$A$2:$A$12</c:f>
              <c:strCache>
                <c:ptCount val="11"/>
                <c:pt idx="0">
                  <c:v>Diesel (B5)</c:v>
                </c:pt>
                <c:pt idx="1">
                  <c:v>Diesel (B20)</c:v>
                </c:pt>
                <c:pt idx="2">
                  <c:v>Diesel (R20)</c:v>
                </c:pt>
                <c:pt idx="3">
                  <c:v>Diesel (R99)</c:v>
                </c:pt>
                <c:pt idx="4">
                  <c:v>Diesel Hybrid (B5)</c:v>
                </c:pt>
                <c:pt idx="5">
                  <c:v>Diesel Hybrid (B20)</c:v>
                </c:pt>
                <c:pt idx="6">
                  <c:v>Diesel Hybrid (R20)</c:v>
                </c:pt>
                <c:pt idx="7">
                  <c:v>Diesel Hybrid (R99)</c:v>
                </c:pt>
                <c:pt idx="8">
                  <c:v>CNG</c:v>
                </c:pt>
                <c:pt idx="9">
                  <c:v>RNG</c:v>
                </c:pt>
                <c:pt idx="10">
                  <c:v>Battery Electric</c:v>
                </c:pt>
              </c:strCache>
            </c:strRef>
          </c:cat>
          <c:val>
            <c:numRef>
              <c:f>'All Fuel Types Calc'!$B$31:$L$31</c:f>
              <c:numCache>
                <c:formatCode>"$"#,##0</c:formatCode>
                <c:ptCount val="11"/>
                <c:pt idx="0">
                  <c:v>510448</c:v>
                </c:pt>
                <c:pt idx="1">
                  <c:v>510448</c:v>
                </c:pt>
                <c:pt idx="2">
                  <c:v>510448</c:v>
                </c:pt>
                <c:pt idx="3">
                  <c:v>510448</c:v>
                </c:pt>
                <c:pt idx="4">
                  <c:v>697845</c:v>
                </c:pt>
                <c:pt idx="5">
                  <c:v>697845</c:v>
                </c:pt>
                <c:pt idx="6">
                  <c:v>697845</c:v>
                </c:pt>
                <c:pt idx="7">
                  <c:v>697845</c:v>
                </c:pt>
                <c:pt idx="8">
                  <c:v>595724</c:v>
                </c:pt>
                <c:pt idx="9">
                  <c:v>595724</c:v>
                </c:pt>
                <c:pt idx="10">
                  <c:v>942608</c:v>
                </c:pt>
              </c:numCache>
            </c:numRef>
          </c:val>
          <c:extLst>
            <c:ext xmlns:c16="http://schemas.microsoft.com/office/drawing/2014/chart" uri="{C3380CC4-5D6E-409C-BE32-E72D297353CC}">
              <c16:uniqueId val="{00000000-4BF7-4497-9133-0ED5F04E7899}"/>
            </c:ext>
          </c:extLst>
        </c:ser>
        <c:ser>
          <c:idx val="1"/>
          <c:order val="1"/>
          <c:tx>
            <c:strRef>
              <c:f>'Default Data'!$AC$1</c:f>
              <c:strCache>
                <c:ptCount val="1"/>
                <c:pt idx="0">
                  <c:v>Total Variable Costs</c:v>
                </c:pt>
              </c:strCache>
            </c:strRef>
          </c:tx>
          <c:spPr>
            <a:solidFill>
              <a:schemeClr val="accent3"/>
            </a:solidFill>
            <a:ln>
              <a:noFill/>
            </a:ln>
            <a:effectLst/>
          </c:spPr>
          <c:invertIfNegative val="0"/>
          <c:cat>
            <c:strRef>
              <c:f>'Default Data'!$A$2:$A$12</c:f>
              <c:strCache>
                <c:ptCount val="11"/>
                <c:pt idx="0">
                  <c:v>Diesel (B5)</c:v>
                </c:pt>
                <c:pt idx="1">
                  <c:v>Diesel (B20)</c:v>
                </c:pt>
                <c:pt idx="2">
                  <c:v>Diesel (R20)</c:v>
                </c:pt>
                <c:pt idx="3">
                  <c:v>Diesel (R99)</c:v>
                </c:pt>
                <c:pt idx="4">
                  <c:v>Diesel Hybrid (B5)</c:v>
                </c:pt>
                <c:pt idx="5">
                  <c:v>Diesel Hybrid (B20)</c:v>
                </c:pt>
                <c:pt idx="6">
                  <c:v>Diesel Hybrid (R20)</c:v>
                </c:pt>
                <c:pt idx="7">
                  <c:v>Diesel Hybrid (R99)</c:v>
                </c:pt>
                <c:pt idx="8">
                  <c:v>CNG</c:v>
                </c:pt>
                <c:pt idx="9">
                  <c:v>RNG</c:v>
                </c:pt>
                <c:pt idx="10">
                  <c:v>Battery Electric</c:v>
                </c:pt>
              </c:strCache>
            </c:strRef>
          </c:cat>
          <c:val>
            <c:numRef>
              <c:f>'All Fuel Types Calc'!$B$83:$L$83</c:f>
              <c:numCache>
                <c:formatCode>_("$"* #,##0_);_("$"* \(#,##0\);_("$"* "-"??_);_(@_)</c:formatCode>
                <c:ptCount val="11"/>
                <c:pt idx="0">
                  <c:v>1530484.1382605184</c:v>
                </c:pt>
                <c:pt idx="1">
                  <c:v>1528467.1805719142</c:v>
                </c:pt>
                <c:pt idx="2">
                  <c:v>1532177.9175811242</c:v>
                </c:pt>
                <c:pt idx="3">
                  <c:v>1532365.0426065929</c:v>
                </c:pt>
                <c:pt idx="4">
                  <c:v>1482335.8557106401</c:v>
                </c:pt>
                <c:pt idx="5">
                  <c:v>1479998.3379630824</c:v>
                </c:pt>
                <c:pt idx="6">
                  <c:v>1482747.3947954318</c:v>
                </c:pt>
                <c:pt idx="7">
                  <c:v>1481331.7195261323</c:v>
                </c:pt>
                <c:pt idx="8">
                  <c:v>1403273.6921912478</c:v>
                </c:pt>
                <c:pt idx="9">
                  <c:v>1324680.6138484438</c:v>
                </c:pt>
                <c:pt idx="10">
                  <c:v>1292107.0931361022</c:v>
                </c:pt>
              </c:numCache>
            </c:numRef>
          </c:val>
          <c:extLst>
            <c:ext xmlns:c16="http://schemas.microsoft.com/office/drawing/2014/chart" uri="{C3380CC4-5D6E-409C-BE32-E72D297353CC}">
              <c16:uniqueId val="{00000001-4BF7-4497-9133-0ED5F04E7899}"/>
            </c:ext>
          </c:extLst>
        </c:ser>
        <c:dLbls>
          <c:showLegendKey val="0"/>
          <c:showVal val="0"/>
          <c:showCatName val="0"/>
          <c:showSerName val="0"/>
          <c:showPercent val="0"/>
          <c:showBubbleSize val="0"/>
        </c:dLbls>
        <c:gapWidth val="150"/>
        <c:overlap val="100"/>
        <c:axId val="650603728"/>
        <c:axId val="650605368"/>
      </c:barChart>
      <c:catAx>
        <c:axId val="650603728"/>
        <c:scaling>
          <c:orientation val="maxMin"/>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400" b="0" i="0" u="none" strike="noStrike" kern="1200" cap="none" spc="0" normalizeH="0" baseline="0">
                <a:solidFill>
                  <a:schemeClr val="dk1">
                    <a:lumMod val="65000"/>
                    <a:lumOff val="35000"/>
                  </a:schemeClr>
                </a:solidFill>
                <a:latin typeface="+mn-lt"/>
                <a:ea typeface="+mn-ea"/>
                <a:cs typeface="+mn-cs"/>
              </a:defRPr>
            </a:pPr>
            <a:endParaRPr lang="en-US"/>
          </a:p>
        </c:txPr>
        <c:crossAx val="650605368"/>
        <c:crosses val="autoZero"/>
        <c:auto val="1"/>
        <c:lblAlgn val="ctr"/>
        <c:lblOffset val="100"/>
        <c:noMultiLvlLbl val="0"/>
      </c:catAx>
      <c:valAx>
        <c:axId val="650605368"/>
        <c:scaling>
          <c:orientation val="minMax"/>
        </c:scaling>
        <c:delete val="0"/>
        <c:axPos val="r"/>
        <c:majorGridlines>
          <c:spPr>
            <a:ln w="9525" cap="flat" cmpd="sng" algn="ctr">
              <a:solidFill>
                <a:schemeClr val="dk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dk1">
                    <a:lumMod val="65000"/>
                    <a:lumOff val="35000"/>
                  </a:schemeClr>
                </a:solidFill>
                <a:latin typeface="+mn-lt"/>
                <a:ea typeface="+mn-ea"/>
                <a:cs typeface="+mn-cs"/>
              </a:defRPr>
            </a:pPr>
            <a:endParaRPr lang="en-US"/>
          </a:p>
        </c:txPr>
        <c:crossAx val="65060372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sz="140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680" b="1" i="0" u="none" strike="noStrike" kern="1200" cap="none" spc="0" normalizeH="0" baseline="0">
                <a:solidFill>
                  <a:schemeClr val="dk1">
                    <a:lumMod val="50000"/>
                    <a:lumOff val="50000"/>
                  </a:schemeClr>
                </a:solidFill>
                <a:latin typeface="+mj-lt"/>
                <a:ea typeface="+mj-ea"/>
                <a:cs typeface="+mj-cs"/>
              </a:defRPr>
            </a:pPr>
            <a:r>
              <a:rPr lang="en-US"/>
              <a:t>Lifecycle Costs by Fuel Type 35-40 ft Transit Bus</a:t>
            </a:r>
          </a:p>
          <a:p>
            <a:pPr>
              <a:defRPr/>
            </a:pPr>
            <a:r>
              <a:rPr lang="en-US" sz="1400" baseline="0"/>
              <a:t>See User Guide for More Information </a:t>
            </a:r>
          </a:p>
        </c:rich>
      </c:tx>
      <c:overlay val="0"/>
      <c:spPr>
        <a:noFill/>
        <a:ln>
          <a:noFill/>
        </a:ln>
        <a:effectLst/>
      </c:spPr>
      <c:txPr>
        <a:bodyPr rot="0" spcFirstLastPara="1" vertOverflow="ellipsis" vert="horz" wrap="square" anchor="ctr" anchorCtr="1"/>
        <a:lstStyle/>
        <a:p>
          <a:pPr>
            <a:defRPr sz="168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stacked"/>
        <c:varyColors val="0"/>
        <c:ser>
          <c:idx val="0"/>
          <c:order val="0"/>
          <c:tx>
            <c:strRef>
              <c:f>'Default Data'!$T$1</c:f>
              <c:strCache>
                <c:ptCount val="1"/>
                <c:pt idx="0">
                  <c:v>Fixed Costs</c:v>
                </c:pt>
              </c:strCache>
            </c:strRef>
          </c:tx>
          <c:spPr>
            <a:solidFill>
              <a:schemeClr val="accent6"/>
            </a:solidFill>
            <a:ln>
              <a:noFill/>
            </a:ln>
            <a:effectLst/>
          </c:spPr>
          <c:invertIfNegative val="0"/>
          <c:cat>
            <c:strRef>
              <c:f>'Default Data'!$A$2:$A$12</c:f>
              <c:strCache>
                <c:ptCount val="11"/>
                <c:pt idx="0">
                  <c:v>Diesel (B5)</c:v>
                </c:pt>
                <c:pt idx="1">
                  <c:v>Diesel (B20)</c:v>
                </c:pt>
                <c:pt idx="2">
                  <c:v>Diesel (R20)</c:v>
                </c:pt>
                <c:pt idx="3">
                  <c:v>Diesel (R99)</c:v>
                </c:pt>
                <c:pt idx="4">
                  <c:v>Diesel Hybrid (B5)</c:v>
                </c:pt>
                <c:pt idx="5">
                  <c:v>Diesel Hybrid (B20)</c:v>
                </c:pt>
                <c:pt idx="6">
                  <c:v>Diesel Hybrid (R20)</c:v>
                </c:pt>
                <c:pt idx="7">
                  <c:v>Diesel Hybrid (R99)</c:v>
                </c:pt>
                <c:pt idx="8">
                  <c:v>CNG</c:v>
                </c:pt>
                <c:pt idx="9">
                  <c:v>RNG</c:v>
                </c:pt>
                <c:pt idx="10">
                  <c:v>Battery Electric</c:v>
                </c:pt>
              </c:strCache>
            </c:strRef>
          </c:cat>
          <c:val>
            <c:numRef>
              <c:f>'All Fuel Types Calc'!$B$31:$L$31</c:f>
              <c:numCache>
                <c:formatCode>"$"#,##0</c:formatCode>
                <c:ptCount val="11"/>
                <c:pt idx="0">
                  <c:v>510448</c:v>
                </c:pt>
                <c:pt idx="1">
                  <c:v>510448</c:v>
                </c:pt>
                <c:pt idx="2">
                  <c:v>510448</c:v>
                </c:pt>
                <c:pt idx="3">
                  <c:v>510448</c:v>
                </c:pt>
                <c:pt idx="4">
                  <c:v>697845</c:v>
                </c:pt>
                <c:pt idx="5">
                  <c:v>697845</c:v>
                </c:pt>
                <c:pt idx="6">
                  <c:v>697845</c:v>
                </c:pt>
                <c:pt idx="7">
                  <c:v>697845</c:v>
                </c:pt>
                <c:pt idx="8">
                  <c:v>595724</c:v>
                </c:pt>
                <c:pt idx="9">
                  <c:v>595724</c:v>
                </c:pt>
                <c:pt idx="10">
                  <c:v>942608</c:v>
                </c:pt>
              </c:numCache>
            </c:numRef>
          </c:val>
          <c:extLst>
            <c:ext xmlns:c16="http://schemas.microsoft.com/office/drawing/2014/chart" uri="{C3380CC4-5D6E-409C-BE32-E72D297353CC}">
              <c16:uniqueId val="{00000000-0FB0-4F04-A57E-0B43996EC9EA}"/>
            </c:ext>
          </c:extLst>
        </c:ser>
        <c:ser>
          <c:idx val="1"/>
          <c:order val="1"/>
          <c:tx>
            <c:strRef>
              <c:f>'Default Data'!$AC$1</c:f>
              <c:strCache>
                <c:ptCount val="1"/>
                <c:pt idx="0">
                  <c:v>Total Variable Costs</c:v>
                </c:pt>
              </c:strCache>
            </c:strRef>
          </c:tx>
          <c:spPr>
            <a:solidFill>
              <a:schemeClr val="accent5"/>
            </a:solidFill>
            <a:ln>
              <a:noFill/>
            </a:ln>
            <a:effectLst/>
          </c:spPr>
          <c:invertIfNegative val="0"/>
          <c:cat>
            <c:strRef>
              <c:f>'Default Data'!$A$2:$A$12</c:f>
              <c:strCache>
                <c:ptCount val="11"/>
                <c:pt idx="0">
                  <c:v>Diesel (B5)</c:v>
                </c:pt>
                <c:pt idx="1">
                  <c:v>Diesel (B20)</c:v>
                </c:pt>
                <c:pt idx="2">
                  <c:v>Diesel (R20)</c:v>
                </c:pt>
                <c:pt idx="3">
                  <c:v>Diesel (R99)</c:v>
                </c:pt>
                <c:pt idx="4">
                  <c:v>Diesel Hybrid (B5)</c:v>
                </c:pt>
                <c:pt idx="5">
                  <c:v>Diesel Hybrid (B20)</c:v>
                </c:pt>
                <c:pt idx="6">
                  <c:v>Diesel Hybrid (R20)</c:v>
                </c:pt>
                <c:pt idx="7">
                  <c:v>Diesel Hybrid (R99)</c:v>
                </c:pt>
                <c:pt idx="8">
                  <c:v>CNG</c:v>
                </c:pt>
                <c:pt idx="9">
                  <c:v>RNG</c:v>
                </c:pt>
                <c:pt idx="10">
                  <c:v>Battery Electric</c:v>
                </c:pt>
              </c:strCache>
            </c:strRef>
          </c:cat>
          <c:val>
            <c:numRef>
              <c:f>'All Fuel Types Calc'!$B$83:$L$83</c:f>
              <c:numCache>
                <c:formatCode>_("$"* #,##0_);_("$"* \(#,##0\);_("$"* "-"??_);_(@_)</c:formatCode>
                <c:ptCount val="11"/>
                <c:pt idx="0">
                  <c:v>1530484.1382605184</c:v>
                </c:pt>
                <c:pt idx="1">
                  <c:v>1528467.1805719142</c:v>
                </c:pt>
                <c:pt idx="2">
                  <c:v>1532177.9175811242</c:v>
                </c:pt>
                <c:pt idx="3">
                  <c:v>1532365.0426065929</c:v>
                </c:pt>
                <c:pt idx="4">
                  <c:v>1482335.8557106401</c:v>
                </c:pt>
                <c:pt idx="5">
                  <c:v>1479998.3379630824</c:v>
                </c:pt>
                <c:pt idx="6">
                  <c:v>1482747.3947954318</c:v>
                </c:pt>
                <c:pt idx="7">
                  <c:v>1481331.7195261323</c:v>
                </c:pt>
                <c:pt idx="8">
                  <c:v>1403273.6921912478</c:v>
                </c:pt>
                <c:pt idx="9">
                  <c:v>1324680.6138484438</c:v>
                </c:pt>
                <c:pt idx="10">
                  <c:v>1292107.0931361022</c:v>
                </c:pt>
              </c:numCache>
            </c:numRef>
          </c:val>
          <c:extLst>
            <c:ext xmlns:c16="http://schemas.microsoft.com/office/drawing/2014/chart" uri="{C3380CC4-5D6E-409C-BE32-E72D297353CC}">
              <c16:uniqueId val="{00000001-0FB0-4F04-A57E-0B43996EC9EA}"/>
            </c:ext>
          </c:extLst>
        </c:ser>
        <c:ser>
          <c:idx val="2"/>
          <c:order val="2"/>
          <c:tx>
            <c:strRef>
              <c:f>'Default Data'!$AH$1</c:f>
              <c:strCache>
                <c:ptCount val="1"/>
                <c:pt idx="0">
                  <c:v>Lifecycle Social Cost</c:v>
                </c:pt>
              </c:strCache>
            </c:strRef>
          </c:tx>
          <c:spPr>
            <a:solidFill>
              <a:schemeClr val="accent4"/>
            </a:solidFill>
            <a:ln>
              <a:noFill/>
            </a:ln>
            <a:effectLst/>
          </c:spPr>
          <c:invertIfNegative val="0"/>
          <c:cat>
            <c:strRef>
              <c:f>'Default Data'!$A$2:$A$12</c:f>
              <c:strCache>
                <c:ptCount val="11"/>
                <c:pt idx="0">
                  <c:v>Diesel (B5)</c:v>
                </c:pt>
                <c:pt idx="1">
                  <c:v>Diesel (B20)</c:v>
                </c:pt>
                <c:pt idx="2">
                  <c:v>Diesel (R20)</c:v>
                </c:pt>
                <c:pt idx="3">
                  <c:v>Diesel (R99)</c:v>
                </c:pt>
                <c:pt idx="4">
                  <c:v>Diesel Hybrid (B5)</c:v>
                </c:pt>
                <c:pt idx="5">
                  <c:v>Diesel Hybrid (B20)</c:v>
                </c:pt>
                <c:pt idx="6">
                  <c:v>Diesel Hybrid (R20)</c:v>
                </c:pt>
                <c:pt idx="7">
                  <c:v>Diesel Hybrid (R99)</c:v>
                </c:pt>
                <c:pt idx="8">
                  <c:v>CNG</c:v>
                </c:pt>
                <c:pt idx="9">
                  <c:v>RNG</c:v>
                </c:pt>
                <c:pt idx="10">
                  <c:v>Battery Electric</c:v>
                </c:pt>
              </c:strCache>
            </c:strRef>
          </c:cat>
          <c:val>
            <c:numRef>
              <c:f>'All Fuel Types Calc'!$B$102:$L$102</c:f>
              <c:numCache>
                <c:formatCode>"$"#,##0</c:formatCode>
                <c:ptCount val="11"/>
                <c:pt idx="0">
                  <c:v>93187.792986526139</c:v>
                </c:pt>
                <c:pt idx="1">
                  <c:v>84441.498422944307</c:v>
                </c:pt>
                <c:pt idx="2">
                  <c:v>77730.705139614278</c:v>
                </c:pt>
                <c:pt idx="3">
                  <c:v>37147.898364594708</c:v>
                </c:pt>
                <c:pt idx="4">
                  <c:v>81736.75062801232</c:v>
                </c:pt>
                <c:pt idx="5">
                  <c:v>74065.212599785897</c:v>
                </c:pt>
                <c:pt idx="6">
                  <c:v>68179.050694492194</c:v>
                </c:pt>
                <c:pt idx="7">
                  <c:v>32583.114243521621</c:v>
                </c:pt>
                <c:pt idx="8">
                  <c:v>82976.73065709621</c:v>
                </c:pt>
                <c:pt idx="9">
                  <c:v>54732.389055441046</c:v>
                </c:pt>
                <c:pt idx="10">
                  <c:v>56093.752098795201</c:v>
                </c:pt>
              </c:numCache>
            </c:numRef>
          </c:val>
          <c:extLst>
            <c:ext xmlns:c16="http://schemas.microsoft.com/office/drawing/2014/chart" uri="{C3380CC4-5D6E-409C-BE32-E72D297353CC}">
              <c16:uniqueId val="{00000002-0FB0-4F04-A57E-0B43996EC9EA}"/>
            </c:ext>
          </c:extLst>
        </c:ser>
        <c:dLbls>
          <c:showLegendKey val="0"/>
          <c:showVal val="0"/>
          <c:showCatName val="0"/>
          <c:showSerName val="0"/>
          <c:showPercent val="0"/>
          <c:showBubbleSize val="0"/>
        </c:dLbls>
        <c:gapWidth val="150"/>
        <c:overlap val="100"/>
        <c:axId val="650603728"/>
        <c:axId val="650605368"/>
      </c:barChart>
      <c:catAx>
        <c:axId val="650603728"/>
        <c:scaling>
          <c:orientation val="maxMin"/>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400" b="0" i="0" u="none" strike="noStrike" kern="1200" cap="none" spc="0" normalizeH="0" baseline="0">
                <a:solidFill>
                  <a:schemeClr val="dk1">
                    <a:lumMod val="65000"/>
                    <a:lumOff val="35000"/>
                  </a:schemeClr>
                </a:solidFill>
                <a:latin typeface="+mn-lt"/>
                <a:ea typeface="+mn-ea"/>
                <a:cs typeface="+mn-cs"/>
              </a:defRPr>
            </a:pPr>
            <a:endParaRPr lang="en-US"/>
          </a:p>
        </c:txPr>
        <c:crossAx val="650605368"/>
        <c:crosses val="autoZero"/>
        <c:auto val="1"/>
        <c:lblAlgn val="ctr"/>
        <c:lblOffset val="100"/>
        <c:noMultiLvlLbl val="0"/>
      </c:catAx>
      <c:valAx>
        <c:axId val="650605368"/>
        <c:scaling>
          <c:orientation val="minMax"/>
        </c:scaling>
        <c:delete val="0"/>
        <c:axPos val="r"/>
        <c:majorGridlines>
          <c:spPr>
            <a:ln w="9525" cap="flat" cmpd="sng" algn="ctr">
              <a:solidFill>
                <a:schemeClr val="dk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dk1">
                    <a:lumMod val="65000"/>
                    <a:lumOff val="35000"/>
                  </a:schemeClr>
                </a:solidFill>
                <a:latin typeface="+mn-lt"/>
                <a:ea typeface="+mn-ea"/>
                <a:cs typeface="+mn-cs"/>
              </a:defRPr>
            </a:pPr>
            <a:endParaRPr lang="en-US"/>
          </a:p>
        </c:txPr>
        <c:crossAx val="65060372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sz="1400" baseline="0"/>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Annual Carbon Emissions by Fuel Type In MT</a:t>
            </a:r>
          </a:p>
          <a:p>
            <a:pPr>
              <a:defRPr/>
            </a:pPr>
            <a:endParaRPr lang="en-US"/>
          </a:p>
        </c:rich>
      </c:tx>
      <c:layout>
        <c:manualLayout>
          <c:xMode val="edge"/>
          <c:yMode val="edge"/>
          <c:x val="0.11406233595800523"/>
          <c:y val="1.6266758884869127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9247594050743664E-2"/>
          <c:y val="0.22032407407407412"/>
          <c:w val="0.89019685039370078"/>
          <c:h val="0.52875801983085446"/>
        </c:manualLayout>
      </c:layout>
      <c:bar3DChart>
        <c:barDir val="col"/>
        <c:grouping val="stack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'Fleet Carbon Footprint'!$B$5:$B$11</c:f>
              <c:strCache>
                <c:ptCount val="7"/>
                <c:pt idx="0">
                  <c:v>Diesel B5 </c:v>
                </c:pt>
                <c:pt idx="1">
                  <c:v>B20</c:v>
                </c:pt>
                <c:pt idx="2">
                  <c:v>R20</c:v>
                </c:pt>
                <c:pt idx="3">
                  <c:v>R99</c:v>
                </c:pt>
                <c:pt idx="4">
                  <c:v>CNG</c:v>
                </c:pt>
                <c:pt idx="5">
                  <c:v>RNG</c:v>
                </c:pt>
                <c:pt idx="6">
                  <c:v>Electricity</c:v>
                </c:pt>
              </c:strCache>
            </c:strRef>
          </c:cat>
          <c:val>
            <c:numRef>
              <c:f>'Fleet Carbon Footprint'!$C$5:$C$11</c:f>
              <c:numCache>
                <c:formatCode>0</c:formatCode>
                <c:ptCount val="7"/>
                <c:pt idx="0">
                  <c:v>96.307194311761847</c:v>
                </c:pt>
                <c:pt idx="1">
                  <c:v>87.268123173285915</c:v>
                </c:pt>
                <c:pt idx="2">
                  <c:v>80.332690408855285</c:v>
                </c:pt>
                <c:pt idx="3">
                  <c:v>38.391400326326909</c:v>
                </c:pt>
                <c:pt idx="4">
                  <c:v>86.55595393207264</c:v>
                </c:pt>
                <c:pt idx="5">
                  <c:v>37.533319226006</c:v>
                </c:pt>
                <c:pt idx="6">
                  <c:v>40.312342299424046</c:v>
                </c:pt>
              </c:numCache>
            </c:numRef>
          </c:val>
          <c:extLst>
            <c:ext xmlns:c16="http://schemas.microsoft.com/office/drawing/2014/chart" uri="{C3380CC4-5D6E-409C-BE32-E72D297353CC}">
              <c16:uniqueId val="{00000000-E04F-4313-AED9-F5E0F4EF6DD1}"/>
            </c:ext>
          </c:extLst>
        </c:ser>
        <c:dLbls>
          <c:showLegendKey val="0"/>
          <c:showVal val="1"/>
          <c:showCatName val="0"/>
          <c:showSerName val="0"/>
          <c:showPercent val="0"/>
          <c:showBubbleSize val="0"/>
        </c:dLbls>
        <c:gapWidth val="79"/>
        <c:shape val="box"/>
        <c:axId val="235090559"/>
        <c:axId val="373074495"/>
        <c:axId val="0"/>
      </c:bar3DChart>
      <c:catAx>
        <c:axId val="2350905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373074495"/>
        <c:crosses val="autoZero"/>
        <c:auto val="1"/>
        <c:lblAlgn val="ctr"/>
        <c:lblOffset val="100"/>
        <c:noMultiLvlLbl val="0"/>
      </c:catAx>
      <c:valAx>
        <c:axId val="373074495"/>
        <c:scaling>
          <c:orientation val="minMax"/>
        </c:scaling>
        <c:delete val="1"/>
        <c:axPos val="l"/>
        <c:numFmt formatCode="0" sourceLinked="1"/>
        <c:majorTickMark val="none"/>
        <c:minorTickMark val="none"/>
        <c:tickLblPos val="nextTo"/>
        <c:crossAx val="2350905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3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800" b="1"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image" Target="../media/image4.png"/></Relationships>
</file>

<file path=xl/chartsheets/_rels/sheet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image" Target="../media/image4.png"/></Relationships>
</file>

<file path=xl/chartsheets/_rels/sheet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drawing" Target="../drawings/drawing7.xml"/></Relationships>
</file>

<file path=xl/chartsheets/sheet1.xml><?xml version="1.0" encoding="utf-8"?>
<chartsheet xmlns="http://schemas.openxmlformats.org/spreadsheetml/2006/main" xmlns:r="http://schemas.openxmlformats.org/officeDocument/2006/relationships">
  <sheetPr>
    <tabColor theme="3"/>
  </sheetPr>
  <sheetViews>
    <sheetView zoomScale="70" workbookViewId="0"/>
  </sheetViews>
  <sheetProtection algorithmName="SHA-512" hashValue="XgW6OUKlhpNT0/vQpveWnDRJo2PwfbOvV/LIUn45UNvSD18IX1Uap36MG8PoHcMUilMvX1YgcGOQUvzIQQdMJw==" saltValue="PIRtwaeJydygTg9KrIfqaA==" spinCount="100000" content="1" objects="1"/>
  <pageMargins left="0.7" right="0.7" top="0.75" bottom="0.75" header="0.3" footer="0.3"/>
  <pageSetup paperSize="5" orientation="landscape" horizontalDpi="300" verticalDpi="300" r:id="rId1"/>
  <headerFooter>
    <oddHeader>&amp;L&amp;G</oddHeader>
  </headerFooter>
  <drawing r:id="rId2"/>
  <legacyDrawingHF r:id="rId3"/>
  <picture r:id="rId4"/>
</chartsheet>
</file>

<file path=xl/chartsheets/sheet2.xml><?xml version="1.0" encoding="utf-8"?>
<chartsheet xmlns="http://schemas.openxmlformats.org/spreadsheetml/2006/main" xmlns:r="http://schemas.openxmlformats.org/officeDocument/2006/relationships">
  <sheetPr>
    <tabColor theme="3"/>
  </sheetPr>
  <sheetViews>
    <sheetView zoomScale="70" workbookViewId="0"/>
  </sheetViews>
  <sheetProtection algorithmName="SHA-512" hashValue="KDB/drFrLY4u51QR6zUCCqZlDlXtEJ32u+ocO0EUOZLuO+Xoa9ojE1qtZvhM7f1gcQyeCOFDPPmYFUngFlLjUA==" saltValue="rJzUdMnQRbtLeV2uV2Ga/w==" spinCount="100000" content="1" objects="1"/>
  <pageMargins left="0.7" right="0.7" top="0.75" bottom="0.75" header="0.3" footer="0.3"/>
  <pageSetup paperSize="5" orientation="landscape" horizontalDpi="300" verticalDpi="300" r:id="rId1"/>
  <headerFooter>
    <oddHeader>&amp;L&amp;G</oddHeader>
  </headerFooter>
  <drawing r:id="rId2"/>
  <legacyDrawingHF r:id="rId3"/>
  <picture r:id="rId4"/>
</chartsheet>
</file>

<file path=xl/chartsheets/sheet3.xml><?xml version="1.0" encoding="utf-8"?>
<chartsheet xmlns="http://schemas.openxmlformats.org/spreadsheetml/2006/main" xmlns:r="http://schemas.openxmlformats.org/officeDocument/2006/relationships">
  <sheetPr>
    <tabColor rgb="FF92D050"/>
  </sheetPr>
  <sheetViews>
    <sheetView zoomScale="70" workbookViewId="0"/>
  </sheetViews>
  <pageMargins left="0.7" right="0.7" top="0.75" bottom="0.75" header="0.3" footer="0.3"/>
  <drawing r:id="rId1"/>
  <picture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14883</xdr:colOff>
      <xdr:row>7</xdr:row>
      <xdr:rowOff>74415</xdr:rowOff>
    </xdr:from>
    <xdr:to>
      <xdr:col>5</xdr:col>
      <xdr:colOff>59532</xdr:colOff>
      <xdr:row>8</xdr:row>
      <xdr:rowOff>0</xdr:rowOff>
    </xdr:to>
    <xdr:sp macro="" textlink="">
      <xdr:nvSpPr>
        <xdr:cNvPr id="2" name="TextBox 1">
          <a:extLst>
            <a:ext uri="{FF2B5EF4-FFF2-40B4-BE49-F238E27FC236}">
              <a16:creationId xmlns:a16="http://schemas.microsoft.com/office/drawing/2014/main" id="{3AAD11BE-577D-4D67-A6CB-0DBB45C76B38}"/>
            </a:ext>
          </a:extLst>
        </xdr:cNvPr>
        <xdr:cNvSpPr txBox="1"/>
      </xdr:nvSpPr>
      <xdr:spPr>
        <a:xfrm>
          <a:off x="14883" y="4330899"/>
          <a:ext cx="11683008" cy="1190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aseline="0">
              <a:solidFill>
                <a:schemeClr val="dk1"/>
              </a:solidFill>
              <a:latin typeface="+mn-lt"/>
              <a:ea typeface="+mn-ea"/>
              <a:cs typeface="+mn-cs"/>
            </a:rPr>
            <a:t>The following is a step-by-step walkthrough of the different inputs for the tool. Each input correlates to a specific spreadsheet row on the Inputs tab of the tool.</a:t>
          </a:r>
        </a:p>
        <a:p>
          <a:r>
            <a:rPr lang="en-US" sz="1600" baseline="0">
              <a:solidFill>
                <a:schemeClr val="dk1"/>
              </a:solidFill>
              <a:latin typeface="+mn-lt"/>
              <a:ea typeface="+mn-ea"/>
              <a:cs typeface="+mn-cs"/>
            </a:rPr>
            <a:t>Please note the values in the yellow fields to the right of the green and red input fields. These are default fields we’ve provided for you. They’re locked to prevent accidental changes to the default calculations.</a:t>
          </a:r>
        </a:p>
        <a:p>
          <a:r>
            <a:rPr lang="en-US" sz="1600" baseline="0">
              <a:solidFill>
                <a:schemeClr val="dk1"/>
              </a:solidFill>
              <a:latin typeface="+mn-lt"/>
              <a:ea typeface="+mn-ea"/>
              <a:cs typeface="+mn-cs"/>
            </a:rPr>
            <a:t>The green input fields will automatically populate with the default values, but you can change them to a specific value if you wish. When the default value and input value are different, these cells will turn gold to flag the difference for you.</a:t>
          </a:r>
        </a:p>
        <a:p>
          <a:r>
            <a:rPr lang="en-US" sz="1600" baseline="0">
              <a:solidFill>
                <a:schemeClr val="dk1"/>
              </a:solidFill>
              <a:latin typeface="+mn-lt"/>
              <a:ea typeface="+mn-ea"/>
              <a:cs typeface="+mn-cs"/>
            </a:rPr>
            <a:t>Red fields are pulldown menus; use them to make a selection. Use your fleet-specific values in red fields instead of the default values, as needed. More specific data inputs will yield a more refined output. </a:t>
          </a:r>
        </a:p>
        <a:p>
          <a:r>
            <a:rPr lang="en-US" sz="1600" baseline="0">
              <a:solidFill>
                <a:schemeClr val="dk1"/>
              </a:solidFill>
              <a:latin typeface="+mn-lt"/>
              <a:ea typeface="+mn-ea"/>
              <a:cs typeface="+mn-cs"/>
            </a:rPr>
            <a:t>The tool will compare costs and emissions for the different platforms of buses and fuel types. This can be seen on the “Financial Cost Comparison,” “Lifecycle Cost Comparison,” and “Fleet Carbon Footprint” tabs. However, it is recommended that if the user is interested in more accurately comparing two or more bus platforms that they complete a separate analysis for each bus type. Further, to avoid inadvertent cell changes, it is highly recommended that users start with a fresh spreadsheet template for each analysis.</a:t>
          </a:r>
        </a:p>
      </xdr:txBody>
    </xdr:sp>
    <xdr:clientData/>
  </xdr:twoCellAnchor>
  <xdr:twoCellAnchor>
    <xdr:from>
      <xdr:col>0</xdr:col>
      <xdr:colOff>14883</xdr:colOff>
      <xdr:row>3</xdr:row>
      <xdr:rowOff>74415</xdr:rowOff>
    </xdr:from>
    <xdr:to>
      <xdr:col>5</xdr:col>
      <xdr:colOff>59532</xdr:colOff>
      <xdr:row>5</xdr:row>
      <xdr:rowOff>1143000</xdr:rowOff>
    </xdr:to>
    <xdr:sp macro="" textlink="">
      <xdr:nvSpPr>
        <xdr:cNvPr id="3" name="TextBox 2">
          <a:extLst>
            <a:ext uri="{FF2B5EF4-FFF2-40B4-BE49-F238E27FC236}">
              <a16:creationId xmlns:a16="http://schemas.microsoft.com/office/drawing/2014/main" id="{632D75E6-1566-4656-B527-8CAFF572B2B1}"/>
            </a:ext>
          </a:extLst>
        </xdr:cNvPr>
        <xdr:cNvSpPr txBox="1"/>
      </xdr:nvSpPr>
      <xdr:spPr>
        <a:xfrm>
          <a:off x="14883" y="1153915"/>
          <a:ext cx="13792399" cy="3624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aseline="0">
              <a:solidFill>
                <a:schemeClr val="dk1"/>
              </a:solidFill>
              <a:latin typeface="+mn-lt"/>
              <a:ea typeface="+mn-ea"/>
              <a:cs typeface="+mn-cs"/>
            </a:rPr>
            <a:t>The Electric and Alternative Fuel Transit Bus Lifecycle Cost Analysis Tool is a product of the Oregon Department of Transportation in collaboration with the Oregon Department of Energy and support from the Oregon Department of Environmental Quality.</a:t>
          </a:r>
        </a:p>
        <a:p>
          <a:r>
            <a:rPr lang="en-US" sz="1600" baseline="0">
              <a:solidFill>
                <a:schemeClr val="dk1"/>
              </a:solidFill>
              <a:latin typeface="+mn-lt"/>
              <a:ea typeface="+mn-ea"/>
              <a:cs typeface="+mn-cs"/>
            </a:rPr>
            <a:t>Governor Kate Brown directed the agencies to develop the tool in Executive Order 17-21: “Accelerating Zero Emission Vehicle Adoption to Reduce Greenhouse Gas Emissions and Address Climate Change.” </a:t>
          </a:r>
        </a:p>
        <a:p>
          <a:r>
            <a:rPr lang="en-US" sz="1600" baseline="0">
              <a:solidFill>
                <a:schemeClr val="dk1"/>
              </a:solidFill>
              <a:latin typeface="+mn-lt"/>
              <a:ea typeface="+mn-ea"/>
              <a:cs typeface="+mn-cs"/>
            </a:rPr>
            <a:t>The purpose of this tool is to provide the user with a first-pass assessment of the lifecycle costs of new 35- to 40-foot standard, electric, and alternative fuel buses. The tool also provides information on the carbon footprint of different transit bus options.</a:t>
          </a:r>
        </a:p>
        <a:p>
          <a:r>
            <a:rPr lang="en-US" sz="1600" baseline="0">
              <a:solidFill>
                <a:schemeClr val="dk1"/>
              </a:solidFill>
              <a:latin typeface="+mn-lt"/>
              <a:ea typeface="+mn-ea"/>
              <a:cs typeface="+mn-cs"/>
            </a:rPr>
            <a:t>The tool provides default values for all required inputs once the user selects a specific bus and fuel type. However, the tool allows for — and can be improved by — providing your fleet’s specific data in place of these default values. Please note that there is one field that cannot be modified: Bus Useful Lifetime, which is set at 12 years. </a:t>
          </a:r>
        </a:p>
        <a:p>
          <a:r>
            <a:rPr lang="en-US" sz="1600" baseline="0">
              <a:solidFill>
                <a:schemeClr val="dk1"/>
              </a:solidFill>
              <a:latin typeface="+mn-lt"/>
              <a:ea typeface="+mn-ea"/>
              <a:cs typeface="+mn-cs"/>
            </a:rPr>
            <a:t>This tool is intended as a first pass analysis of alternative fuel vehicles. This is for two reasons: fleet operational costs are highly specific to routes, usage, and even driver habits, and some of the start-up and operating costs included in the tool may vary between transit agencies.</a:t>
          </a:r>
        </a:p>
        <a:p>
          <a:r>
            <a:rPr lang="en-US" sz="1600" baseline="0">
              <a:solidFill>
                <a:schemeClr val="dk1"/>
              </a:solidFill>
              <a:latin typeface="+mn-lt"/>
              <a:ea typeface="+mn-ea"/>
              <a:cs typeface="+mn-cs"/>
            </a:rPr>
            <a:t>The tool should not be used to make final procurement or business decisions. Calculations in the tool can be modified to refine the outputs for a specific user. Please contact the </a:t>
          </a:r>
          <a:r>
            <a:rPr lang="en-US" sz="1600" baseline="0">
              <a:solidFill>
                <a:schemeClr val="dk1"/>
              </a:solidFill>
              <a:latin typeface="+mn-lt"/>
              <a:ea typeface="+mn-ea"/>
              <a:cs typeface="+mn-cs"/>
              <a:hlinkClick xmlns:r="http://schemas.openxmlformats.org/officeDocument/2006/relationships" r:id=""/>
            </a:rPr>
            <a:t>Oregon Department of Energy</a:t>
          </a:r>
          <a:r>
            <a:rPr lang="en-US" sz="1600" baseline="0">
              <a:solidFill>
                <a:schemeClr val="dk1"/>
              </a:solidFill>
              <a:latin typeface="+mn-lt"/>
              <a:ea typeface="+mn-ea"/>
              <a:cs typeface="+mn-cs"/>
            </a:rPr>
            <a:t> for technical assistance if you wish to add modifications beyond the inputs available in the tool interface. </a:t>
          </a:r>
        </a:p>
        <a:p>
          <a:pPr marL="0" marR="0" lvl="0" indent="0" defTabSz="914400" eaLnBrk="1" fontAlgn="auto" latinLnBrk="0" hangingPunct="1">
            <a:lnSpc>
              <a:spcPct val="100000"/>
            </a:lnSpc>
            <a:spcBef>
              <a:spcPts val="0"/>
            </a:spcBef>
            <a:spcAft>
              <a:spcPts val="0"/>
            </a:spcAft>
            <a:buClrTx/>
            <a:buSzTx/>
            <a:buFontTx/>
            <a:buNone/>
            <a:tabLst/>
            <a:defRPr/>
          </a:pPr>
          <a:r>
            <a:rPr lang="en-US" sz="1600" baseline="0">
              <a:solidFill>
                <a:schemeClr val="dk1"/>
              </a:solidFill>
              <a:latin typeface="+mn-lt"/>
              <a:ea typeface="+mn-ea"/>
              <a:cs typeface="+mn-cs"/>
            </a:rPr>
            <a:t>A printable PDF version of these instructions is available online at: https://www.oregon.gov/odot/rptd/pages/electrification.aspx </a:t>
          </a:r>
        </a:p>
        <a:p>
          <a:endParaRPr lang="en-US" sz="1600"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1028700</xdr:colOff>
      <xdr:row>41</xdr:row>
      <xdr:rowOff>6350</xdr:rowOff>
    </xdr:from>
    <xdr:to>
      <xdr:col>2</xdr:col>
      <xdr:colOff>498425</xdr:colOff>
      <xdr:row>71</xdr:row>
      <xdr:rowOff>73025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38102</xdr:colOff>
      <xdr:row>5</xdr:row>
      <xdr:rowOff>104776</xdr:rowOff>
    </xdr:from>
    <xdr:to>
      <xdr:col>5</xdr:col>
      <xdr:colOff>266700</xdr:colOff>
      <xdr:row>19</xdr:row>
      <xdr:rowOff>85725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49740</xdr:colOff>
      <xdr:row>19</xdr:row>
      <xdr:rowOff>132292</xdr:rowOff>
    </xdr:from>
    <xdr:to>
      <xdr:col>5</xdr:col>
      <xdr:colOff>275166</xdr:colOff>
      <xdr:row>34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486381</xdr:colOff>
      <xdr:row>5</xdr:row>
      <xdr:rowOff>51567</xdr:rowOff>
    </xdr:from>
    <xdr:to>
      <xdr:col>18</xdr:col>
      <xdr:colOff>849691</xdr:colOff>
      <xdr:row>20</xdr:row>
      <xdr:rowOff>3906</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518584</xdr:colOff>
      <xdr:row>20</xdr:row>
      <xdr:rowOff>107510</xdr:rowOff>
    </xdr:from>
    <xdr:to>
      <xdr:col>18</xdr:col>
      <xdr:colOff>881894</xdr:colOff>
      <xdr:row>34</xdr:row>
      <xdr:rowOff>0</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xdr:colOff>
      <xdr:row>5</xdr:row>
      <xdr:rowOff>38100</xdr:rowOff>
    </xdr:from>
    <xdr:to>
      <xdr:col>29</xdr:col>
      <xdr:colOff>1315357</xdr:colOff>
      <xdr:row>34</xdr:row>
      <xdr:rowOff>0</xdr:rowOff>
    </xdr:to>
    <xdr:graphicFrame macro="">
      <xdr:nvGraphicFramePr>
        <xdr:cNvPr id="7" name="Chart 6">
          <a:extLst>
            <a:ext uri="{FF2B5EF4-FFF2-40B4-BE49-F238E27FC236}">
              <a16:creationId xmlns:a16="http://schemas.microsoft.com/office/drawing/2014/main" id="{C7DD57F0-F1C9-4FCD-AC99-391778608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11393714" cy="6268357"/>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393714" cy="6268357"/>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8</xdr:col>
      <xdr:colOff>11112</xdr:colOff>
      <xdr:row>3</xdr:row>
      <xdr:rowOff>14287</xdr:rowOff>
    </xdr:from>
    <xdr:to>
      <xdr:col>15</xdr:col>
      <xdr:colOff>315912</xdr:colOff>
      <xdr:row>24</xdr:row>
      <xdr:rowOff>46037</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595312</xdr:colOff>
      <xdr:row>28</xdr:row>
      <xdr:rowOff>23812</xdr:rowOff>
    </xdr:from>
    <xdr:to>
      <xdr:col>15</xdr:col>
      <xdr:colOff>290512</xdr:colOff>
      <xdr:row>42</xdr:row>
      <xdr:rowOff>80962</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287337</xdr:colOff>
      <xdr:row>3</xdr:row>
      <xdr:rowOff>11112</xdr:rowOff>
    </xdr:from>
    <xdr:to>
      <xdr:col>23</xdr:col>
      <xdr:colOff>592137</xdr:colOff>
      <xdr:row>25</xdr:row>
      <xdr:rowOff>46037</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300037</xdr:colOff>
      <xdr:row>27</xdr:row>
      <xdr:rowOff>160337</xdr:rowOff>
    </xdr:from>
    <xdr:to>
      <xdr:col>23</xdr:col>
      <xdr:colOff>604837</xdr:colOff>
      <xdr:row>42</xdr:row>
      <xdr:rowOff>39687</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0" y="0"/>
    <xdr:ext cx="8654143" cy="6268357"/>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twoCellAnchor editAs="oneCell">
    <xdr:from>
      <xdr:col>1</xdr:col>
      <xdr:colOff>393700</xdr:colOff>
      <xdr:row>0</xdr:row>
      <xdr:rowOff>44450</xdr:rowOff>
    </xdr:from>
    <xdr:to>
      <xdr:col>1</xdr:col>
      <xdr:colOff>692150</xdr:colOff>
      <xdr:row>2</xdr:row>
      <xdr:rowOff>219513</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175" y="44450"/>
          <a:ext cx="298450" cy="6703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163512</xdr:colOff>
      <xdr:row>14</xdr:row>
      <xdr:rowOff>6350</xdr:rowOff>
    </xdr:from>
    <xdr:to>
      <xdr:col>24</xdr:col>
      <xdr:colOff>158750</xdr:colOff>
      <xdr:row>32</xdr:row>
      <xdr:rowOff>73025</xdr:rowOff>
    </xdr:to>
    <xdr:graphicFrame macro="">
      <xdr:nvGraphicFramePr>
        <xdr:cNvPr id="3" name="Chart 2">
          <a:extLst>
            <a:ext uri="{FF2B5EF4-FFF2-40B4-BE49-F238E27FC236}">
              <a16:creationId xmlns:a16="http://schemas.microsoft.com/office/drawing/2014/main" id="{E92F0591-0F53-434F-ACB9-0F7A80DD08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150812</xdr:colOff>
      <xdr:row>33</xdr:row>
      <xdr:rowOff>57150</xdr:rowOff>
    </xdr:from>
    <xdr:to>
      <xdr:col>22</xdr:col>
      <xdr:colOff>495300</xdr:colOff>
      <xdr:row>47</xdr:row>
      <xdr:rowOff>161925</xdr:rowOff>
    </xdr:to>
    <xdr:graphicFrame macro="">
      <xdr:nvGraphicFramePr>
        <xdr:cNvPr id="4" name="Chart 3">
          <a:extLst>
            <a:ext uri="{FF2B5EF4-FFF2-40B4-BE49-F238E27FC236}">
              <a16:creationId xmlns:a16="http://schemas.microsoft.com/office/drawing/2014/main" id="{E0CAAF7E-9A71-4BA9-B49D-CE4FB16C72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276225</xdr:colOff>
      <xdr:row>67</xdr:row>
      <xdr:rowOff>66675</xdr:rowOff>
    </xdr:from>
    <xdr:to>
      <xdr:col>21</xdr:col>
      <xdr:colOff>352425</xdr:colOff>
      <xdr:row>81</xdr:row>
      <xdr:rowOff>142875</xdr:rowOff>
    </xdr:to>
    <xdr:graphicFrame macro="">
      <xdr:nvGraphicFramePr>
        <xdr:cNvPr id="6" name="Chart 5">
          <a:extLst>
            <a:ext uri="{FF2B5EF4-FFF2-40B4-BE49-F238E27FC236}">
              <a16:creationId xmlns:a16="http://schemas.microsoft.com/office/drawing/2014/main" id="{F921C1E1-21A7-49F3-AE4D-38CAB84FAE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OE N&amp;C">
      <a:majorFont>
        <a:latin typeface="Nirmala U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epa.gov/benmap/sector-based-pm25-benefit-ton-estimates%20-%20On-road%20Mobile%20Source" TargetMode="External"/><Relationship Id="rId2" Type="http://schemas.openxmlformats.org/officeDocument/2006/relationships/hyperlink" Target="https://www.epa.gov/benmap/sector-based-pm25-benefit-ton-estimates%20-%20On-road%20Mobile%20Source" TargetMode="External"/><Relationship Id="rId1" Type="http://schemas.openxmlformats.org/officeDocument/2006/relationships/hyperlink" Target="https://www.epa.gov/benmap/sector-based-pm25-benefit-ton-estimates%20-%20On-road%20Mobile%20Source" TargetMode="External"/><Relationship Id="rId6" Type="http://schemas.openxmlformats.org/officeDocument/2006/relationships/comments" Target="../comments2.xml"/><Relationship Id="rId5" Type="http://schemas.openxmlformats.org/officeDocument/2006/relationships/vmlDrawing" Target="../drawings/vmlDrawing9.vml"/><Relationship Id="rId4" Type="http://schemas.openxmlformats.org/officeDocument/2006/relationships/hyperlink" Target="https://19january2017snapshot.epa.gov/sites/production/files/2016-12/documents/sc_co2_tsd_august_2016.pd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secure.sos.state.or.us/oard/displayDivisionRules.action;JSESSIONID_OARD=TWFxYjFHGygOB90CQds-0HFXZvwB3gvTrj6NyJ_po5ps9BdSkw4W!479495115?selectedDivision=1560" TargetMode="External"/><Relationship Id="rId1" Type="http://schemas.openxmlformats.org/officeDocument/2006/relationships/hyperlink" Target="http://arcweb.sos.state.or.us/pages/rules/oars_300/oar_340/340_253.html" TargetMode="External"/><Relationship Id="rId4"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2" Type="http://schemas.openxmlformats.org/officeDocument/2006/relationships/hyperlink" Target="https://www.cbo.gov/sites/default/files/1" TargetMode="External"/><Relationship Id="rId1" Type="http://schemas.openxmlformats.org/officeDocument/2006/relationships/hyperlink" Target="http://www.usinflationcalculator.com/inflation/consumer-price-index-and-annual-percent-changes-from-1913-to-2008/"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3.arb.ca.gov/msprog/bus/tco_assumptions.xlsx" TargetMode="External"/><Relationship Id="rId2" Type="http://schemas.openxmlformats.org/officeDocument/2006/relationships/hyperlink" Target="https://ww3.arb.ca.gov/msprog/ict/meeting/mt170626/170626_wg_pres.pdf" TargetMode="External"/><Relationship Id="rId1" Type="http://schemas.openxmlformats.org/officeDocument/2006/relationships/hyperlink" Target="https://www.transit.dot.gov/sites/fta.dot.gov/files/docs/research-innovation/115086/zero-emission-bus-evaluation-results-king-county-metro-battery-electric-buses-fta-report-no-0118.pdf" TargetMode="Externa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www.nrel.gov/docs/fy19osti/72864.pdf" TargetMode="External"/><Relationship Id="rId13" Type="http://schemas.openxmlformats.org/officeDocument/2006/relationships/hyperlink" Target="https://www.nwo.usace.army.mil/Portals/23/Final%20LCC%20Study%20Report.pdf?ver=2017-09-18-124555-723" TargetMode="External"/><Relationship Id="rId3" Type="http://schemas.openxmlformats.org/officeDocument/2006/relationships/hyperlink" Target="https://www.sierraclub.org/sites/www.sierraclub.org/files/sce-authors/u2387/MBTA%20Bus%20Cost%20Analysis_26%20Oct%202017.pdf" TargetMode="External"/><Relationship Id="rId7" Type="http://schemas.openxmlformats.org/officeDocument/2006/relationships/hyperlink" Target="https://www.nrel.gov/docs/fy17osti/67698.pdf" TargetMode="External"/><Relationship Id="rId12" Type="http://schemas.openxmlformats.org/officeDocument/2006/relationships/hyperlink" Target="https://totalenvironmental.net/petroleum-services-environmental-consulting/" TargetMode="External"/><Relationship Id="rId2" Type="http://schemas.openxmlformats.org/officeDocument/2006/relationships/hyperlink" Target="https://www.nrel.gov/docs/fy17osti/67698.pdf" TargetMode="External"/><Relationship Id="rId1" Type="http://schemas.openxmlformats.org/officeDocument/2006/relationships/hyperlink" Target="http://www.columbia.edu/~ja3041/Electric%20Bus%20Analysis%20for%20NYC%20Transit%20by%20J%20Aber%20Columbia%20University%20-%20May%202016.pdf" TargetMode="External"/><Relationship Id="rId6" Type="http://schemas.openxmlformats.org/officeDocument/2006/relationships/hyperlink" Target="http://www.columbia.edu/~ja3041/Electric%20Bus%20Analysis%20for%20NYC%20Transit%20by%20J%20Aber%20Columbia%20University%20-%20May%202016.pdf" TargetMode="External"/><Relationship Id="rId11" Type="http://schemas.openxmlformats.org/officeDocument/2006/relationships/hyperlink" Target="https://www.jones-frank.com/services/repair-maintenance/" TargetMode="External"/><Relationship Id="rId5" Type="http://schemas.openxmlformats.org/officeDocument/2006/relationships/hyperlink" Target="https://afdc.energy.gov/data/10310" TargetMode="External"/><Relationship Id="rId15" Type="http://schemas.openxmlformats.org/officeDocument/2006/relationships/printerSettings" Target="../printerSettings/printerSettings12.bin"/><Relationship Id="rId10" Type="http://schemas.openxmlformats.org/officeDocument/2006/relationships/hyperlink" Target="https://www.rrpetroservices.com/maintaining-your-gas-station-s-fuel-pumps-and-tanks" TargetMode="External"/><Relationship Id="rId4" Type="http://schemas.openxmlformats.org/officeDocument/2006/relationships/hyperlink" Target="https://www.nrel.gov/docs/fy19osti/72864.pdf" TargetMode="External"/><Relationship Id="rId9" Type="http://schemas.openxmlformats.org/officeDocument/2006/relationships/hyperlink" Target="https://www.chicagotribune.com/suburbs/hinsdale/ct-dhd-fuel-pumps-tl-0815-20190807-zjcgv6ecifcttle32gmhyswyli-story.html" TargetMode="External"/><Relationship Id="rId14" Type="http://schemas.openxmlformats.org/officeDocument/2006/relationships/hyperlink" Target="https://www.hindawi.com/journals/jie/2013/278546/"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J134"/>
  <sheetViews>
    <sheetView showGridLines="0" view="pageLayout" topLeftCell="A2" zoomScale="40" zoomScaleNormal="90" zoomScalePageLayoutView="40" workbookViewId="0">
      <selection activeCell="A14" sqref="A14:E14"/>
    </sheetView>
  </sheetViews>
  <sheetFormatPr defaultColWidth="26" defaultRowHeight="15" x14ac:dyDescent="0.25"/>
  <cols>
    <col min="1" max="1" width="26" style="16"/>
    <col min="2" max="2" width="24.5703125" style="16" customWidth="1"/>
    <col min="3" max="3" width="4.85546875" style="16" customWidth="1"/>
    <col min="4" max="4" width="8.140625" style="16" customWidth="1"/>
    <col min="5" max="5" width="128.42578125" style="16" customWidth="1"/>
    <col min="6" max="6" width="2" style="16" customWidth="1"/>
    <col min="7" max="7" width="12.42578125" style="16" hidden="1" customWidth="1"/>
    <col min="8" max="16384" width="26" style="16"/>
  </cols>
  <sheetData>
    <row r="1" spans="1:10" s="634" customFormat="1" ht="132.75" hidden="1" customHeight="1" x14ac:dyDescent="0.25"/>
    <row r="2" spans="1:10" s="63" customFormat="1" ht="50.25" customHeight="1" thickBot="1" x14ac:dyDescent="0.3">
      <c r="A2" s="742" t="s">
        <v>741</v>
      </c>
      <c r="B2" s="743"/>
      <c r="C2" s="743"/>
      <c r="D2" s="743"/>
      <c r="E2" s="743"/>
      <c r="F2" s="743"/>
      <c r="G2" s="743"/>
    </row>
    <row r="3" spans="1:10" ht="34.5" customHeight="1" x14ac:dyDescent="0.25">
      <c r="A3" s="756" t="s">
        <v>753</v>
      </c>
      <c r="B3" s="757"/>
      <c r="C3" s="757"/>
      <c r="D3" s="757"/>
      <c r="E3" s="757"/>
      <c r="F3" s="731"/>
      <c r="G3" s="731"/>
      <c r="H3" s="52"/>
    </row>
    <row r="4" spans="1:10" s="51" customFormat="1" ht="119.25" customHeight="1" x14ac:dyDescent="0.25">
      <c r="A4" s="732"/>
      <c r="B4" s="732"/>
      <c r="C4" s="732"/>
      <c r="D4" s="732"/>
      <c r="E4" s="732"/>
      <c r="F4" s="732"/>
      <c r="G4" s="732"/>
      <c r="H4" s="63"/>
      <c r="I4" s="63"/>
      <c r="J4" s="63"/>
    </row>
    <row r="5" spans="1:10" s="51" customFormat="1" ht="82.5" customHeight="1" x14ac:dyDescent="0.25">
      <c r="A5" s="732"/>
      <c r="B5" s="732"/>
      <c r="C5" s="732"/>
      <c r="D5" s="732"/>
      <c r="E5" s="732"/>
      <c r="F5" s="732"/>
      <c r="G5" s="732"/>
      <c r="H5" s="63"/>
      <c r="I5" s="63"/>
      <c r="J5" s="63"/>
    </row>
    <row r="6" spans="1:10" s="51" customFormat="1" ht="94.5" customHeight="1" x14ac:dyDescent="0.25">
      <c r="A6" s="732"/>
      <c r="B6" s="732"/>
      <c r="C6" s="732"/>
      <c r="D6" s="732"/>
      <c r="E6" s="732"/>
      <c r="F6" s="732"/>
      <c r="G6" s="732"/>
      <c r="H6" s="63"/>
      <c r="I6" s="63"/>
      <c r="J6" s="63"/>
    </row>
    <row r="7" spans="1:10" ht="30.75" customHeight="1" x14ac:dyDescent="0.25">
      <c r="A7" s="744" t="s">
        <v>49</v>
      </c>
      <c r="B7" s="745"/>
      <c r="C7" s="745"/>
      <c r="D7" s="745"/>
      <c r="E7" s="745"/>
      <c r="F7" s="746"/>
      <c r="G7" s="746"/>
      <c r="H7" s="63"/>
      <c r="I7" s="63"/>
      <c r="J7" s="63"/>
    </row>
    <row r="8" spans="1:10" s="51" customFormat="1" ht="231.95" customHeight="1" x14ac:dyDescent="0.25">
      <c r="A8" s="633"/>
      <c r="B8" s="633"/>
      <c r="C8" s="633"/>
      <c r="D8" s="633"/>
      <c r="E8" s="633"/>
      <c r="F8" s="633"/>
      <c r="G8" s="633"/>
      <c r="H8" s="63"/>
      <c r="I8" s="63"/>
      <c r="J8" s="63"/>
    </row>
    <row r="9" spans="1:10" s="51" customFormat="1" ht="33.75" customHeight="1" x14ac:dyDescent="0.4">
      <c r="A9" s="753" t="s">
        <v>730</v>
      </c>
      <c r="B9" s="754"/>
      <c r="C9" s="754"/>
      <c r="D9" s="754"/>
      <c r="E9" s="755"/>
      <c r="F9" s="62"/>
      <c r="G9" s="62"/>
      <c r="H9" s="62"/>
      <c r="I9" s="62"/>
      <c r="J9" s="62"/>
    </row>
    <row r="10" spans="1:10" s="51" customFormat="1" ht="105.75" customHeight="1" x14ac:dyDescent="0.25">
      <c r="A10" s="750" t="s">
        <v>765</v>
      </c>
      <c r="B10" s="751"/>
      <c r="C10" s="751"/>
      <c r="D10" s="751"/>
      <c r="E10" s="752"/>
      <c r="F10" s="62"/>
      <c r="G10" s="62"/>
      <c r="H10" s="62"/>
      <c r="I10" s="62"/>
      <c r="J10" s="62"/>
    </row>
    <row r="11" spans="1:10" ht="30" customHeight="1" x14ac:dyDescent="0.25">
      <c r="A11" s="747" t="s">
        <v>760</v>
      </c>
      <c r="B11" s="748"/>
      <c r="C11" s="748"/>
      <c r="D11" s="748"/>
      <c r="E11" s="749"/>
      <c r="F11" s="62"/>
      <c r="G11" s="62"/>
      <c r="H11" s="62"/>
      <c r="I11" s="62"/>
      <c r="J11" s="62"/>
    </row>
    <row r="12" spans="1:10" s="51" customFormat="1" ht="119.45" customHeight="1" x14ac:dyDescent="0.25">
      <c r="A12" s="750" t="s">
        <v>766</v>
      </c>
      <c r="B12" s="751"/>
      <c r="C12" s="751"/>
      <c r="D12" s="751"/>
      <c r="E12" s="752"/>
      <c r="F12" s="62"/>
      <c r="G12" s="62"/>
      <c r="H12" s="62"/>
      <c r="I12" s="62"/>
      <c r="J12" s="62"/>
    </row>
    <row r="13" spans="1:10" s="51" customFormat="1" ht="79.5" customHeight="1" x14ac:dyDescent="0.25">
      <c r="A13" s="750" t="s">
        <v>767</v>
      </c>
      <c r="B13" s="751"/>
      <c r="C13" s="751"/>
      <c r="D13" s="751"/>
      <c r="E13" s="752"/>
      <c r="F13" s="62"/>
      <c r="G13" s="62"/>
      <c r="H13" s="62"/>
      <c r="I13" s="62"/>
      <c r="J13" s="62"/>
    </row>
    <row r="14" spans="1:10" s="51" customFormat="1" ht="92.45" customHeight="1" x14ac:dyDescent="0.25">
      <c r="A14" s="750" t="s">
        <v>768</v>
      </c>
      <c r="B14" s="751"/>
      <c r="C14" s="751"/>
      <c r="D14" s="751"/>
      <c r="E14" s="752"/>
      <c r="F14" s="62"/>
      <c r="G14" s="62"/>
      <c r="H14" s="62"/>
      <c r="I14" s="62"/>
      <c r="J14" s="62"/>
    </row>
    <row r="15" spans="1:10" s="51" customFormat="1" ht="113.45" customHeight="1" x14ac:dyDescent="0.25">
      <c r="A15" s="750" t="s">
        <v>769</v>
      </c>
      <c r="B15" s="751"/>
      <c r="C15" s="751"/>
      <c r="D15" s="751"/>
      <c r="E15" s="752"/>
      <c r="F15" s="62"/>
      <c r="G15" s="62"/>
      <c r="H15" s="62"/>
      <c r="I15" s="62"/>
      <c r="J15" s="62"/>
    </row>
    <row r="16" spans="1:10" s="51" customFormat="1" ht="84" customHeight="1" x14ac:dyDescent="0.25">
      <c r="A16" s="750" t="s">
        <v>770</v>
      </c>
      <c r="B16" s="751"/>
      <c r="C16" s="751"/>
      <c r="D16" s="751"/>
      <c r="E16" s="752"/>
      <c r="F16" s="62"/>
      <c r="G16" s="62"/>
      <c r="H16" s="62"/>
      <c r="I16" s="62"/>
      <c r="J16" s="62"/>
    </row>
    <row r="17" spans="1:10" s="51" customFormat="1" ht="28.5" customHeight="1" x14ac:dyDescent="0.25">
      <c r="A17" s="747" t="s">
        <v>758</v>
      </c>
      <c r="B17" s="748"/>
      <c r="C17" s="748"/>
      <c r="D17" s="748"/>
      <c r="E17" s="749"/>
      <c r="F17" s="62"/>
      <c r="G17" s="62"/>
      <c r="H17" s="62"/>
      <c r="I17" s="62"/>
      <c r="J17" s="62"/>
    </row>
    <row r="18" spans="1:10" ht="119.25" customHeight="1" x14ac:dyDescent="0.25">
      <c r="A18" s="758" t="s">
        <v>771</v>
      </c>
      <c r="B18" s="759"/>
      <c r="C18" s="759"/>
      <c r="D18" s="759"/>
      <c r="E18" s="760"/>
      <c r="F18" s="62"/>
      <c r="G18" s="62"/>
      <c r="H18" s="62"/>
      <c r="I18" s="62"/>
      <c r="J18" s="62"/>
    </row>
    <row r="19" spans="1:10" s="51" customFormat="1" ht="98.25" customHeight="1" x14ac:dyDescent="0.25">
      <c r="A19" s="764" t="s">
        <v>772</v>
      </c>
      <c r="B19" s="751"/>
      <c r="C19" s="751"/>
      <c r="D19" s="751"/>
      <c r="E19" s="752"/>
      <c r="F19" s="62"/>
      <c r="G19" s="62"/>
      <c r="H19" s="62"/>
      <c r="I19" s="62"/>
      <c r="J19" s="62"/>
    </row>
    <row r="20" spans="1:10" s="51" customFormat="1" ht="58.5" customHeight="1" x14ac:dyDescent="0.25">
      <c r="A20" s="765" t="s">
        <v>773</v>
      </c>
      <c r="B20" s="759"/>
      <c r="C20" s="759"/>
      <c r="D20" s="759"/>
      <c r="E20" s="760"/>
      <c r="F20" s="62"/>
      <c r="G20" s="62"/>
      <c r="H20" s="62"/>
      <c r="I20" s="62"/>
      <c r="J20" s="62"/>
    </row>
    <row r="21" spans="1:10" s="51" customFormat="1" ht="30" customHeight="1" x14ac:dyDescent="0.25">
      <c r="A21" s="747" t="s">
        <v>759</v>
      </c>
      <c r="B21" s="748"/>
      <c r="C21" s="748"/>
      <c r="D21" s="748"/>
      <c r="E21" s="749"/>
      <c r="F21" s="62"/>
      <c r="G21" s="62"/>
      <c r="H21" s="62"/>
      <c r="I21" s="62"/>
      <c r="J21" s="62"/>
    </row>
    <row r="22" spans="1:10" s="51" customFormat="1" ht="120.75" customHeight="1" x14ac:dyDescent="0.25">
      <c r="A22" s="768" t="s">
        <v>774</v>
      </c>
      <c r="B22" s="769"/>
      <c r="C22" s="769"/>
      <c r="D22" s="769"/>
      <c r="E22" s="770"/>
      <c r="F22" s="62"/>
      <c r="G22" s="62"/>
      <c r="H22" s="62"/>
      <c r="I22" s="62"/>
      <c r="J22" s="62"/>
    </row>
    <row r="23" spans="1:10" s="51" customFormat="1" ht="142.5" customHeight="1" x14ac:dyDescent="0.25">
      <c r="A23" s="766" t="s">
        <v>775</v>
      </c>
      <c r="B23" s="767"/>
      <c r="C23" s="767"/>
      <c r="D23" s="767"/>
      <c r="E23" s="767"/>
      <c r="F23" s="62"/>
      <c r="G23" s="62"/>
      <c r="H23" s="62"/>
      <c r="I23" s="62"/>
      <c r="J23" s="62"/>
    </row>
    <row r="24" spans="1:10" s="51" customFormat="1" ht="99" customHeight="1" x14ac:dyDescent="0.25">
      <c r="A24" s="766" t="s">
        <v>776</v>
      </c>
      <c r="B24" s="767"/>
      <c r="C24" s="767"/>
      <c r="D24" s="767"/>
      <c r="E24" s="767"/>
      <c r="F24" s="62"/>
      <c r="G24" s="62"/>
      <c r="H24" s="62"/>
      <c r="I24" s="62"/>
      <c r="J24" s="62"/>
    </row>
    <row r="25" spans="1:10" s="51" customFormat="1" ht="79.5" customHeight="1" x14ac:dyDescent="0.25">
      <c r="A25" s="765" t="s">
        <v>777</v>
      </c>
      <c r="B25" s="759"/>
      <c r="C25" s="759"/>
      <c r="D25" s="759"/>
      <c r="E25" s="760"/>
      <c r="F25" s="62"/>
      <c r="G25" s="62"/>
      <c r="H25" s="62"/>
      <c r="I25" s="62"/>
      <c r="J25" s="62"/>
    </row>
    <row r="26" spans="1:10" s="51" customFormat="1" ht="81" customHeight="1" x14ac:dyDescent="0.25">
      <c r="A26" s="750" t="s">
        <v>778</v>
      </c>
      <c r="B26" s="751"/>
      <c r="C26" s="751"/>
      <c r="D26" s="751"/>
      <c r="E26" s="752"/>
      <c r="F26" s="62"/>
      <c r="G26" s="62"/>
      <c r="H26" s="62"/>
      <c r="I26" s="62"/>
      <c r="J26" s="62"/>
    </row>
    <row r="27" spans="1:10" s="51" customFormat="1" ht="83.25" customHeight="1" x14ac:dyDescent="0.25">
      <c r="A27" s="750" t="s">
        <v>779</v>
      </c>
      <c r="B27" s="751"/>
      <c r="C27" s="751"/>
      <c r="D27" s="751"/>
      <c r="E27" s="752"/>
      <c r="F27" s="62"/>
      <c r="G27" s="62"/>
      <c r="H27" s="62"/>
      <c r="I27" s="62"/>
      <c r="J27" s="62"/>
    </row>
    <row r="28" spans="1:10" s="51" customFormat="1" ht="120" customHeight="1" x14ac:dyDescent="0.25">
      <c r="A28" s="750" t="s">
        <v>780</v>
      </c>
      <c r="B28" s="751"/>
      <c r="C28" s="751"/>
      <c r="D28" s="751"/>
      <c r="E28" s="752"/>
      <c r="F28" s="62"/>
      <c r="G28" s="62"/>
      <c r="H28" s="62"/>
      <c r="I28" s="62"/>
      <c r="J28" s="62"/>
    </row>
    <row r="29" spans="1:10" s="51" customFormat="1" ht="127.5" customHeight="1" x14ac:dyDescent="0.25">
      <c r="A29" s="750" t="s">
        <v>781</v>
      </c>
      <c r="B29" s="751"/>
      <c r="C29" s="751"/>
      <c r="D29" s="751"/>
      <c r="E29" s="752"/>
      <c r="F29" s="62"/>
      <c r="G29" s="62"/>
      <c r="H29" s="62"/>
      <c r="I29" s="62"/>
      <c r="J29" s="62"/>
    </row>
    <row r="30" spans="1:10" s="51" customFormat="1" ht="119.25" customHeight="1" x14ac:dyDescent="0.25">
      <c r="A30" s="768" t="s">
        <v>782</v>
      </c>
      <c r="B30" s="769"/>
      <c r="C30" s="769"/>
      <c r="D30" s="769"/>
      <c r="E30" s="770"/>
      <c r="F30" s="62"/>
      <c r="G30" s="62"/>
      <c r="H30" s="62"/>
      <c r="I30" s="62"/>
      <c r="J30" s="62"/>
    </row>
    <row r="31" spans="1:10" s="51" customFormat="1" ht="90.75" customHeight="1" x14ac:dyDescent="0.25">
      <c r="A31" s="750" t="s">
        <v>783</v>
      </c>
      <c r="B31" s="751"/>
      <c r="C31" s="751"/>
      <c r="D31" s="751"/>
      <c r="E31" s="752"/>
      <c r="F31" s="62"/>
      <c r="G31" s="62"/>
      <c r="H31" s="62"/>
      <c r="I31" s="62"/>
      <c r="J31" s="62"/>
    </row>
    <row r="32" spans="1:10" s="51" customFormat="1" ht="225.95" customHeight="1" x14ac:dyDescent="0.25">
      <c r="A32" s="750" t="s">
        <v>784</v>
      </c>
      <c r="B32" s="751"/>
      <c r="C32" s="751"/>
      <c r="D32" s="751"/>
      <c r="E32" s="752"/>
      <c r="F32" s="62"/>
      <c r="G32" s="62"/>
      <c r="H32" s="62"/>
      <c r="I32" s="62"/>
      <c r="J32" s="62"/>
    </row>
    <row r="33" spans="1:10" s="51" customFormat="1" ht="30" customHeight="1" x14ac:dyDescent="0.25">
      <c r="A33" s="747" t="s">
        <v>757</v>
      </c>
      <c r="B33" s="748"/>
      <c r="C33" s="748"/>
      <c r="D33" s="748"/>
      <c r="E33" s="749"/>
      <c r="F33" s="62"/>
      <c r="G33" s="62"/>
      <c r="H33" s="62"/>
      <c r="I33" s="62"/>
      <c r="J33" s="62"/>
    </row>
    <row r="34" spans="1:10" s="51" customFormat="1" ht="153.94999999999999" customHeight="1" x14ac:dyDescent="0.25">
      <c r="A34" s="750" t="s">
        <v>785</v>
      </c>
      <c r="B34" s="751"/>
      <c r="C34" s="751"/>
      <c r="D34" s="751"/>
      <c r="E34" s="752"/>
      <c r="F34" s="62"/>
      <c r="G34" s="62"/>
      <c r="H34" s="62"/>
      <c r="I34" s="62"/>
      <c r="J34" s="62"/>
    </row>
    <row r="35" spans="1:10" s="51" customFormat="1" ht="66.75" customHeight="1" x14ac:dyDescent="0.25">
      <c r="A35" s="750" t="s">
        <v>764</v>
      </c>
      <c r="B35" s="751"/>
      <c r="C35" s="751"/>
      <c r="D35" s="751"/>
      <c r="E35" s="752"/>
      <c r="F35" s="62"/>
      <c r="G35" s="62"/>
      <c r="H35" s="62"/>
      <c r="I35" s="62"/>
      <c r="J35" s="62"/>
    </row>
    <row r="36" spans="1:10" s="51" customFormat="1" ht="53.25" customHeight="1" x14ac:dyDescent="0.35">
      <c r="A36" s="771" t="s">
        <v>756</v>
      </c>
      <c r="B36" s="772"/>
      <c r="C36" s="772"/>
      <c r="D36" s="772"/>
      <c r="E36" s="773"/>
      <c r="F36" s="62"/>
      <c r="G36" s="62"/>
      <c r="H36" s="62"/>
      <c r="I36" s="62"/>
      <c r="J36" s="62"/>
    </row>
    <row r="37" spans="1:10" s="51" customFormat="1" ht="26.25" x14ac:dyDescent="0.4">
      <c r="A37" s="761" t="s">
        <v>731</v>
      </c>
      <c r="B37" s="762"/>
      <c r="C37" s="762"/>
      <c r="D37" s="762"/>
      <c r="E37" s="763"/>
      <c r="F37" s="62"/>
      <c r="G37" s="62"/>
      <c r="H37" s="62"/>
      <c r="I37" s="62"/>
      <c r="J37" s="62"/>
    </row>
    <row r="38" spans="1:10" ht="114" customHeight="1" x14ac:dyDescent="0.25">
      <c r="A38" s="750" t="s">
        <v>732</v>
      </c>
      <c r="B38" s="751"/>
      <c r="C38" s="751"/>
      <c r="D38" s="751"/>
      <c r="E38" s="752"/>
      <c r="F38" s="62"/>
      <c r="G38" s="62"/>
      <c r="H38" s="62"/>
      <c r="I38" s="62"/>
      <c r="J38" s="62"/>
    </row>
    <row r="39" spans="1:10" s="51" customFormat="1" ht="26.25" x14ac:dyDescent="0.4">
      <c r="A39" s="761" t="s">
        <v>733</v>
      </c>
      <c r="B39" s="762"/>
      <c r="C39" s="762"/>
      <c r="D39" s="762"/>
      <c r="E39" s="763"/>
      <c r="F39" s="62"/>
      <c r="G39" s="62"/>
      <c r="H39" s="62"/>
      <c r="I39" s="62"/>
      <c r="J39" s="62"/>
    </row>
    <row r="40" spans="1:10" s="51" customFormat="1" ht="78" customHeight="1" x14ac:dyDescent="0.25">
      <c r="A40" s="750" t="s">
        <v>735</v>
      </c>
      <c r="B40" s="751"/>
      <c r="C40" s="751"/>
      <c r="D40" s="751"/>
      <c r="E40" s="752"/>
      <c r="F40" s="62"/>
      <c r="G40" s="62"/>
      <c r="H40" s="62"/>
      <c r="I40" s="62"/>
      <c r="J40" s="62"/>
    </row>
    <row r="41" spans="1:10" s="51" customFormat="1" ht="26.25" x14ac:dyDescent="0.4">
      <c r="A41" s="761" t="s">
        <v>734</v>
      </c>
      <c r="B41" s="762"/>
      <c r="C41" s="762"/>
      <c r="D41" s="762"/>
      <c r="E41" s="763"/>
      <c r="F41" s="62"/>
      <c r="G41" s="62"/>
      <c r="H41" s="62"/>
      <c r="I41" s="62"/>
      <c r="J41" s="62"/>
    </row>
    <row r="42" spans="1:10" s="51" customFormat="1" ht="93.75" customHeight="1" x14ac:dyDescent="0.25">
      <c r="A42" s="750" t="s">
        <v>736</v>
      </c>
      <c r="B42" s="751"/>
      <c r="C42" s="751"/>
      <c r="D42" s="751"/>
      <c r="E42" s="752"/>
      <c r="F42" s="62"/>
      <c r="G42" s="62"/>
      <c r="H42" s="62"/>
      <c r="I42" s="62"/>
      <c r="J42" s="62"/>
    </row>
    <row r="43" spans="1:10" s="51" customFormat="1" ht="26.25" x14ac:dyDescent="0.4">
      <c r="A43" s="761" t="s">
        <v>738</v>
      </c>
      <c r="B43" s="762"/>
      <c r="C43" s="762"/>
      <c r="D43" s="762"/>
      <c r="E43" s="763"/>
      <c r="F43" s="62"/>
      <c r="G43" s="62"/>
      <c r="H43" s="62"/>
      <c r="I43" s="62"/>
      <c r="J43" s="62"/>
    </row>
    <row r="44" spans="1:10" s="51" customFormat="1" ht="96" customHeight="1" x14ac:dyDescent="0.25">
      <c r="A44" s="750" t="s">
        <v>740</v>
      </c>
      <c r="B44" s="751"/>
      <c r="C44" s="751"/>
      <c r="D44" s="751"/>
      <c r="E44" s="752"/>
      <c r="F44" s="62"/>
      <c r="G44" s="62"/>
      <c r="H44" s="62"/>
      <c r="I44" s="62"/>
      <c r="J44" s="62"/>
    </row>
    <row r="45" spans="1:10" s="51" customFormat="1" ht="26.25" x14ac:dyDescent="0.4">
      <c r="A45" s="761" t="s">
        <v>737</v>
      </c>
      <c r="B45" s="762"/>
      <c r="C45" s="762"/>
      <c r="D45" s="762"/>
      <c r="E45" s="763"/>
      <c r="F45" s="62"/>
      <c r="G45" s="62"/>
      <c r="H45" s="62"/>
      <c r="I45" s="62"/>
      <c r="J45" s="62"/>
    </row>
    <row r="46" spans="1:10" ht="35.25" customHeight="1" x14ac:dyDescent="0.25">
      <c r="A46" s="750" t="s">
        <v>739</v>
      </c>
      <c r="B46" s="751"/>
      <c r="C46" s="751"/>
      <c r="D46" s="751"/>
      <c r="E46" s="752"/>
      <c r="F46" s="62"/>
      <c r="G46" s="62"/>
      <c r="H46" s="62"/>
      <c r="I46" s="62"/>
      <c r="J46" s="62"/>
    </row>
    <row r="47" spans="1:10" ht="15" customHeight="1" x14ac:dyDescent="0.25">
      <c r="A47" s="52"/>
      <c r="B47" s="52"/>
      <c r="C47" s="52"/>
      <c r="D47" s="52"/>
      <c r="E47" s="52"/>
      <c r="F47" s="62"/>
      <c r="G47" s="62"/>
      <c r="H47" s="62"/>
      <c r="I47" s="62"/>
      <c r="J47" s="62"/>
    </row>
    <row r="48" spans="1:10" x14ac:dyDescent="0.25">
      <c r="A48" s="52"/>
      <c r="B48" s="52"/>
      <c r="C48" s="52"/>
      <c r="D48" s="52"/>
      <c r="E48" s="52"/>
      <c r="F48" s="62"/>
      <c r="G48" s="62"/>
      <c r="H48" s="62"/>
      <c r="I48" s="62"/>
      <c r="J48" s="62"/>
    </row>
    <row r="49" spans="1:10" x14ac:dyDescent="0.25">
      <c r="A49" s="52"/>
      <c r="B49" s="52"/>
      <c r="C49" s="52"/>
      <c r="D49" s="52"/>
      <c r="E49" s="52"/>
      <c r="F49" s="62"/>
      <c r="G49" s="62"/>
      <c r="H49" s="62"/>
      <c r="I49" s="62"/>
      <c r="J49" s="62"/>
    </row>
    <row r="50" spans="1:10" x14ac:dyDescent="0.25">
      <c r="A50" s="52"/>
      <c r="B50" s="52"/>
      <c r="C50" s="52"/>
      <c r="D50" s="52"/>
      <c r="E50" s="52"/>
      <c r="F50" s="62"/>
      <c r="G50" s="62"/>
      <c r="H50" s="62"/>
      <c r="I50" s="62"/>
      <c r="J50" s="62"/>
    </row>
    <row r="51" spans="1:10" x14ac:dyDescent="0.25">
      <c r="A51" s="52"/>
      <c r="B51" s="52"/>
      <c r="C51" s="52"/>
      <c r="D51" s="52"/>
      <c r="E51" s="52"/>
      <c r="F51" s="62"/>
      <c r="G51" s="62"/>
      <c r="H51" s="62"/>
      <c r="I51" s="62"/>
      <c r="J51" s="62"/>
    </row>
    <row r="52" spans="1:10" x14ac:dyDescent="0.25">
      <c r="A52" s="52"/>
      <c r="B52" s="52"/>
      <c r="C52" s="52"/>
      <c r="D52" s="52"/>
      <c r="E52" s="52"/>
      <c r="F52" s="62"/>
      <c r="G52" s="62"/>
      <c r="H52" s="62"/>
      <c r="I52" s="62"/>
      <c r="J52" s="62"/>
    </row>
    <row r="53" spans="1:10" x14ac:dyDescent="0.25">
      <c r="A53" s="52"/>
      <c r="B53" s="52"/>
      <c r="C53" s="52"/>
      <c r="D53" s="52"/>
      <c r="E53" s="52"/>
      <c r="F53" s="62"/>
      <c r="G53" s="62"/>
      <c r="H53" s="62"/>
      <c r="I53" s="62"/>
      <c r="J53" s="62"/>
    </row>
    <row r="54" spans="1:10" x14ac:dyDescent="0.25">
      <c r="A54" s="52"/>
      <c r="B54" s="52"/>
      <c r="C54" s="52"/>
      <c r="D54" s="52"/>
      <c r="E54" s="52"/>
      <c r="F54" s="62"/>
      <c r="G54" s="62"/>
      <c r="H54" s="62"/>
      <c r="I54" s="62"/>
      <c r="J54" s="62"/>
    </row>
    <row r="55" spans="1:10" x14ac:dyDescent="0.25">
      <c r="A55" s="52"/>
      <c r="B55" s="52"/>
      <c r="C55" s="52"/>
      <c r="D55" s="52"/>
      <c r="E55" s="52"/>
      <c r="F55" s="62"/>
      <c r="G55" s="62"/>
      <c r="H55" s="62"/>
      <c r="I55" s="62"/>
      <c r="J55" s="62"/>
    </row>
    <row r="56" spans="1:10" x14ac:dyDescent="0.25">
      <c r="A56" s="52"/>
      <c r="B56" s="52"/>
      <c r="C56" s="52"/>
      <c r="D56" s="52"/>
      <c r="E56" s="52"/>
      <c r="F56" s="62"/>
      <c r="G56" s="62"/>
      <c r="H56" s="62"/>
      <c r="I56" s="62"/>
      <c r="J56" s="62"/>
    </row>
    <row r="57" spans="1:10" x14ac:dyDescent="0.25">
      <c r="A57" s="52"/>
      <c r="B57" s="52"/>
      <c r="C57" s="52"/>
      <c r="D57" s="52"/>
      <c r="E57" s="52"/>
      <c r="F57" s="62"/>
      <c r="G57" s="62"/>
      <c r="H57" s="62"/>
      <c r="I57" s="62"/>
      <c r="J57" s="62"/>
    </row>
    <row r="58" spans="1:10" x14ac:dyDescent="0.25">
      <c r="A58" s="52"/>
      <c r="B58" s="52"/>
      <c r="C58" s="52"/>
      <c r="D58" s="52"/>
      <c r="E58" s="52"/>
      <c r="F58" s="62"/>
      <c r="G58" s="62"/>
      <c r="H58" s="62"/>
      <c r="I58" s="62"/>
      <c r="J58" s="62"/>
    </row>
    <row r="59" spans="1:10" x14ac:dyDescent="0.25">
      <c r="A59" s="52"/>
      <c r="B59" s="52"/>
      <c r="C59" s="52"/>
      <c r="D59" s="52"/>
      <c r="E59" s="52"/>
      <c r="F59" s="62"/>
      <c r="G59" s="62"/>
      <c r="H59" s="62"/>
      <c r="I59" s="62"/>
      <c r="J59" s="62"/>
    </row>
    <row r="60" spans="1:10" x14ac:dyDescent="0.25">
      <c r="A60" s="52"/>
      <c r="B60" s="52"/>
      <c r="C60" s="52"/>
      <c r="D60" s="52"/>
      <c r="E60" s="52"/>
      <c r="F60" s="62"/>
      <c r="G60" s="62"/>
      <c r="H60" s="62"/>
      <c r="I60" s="62"/>
      <c r="J60" s="62"/>
    </row>
    <row r="61" spans="1:10" ht="20.25" customHeight="1" x14ac:dyDescent="0.25">
      <c r="A61" s="52"/>
      <c r="B61" s="52"/>
      <c r="C61" s="52"/>
      <c r="D61" s="52"/>
      <c r="E61" s="52"/>
      <c r="F61" s="62"/>
      <c r="G61" s="62"/>
      <c r="H61" s="62"/>
      <c r="I61" s="62"/>
      <c r="J61" s="62"/>
    </row>
    <row r="62" spans="1:10" x14ac:dyDescent="0.25">
      <c r="A62" s="52"/>
      <c r="B62" s="52"/>
      <c r="C62" s="52"/>
      <c r="D62" s="52"/>
      <c r="E62" s="52"/>
      <c r="F62" s="62"/>
      <c r="G62" s="62"/>
      <c r="H62" s="62"/>
      <c r="I62" s="62"/>
      <c r="J62" s="62"/>
    </row>
    <row r="63" spans="1:10" x14ac:dyDescent="0.25">
      <c r="A63" s="52"/>
      <c r="B63" s="52"/>
      <c r="C63" s="52"/>
      <c r="D63" s="52"/>
      <c r="E63" s="52"/>
      <c r="F63" s="62"/>
      <c r="G63" s="62"/>
      <c r="H63" s="62"/>
      <c r="I63" s="62"/>
      <c r="J63" s="62"/>
    </row>
    <row r="64" spans="1:10" x14ac:dyDescent="0.25">
      <c r="A64" s="52"/>
      <c r="B64" s="52"/>
      <c r="C64" s="52"/>
      <c r="D64" s="52"/>
      <c r="E64" s="52"/>
      <c r="F64" s="62"/>
      <c r="G64" s="62"/>
      <c r="H64" s="62"/>
      <c r="I64" s="62"/>
      <c r="J64" s="62"/>
    </row>
    <row r="65" spans="1:10" x14ac:dyDescent="0.25">
      <c r="A65" s="52"/>
      <c r="B65" s="52"/>
      <c r="C65" s="52"/>
      <c r="D65" s="52"/>
      <c r="E65" s="52"/>
      <c r="F65" s="62"/>
      <c r="G65" s="62"/>
      <c r="H65" s="62"/>
      <c r="I65" s="62"/>
      <c r="J65" s="62"/>
    </row>
    <row r="66" spans="1:10" x14ac:dyDescent="0.25">
      <c r="A66" s="52"/>
      <c r="B66" s="52"/>
      <c r="C66" s="52"/>
      <c r="D66" s="52"/>
      <c r="E66" s="52"/>
      <c r="F66" s="62"/>
      <c r="G66" s="62"/>
      <c r="H66" s="62"/>
      <c r="I66" s="62"/>
      <c r="J66" s="62"/>
    </row>
    <row r="67" spans="1:10" x14ac:dyDescent="0.25">
      <c r="A67" s="52"/>
      <c r="B67" s="52"/>
      <c r="C67" s="52"/>
      <c r="D67" s="52"/>
      <c r="E67" s="52"/>
      <c r="F67" s="62"/>
      <c r="G67" s="62"/>
      <c r="H67" s="62"/>
      <c r="I67" s="62"/>
      <c r="J67" s="62"/>
    </row>
    <row r="68" spans="1:10" x14ac:dyDescent="0.25">
      <c r="A68" s="52"/>
      <c r="B68" s="52"/>
      <c r="C68" s="52"/>
      <c r="D68" s="52"/>
      <c r="E68" s="52"/>
      <c r="F68" s="62"/>
      <c r="G68" s="62"/>
      <c r="H68" s="62"/>
      <c r="I68" s="62"/>
      <c r="J68" s="62"/>
    </row>
    <row r="69" spans="1:10" x14ac:dyDescent="0.25">
      <c r="A69" s="52"/>
      <c r="B69" s="52"/>
      <c r="C69" s="52"/>
      <c r="D69" s="52"/>
      <c r="E69" s="52"/>
      <c r="F69" s="62"/>
      <c r="G69" s="62"/>
      <c r="H69" s="62"/>
      <c r="I69" s="62"/>
      <c r="J69" s="62"/>
    </row>
    <row r="70" spans="1:10" x14ac:dyDescent="0.25">
      <c r="A70" s="52"/>
      <c r="B70" s="52"/>
      <c r="C70" s="52"/>
      <c r="D70" s="52"/>
      <c r="E70" s="52"/>
      <c r="F70" s="62"/>
      <c r="G70" s="62"/>
      <c r="H70" s="62"/>
      <c r="I70" s="62"/>
      <c r="J70" s="62"/>
    </row>
    <row r="71" spans="1:10" x14ac:dyDescent="0.25">
      <c r="A71" s="52"/>
      <c r="B71" s="52"/>
      <c r="C71" s="52"/>
      <c r="D71" s="52"/>
      <c r="E71" s="52"/>
      <c r="F71" s="62"/>
      <c r="G71" s="62"/>
      <c r="H71" s="62"/>
      <c r="I71" s="62"/>
      <c r="J71" s="62"/>
    </row>
    <row r="72" spans="1:10" x14ac:dyDescent="0.25">
      <c r="A72" s="52"/>
      <c r="B72" s="52"/>
      <c r="C72" s="52"/>
      <c r="D72" s="52"/>
      <c r="E72" s="52"/>
      <c r="F72" s="62"/>
      <c r="G72" s="62"/>
      <c r="H72" s="62"/>
      <c r="I72" s="62"/>
      <c r="J72" s="62"/>
    </row>
    <row r="73" spans="1:10" x14ac:dyDescent="0.25">
      <c r="A73" s="52"/>
      <c r="B73" s="52"/>
      <c r="C73" s="52"/>
      <c r="D73" s="52"/>
      <c r="E73" s="52"/>
      <c r="F73" s="62"/>
      <c r="G73" s="62"/>
      <c r="H73" s="62"/>
      <c r="I73" s="62"/>
      <c r="J73" s="62"/>
    </row>
    <row r="74" spans="1:10" x14ac:dyDescent="0.25">
      <c r="A74" s="52"/>
      <c r="B74" s="52"/>
      <c r="C74" s="52"/>
      <c r="D74" s="52"/>
      <c r="E74" s="52"/>
      <c r="F74" s="62"/>
      <c r="G74" s="62"/>
      <c r="H74" s="62"/>
      <c r="I74" s="62"/>
      <c r="J74" s="62"/>
    </row>
    <row r="75" spans="1:10" ht="305.25" customHeight="1" x14ac:dyDescent="0.25">
      <c r="A75" s="52"/>
      <c r="B75" s="52"/>
      <c r="C75" s="52"/>
      <c r="D75" s="52"/>
      <c r="E75" s="52"/>
      <c r="F75" s="62"/>
      <c r="G75" s="62"/>
      <c r="H75" s="62"/>
      <c r="I75" s="62"/>
      <c r="J75" s="62"/>
    </row>
    <row r="76" spans="1:10" x14ac:dyDescent="0.25">
      <c r="A76" s="52"/>
      <c r="B76" s="52"/>
      <c r="C76" s="52"/>
      <c r="D76" s="52"/>
      <c r="E76" s="52"/>
      <c r="F76" s="62"/>
      <c r="G76" s="62"/>
      <c r="H76" s="62"/>
      <c r="I76" s="62"/>
      <c r="J76" s="62"/>
    </row>
    <row r="77" spans="1:10" x14ac:dyDescent="0.25">
      <c r="A77" s="52"/>
      <c r="B77" s="52"/>
      <c r="C77" s="52"/>
      <c r="D77" s="52"/>
      <c r="E77" s="52"/>
      <c r="F77" s="62"/>
      <c r="G77" s="62"/>
      <c r="H77" s="62"/>
      <c r="I77" s="62"/>
      <c r="J77" s="62"/>
    </row>
    <row r="78" spans="1:10" x14ac:dyDescent="0.25">
      <c r="A78" s="52"/>
      <c r="B78" s="52"/>
      <c r="C78" s="52"/>
      <c r="D78" s="52"/>
      <c r="E78" s="52"/>
      <c r="F78" s="62"/>
      <c r="G78" s="62"/>
      <c r="H78" s="62"/>
      <c r="I78" s="62"/>
      <c r="J78" s="62"/>
    </row>
    <row r="79" spans="1:10" x14ac:dyDescent="0.25">
      <c r="A79" s="52"/>
      <c r="B79" s="52"/>
      <c r="C79" s="52"/>
      <c r="D79" s="52"/>
      <c r="E79" s="52"/>
      <c r="F79" s="62"/>
      <c r="G79" s="62"/>
      <c r="H79" s="62"/>
      <c r="I79" s="62"/>
      <c r="J79" s="62"/>
    </row>
    <row r="80" spans="1:10" x14ac:dyDescent="0.25">
      <c r="A80" s="52"/>
      <c r="B80" s="52"/>
      <c r="C80" s="52"/>
      <c r="D80" s="52"/>
      <c r="E80" s="52"/>
      <c r="F80" s="62"/>
      <c r="G80" s="62"/>
      <c r="H80" s="62"/>
      <c r="I80" s="62"/>
      <c r="J80" s="62"/>
    </row>
    <row r="81" spans="1:10" x14ac:dyDescent="0.25">
      <c r="A81" s="52"/>
      <c r="B81" s="52"/>
      <c r="C81" s="52"/>
      <c r="D81" s="52"/>
      <c r="E81" s="52"/>
      <c r="F81" s="62"/>
      <c r="G81" s="62"/>
      <c r="H81" s="62"/>
      <c r="I81" s="62"/>
      <c r="J81" s="62"/>
    </row>
    <row r="82" spans="1:10" x14ac:dyDescent="0.25">
      <c r="A82" s="52"/>
      <c r="B82" s="52"/>
      <c r="C82" s="52"/>
      <c r="D82" s="52"/>
      <c r="E82" s="52"/>
      <c r="F82" s="62"/>
      <c r="G82" s="62"/>
      <c r="H82" s="62"/>
      <c r="I82" s="62"/>
      <c r="J82" s="62"/>
    </row>
    <row r="83" spans="1:10" x14ac:dyDescent="0.25">
      <c r="A83" s="52"/>
      <c r="B83" s="52"/>
      <c r="C83" s="52"/>
      <c r="D83" s="52"/>
      <c r="E83" s="52"/>
      <c r="F83" s="62"/>
      <c r="G83" s="62"/>
      <c r="H83" s="62"/>
      <c r="I83" s="62"/>
      <c r="J83" s="62"/>
    </row>
    <row r="84" spans="1:10" x14ac:dyDescent="0.25">
      <c r="A84" s="52"/>
      <c r="B84" s="52"/>
      <c r="C84" s="52"/>
      <c r="D84" s="52"/>
      <c r="E84" s="52"/>
      <c r="F84" s="62"/>
      <c r="G84" s="62"/>
      <c r="H84" s="62"/>
      <c r="I84" s="62"/>
      <c r="J84" s="62"/>
    </row>
    <row r="85" spans="1:10" x14ac:dyDescent="0.25">
      <c r="A85" s="52"/>
      <c r="B85" s="52"/>
      <c r="C85" s="52"/>
      <c r="D85" s="52"/>
      <c r="E85" s="52"/>
      <c r="F85" s="62"/>
      <c r="G85" s="62"/>
      <c r="H85" s="62"/>
      <c r="I85" s="62"/>
      <c r="J85" s="62"/>
    </row>
    <row r="86" spans="1:10" x14ac:dyDescent="0.25">
      <c r="A86" s="52"/>
      <c r="B86" s="52"/>
      <c r="C86" s="52"/>
      <c r="D86" s="52"/>
      <c r="E86" s="52"/>
      <c r="F86" s="62"/>
      <c r="G86" s="62"/>
      <c r="H86" s="62"/>
      <c r="I86" s="62"/>
      <c r="J86" s="62"/>
    </row>
    <row r="87" spans="1:10" x14ac:dyDescent="0.25">
      <c r="A87" s="52"/>
      <c r="B87" s="52"/>
      <c r="C87" s="52"/>
      <c r="D87" s="52"/>
      <c r="E87" s="52"/>
      <c r="F87" s="62"/>
      <c r="G87" s="62"/>
      <c r="H87" s="62"/>
      <c r="I87" s="62"/>
      <c r="J87" s="62"/>
    </row>
    <row r="88" spans="1:10" x14ac:dyDescent="0.25">
      <c r="A88" s="52"/>
      <c r="B88" s="52"/>
      <c r="C88" s="52"/>
      <c r="D88" s="52"/>
      <c r="E88" s="52"/>
      <c r="F88" s="62"/>
      <c r="G88" s="62"/>
      <c r="H88" s="62"/>
      <c r="I88" s="62"/>
      <c r="J88" s="62"/>
    </row>
    <row r="89" spans="1:10" x14ac:dyDescent="0.25">
      <c r="A89" s="52"/>
      <c r="B89" s="52"/>
      <c r="C89" s="52"/>
      <c r="D89" s="52"/>
      <c r="E89" s="52"/>
      <c r="F89" s="62"/>
      <c r="G89" s="62"/>
      <c r="H89" s="62"/>
      <c r="I89" s="62"/>
      <c r="J89" s="62"/>
    </row>
    <row r="90" spans="1:10" x14ac:dyDescent="0.25">
      <c r="A90" s="52"/>
      <c r="B90" s="52"/>
      <c r="C90" s="52"/>
      <c r="D90" s="52"/>
      <c r="E90" s="52"/>
      <c r="F90" s="62"/>
      <c r="G90" s="62"/>
      <c r="H90" s="62"/>
      <c r="I90" s="62"/>
      <c r="J90" s="62"/>
    </row>
    <row r="91" spans="1:10" x14ac:dyDescent="0.25">
      <c r="A91" s="52"/>
      <c r="B91" s="52"/>
      <c r="C91" s="52"/>
      <c r="D91" s="52"/>
      <c r="E91" s="52"/>
      <c r="F91" s="62"/>
      <c r="G91" s="62"/>
      <c r="H91" s="62"/>
      <c r="I91" s="62"/>
      <c r="J91" s="62"/>
    </row>
    <row r="92" spans="1:10" x14ac:dyDescent="0.25">
      <c r="A92" s="52"/>
      <c r="B92" s="52"/>
      <c r="C92" s="52"/>
      <c r="D92" s="52"/>
      <c r="E92" s="52"/>
      <c r="F92" s="62"/>
      <c r="G92" s="62"/>
      <c r="H92" s="62"/>
      <c r="I92" s="62"/>
      <c r="J92" s="62"/>
    </row>
    <row r="93" spans="1:10" x14ac:dyDescent="0.25">
      <c r="A93" s="52"/>
      <c r="B93" s="52"/>
      <c r="C93" s="52"/>
      <c r="D93" s="52"/>
      <c r="E93" s="52"/>
      <c r="F93" s="62"/>
      <c r="G93" s="62"/>
      <c r="H93" s="62"/>
      <c r="I93" s="62"/>
      <c r="J93" s="62"/>
    </row>
    <row r="94" spans="1:10" x14ac:dyDescent="0.25">
      <c r="A94" s="52"/>
      <c r="B94" s="52"/>
      <c r="C94" s="52"/>
      <c r="D94" s="52"/>
      <c r="E94" s="52"/>
      <c r="F94" s="62"/>
      <c r="G94" s="62"/>
      <c r="H94" s="62"/>
      <c r="I94" s="62"/>
      <c r="J94" s="62"/>
    </row>
    <row r="95" spans="1:10" x14ac:dyDescent="0.25">
      <c r="A95" s="52"/>
      <c r="B95" s="52"/>
      <c r="C95" s="52"/>
      <c r="D95" s="52"/>
      <c r="E95" s="52"/>
      <c r="F95" s="62"/>
      <c r="G95" s="62"/>
      <c r="H95" s="62"/>
      <c r="I95" s="62"/>
      <c r="J95" s="62"/>
    </row>
    <row r="96" spans="1:10" x14ac:dyDescent="0.25">
      <c r="A96" s="52"/>
      <c r="B96" s="52"/>
      <c r="C96" s="52"/>
      <c r="D96" s="52"/>
      <c r="E96" s="52"/>
      <c r="F96" s="62"/>
      <c r="G96" s="62"/>
      <c r="H96" s="62"/>
      <c r="I96" s="62"/>
      <c r="J96" s="62"/>
    </row>
    <row r="97" spans="1:10" x14ac:dyDescent="0.25">
      <c r="A97" s="52"/>
      <c r="B97" s="52"/>
      <c r="C97" s="52"/>
      <c r="D97" s="52"/>
      <c r="E97" s="52"/>
      <c r="F97" s="62"/>
      <c r="G97" s="62"/>
      <c r="H97" s="62"/>
      <c r="I97" s="62"/>
      <c r="J97" s="62"/>
    </row>
    <row r="98" spans="1:10" x14ac:dyDescent="0.25">
      <c r="A98" s="52"/>
      <c r="B98" s="52"/>
      <c r="C98" s="52"/>
      <c r="D98" s="52"/>
      <c r="E98" s="52"/>
      <c r="F98" s="62"/>
      <c r="G98" s="62"/>
      <c r="H98" s="62"/>
      <c r="I98" s="62"/>
      <c r="J98" s="62"/>
    </row>
    <row r="99" spans="1:10" x14ac:dyDescent="0.25">
      <c r="A99" s="52"/>
      <c r="B99" s="52"/>
      <c r="C99" s="52"/>
      <c r="D99" s="52"/>
      <c r="E99" s="52"/>
      <c r="F99" s="62"/>
      <c r="G99" s="62"/>
      <c r="H99" s="62"/>
      <c r="I99" s="62"/>
      <c r="J99" s="62"/>
    </row>
    <row r="100" spans="1:10" x14ac:dyDescent="0.25">
      <c r="A100" s="52"/>
      <c r="B100" s="52"/>
      <c r="C100" s="52"/>
      <c r="D100" s="52"/>
      <c r="E100" s="52"/>
      <c r="F100" s="62"/>
      <c r="G100" s="62"/>
      <c r="H100" s="62"/>
      <c r="I100" s="62"/>
      <c r="J100" s="62"/>
    </row>
    <row r="101" spans="1:10" x14ac:dyDescent="0.25">
      <c r="A101" s="52"/>
      <c r="B101" s="52"/>
      <c r="C101" s="52"/>
      <c r="D101" s="52"/>
      <c r="E101" s="52"/>
      <c r="F101" s="62"/>
      <c r="G101" s="62"/>
      <c r="H101" s="62"/>
      <c r="I101" s="62"/>
      <c r="J101" s="62"/>
    </row>
    <row r="102" spans="1:10" x14ac:dyDescent="0.25">
      <c r="A102" s="52"/>
      <c r="B102" s="52"/>
      <c r="C102" s="52"/>
      <c r="D102" s="52"/>
      <c r="E102" s="52"/>
      <c r="F102" s="62"/>
      <c r="G102" s="62"/>
      <c r="H102" s="62"/>
      <c r="I102" s="62"/>
      <c r="J102" s="62"/>
    </row>
    <row r="103" spans="1:10" x14ac:dyDescent="0.25">
      <c r="A103" s="52"/>
      <c r="B103" s="52"/>
      <c r="C103" s="52"/>
      <c r="D103" s="52"/>
      <c r="E103" s="52"/>
      <c r="F103" s="62"/>
      <c r="G103" s="62"/>
      <c r="H103" s="62"/>
      <c r="I103" s="62"/>
      <c r="J103" s="62"/>
    </row>
    <row r="104" spans="1:10" x14ac:dyDescent="0.25">
      <c r="A104" s="52"/>
      <c r="B104" s="52"/>
      <c r="C104" s="52"/>
      <c r="D104" s="52"/>
      <c r="E104" s="52"/>
      <c r="F104" s="62"/>
      <c r="G104" s="62"/>
      <c r="H104" s="62"/>
      <c r="I104" s="62"/>
      <c r="J104" s="62"/>
    </row>
    <row r="105" spans="1:10" x14ac:dyDescent="0.25">
      <c r="A105" s="52"/>
      <c r="B105" s="52"/>
      <c r="C105" s="52"/>
      <c r="D105" s="52"/>
      <c r="E105" s="52"/>
      <c r="F105" s="62"/>
      <c r="G105" s="62"/>
      <c r="H105" s="62"/>
      <c r="I105" s="62"/>
      <c r="J105" s="62"/>
    </row>
    <row r="106" spans="1:10" x14ac:dyDescent="0.25">
      <c r="A106" s="52"/>
      <c r="B106" s="52"/>
      <c r="C106" s="52"/>
      <c r="D106" s="52"/>
      <c r="E106" s="52"/>
      <c r="F106" s="62"/>
      <c r="G106" s="62"/>
      <c r="H106" s="62"/>
      <c r="I106" s="62"/>
      <c r="J106" s="62"/>
    </row>
    <row r="107" spans="1:10" x14ac:dyDescent="0.25">
      <c r="A107" s="52"/>
      <c r="B107" s="52"/>
      <c r="C107" s="52"/>
      <c r="D107" s="52"/>
      <c r="E107" s="52"/>
      <c r="F107" s="62"/>
      <c r="G107" s="62"/>
      <c r="H107" s="62"/>
      <c r="I107" s="62"/>
      <c r="J107" s="62"/>
    </row>
    <row r="108" spans="1:10" x14ac:dyDescent="0.25">
      <c r="A108" s="52"/>
      <c r="B108" s="52"/>
      <c r="C108" s="52"/>
      <c r="D108" s="52"/>
      <c r="E108" s="52"/>
      <c r="F108" s="62"/>
      <c r="G108" s="62"/>
      <c r="H108" s="62"/>
      <c r="I108" s="62"/>
      <c r="J108" s="62"/>
    </row>
    <row r="109" spans="1:10" x14ac:dyDescent="0.25">
      <c r="A109" s="52"/>
      <c r="B109" s="52"/>
      <c r="C109" s="52"/>
      <c r="D109" s="52"/>
      <c r="E109" s="52"/>
      <c r="F109" s="62"/>
      <c r="G109" s="62"/>
      <c r="H109" s="62"/>
      <c r="I109" s="62"/>
      <c r="J109" s="62"/>
    </row>
    <row r="110" spans="1:10" x14ac:dyDescent="0.25">
      <c r="A110" s="52"/>
      <c r="B110" s="52"/>
      <c r="C110" s="52"/>
      <c r="D110" s="52"/>
      <c r="E110" s="52"/>
      <c r="F110" s="62"/>
      <c r="G110" s="62"/>
      <c r="H110" s="62"/>
      <c r="I110" s="62"/>
      <c r="J110" s="62"/>
    </row>
    <row r="111" spans="1:10" x14ac:dyDescent="0.25">
      <c r="A111" s="52"/>
      <c r="B111" s="52"/>
      <c r="C111" s="52"/>
      <c r="D111" s="52"/>
      <c r="E111" s="52"/>
      <c r="F111" s="62"/>
      <c r="G111" s="62"/>
      <c r="H111" s="62"/>
      <c r="I111" s="62"/>
      <c r="J111" s="62"/>
    </row>
    <row r="112" spans="1:10" x14ac:dyDescent="0.25">
      <c r="A112" s="52"/>
      <c r="B112" s="52"/>
      <c r="C112" s="52"/>
      <c r="D112" s="52"/>
      <c r="E112" s="52"/>
      <c r="F112" s="62"/>
      <c r="G112" s="62"/>
      <c r="H112" s="62"/>
      <c r="I112" s="62"/>
      <c r="J112" s="62"/>
    </row>
    <row r="113" spans="1:10" x14ac:dyDescent="0.25">
      <c r="A113" s="52"/>
      <c r="B113" s="52"/>
      <c r="C113" s="52"/>
      <c r="D113" s="52"/>
      <c r="E113" s="52"/>
      <c r="F113" s="62"/>
      <c r="G113" s="62"/>
      <c r="H113" s="62"/>
      <c r="I113" s="62"/>
      <c r="J113" s="62"/>
    </row>
    <row r="114" spans="1:10" x14ac:dyDescent="0.25">
      <c r="A114" s="52"/>
      <c r="B114" s="52"/>
      <c r="C114" s="52"/>
      <c r="D114" s="52"/>
      <c r="E114" s="52"/>
      <c r="F114" s="62"/>
      <c r="G114" s="62"/>
      <c r="H114" s="62"/>
      <c r="I114" s="62"/>
      <c r="J114" s="62"/>
    </row>
    <row r="115" spans="1:10" x14ac:dyDescent="0.25">
      <c r="A115" s="52"/>
      <c r="B115" s="52"/>
      <c r="C115" s="52"/>
      <c r="D115" s="52"/>
      <c r="E115" s="52"/>
      <c r="F115" s="62"/>
      <c r="G115" s="62"/>
      <c r="H115" s="62"/>
      <c r="I115" s="62"/>
      <c r="J115" s="62"/>
    </row>
    <row r="116" spans="1:10" x14ac:dyDescent="0.25">
      <c r="A116" s="52"/>
      <c r="B116" s="52"/>
      <c r="C116" s="52"/>
      <c r="D116" s="52"/>
      <c r="E116" s="52"/>
      <c r="F116" s="62"/>
      <c r="G116" s="62"/>
      <c r="H116" s="62"/>
      <c r="I116" s="62"/>
      <c r="J116" s="62"/>
    </row>
    <row r="117" spans="1:10" ht="379.5" customHeight="1" x14ac:dyDescent="0.25">
      <c r="A117" s="52"/>
      <c r="B117" s="52"/>
      <c r="C117" s="52"/>
      <c r="D117" s="52"/>
      <c r="E117" s="52"/>
      <c r="F117" s="62"/>
      <c r="G117" s="62"/>
      <c r="H117" s="62"/>
      <c r="I117" s="62"/>
      <c r="J117" s="62"/>
    </row>
    <row r="118" spans="1:10" x14ac:dyDescent="0.25">
      <c r="A118" s="52"/>
      <c r="B118" s="52"/>
      <c r="C118" s="52"/>
      <c r="D118" s="52"/>
      <c r="E118" s="52"/>
      <c r="F118" s="62"/>
      <c r="G118" s="62"/>
      <c r="H118" s="62"/>
      <c r="I118" s="62"/>
      <c r="J118" s="62"/>
    </row>
    <row r="119" spans="1:10" x14ac:dyDescent="0.25">
      <c r="A119" s="52"/>
      <c r="B119" s="52"/>
      <c r="C119" s="52"/>
      <c r="D119" s="52"/>
      <c r="E119" s="52"/>
      <c r="F119" s="62"/>
      <c r="G119" s="62"/>
      <c r="H119" s="62"/>
      <c r="I119" s="62"/>
      <c r="J119" s="62"/>
    </row>
    <row r="120" spans="1:10" x14ac:dyDescent="0.25">
      <c r="A120" s="52"/>
      <c r="B120" s="52"/>
      <c r="C120" s="52"/>
      <c r="D120" s="52"/>
      <c r="E120" s="52"/>
      <c r="F120" s="62"/>
      <c r="G120" s="62"/>
      <c r="H120" s="62"/>
      <c r="I120" s="62"/>
      <c r="J120" s="62"/>
    </row>
    <row r="121" spans="1:10" x14ac:dyDescent="0.25">
      <c r="A121" s="52"/>
      <c r="B121" s="52"/>
      <c r="C121" s="52"/>
      <c r="D121" s="52"/>
      <c r="E121" s="52"/>
      <c r="F121" s="62"/>
      <c r="G121" s="62"/>
      <c r="H121" s="62"/>
      <c r="I121" s="62"/>
      <c r="J121" s="62"/>
    </row>
    <row r="122" spans="1:10" x14ac:dyDescent="0.25">
      <c r="A122" s="52"/>
      <c r="B122" s="52"/>
      <c r="C122" s="52"/>
      <c r="D122" s="52"/>
      <c r="E122" s="52"/>
      <c r="F122" s="62"/>
      <c r="G122" s="62"/>
      <c r="H122" s="62"/>
      <c r="I122" s="62"/>
      <c r="J122" s="62"/>
    </row>
    <row r="123" spans="1:10" x14ac:dyDescent="0.25">
      <c r="A123" s="52"/>
      <c r="B123" s="52"/>
      <c r="C123" s="52"/>
      <c r="D123" s="52"/>
      <c r="E123" s="52"/>
      <c r="F123" s="62"/>
      <c r="G123" s="62"/>
      <c r="H123" s="62"/>
      <c r="I123" s="62"/>
      <c r="J123" s="62"/>
    </row>
    <row r="124" spans="1:10" x14ac:dyDescent="0.25">
      <c r="A124" s="52"/>
      <c r="B124" s="52"/>
      <c r="C124" s="52"/>
      <c r="D124" s="52"/>
      <c r="E124" s="52"/>
      <c r="F124" s="62"/>
      <c r="G124" s="62"/>
      <c r="H124" s="62"/>
      <c r="I124" s="62"/>
      <c r="J124" s="62"/>
    </row>
    <row r="125" spans="1:10" x14ac:dyDescent="0.25">
      <c r="A125" s="52"/>
      <c r="B125" s="52"/>
      <c r="C125" s="52"/>
      <c r="D125" s="52"/>
      <c r="E125" s="52"/>
      <c r="F125" s="62"/>
      <c r="G125" s="62"/>
      <c r="H125" s="62"/>
      <c r="I125" s="62"/>
      <c r="J125" s="62"/>
    </row>
    <row r="126" spans="1:10" x14ac:dyDescent="0.25">
      <c r="A126" s="52"/>
      <c r="B126" s="52"/>
      <c r="C126" s="52"/>
      <c r="D126" s="52"/>
      <c r="E126" s="52"/>
      <c r="F126" s="62"/>
      <c r="G126" s="62"/>
      <c r="H126" s="62"/>
      <c r="I126" s="62"/>
      <c r="J126" s="62"/>
    </row>
    <row r="127" spans="1:10" ht="212.25" customHeight="1" x14ac:dyDescent="0.25">
      <c r="A127" s="52"/>
      <c r="B127" s="52"/>
      <c r="C127" s="52"/>
      <c r="D127" s="52"/>
      <c r="E127" s="52"/>
      <c r="F127" s="62"/>
      <c r="G127" s="62"/>
      <c r="H127" s="62"/>
      <c r="I127" s="62"/>
      <c r="J127" s="62"/>
    </row>
    <row r="128" spans="1:10" x14ac:dyDescent="0.25">
      <c r="A128" s="52"/>
      <c r="B128" s="52"/>
      <c r="C128" s="52"/>
      <c r="D128" s="52"/>
      <c r="E128" s="52"/>
      <c r="F128" s="52"/>
      <c r="G128" s="52"/>
      <c r="H128" s="52"/>
      <c r="I128" s="52"/>
      <c r="J128" s="52"/>
    </row>
    <row r="129" spans="1:10" x14ac:dyDescent="0.25">
      <c r="A129" s="52"/>
      <c r="B129" s="52"/>
      <c r="C129" s="52"/>
      <c r="D129" s="52"/>
      <c r="E129" s="52"/>
      <c r="F129" s="52"/>
      <c r="G129" s="52"/>
      <c r="H129" s="52"/>
      <c r="I129" s="52"/>
      <c r="J129" s="52"/>
    </row>
    <row r="130" spans="1:10" x14ac:dyDescent="0.25">
      <c r="A130" s="52"/>
      <c r="B130" s="52"/>
      <c r="C130" s="52"/>
      <c r="D130" s="52"/>
      <c r="E130" s="52"/>
      <c r="F130" s="52"/>
      <c r="G130" s="52"/>
      <c r="H130" s="52"/>
      <c r="I130" s="52"/>
      <c r="J130" s="52"/>
    </row>
    <row r="131" spans="1:10" x14ac:dyDescent="0.25">
      <c r="A131" s="52"/>
      <c r="B131" s="52"/>
      <c r="C131" s="52"/>
      <c r="D131" s="52"/>
      <c r="E131" s="52"/>
      <c r="F131" s="52"/>
      <c r="G131" s="52"/>
      <c r="H131" s="52"/>
      <c r="I131" s="52"/>
      <c r="J131" s="52"/>
    </row>
    <row r="132" spans="1:10" x14ac:dyDescent="0.25">
      <c r="A132" s="52"/>
      <c r="B132" s="52"/>
      <c r="C132" s="52"/>
      <c r="D132" s="52"/>
      <c r="E132" s="52"/>
      <c r="F132" s="52"/>
      <c r="G132" s="52"/>
      <c r="H132" s="52"/>
      <c r="I132" s="52"/>
      <c r="J132" s="52"/>
    </row>
    <row r="133" spans="1:10" x14ac:dyDescent="0.25">
      <c r="A133" s="52"/>
      <c r="B133" s="52"/>
      <c r="C133" s="52"/>
      <c r="D133" s="52"/>
      <c r="E133" s="52"/>
      <c r="F133" s="52"/>
      <c r="G133" s="52"/>
      <c r="H133" s="52"/>
      <c r="I133" s="52"/>
      <c r="J133" s="52"/>
    </row>
    <row r="134" spans="1:10" x14ac:dyDescent="0.25">
      <c r="A134" s="52"/>
      <c r="B134" s="52"/>
      <c r="C134" s="52"/>
      <c r="D134" s="52"/>
      <c r="E134" s="52"/>
      <c r="F134" s="52"/>
      <c r="G134" s="52"/>
      <c r="H134" s="52"/>
      <c r="I134" s="52"/>
      <c r="J134" s="52"/>
    </row>
  </sheetData>
  <sheetProtection password="FB64" sheet="1" selectLockedCells="1" selectUnlockedCells="1"/>
  <mergeCells count="41">
    <mergeCell ref="A40:E40"/>
    <mergeCell ref="A14:E14"/>
    <mergeCell ref="A15:E15"/>
    <mergeCell ref="A16:E16"/>
    <mergeCell ref="A17:E17"/>
    <mergeCell ref="A45:E45"/>
    <mergeCell ref="A38:E38"/>
    <mergeCell ref="A30:E30"/>
    <mergeCell ref="A31:E31"/>
    <mergeCell ref="A32:E32"/>
    <mergeCell ref="A33:E33"/>
    <mergeCell ref="A41:E41"/>
    <mergeCell ref="A42:E42"/>
    <mergeCell ref="A43:E43"/>
    <mergeCell ref="A44:E44"/>
    <mergeCell ref="A34:E34"/>
    <mergeCell ref="A39:E39"/>
    <mergeCell ref="A46:E46"/>
    <mergeCell ref="A18:E18"/>
    <mergeCell ref="A37:E37"/>
    <mergeCell ref="A19:E19"/>
    <mergeCell ref="A20:E20"/>
    <mergeCell ref="A21:E21"/>
    <mergeCell ref="A23:E23"/>
    <mergeCell ref="A22:E22"/>
    <mergeCell ref="A24:E24"/>
    <mergeCell ref="A25:E25"/>
    <mergeCell ref="A26:E26"/>
    <mergeCell ref="A27:E27"/>
    <mergeCell ref="A28:E28"/>
    <mergeCell ref="A29:E29"/>
    <mergeCell ref="A35:E35"/>
    <mergeCell ref="A36:E36"/>
    <mergeCell ref="A2:G2"/>
    <mergeCell ref="A7:G7"/>
    <mergeCell ref="A11:E11"/>
    <mergeCell ref="A13:E13"/>
    <mergeCell ref="A9:E9"/>
    <mergeCell ref="A10:E10"/>
    <mergeCell ref="A3:E3"/>
    <mergeCell ref="A12:E12"/>
  </mergeCells>
  <printOptions horizontalCentered="1"/>
  <pageMargins left="0.7" right="0.7" top="1.2857142857142858" bottom="0.75" header="0.3" footer="0.3"/>
  <pageSetup paperSize="5" scale="45" fitToWidth="4" orientation="portrait" horizontalDpi="300" verticalDpi="300" r:id="rId1"/>
  <headerFooter>
    <oddHeader>&amp;L&amp;G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F34"/>
  <sheetViews>
    <sheetView topLeftCell="A10" workbookViewId="0">
      <selection activeCell="A20" sqref="A20:B34"/>
    </sheetView>
  </sheetViews>
  <sheetFormatPr defaultRowHeight="15" x14ac:dyDescent="0.25"/>
  <cols>
    <col min="1" max="1" width="32.42578125" customWidth="1"/>
    <col min="2" max="2" width="17.5703125" customWidth="1"/>
    <col min="3" max="3" width="19.140625" customWidth="1"/>
    <col min="4" max="4" width="10.42578125" customWidth="1"/>
    <col min="5" max="5" width="139.140625" customWidth="1"/>
  </cols>
  <sheetData>
    <row r="1" spans="1:6" x14ac:dyDescent="0.25">
      <c r="A1" s="64" t="s">
        <v>205</v>
      </c>
      <c r="B1" s="65" t="s">
        <v>216</v>
      </c>
      <c r="C1" s="63" t="s">
        <v>206</v>
      </c>
      <c r="D1" s="63"/>
      <c r="E1" s="63" t="s">
        <v>390</v>
      </c>
    </row>
    <row r="2" spans="1:6" x14ac:dyDescent="0.25">
      <c r="A2" s="66" t="s">
        <v>61</v>
      </c>
      <c r="B2" s="67">
        <f>35/1.1015</f>
        <v>31.77485247389923</v>
      </c>
      <c r="C2" s="144">
        <v>42</v>
      </c>
      <c r="D2" s="63"/>
      <c r="E2" s="68" t="s">
        <v>226</v>
      </c>
      <c r="F2" t="s">
        <v>227</v>
      </c>
    </row>
    <row r="3" spans="1:6" x14ac:dyDescent="0.25">
      <c r="A3" s="66" t="s">
        <v>62</v>
      </c>
      <c r="B3" s="67">
        <f>8300*1.03*1.03*1.03</f>
        <v>9069.6340999999993</v>
      </c>
      <c r="C3" s="144">
        <f>B3*1.1015</f>
        <v>9990.2019611499982</v>
      </c>
      <c r="D3" s="63"/>
      <c r="E3" s="68" t="s">
        <v>224</v>
      </c>
      <c r="F3" t="s">
        <v>225</v>
      </c>
    </row>
    <row r="4" spans="1:6" x14ac:dyDescent="0.25">
      <c r="A4" s="66" t="s">
        <v>217</v>
      </c>
      <c r="B4" s="67">
        <f>400000*1.03*1.03*1.03</f>
        <v>437090.8</v>
      </c>
      <c r="C4" s="144">
        <f t="shared" ref="C4:C5" si="0">B4*1.1015</f>
        <v>481455.51619999995</v>
      </c>
      <c r="D4" s="63"/>
      <c r="E4" s="68" t="s">
        <v>224</v>
      </c>
      <c r="F4" s="51" t="s">
        <v>225</v>
      </c>
    </row>
    <row r="5" spans="1:6" x14ac:dyDescent="0.25">
      <c r="A5" s="66" t="s">
        <v>63</v>
      </c>
      <c r="B5" s="67">
        <f>21000*1.03*1.03*1.03</f>
        <v>22947.267000000003</v>
      </c>
      <c r="C5" s="144">
        <f t="shared" si="0"/>
        <v>25276.414600500004</v>
      </c>
      <c r="D5" s="63"/>
      <c r="E5" s="68" t="s">
        <v>224</v>
      </c>
      <c r="F5" s="51" t="s">
        <v>225</v>
      </c>
    </row>
    <row r="7" spans="1:6" x14ac:dyDescent="0.25">
      <c r="A7" s="64" t="s">
        <v>204</v>
      </c>
      <c r="B7" s="51" t="s">
        <v>450</v>
      </c>
      <c r="C7" s="63" t="s">
        <v>207</v>
      </c>
      <c r="D7" s="63" t="s">
        <v>208</v>
      </c>
      <c r="E7" s="63"/>
    </row>
    <row r="8" spans="1:6" x14ac:dyDescent="0.25">
      <c r="A8" s="66" t="s">
        <v>62</v>
      </c>
      <c r="B8" s="418">
        <f>90.7/35000</f>
        <v>2.5914285714285713E-3</v>
      </c>
      <c r="C8" s="161">
        <f>B8/2204.62</f>
        <v>1.1754536253089292E-6</v>
      </c>
      <c r="D8" s="160">
        <f>C8*C3</f>
        <v>1.174301911280214E-2</v>
      </c>
      <c r="E8" s="63" t="s">
        <v>428</v>
      </c>
    </row>
    <row r="9" spans="1:6" x14ac:dyDescent="0.25">
      <c r="A9" s="66" t="s">
        <v>219</v>
      </c>
      <c r="B9" s="418">
        <f>12.8/35000</f>
        <v>3.6571428571428573E-4</v>
      </c>
      <c r="C9" s="161">
        <f>B9/2204.62</f>
        <v>1.6588540687931967E-7</v>
      </c>
      <c r="D9" s="63">
        <f>C9*C4</f>
        <v>7.9866444199129874E-2</v>
      </c>
      <c r="E9" s="63" t="s">
        <v>428</v>
      </c>
    </row>
    <row r="10" spans="1:6" s="51" customFormat="1" x14ac:dyDescent="0.25">
      <c r="A10" s="64" t="s">
        <v>302</v>
      </c>
      <c r="C10" s="161"/>
    </row>
    <row r="11" spans="1:6" s="51" customFormat="1" x14ac:dyDescent="0.25">
      <c r="A11" s="66" t="s">
        <v>62</v>
      </c>
      <c r="B11" s="334">
        <f>4.5/35000</f>
        <v>1.2857142857142858E-4</v>
      </c>
      <c r="C11" s="161">
        <f t="shared" ref="C11:C18" si="1">B11/2204.62</f>
        <v>5.8319088356010822E-8</v>
      </c>
      <c r="D11" s="274">
        <f>C11*$C$3</f>
        <v>5.826194708666993E-4</v>
      </c>
      <c r="E11" s="63" t="s">
        <v>428</v>
      </c>
    </row>
    <row r="12" spans="1:6" s="51" customFormat="1" x14ac:dyDescent="0.25">
      <c r="A12" s="66" t="s">
        <v>219</v>
      </c>
      <c r="B12" s="421">
        <f>12.8/35000</f>
        <v>3.6571428571428573E-4</v>
      </c>
      <c r="C12" s="161">
        <f t="shared" si="1"/>
        <v>1.6588540687931967E-7</v>
      </c>
      <c r="D12" s="274">
        <f>C12*$C$4</f>
        <v>7.9866444199129874E-2</v>
      </c>
      <c r="E12" s="63" t="s">
        <v>428</v>
      </c>
    </row>
    <row r="13" spans="1:6" x14ac:dyDescent="0.25">
      <c r="A13" s="64" t="s">
        <v>306</v>
      </c>
      <c r="C13" s="161"/>
    </row>
    <row r="14" spans="1:6" x14ac:dyDescent="0.25">
      <c r="A14" s="66" t="s">
        <v>62</v>
      </c>
      <c r="B14" s="334">
        <f>4.5/35000</f>
        <v>1.2857142857142858E-4</v>
      </c>
      <c r="C14" s="161">
        <f t="shared" ref="C14:C15" si="2">B14/2204.62</f>
        <v>5.8319088356010822E-8</v>
      </c>
      <c r="D14" s="274">
        <f>C14*$C$3</f>
        <v>5.826194708666993E-4</v>
      </c>
      <c r="E14" s="63" t="s">
        <v>428</v>
      </c>
    </row>
    <row r="15" spans="1:6" x14ac:dyDescent="0.25">
      <c r="A15" s="66" t="s">
        <v>219</v>
      </c>
      <c r="B15" s="421">
        <f>12.8/35000</f>
        <v>3.6571428571428573E-4</v>
      </c>
      <c r="C15" s="161">
        <f t="shared" si="2"/>
        <v>1.6588540687931967E-7</v>
      </c>
      <c r="D15" s="274">
        <f>C15*$C$4</f>
        <v>7.9866444199129874E-2</v>
      </c>
      <c r="E15" s="63" t="s">
        <v>428</v>
      </c>
    </row>
    <row r="16" spans="1:6" x14ac:dyDescent="0.25">
      <c r="A16" s="64" t="s">
        <v>303</v>
      </c>
      <c r="C16" s="161"/>
    </row>
    <row r="17" spans="1:5" x14ac:dyDescent="0.25">
      <c r="A17" s="66" t="s">
        <v>62</v>
      </c>
      <c r="B17" s="334">
        <v>0</v>
      </c>
      <c r="C17" s="161">
        <f t="shared" si="1"/>
        <v>0</v>
      </c>
      <c r="D17" s="274">
        <f>C17*$C$3</f>
        <v>0</v>
      </c>
      <c r="E17" s="63" t="s">
        <v>428</v>
      </c>
    </row>
    <row r="18" spans="1:5" x14ac:dyDescent="0.25">
      <c r="A18" s="66" t="s">
        <v>219</v>
      </c>
      <c r="B18" s="334">
        <f>12.8/35000</f>
        <v>3.6571428571428573E-4</v>
      </c>
      <c r="C18" s="161">
        <f t="shared" si="1"/>
        <v>1.6588540687931967E-7</v>
      </c>
      <c r="D18" s="274">
        <f>C18*$C$4</f>
        <v>7.9866444199129874E-2</v>
      </c>
      <c r="E18" s="63" t="s">
        <v>428</v>
      </c>
    </row>
    <row r="20" spans="1:5" x14ac:dyDescent="0.25">
      <c r="A20" s="797" t="s">
        <v>763</v>
      </c>
      <c r="B20" s="797"/>
    </row>
    <row r="21" spans="1:5" x14ac:dyDescent="0.25">
      <c r="A21" s="797"/>
      <c r="B21" s="797"/>
    </row>
    <row r="22" spans="1:5" x14ac:dyDescent="0.25">
      <c r="A22" s="797"/>
      <c r="B22" s="797"/>
    </row>
    <row r="23" spans="1:5" x14ac:dyDescent="0.25">
      <c r="A23" s="797"/>
      <c r="B23" s="797"/>
    </row>
    <row r="24" spans="1:5" x14ac:dyDescent="0.25">
      <c r="A24" s="797"/>
      <c r="B24" s="797"/>
    </row>
    <row r="25" spans="1:5" x14ac:dyDescent="0.25">
      <c r="A25" s="797"/>
      <c r="B25" s="797"/>
    </row>
    <row r="26" spans="1:5" x14ac:dyDescent="0.25">
      <c r="A26" s="797"/>
      <c r="B26" s="797"/>
    </row>
    <row r="27" spans="1:5" x14ac:dyDescent="0.25">
      <c r="A27" s="797"/>
      <c r="B27" s="797"/>
    </row>
    <row r="28" spans="1:5" x14ac:dyDescent="0.25">
      <c r="A28" s="797"/>
      <c r="B28" s="797"/>
    </row>
    <row r="29" spans="1:5" x14ac:dyDescent="0.25">
      <c r="A29" s="797"/>
      <c r="B29" s="797"/>
    </row>
    <row r="30" spans="1:5" x14ac:dyDescent="0.25">
      <c r="A30" s="797"/>
      <c r="B30" s="797"/>
    </row>
    <row r="31" spans="1:5" x14ac:dyDescent="0.25">
      <c r="A31" s="797"/>
      <c r="B31" s="797"/>
    </row>
    <row r="32" spans="1:5" x14ac:dyDescent="0.25">
      <c r="A32" s="797"/>
      <c r="B32" s="797"/>
    </row>
    <row r="33" spans="1:2" x14ac:dyDescent="0.25">
      <c r="A33" s="797"/>
      <c r="B33" s="797"/>
    </row>
    <row r="34" spans="1:2" x14ac:dyDescent="0.25">
      <c r="A34" s="797"/>
      <c r="B34" s="797"/>
    </row>
  </sheetData>
  <mergeCells count="1">
    <mergeCell ref="A20:B34"/>
  </mergeCells>
  <hyperlinks>
    <hyperlink ref="E3" r:id="rId1"/>
    <hyperlink ref="E4" r:id="rId2"/>
    <hyperlink ref="E5" r:id="rId3"/>
    <hyperlink ref="E2" r:id="rId4" display="https://19january2017snapshot.epa.gov/sites/production/files/2016-12/documents/sc_co2_tsd_august_2016.pdf"/>
  </hyperlinks>
  <pageMargins left="0.7" right="0.7" top="0.75" bottom="0.75" header="0.3" footer="0.3"/>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33"/>
  <sheetViews>
    <sheetView workbookViewId="0">
      <pane xSplit="2" ySplit="6" topLeftCell="C7" activePane="bottomRight" state="frozen"/>
      <selection activeCell="AC1" sqref="AC1"/>
      <selection pane="topRight" activeCell="AC1" sqref="AC1"/>
      <selection pane="bottomLeft" activeCell="AC1" sqref="AC1"/>
      <selection pane="bottomRight" activeCell="N40" sqref="N40"/>
    </sheetView>
  </sheetViews>
  <sheetFormatPr defaultColWidth="9.42578125" defaultRowHeight="12.75" x14ac:dyDescent="0.2"/>
  <cols>
    <col min="1" max="1" width="5.5703125" style="183" customWidth="1"/>
    <col min="2" max="5" width="15.5703125" style="185" customWidth="1"/>
    <col min="6" max="7" width="15.5703125" style="222" customWidth="1"/>
    <col min="8" max="10" width="15.5703125" style="185" customWidth="1"/>
    <col min="11" max="11" width="5.5703125" style="183" customWidth="1"/>
    <col min="12" max="12" width="14.42578125" style="185" customWidth="1"/>
    <col min="13" max="16384" width="9.42578125" style="185"/>
  </cols>
  <sheetData>
    <row r="1" spans="1:16" ht="20.100000000000001" customHeight="1" x14ac:dyDescent="0.2">
      <c r="B1" s="183"/>
      <c r="C1" s="183"/>
      <c r="D1" s="183"/>
      <c r="E1" s="183"/>
      <c r="F1" s="184"/>
      <c r="G1" s="184"/>
      <c r="H1" s="183"/>
      <c r="I1" s="183"/>
      <c r="J1" s="183"/>
      <c r="L1" s="183" t="s">
        <v>280</v>
      </c>
    </row>
    <row r="2" spans="1:16" ht="20.100000000000001" customHeight="1" x14ac:dyDescent="0.3">
      <c r="B2" s="183"/>
      <c r="C2" s="820" t="s">
        <v>228</v>
      </c>
      <c r="D2" s="820"/>
      <c r="E2" s="820"/>
      <c r="F2" s="820"/>
      <c r="G2" s="820"/>
      <c r="H2" s="820"/>
      <c r="I2" s="820"/>
      <c r="J2" s="820"/>
      <c r="M2" s="799" t="s">
        <v>763</v>
      </c>
      <c r="N2" s="799"/>
      <c r="O2" s="799"/>
      <c r="P2" s="799"/>
    </row>
    <row r="3" spans="1:16" ht="20.100000000000001" customHeight="1" x14ac:dyDescent="0.2">
      <c r="B3" s="183"/>
      <c r="C3" s="183"/>
      <c r="D3" s="183"/>
      <c r="E3" s="183"/>
      <c r="F3" s="184"/>
      <c r="G3" s="184"/>
      <c r="H3" s="183"/>
      <c r="I3" s="183"/>
      <c r="J3" s="183"/>
      <c r="M3" s="799"/>
      <c r="N3" s="799"/>
      <c r="O3" s="799"/>
      <c r="P3" s="799"/>
    </row>
    <row r="4" spans="1:16" s="188" customFormat="1" x14ac:dyDescent="0.25">
      <c r="A4" s="186"/>
      <c r="B4" s="186" t="s">
        <v>229</v>
      </c>
      <c r="C4" s="186" t="s">
        <v>230</v>
      </c>
      <c r="D4" s="186" t="s">
        <v>231</v>
      </c>
      <c r="E4" s="186" t="s">
        <v>232</v>
      </c>
      <c r="F4" s="187" t="s">
        <v>233</v>
      </c>
      <c r="G4" s="187" t="s">
        <v>234</v>
      </c>
      <c r="H4" s="186" t="s">
        <v>235</v>
      </c>
      <c r="I4" s="186" t="s">
        <v>236</v>
      </c>
      <c r="J4" s="186" t="s">
        <v>237</v>
      </c>
      <c r="K4" s="186"/>
      <c r="M4" s="799"/>
      <c r="N4" s="799"/>
      <c r="O4" s="799"/>
      <c r="P4" s="799"/>
    </row>
    <row r="5" spans="1:16" s="191" customFormat="1" ht="15" customHeight="1" x14ac:dyDescent="0.2">
      <c r="A5" s="189"/>
      <c r="B5" s="821" t="s">
        <v>392</v>
      </c>
      <c r="C5" s="821">
        <v>2020</v>
      </c>
      <c r="D5" s="190" t="s">
        <v>238</v>
      </c>
      <c r="E5" s="190" t="s">
        <v>239</v>
      </c>
      <c r="F5" s="822" t="s">
        <v>240</v>
      </c>
      <c r="G5" s="822" t="s">
        <v>241</v>
      </c>
      <c r="H5" s="190" t="s">
        <v>242</v>
      </c>
      <c r="I5" s="823" t="s">
        <v>243</v>
      </c>
      <c r="J5" s="823" t="s">
        <v>244</v>
      </c>
      <c r="K5" s="189"/>
      <c r="M5" s="799"/>
      <c r="N5" s="799"/>
      <c r="O5" s="799"/>
      <c r="P5" s="799"/>
    </row>
    <row r="6" spans="1:16" x14ac:dyDescent="0.2">
      <c r="B6" s="821"/>
      <c r="C6" s="821"/>
      <c r="D6" s="190" t="s">
        <v>245</v>
      </c>
      <c r="E6" s="190" t="s">
        <v>245</v>
      </c>
      <c r="F6" s="822"/>
      <c r="G6" s="822"/>
      <c r="H6" s="190" t="s">
        <v>246</v>
      </c>
      <c r="I6" s="823"/>
      <c r="J6" s="823"/>
      <c r="M6" s="799"/>
      <c r="N6" s="799"/>
      <c r="O6" s="799"/>
      <c r="P6" s="799"/>
    </row>
    <row r="7" spans="1:16" s="225" customFormat="1" x14ac:dyDescent="0.2">
      <c r="B7" s="813" t="s">
        <v>247</v>
      </c>
      <c r="C7" s="226">
        <v>2016</v>
      </c>
      <c r="D7" s="226">
        <v>98.37</v>
      </c>
      <c r="E7" s="226">
        <v>64.680000000000007</v>
      </c>
      <c r="F7" s="227">
        <v>28000</v>
      </c>
      <c r="G7" s="228" t="s">
        <v>248</v>
      </c>
      <c r="H7" s="226">
        <v>81.510000000000005</v>
      </c>
      <c r="I7" s="229">
        <v>1</v>
      </c>
      <c r="J7" s="230">
        <f>((D7-(E7/I7))*F7*H7*I7)/1000000</f>
        <v>76.890013199999984</v>
      </c>
      <c r="M7" s="799"/>
      <c r="N7" s="799"/>
      <c r="O7" s="799"/>
      <c r="P7" s="799"/>
    </row>
    <row r="8" spans="1:16" s="225" customFormat="1" x14ac:dyDescent="0.2">
      <c r="B8" s="813"/>
      <c r="C8" s="226">
        <v>2017</v>
      </c>
      <c r="D8" s="226">
        <v>98.13</v>
      </c>
      <c r="E8" s="226">
        <v>64.680000000000007</v>
      </c>
      <c r="F8" s="227">
        <v>28000</v>
      </c>
      <c r="G8" s="228" t="s">
        <v>248</v>
      </c>
      <c r="H8" s="226">
        <v>81.510000000000005</v>
      </c>
      <c r="I8" s="229">
        <v>1</v>
      </c>
      <c r="J8" s="230">
        <f t="shared" ref="J8:J16" si="0">((D8-(E8/I8))*F8*H8*I8)/1000000</f>
        <v>76.342265999999967</v>
      </c>
      <c r="M8" s="799"/>
      <c r="N8" s="799"/>
      <c r="O8" s="799"/>
      <c r="P8" s="799"/>
    </row>
    <row r="9" spans="1:16" s="225" customFormat="1" x14ac:dyDescent="0.2">
      <c r="B9" s="813"/>
      <c r="C9" s="226">
        <v>2018</v>
      </c>
      <c r="D9" s="226">
        <v>97.66</v>
      </c>
      <c r="E9" s="226">
        <v>64.680000000000007</v>
      </c>
      <c r="F9" s="227">
        <v>28000</v>
      </c>
      <c r="G9" s="228" t="s">
        <v>248</v>
      </c>
      <c r="H9" s="226">
        <v>81.510000000000005</v>
      </c>
      <c r="I9" s="229">
        <v>1</v>
      </c>
      <c r="J9" s="230">
        <f t="shared" si="0"/>
        <v>75.269594399999988</v>
      </c>
      <c r="M9" s="799"/>
      <c r="N9" s="799"/>
      <c r="O9" s="799"/>
      <c r="P9" s="799"/>
    </row>
    <row r="10" spans="1:16" s="225" customFormat="1" x14ac:dyDescent="0.2">
      <c r="B10" s="813"/>
      <c r="C10" s="226">
        <v>2019</v>
      </c>
      <c r="D10" s="231">
        <v>96.59</v>
      </c>
      <c r="E10" s="226">
        <v>64.680000000000007</v>
      </c>
      <c r="F10" s="227">
        <v>28000</v>
      </c>
      <c r="G10" s="228" t="s">
        <v>248</v>
      </c>
      <c r="H10" s="226">
        <v>81.510000000000005</v>
      </c>
      <c r="I10" s="229">
        <v>1</v>
      </c>
      <c r="J10" s="230">
        <f t="shared" si="0"/>
        <v>72.827554800000001</v>
      </c>
      <c r="M10" s="799"/>
      <c r="N10" s="799"/>
      <c r="O10" s="799"/>
      <c r="P10" s="799"/>
    </row>
    <row r="11" spans="1:16" s="225" customFormat="1" x14ac:dyDescent="0.2">
      <c r="B11" s="813"/>
      <c r="C11" s="226">
        <v>2020</v>
      </c>
      <c r="D11" s="231">
        <v>95.61</v>
      </c>
      <c r="E11" s="226">
        <v>64.680000000000007</v>
      </c>
      <c r="F11" s="227">
        <v>28000</v>
      </c>
      <c r="G11" s="228" t="s">
        <v>248</v>
      </c>
      <c r="H11" s="226">
        <v>81.510000000000005</v>
      </c>
      <c r="I11" s="229">
        <v>1</v>
      </c>
      <c r="J11" s="230">
        <f t="shared" si="0"/>
        <v>70.590920399999987</v>
      </c>
      <c r="M11" s="799"/>
      <c r="N11" s="799"/>
      <c r="O11" s="799"/>
      <c r="P11" s="799"/>
    </row>
    <row r="12" spans="1:16" s="225" customFormat="1" x14ac:dyDescent="0.2">
      <c r="B12" s="813"/>
      <c r="C12" s="226">
        <v>2021</v>
      </c>
      <c r="D12" s="231">
        <v>94.63</v>
      </c>
      <c r="E12" s="226">
        <v>64.680000000000007</v>
      </c>
      <c r="F12" s="227">
        <v>28000</v>
      </c>
      <c r="G12" s="228" t="s">
        <v>248</v>
      </c>
      <c r="H12" s="226">
        <v>81.510000000000005</v>
      </c>
      <c r="I12" s="229">
        <v>1</v>
      </c>
      <c r="J12" s="230">
        <f t="shared" si="0"/>
        <v>68.354285999999973</v>
      </c>
      <c r="M12" s="799"/>
      <c r="N12" s="799"/>
      <c r="O12" s="799"/>
      <c r="P12" s="799"/>
    </row>
    <row r="13" spans="1:16" s="225" customFormat="1" x14ac:dyDescent="0.2">
      <c r="B13" s="813"/>
      <c r="C13" s="226">
        <v>2022</v>
      </c>
      <c r="D13" s="231">
        <v>93.15</v>
      </c>
      <c r="E13" s="226">
        <v>64.680000000000007</v>
      </c>
      <c r="F13" s="227">
        <v>28000</v>
      </c>
      <c r="G13" s="228" t="s">
        <v>248</v>
      </c>
      <c r="H13" s="226">
        <v>81.510000000000005</v>
      </c>
      <c r="I13" s="229">
        <v>1</v>
      </c>
      <c r="J13" s="230">
        <f t="shared" si="0"/>
        <v>64.976511599999995</v>
      </c>
      <c r="M13" s="799"/>
      <c r="N13" s="799"/>
      <c r="O13" s="799"/>
      <c r="P13" s="799"/>
    </row>
    <row r="14" spans="1:16" s="225" customFormat="1" x14ac:dyDescent="0.2">
      <c r="B14" s="813"/>
      <c r="C14" s="226">
        <v>2023</v>
      </c>
      <c r="D14" s="231">
        <v>91.68</v>
      </c>
      <c r="E14" s="226">
        <v>64.680000000000007</v>
      </c>
      <c r="F14" s="227">
        <v>28000</v>
      </c>
      <c r="G14" s="228" t="s">
        <v>248</v>
      </c>
      <c r="H14" s="226">
        <v>81.510000000000005</v>
      </c>
      <c r="I14" s="229">
        <v>1</v>
      </c>
      <c r="J14" s="230">
        <f t="shared" si="0"/>
        <v>61.621560000000009</v>
      </c>
      <c r="M14" s="799"/>
      <c r="N14" s="799"/>
      <c r="O14" s="799"/>
      <c r="P14" s="799"/>
    </row>
    <row r="15" spans="1:16" s="225" customFormat="1" x14ac:dyDescent="0.2">
      <c r="B15" s="813"/>
      <c r="C15" s="226">
        <v>2024</v>
      </c>
      <c r="D15" s="231">
        <v>90.21</v>
      </c>
      <c r="E15" s="226">
        <v>64.680000000000007</v>
      </c>
      <c r="F15" s="227">
        <v>28000</v>
      </c>
      <c r="G15" s="228" t="s">
        <v>248</v>
      </c>
      <c r="H15" s="226">
        <v>81.510000000000005</v>
      </c>
      <c r="I15" s="229">
        <v>1</v>
      </c>
      <c r="J15" s="230">
        <f t="shared" si="0"/>
        <v>58.266608399999974</v>
      </c>
      <c r="M15" s="799"/>
      <c r="N15" s="799"/>
      <c r="O15" s="799"/>
      <c r="P15" s="799"/>
    </row>
    <row r="16" spans="1:16" s="225" customFormat="1" x14ac:dyDescent="0.2">
      <c r="B16" s="813"/>
      <c r="C16" s="226">
        <v>2025</v>
      </c>
      <c r="D16" s="231">
        <v>88.25</v>
      </c>
      <c r="E16" s="226">
        <v>64.680000000000007</v>
      </c>
      <c r="F16" s="227">
        <v>28000</v>
      </c>
      <c r="G16" s="228" t="s">
        <v>248</v>
      </c>
      <c r="H16" s="226">
        <v>81.510000000000005</v>
      </c>
      <c r="I16" s="229">
        <v>1</v>
      </c>
      <c r="J16" s="230">
        <f t="shared" si="0"/>
        <v>53.793339599999989</v>
      </c>
      <c r="M16" s="799"/>
      <c r="N16" s="799"/>
      <c r="O16" s="799"/>
      <c r="P16" s="799"/>
    </row>
    <row r="17" spans="2:16" s="225" customFormat="1" x14ac:dyDescent="0.2">
      <c r="F17" s="232"/>
      <c r="G17" s="233"/>
      <c r="J17" s="234"/>
      <c r="M17" s="799"/>
      <c r="N17" s="799"/>
      <c r="O17" s="799"/>
      <c r="P17" s="799"/>
    </row>
    <row r="18" spans="2:16" s="225" customFormat="1" ht="12.6" customHeight="1" x14ac:dyDescent="0.2">
      <c r="B18" s="806" t="s">
        <v>678</v>
      </c>
      <c r="C18" s="192">
        <v>2016</v>
      </c>
      <c r="D18" s="192">
        <v>98.37</v>
      </c>
      <c r="E18" s="543">
        <f>'35-40 foot transit bus'!$T$8</f>
        <v>191.41504672912029</v>
      </c>
      <c r="F18" s="194">
        <f>'Default Data'!H12</f>
        <v>58500</v>
      </c>
      <c r="G18" s="195" t="s">
        <v>249</v>
      </c>
      <c r="H18" s="202">
        <v>3.6</v>
      </c>
      <c r="I18" s="203">
        <v>5</v>
      </c>
      <c r="J18" s="198">
        <f>((D18-(E18/I18))*F18*H18*I18)/1000000</f>
        <v>63.271601158847282</v>
      </c>
      <c r="K18" s="183"/>
      <c r="L18" s="185"/>
    </row>
    <row r="19" spans="2:16" s="225" customFormat="1" x14ac:dyDescent="0.2">
      <c r="B19" s="806"/>
      <c r="C19" s="192">
        <v>2017</v>
      </c>
      <c r="D19" s="192">
        <v>98.13</v>
      </c>
      <c r="E19" s="543">
        <f>'35-40 foot transit bus'!$T$8</f>
        <v>191.41504672912029</v>
      </c>
      <c r="F19" s="194">
        <f>F18</f>
        <v>58500</v>
      </c>
      <c r="G19" s="195" t="s">
        <v>249</v>
      </c>
      <c r="H19" s="202">
        <v>3.6</v>
      </c>
      <c r="I19" s="203">
        <v>5</v>
      </c>
      <c r="J19" s="198">
        <f>((D19-(E19/I19))*F19*H19*I19)/1000000</f>
        <v>63.018881158847272</v>
      </c>
      <c r="K19" s="183"/>
      <c r="L19" s="185"/>
    </row>
    <row r="20" spans="2:16" s="225" customFormat="1" x14ac:dyDescent="0.2">
      <c r="B20" s="806"/>
      <c r="C20" s="192">
        <v>2018</v>
      </c>
      <c r="D20" s="192">
        <v>97.66</v>
      </c>
      <c r="E20" s="543">
        <f>'35-40 foot transit bus'!$T$8</f>
        <v>191.41504672912029</v>
      </c>
      <c r="F20" s="194">
        <f t="shared" ref="F20:F33" si="1">F19</f>
        <v>58500</v>
      </c>
      <c r="G20" s="195" t="s">
        <v>249</v>
      </c>
      <c r="H20" s="202">
        <v>3.6</v>
      </c>
      <c r="I20" s="203">
        <v>5</v>
      </c>
      <c r="J20" s="198">
        <f>((D20-(E20/I20))*F20*H20*I20)/1000000</f>
        <v>62.523971158847274</v>
      </c>
      <c r="K20" s="183"/>
      <c r="L20" s="185"/>
    </row>
    <row r="21" spans="2:16" s="225" customFormat="1" x14ac:dyDescent="0.2">
      <c r="B21" s="806"/>
      <c r="C21" s="192">
        <v>2019</v>
      </c>
      <c r="D21" s="199">
        <v>96.59</v>
      </c>
      <c r="E21" s="543">
        <f>'35-40 foot transit bus'!$T$8</f>
        <v>191.41504672912029</v>
      </c>
      <c r="F21" s="194">
        <f t="shared" si="1"/>
        <v>58500</v>
      </c>
      <c r="G21" s="195" t="s">
        <v>249</v>
      </c>
      <c r="H21" s="202">
        <v>3.6</v>
      </c>
      <c r="I21" s="203">
        <v>5</v>
      </c>
      <c r="J21" s="198">
        <f t="shared" ref="J21:J27" si="2">((D21-(E21/I21))*F21*H21*I21)/1000000</f>
        <v>61.397261158847279</v>
      </c>
      <c r="K21" s="183"/>
      <c r="L21" s="185"/>
    </row>
    <row r="22" spans="2:16" s="225" customFormat="1" x14ac:dyDescent="0.2">
      <c r="B22" s="806"/>
      <c r="C22" s="192">
        <v>2020</v>
      </c>
      <c r="D22" s="199">
        <v>95.61</v>
      </c>
      <c r="E22" s="543">
        <f>'35-40 foot transit bus'!$T$8</f>
        <v>191.41504672912029</v>
      </c>
      <c r="F22" s="194">
        <f t="shared" si="1"/>
        <v>58500</v>
      </c>
      <c r="G22" s="195" t="s">
        <v>249</v>
      </c>
      <c r="H22" s="202">
        <v>3.6</v>
      </c>
      <c r="I22" s="203">
        <v>5</v>
      </c>
      <c r="J22" s="198">
        <f t="shared" si="2"/>
        <v>60.365321158847273</v>
      </c>
      <c r="K22" s="183"/>
      <c r="L22" s="185"/>
    </row>
    <row r="23" spans="2:16" s="225" customFormat="1" x14ac:dyDescent="0.2">
      <c r="B23" s="806"/>
      <c r="C23" s="192">
        <v>2021</v>
      </c>
      <c r="D23" s="199">
        <v>94.63</v>
      </c>
      <c r="E23" s="543">
        <f>'35-40 foot transit bus'!$T$8</f>
        <v>191.41504672912029</v>
      </c>
      <c r="F23" s="194">
        <f t="shared" si="1"/>
        <v>58500</v>
      </c>
      <c r="G23" s="195" t="s">
        <v>249</v>
      </c>
      <c r="H23" s="202">
        <v>3.6</v>
      </c>
      <c r="I23" s="203">
        <v>5</v>
      </c>
      <c r="J23" s="198">
        <f t="shared" si="2"/>
        <v>59.333381158847274</v>
      </c>
      <c r="K23" s="183"/>
      <c r="L23" s="185"/>
    </row>
    <row r="24" spans="2:16" s="225" customFormat="1" x14ac:dyDescent="0.2">
      <c r="B24" s="806"/>
      <c r="C24" s="192">
        <v>2022</v>
      </c>
      <c r="D24" s="199">
        <v>93.15</v>
      </c>
      <c r="E24" s="543">
        <f>'35-40 foot transit bus'!$T$8</f>
        <v>191.41504672912029</v>
      </c>
      <c r="F24" s="194">
        <f t="shared" si="1"/>
        <v>58500</v>
      </c>
      <c r="G24" s="195" t="s">
        <v>249</v>
      </c>
      <c r="H24" s="202">
        <v>3.6</v>
      </c>
      <c r="I24" s="203">
        <v>5</v>
      </c>
      <c r="J24" s="198">
        <f t="shared" si="2"/>
        <v>57.774941158847277</v>
      </c>
      <c r="K24" s="183"/>
      <c r="L24" s="185"/>
    </row>
    <row r="25" spans="2:16" s="225" customFormat="1" x14ac:dyDescent="0.2">
      <c r="B25" s="806"/>
      <c r="C25" s="192">
        <v>2023</v>
      </c>
      <c r="D25" s="199">
        <v>91.68</v>
      </c>
      <c r="E25" s="543">
        <f>'35-40 foot transit bus'!$T$8</f>
        <v>191.41504672912029</v>
      </c>
      <c r="F25" s="194">
        <f t="shared" si="1"/>
        <v>58500</v>
      </c>
      <c r="G25" s="195" t="s">
        <v>249</v>
      </c>
      <c r="H25" s="202">
        <v>3.6</v>
      </c>
      <c r="I25" s="203">
        <v>5</v>
      </c>
      <c r="J25" s="198">
        <f t="shared" si="2"/>
        <v>56.227031158847282</v>
      </c>
      <c r="K25" s="183"/>
      <c r="L25" s="185"/>
    </row>
    <row r="26" spans="2:16" s="225" customFormat="1" x14ac:dyDescent="0.2">
      <c r="B26" s="806"/>
      <c r="C26" s="192">
        <v>2024</v>
      </c>
      <c r="D26" s="199">
        <v>90.21</v>
      </c>
      <c r="E26" s="543">
        <f>'35-40 foot transit bus'!$T$8</f>
        <v>191.41504672912029</v>
      </c>
      <c r="F26" s="194">
        <f t="shared" si="1"/>
        <v>58500</v>
      </c>
      <c r="G26" s="195" t="s">
        <v>249</v>
      </c>
      <c r="H26" s="202">
        <v>3.6</v>
      </c>
      <c r="I26" s="203">
        <v>5</v>
      </c>
      <c r="J26" s="198">
        <f t="shared" si="2"/>
        <v>54.679121158847273</v>
      </c>
      <c r="K26" s="183"/>
      <c r="L26" s="185"/>
    </row>
    <row r="27" spans="2:16" s="225" customFormat="1" x14ac:dyDescent="0.2">
      <c r="B27" s="806"/>
      <c r="C27" s="192">
        <v>2025</v>
      </c>
      <c r="D27" s="199">
        <v>88.25</v>
      </c>
      <c r="E27" s="543">
        <f>'35-40 foot transit bus'!$T$8</f>
        <v>191.41504672912029</v>
      </c>
      <c r="F27" s="194">
        <f t="shared" si="1"/>
        <v>58500</v>
      </c>
      <c r="G27" s="195" t="s">
        <v>249</v>
      </c>
      <c r="H27" s="202">
        <v>3.6</v>
      </c>
      <c r="I27" s="203">
        <v>5</v>
      </c>
      <c r="J27" s="198">
        <f t="shared" si="2"/>
        <v>52.615241158847276</v>
      </c>
      <c r="K27" s="183"/>
      <c r="L27" s="185"/>
    </row>
    <row r="28" spans="2:16" s="225" customFormat="1" x14ac:dyDescent="0.2">
      <c r="B28" s="211"/>
      <c r="C28" s="224">
        <v>2026</v>
      </c>
      <c r="D28" s="199">
        <v>88.25</v>
      </c>
      <c r="E28" s="543">
        <f>'35-40 foot transit bus'!$T$8</f>
        <v>191.41504672912029</v>
      </c>
      <c r="F28" s="194">
        <f t="shared" si="1"/>
        <v>58500</v>
      </c>
      <c r="G28" s="195" t="s">
        <v>249</v>
      </c>
      <c r="H28" s="202">
        <v>3.6</v>
      </c>
      <c r="I28" s="203">
        <v>5</v>
      </c>
      <c r="J28" s="198">
        <f t="shared" ref="J28:J33" si="3">((D28-(E28/I28))*F28*H28*I28)/1000000</f>
        <v>52.615241158847276</v>
      </c>
      <c r="K28" s="183"/>
      <c r="L28" s="185"/>
    </row>
    <row r="29" spans="2:16" s="225" customFormat="1" x14ac:dyDescent="0.2">
      <c r="B29" s="211"/>
      <c r="C29" s="224">
        <v>2027</v>
      </c>
      <c r="D29" s="199">
        <v>88.25</v>
      </c>
      <c r="E29" s="543">
        <f>'35-40 foot transit bus'!$T$8</f>
        <v>191.41504672912029</v>
      </c>
      <c r="F29" s="194">
        <f t="shared" si="1"/>
        <v>58500</v>
      </c>
      <c r="G29" s="195" t="s">
        <v>249</v>
      </c>
      <c r="H29" s="202">
        <v>3.6</v>
      </c>
      <c r="I29" s="203">
        <v>5</v>
      </c>
      <c r="J29" s="198">
        <f t="shared" si="3"/>
        <v>52.615241158847276</v>
      </c>
      <c r="K29" s="183"/>
      <c r="L29" s="185"/>
    </row>
    <row r="30" spans="2:16" s="225" customFormat="1" x14ac:dyDescent="0.2">
      <c r="B30" s="211"/>
      <c r="C30" s="224">
        <v>2028</v>
      </c>
      <c r="D30" s="199">
        <v>88.25</v>
      </c>
      <c r="E30" s="543">
        <f>'35-40 foot transit bus'!$T$8</f>
        <v>191.41504672912029</v>
      </c>
      <c r="F30" s="194">
        <f t="shared" si="1"/>
        <v>58500</v>
      </c>
      <c r="G30" s="195" t="s">
        <v>249</v>
      </c>
      <c r="H30" s="202">
        <v>3.6</v>
      </c>
      <c r="I30" s="203">
        <v>5</v>
      </c>
      <c r="J30" s="198">
        <f t="shared" si="3"/>
        <v>52.615241158847276</v>
      </c>
      <c r="K30" s="183"/>
      <c r="L30" s="185"/>
    </row>
    <row r="31" spans="2:16" s="225" customFormat="1" x14ac:dyDescent="0.2">
      <c r="B31" s="211"/>
      <c r="C31" s="224">
        <v>2029</v>
      </c>
      <c r="D31" s="199">
        <v>88.25</v>
      </c>
      <c r="E31" s="543">
        <f>'35-40 foot transit bus'!$T$8</f>
        <v>191.41504672912029</v>
      </c>
      <c r="F31" s="194">
        <f t="shared" si="1"/>
        <v>58500</v>
      </c>
      <c r="G31" s="195" t="s">
        <v>249</v>
      </c>
      <c r="H31" s="202">
        <v>3.6</v>
      </c>
      <c r="I31" s="203">
        <v>5</v>
      </c>
      <c r="J31" s="198">
        <f t="shared" si="3"/>
        <v>52.615241158847276</v>
      </c>
      <c r="K31" s="183"/>
      <c r="L31" s="185"/>
    </row>
    <row r="32" spans="2:16" s="225" customFormat="1" x14ac:dyDescent="0.2">
      <c r="B32" s="211"/>
      <c r="C32" s="224">
        <v>2030</v>
      </c>
      <c r="D32" s="199">
        <v>88.25</v>
      </c>
      <c r="E32" s="543">
        <f>'35-40 foot transit bus'!$T$8</f>
        <v>191.41504672912029</v>
      </c>
      <c r="F32" s="194">
        <f t="shared" si="1"/>
        <v>58500</v>
      </c>
      <c r="G32" s="195" t="s">
        <v>249</v>
      </c>
      <c r="H32" s="202">
        <v>3.6</v>
      </c>
      <c r="I32" s="203">
        <v>5</v>
      </c>
      <c r="J32" s="198">
        <f t="shared" si="3"/>
        <v>52.615241158847276</v>
      </c>
      <c r="K32" s="183"/>
      <c r="L32" s="185"/>
    </row>
    <row r="33" spans="2:12" s="225" customFormat="1" x14ac:dyDescent="0.2">
      <c r="B33" s="211"/>
      <c r="C33" s="224">
        <v>2031</v>
      </c>
      <c r="D33" s="199">
        <v>88.25</v>
      </c>
      <c r="E33" s="543">
        <f>'35-40 foot transit bus'!$T$8</f>
        <v>191.41504672912029</v>
      </c>
      <c r="F33" s="194">
        <f t="shared" si="1"/>
        <v>58500</v>
      </c>
      <c r="G33" s="195" t="s">
        <v>249</v>
      </c>
      <c r="H33" s="202">
        <v>3.6</v>
      </c>
      <c r="I33" s="203">
        <v>5</v>
      </c>
      <c r="J33" s="198">
        <f t="shared" si="3"/>
        <v>52.615241158847276</v>
      </c>
      <c r="K33" s="185"/>
      <c r="L33" s="201">
        <f>SUM(J22:J33)</f>
        <v>656.68648390616727</v>
      </c>
    </row>
    <row r="34" spans="2:12" x14ac:dyDescent="0.2">
      <c r="F34" s="185"/>
      <c r="G34" s="185"/>
      <c r="K34" s="185"/>
      <c r="L34" s="209">
        <f>L33*160</f>
        <v>105069.83742498676</v>
      </c>
    </row>
    <row r="35" spans="2:12" ht="12.75" customHeight="1" x14ac:dyDescent="0.2">
      <c r="B35" s="806" t="s">
        <v>292</v>
      </c>
      <c r="C35" s="192">
        <v>2016</v>
      </c>
      <c r="D35" s="192">
        <v>98.37</v>
      </c>
      <c r="E35" s="193">
        <v>5.08</v>
      </c>
      <c r="F35" s="194">
        <f>F18</f>
        <v>58500</v>
      </c>
      <c r="G35" s="195" t="s">
        <v>249</v>
      </c>
      <c r="H35" s="202">
        <v>3.6</v>
      </c>
      <c r="I35" s="203">
        <v>5</v>
      </c>
      <c r="J35" s="198">
        <f>((D35-(E35/I35))*F35*H35*I35)/1000000</f>
        <v>102.51376200000001</v>
      </c>
    </row>
    <row r="36" spans="2:12" x14ac:dyDescent="0.2">
      <c r="B36" s="806"/>
      <c r="C36" s="192">
        <v>2017</v>
      </c>
      <c r="D36" s="192">
        <v>98.13</v>
      </c>
      <c r="E36" s="193">
        <v>5.08</v>
      </c>
      <c r="F36" s="194">
        <f>F35</f>
        <v>58500</v>
      </c>
      <c r="G36" s="195" t="s">
        <v>249</v>
      </c>
      <c r="H36" s="202">
        <v>3.6</v>
      </c>
      <c r="I36" s="203">
        <v>5</v>
      </c>
      <c r="J36" s="198">
        <f>((D36-(E36/I36))*F36*H36*I36)/1000000</f>
        <v>102.261042</v>
      </c>
    </row>
    <row r="37" spans="2:12" x14ac:dyDescent="0.2">
      <c r="B37" s="806"/>
      <c r="C37" s="192">
        <v>2018</v>
      </c>
      <c r="D37" s="192">
        <v>97.66</v>
      </c>
      <c r="E37" s="193">
        <v>5.08</v>
      </c>
      <c r="F37" s="194">
        <f t="shared" ref="F37:F50" si="4">F36</f>
        <v>58500</v>
      </c>
      <c r="G37" s="195" t="s">
        <v>249</v>
      </c>
      <c r="H37" s="202">
        <v>3.6</v>
      </c>
      <c r="I37" s="203">
        <v>5</v>
      </c>
      <c r="J37" s="198">
        <f>((D37-(E37/I37))*F37*H37*I37)/1000000</f>
        <v>101.766132</v>
      </c>
    </row>
    <row r="38" spans="2:12" x14ac:dyDescent="0.2">
      <c r="B38" s="806"/>
      <c r="C38" s="192">
        <v>2019</v>
      </c>
      <c r="D38" s="199">
        <v>96.59</v>
      </c>
      <c r="E38" s="193">
        <v>5.08</v>
      </c>
      <c r="F38" s="194">
        <f t="shared" si="4"/>
        <v>58500</v>
      </c>
      <c r="G38" s="195" t="s">
        <v>249</v>
      </c>
      <c r="H38" s="202">
        <v>3.6</v>
      </c>
      <c r="I38" s="203">
        <v>5</v>
      </c>
      <c r="J38" s="198">
        <f t="shared" ref="J38:J50" si="5">((D38-(E38/I38))*F38*H38*I38)/1000000</f>
        <v>100.63942200000001</v>
      </c>
    </row>
    <row r="39" spans="2:12" x14ac:dyDescent="0.2">
      <c r="B39" s="806"/>
      <c r="C39" s="192">
        <v>2020</v>
      </c>
      <c r="D39" s="199">
        <v>95.61</v>
      </c>
      <c r="E39" s="193">
        <v>5.08</v>
      </c>
      <c r="F39" s="194">
        <f t="shared" si="4"/>
        <v>58500</v>
      </c>
      <c r="G39" s="195" t="s">
        <v>249</v>
      </c>
      <c r="H39" s="202">
        <v>3.6</v>
      </c>
      <c r="I39" s="203">
        <v>5</v>
      </c>
      <c r="J39" s="198">
        <f t="shared" si="5"/>
        <v>99.607482000000019</v>
      </c>
    </row>
    <row r="40" spans="2:12" x14ac:dyDescent="0.2">
      <c r="B40" s="806"/>
      <c r="C40" s="192">
        <v>2021</v>
      </c>
      <c r="D40" s="199">
        <v>94.63</v>
      </c>
      <c r="E40" s="193">
        <v>5.08</v>
      </c>
      <c r="F40" s="194">
        <f t="shared" si="4"/>
        <v>58500</v>
      </c>
      <c r="G40" s="195" t="s">
        <v>249</v>
      </c>
      <c r="H40" s="202">
        <v>3.6</v>
      </c>
      <c r="I40" s="203">
        <v>5</v>
      </c>
      <c r="J40" s="198">
        <f t="shared" si="5"/>
        <v>98.575541999999999</v>
      </c>
    </row>
    <row r="41" spans="2:12" x14ac:dyDescent="0.2">
      <c r="B41" s="806"/>
      <c r="C41" s="192">
        <v>2022</v>
      </c>
      <c r="D41" s="199">
        <v>93.15</v>
      </c>
      <c r="E41" s="193">
        <v>5.08</v>
      </c>
      <c r="F41" s="194">
        <f t="shared" si="4"/>
        <v>58500</v>
      </c>
      <c r="G41" s="195" t="s">
        <v>249</v>
      </c>
      <c r="H41" s="202">
        <v>3.6</v>
      </c>
      <c r="I41" s="203">
        <v>5</v>
      </c>
      <c r="J41" s="198">
        <f t="shared" si="5"/>
        <v>97.017102000000008</v>
      </c>
    </row>
    <row r="42" spans="2:12" x14ac:dyDescent="0.2">
      <c r="B42" s="806"/>
      <c r="C42" s="192">
        <v>2023</v>
      </c>
      <c r="D42" s="199">
        <v>91.68</v>
      </c>
      <c r="E42" s="193">
        <v>5.08</v>
      </c>
      <c r="F42" s="194">
        <f t="shared" si="4"/>
        <v>58500</v>
      </c>
      <c r="G42" s="195" t="s">
        <v>249</v>
      </c>
      <c r="H42" s="202">
        <v>3.6</v>
      </c>
      <c r="I42" s="203">
        <v>5</v>
      </c>
      <c r="J42" s="198">
        <f t="shared" si="5"/>
        <v>95.469192000000021</v>
      </c>
    </row>
    <row r="43" spans="2:12" x14ac:dyDescent="0.2">
      <c r="B43" s="806"/>
      <c r="C43" s="192">
        <v>2024</v>
      </c>
      <c r="D43" s="199">
        <v>90.21</v>
      </c>
      <c r="E43" s="193">
        <v>5.08</v>
      </c>
      <c r="F43" s="194">
        <f t="shared" si="4"/>
        <v>58500</v>
      </c>
      <c r="G43" s="195" t="s">
        <v>249</v>
      </c>
      <c r="H43" s="202">
        <v>3.6</v>
      </c>
      <c r="I43" s="203">
        <v>5</v>
      </c>
      <c r="J43" s="198">
        <f t="shared" si="5"/>
        <v>93.921282000000005</v>
      </c>
    </row>
    <row r="44" spans="2:12" x14ac:dyDescent="0.2">
      <c r="B44" s="806"/>
      <c r="C44" s="192">
        <v>2025</v>
      </c>
      <c r="D44" s="199">
        <v>88.25</v>
      </c>
      <c r="E44" s="193">
        <v>5.08</v>
      </c>
      <c r="F44" s="194">
        <f t="shared" si="4"/>
        <v>58500</v>
      </c>
      <c r="G44" s="195" t="s">
        <v>249</v>
      </c>
      <c r="H44" s="202">
        <v>3.6</v>
      </c>
      <c r="I44" s="203">
        <v>5</v>
      </c>
      <c r="J44" s="198">
        <f t="shared" si="5"/>
        <v>91.857402000000022</v>
      </c>
    </row>
    <row r="45" spans="2:12" x14ac:dyDescent="0.2">
      <c r="B45" s="211"/>
      <c r="C45" s="224">
        <v>2026</v>
      </c>
      <c r="D45" s="199">
        <v>88.25</v>
      </c>
      <c r="E45" s="193">
        <v>5.08</v>
      </c>
      <c r="F45" s="194">
        <f t="shared" si="4"/>
        <v>58500</v>
      </c>
      <c r="G45" s="195" t="s">
        <v>249</v>
      </c>
      <c r="H45" s="202">
        <v>3.6</v>
      </c>
      <c r="I45" s="203">
        <v>5</v>
      </c>
      <c r="J45" s="198">
        <f t="shared" si="5"/>
        <v>91.857402000000022</v>
      </c>
    </row>
    <row r="46" spans="2:12" x14ac:dyDescent="0.2">
      <c r="B46" s="211"/>
      <c r="C46" s="224">
        <v>2027</v>
      </c>
      <c r="D46" s="199">
        <v>88.25</v>
      </c>
      <c r="E46" s="193">
        <v>5.08</v>
      </c>
      <c r="F46" s="194">
        <f t="shared" si="4"/>
        <v>58500</v>
      </c>
      <c r="G46" s="195" t="s">
        <v>249</v>
      </c>
      <c r="H46" s="202">
        <v>3.6</v>
      </c>
      <c r="I46" s="203">
        <v>5</v>
      </c>
      <c r="J46" s="198">
        <f t="shared" si="5"/>
        <v>91.857402000000022</v>
      </c>
    </row>
    <row r="47" spans="2:12" x14ac:dyDescent="0.2">
      <c r="B47" s="211"/>
      <c r="C47" s="224">
        <v>2028</v>
      </c>
      <c r="D47" s="199">
        <v>88.25</v>
      </c>
      <c r="E47" s="193">
        <v>5.08</v>
      </c>
      <c r="F47" s="194">
        <f t="shared" si="4"/>
        <v>58500</v>
      </c>
      <c r="G47" s="195" t="s">
        <v>249</v>
      </c>
      <c r="H47" s="202">
        <v>3.6</v>
      </c>
      <c r="I47" s="203">
        <v>5</v>
      </c>
      <c r="J47" s="198">
        <f t="shared" si="5"/>
        <v>91.857402000000022</v>
      </c>
    </row>
    <row r="48" spans="2:12" x14ac:dyDescent="0.2">
      <c r="B48" s="211"/>
      <c r="C48" s="224">
        <v>2029</v>
      </c>
      <c r="D48" s="199">
        <v>88.25</v>
      </c>
      <c r="E48" s="193">
        <v>5.08</v>
      </c>
      <c r="F48" s="194">
        <f t="shared" si="4"/>
        <v>58500</v>
      </c>
      <c r="G48" s="195" t="s">
        <v>249</v>
      </c>
      <c r="H48" s="202">
        <v>3.6</v>
      </c>
      <c r="I48" s="203">
        <v>5</v>
      </c>
      <c r="J48" s="198">
        <f t="shared" si="5"/>
        <v>91.857402000000022</v>
      </c>
    </row>
    <row r="49" spans="2:12" x14ac:dyDescent="0.2">
      <c r="B49" s="211"/>
      <c r="C49" s="224">
        <v>2030</v>
      </c>
      <c r="D49" s="199">
        <v>88.25</v>
      </c>
      <c r="E49" s="193">
        <v>5.08</v>
      </c>
      <c r="F49" s="194">
        <f t="shared" si="4"/>
        <v>58500</v>
      </c>
      <c r="G49" s="195" t="s">
        <v>249</v>
      </c>
      <c r="H49" s="202">
        <v>3.6</v>
      </c>
      <c r="I49" s="203">
        <v>5</v>
      </c>
      <c r="J49" s="198">
        <f t="shared" si="5"/>
        <v>91.857402000000022</v>
      </c>
    </row>
    <row r="50" spans="2:12" x14ac:dyDescent="0.2">
      <c r="B50" s="211"/>
      <c r="C50" s="224">
        <v>2031</v>
      </c>
      <c r="D50" s="199">
        <v>88.25</v>
      </c>
      <c r="E50" s="193">
        <v>5.08</v>
      </c>
      <c r="F50" s="194">
        <f t="shared" si="4"/>
        <v>58500</v>
      </c>
      <c r="G50" s="195" t="s">
        <v>249</v>
      </c>
      <c r="H50" s="202">
        <v>3.6</v>
      </c>
      <c r="I50" s="203">
        <v>5</v>
      </c>
      <c r="J50" s="198">
        <f t="shared" si="5"/>
        <v>91.857402000000022</v>
      </c>
      <c r="K50" s="185"/>
      <c r="L50" s="201">
        <f>SUM(J39:J50)</f>
        <v>1127.5924140000002</v>
      </c>
    </row>
    <row r="51" spans="2:12" s="183" customFormat="1" x14ac:dyDescent="0.2">
      <c r="F51" s="200"/>
      <c r="G51" s="184"/>
      <c r="J51" s="201"/>
    </row>
    <row r="52" spans="2:12" x14ac:dyDescent="0.2">
      <c r="B52" s="806" t="s">
        <v>285</v>
      </c>
      <c r="C52" s="192">
        <v>2016</v>
      </c>
      <c r="D52" s="192">
        <v>99.39</v>
      </c>
      <c r="E52" s="193">
        <v>38.92</v>
      </c>
      <c r="F52" s="194">
        <f>'Default Data'!H5</f>
        <v>7246.3768115942039</v>
      </c>
      <c r="G52" s="195" t="s">
        <v>248</v>
      </c>
      <c r="H52" s="196">
        <v>119.55</v>
      </c>
      <c r="I52" s="197">
        <v>1</v>
      </c>
      <c r="J52" s="198">
        <f>((D52-(E52/I52))*F52*H52*I52)/1000000</f>
        <v>52.385423913043482</v>
      </c>
      <c r="L52" s="209">
        <f>L50*160</f>
        <v>180414.78624000004</v>
      </c>
    </row>
    <row r="53" spans="2:12" x14ac:dyDescent="0.2">
      <c r="B53" s="806"/>
      <c r="C53" s="192">
        <v>2017</v>
      </c>
      <c r="D53" s="192">
        <v>99.14</v>
      </c>
      <c r="E53" s="193">
        <v>38.92</v>
      </c>
      <c r="F53" s="194">
        <f>F52</f>
        <v>7246.3768115942039</v>
      </c>
      <c r="G53" s="195" t="s">
        <v>248</v>
      </c>
      <c r="H53" s="196">
        <v>119.55</v>
      </c>
      <c r="I53" s="197">
        <v>1</v>
      </c>
      <c r="J53" s="198">
        <f t="shared" ref="J53:J61" si="6">((D53-(E53/I53))*F53*H53*I53)/1000000</f>
        <v>52.16884782608696</v>
      </c>
      <c r="L53" s="204"/>
    </row>
    <row r="54" spans="2:12" x14ac:dyDescent="0.2">
      <c r="B54" s="806"/>
      <c r="C54" s="192">
        <v>2018</v>
      </c>
      <c r="D54" s="192">
        <v>98.61</v>
      </c>
      <c r="E54" s="193">
        <v>38.92</v>
      </c>
      <c r="F54" s="194">
        <f t="shared" ref="F54:F67" si="7">F53</f>
        <v>7246.3768115942039</v>
      </c>
      <c r="G54" s="195" t="s">
        <v>248</v>
      </c>
      <c r="H54" s="196">
        <v>126.13</v>
      </c>
      <c r="I54" s="197">
        <v>1</v>
      </c>
      <c r="J54" s="198">
        <f t="shared" si="6"/>
        <v>54.55579492753624</v>
      </c>
      <c r="L54" s="204"/>
    </row>
    <row r="55" spans="2:12" x14ac:dyDescent="0.2">
      <c r="B55" s="806"/>
      <c r="C55" s="192">
        <v>2019</v>
      </c>
      <c r="D55" s="199">
        <v>97.26</v>
      </c>
      <c r="E55" s="193">
        <v>38.92</v>
      </c>
      <c r="F55" s="194">
        <f t="shared" si="7"/>
        <v>7246.3768115942039</v>
      </c>
      <c r="G55" s="195" t="s">
        <v>248</v>
      </c>
      <c r="H55" s="196">
        <v>126.13</v>
      </c>
      <c r="I55" s="197">
        <v>1</v>
      </c>
      <c r="J55" s="198">
        <f t="shared" si="6"/>
        <v>53.321914492753635</v>
      </c>
      <c r="L55" s="204"/>
    </row>
    <row r="56" spans="2:12" x14ac:dyDescent="0.2">
      <c r="B56" s="806"/>
      <c r="C56" s="192">
        <v>2020</v>
      </c>
      <c r="D56" s="199">
        <v>96.27</v>
      </c>
      <c r="E56" s="193">
        <v>38.92</v>
      </c>
      <c r="F56" s="194">
        <f t="shared" si="7"/>
        <v>7246.3768115942039</v>
      </c>
      <c r="G56" s="195" t="s">
        <v>248</v>
      </c>
      <c r="H56" s="196">
        <v>126.13</v>
      </c>
      <c r="I56" s="197">
        <v>1</v>
      </c>
      <c r="J56" s="198">
        <f t="shared" si="6"/>
        <v>52.417068840579709</v>
      </c>
      <c r="L56" s="204"/>
    </row>
    <row r="57" spans="2:12" x14ac:dyDescent="0.2">
      <c r="B57" s="806"/>
      <c r="C57" s="192">
        <v>2021</v>
      </c>
      <c r="D57" s="199">
        <v>95.29</v>
      </c>
      <c r="E57" s="193">
        <v>38.92</v>
      </c>
      <c r="F57" s="194">
        <f t="shared" si="7"/>
        <v>7246.3768115942039</v>
      </c>
      <c r="G57" s="195" t="s">
        <v>248</v>
      </c>
      <c r="H57" s="196">
        <v>126.13</v>
      </c>
      <c r="I57" s="197">
        <v>1</v>
      </c>
      <c r="J57" s="198">
        <f t="shared" si="6"/>
        <v>51.521363043478274</v>
      </c>
      <c r="L57" s="204"/>
    </row>
    <row r="58" spans="2:12" x14ac:dyDescent="0.2">
      <c r="B58" s="806"/>
      <c r="C58" s="192">
        <v>2022</v>
      </c>
      <c r="D58" s="199">
        <v>93.81</v>
      </c>
      <c r="E58" s="193">
        <v>38.92</v>
      </c>
      <c r="F58" s="194">
        <f t="shared" si="7"/>
        <v>7246.3768115942039</v>
      </c>
      <c r="G58" s="195" t="s">
        <v>248</v>
      </c>
      <c r="H58" s="196">
        <v>126.13</v>
      </c>
      <c r="I58" s="197">
        <v>1</v>
      </c>
      <c r="J58" s="198">
        <f t="shared" si="6"/>
        <v>50.168664492753635</v>
      </c>
      <c r="L58" s="204"/>
    </row>
    <row r="59" spans="2:12" x14ac:dyDescent="0.2">
      <c r="B59" s="806"/>
      <c r="C59" s="192">
        <v>2023</v>
      </c>
      <c r="D59" s="199">
        <v>92.32</v>
      </c>
      <c r="E59" s="193">
        <v>38.92</v>
      </c>
      <c r="F59" s="194">
        <f t="shared" si="7"/>
        <v>7246.3768115942039</v>
      </c>
      <c r="G59" s="195" t="s">
        <v>248</v>
      </c>
      <c r="H59" s="196">
        <v>126.13</v>
      </c>
      <c r="I59" s="197">
        <v>1</v>
      </c>
      <c r="J59" s="198">
        <f t="shared" si="6"/>
        <v>48.806826086956526</v>
      </c>
      <c r="L59" s="204"/>
    </row>
    <row r="60" spans="2:12" x14ac:dyDescent="0.2">
      <c r="B60" s="806"/>
      <c r="C60" s="192">
        <v>2024</v>
      </c>
      <c r="D60" s="199">
        <v>90.84</v>
      </c>
      <c r="E60" s="193">
        <v>38.92</v>
      </c>
      <c r="F60" s="194">
        <f t="shared" si="7"/>
        <v>7246.3768115942039</v>
      </c>
      <c r="G60" s="195" t="s">
        <v>248</v>
      </c>
      <c r="H60" s="196">
        <v>126.13</v>
      </c>
      <c r="I60" s="197">
        <v>1</v>
      </c>
      <c r="J60" s="198">
        <f t="shared" si="6"/>
        <v>47.454127536231887</v>
      </c>
      <c r="L60" s="204"/>
    </row>
    <row r="61" spans="2:12" x14ac:dyDescent="0.2">
      <c r="B61" s="806"/>
      <c r="C61" s="192">
        <v>2025</v>
      </c>
      <c r="D61" s="199">
        <v>88.87</v>
      </c>
      <c r="E61" s="193">
        <v>38.92</v>
      </c>
      <c r="F61" s="194">
        <f t="shared" si="7"/>
        <v>7246.3768115942039</v>
      </c>
      <c r="G61" s="195" t="s">
        <v>248</v>
      </c>
      <c r="H61" s="196">
        <v>126.13</v>
      </c>
      <c r="I61" s="197">
        <v>1</v>
      </c>
      <c r="J61" s="198">
        <f t="shared" si="6"/>
        <v>45.653576086956534</v>
      </c>
      <c r="L61" s="204"/>
    </row>
    <row r="62" spans="2:12" x14ac:dyDescent="0.2">
      <c r="B62" s="211"/>
      <c r="C62" s="224">
        <v>2026</v>
      </c>
      <c r="D62" s="199">
        <v>88.87</v>
      </c>
      <c r="E62" s="193">
        <v>38.92</v>
      </c>
      <c r="F62" s="194">
        <f t="shared" si="7"/>
        <v>7246.3768115942039</v>
      </c>
      <c r="G62" s="195" t="s">
        <v>248</v>
      </c>
      <c r="H62" s="196">
        <v>126.13</v>
      </c>
      <c r="I62" s="197">
        <v>1</v>
      </c>
      <c r="J62" s="198">
        <f t="shared" ref="J62:J67" si="8">((D62-(E62/I62))*F62*H62*I62)/1000000</f>
        <v>45.653576086956534</v>
      </c>
      <c r="L62" s="204"/>
    </row>
    <row r="63" spans="2:12" x14ac:dyDescent="0.2">
      <c r="B63" s="211"/>
      <c r="C63" s="224">
        <v>2027</v>
      </c>
      <c r="D63" s="199">
        <v>88.87</v>
      </c>
      <c r="E63" s="193">
        <v>38.92</v>
      </c>
      <c r="F63" s="194">
        <f t="shared" si="7"/>
        <v>7246.3768115942039</v>
      </c>
      <c r="G63" s="195" t="s">
        <v>248</v>
      </c>
      <c r="H63" s="196">
        <v>126.13</v>
      </c>
      <c r="I63" s="197">
        <v>1</v>
      </c>
      <c r="J63" s="198">
        <f t="shared" si="8"/>
        <v>45.653576086956534</v>
      </c>
      <c r="L63" s="204"/>
    </row>
    <row r="64" spans="2:12" x14ac:dyDescent="0.2">
      <c r="B64" s="211"/>
      <c r="C64" s="224">
        <v>2028</v>
      </c>
      <c r="D64" s="199">
        <v>88.87</v>
      </c>
      <c r="E64" s="193">
        <v>38.92</v>
      </c>
      <c r="F64" s="194">
        <f t="shared" si="7"/>
        <v>7246.3768115942039</v>
      </c>
      <c r="G64" s="195" t="s">
        <v>248</v>
      </c>
      <c r="H64" s="196">
        <v>126.13</v>
      </c>
      <c r="I64" s="197">
        <v>1</v>
      </c>
      <c r="J64" s="198">
        <f t="shared" si="8"/>
        <v>45.653576086956534</v>
      </c>
      <c r="L64" s="204"/>
    </row>
    <row r="65" spans="2:12" x14ac:dyDescent="0.2">
      <c r="B65" s="211"/>
      <c r="C65" s="224">
        <v>2029</v>
      </c>
      <c r="D65" s="199">
        <v>88.87</v>
      </c>
      <c r="E65" s="193">
        <v>38.92</v>
      </c>
      <c r="F65" s="194">
        <f t="shared" si="7"/>
        <v>7246.3768115942039</v>
      </c>
      <c r="G65" s="195" t="s">
        <v>248</v>
      </c>
      <c r="H65" s="196">
        <v>126.13</v>
      </c>
      <c r="I65" s="197">
        <v>1</v>
      </c>
      <c r="J65" s="198">
        <f t="shared" si="8"/>
        <v>45.653576086956534</v>
      </c>
      <c r="L65" s="204"/>
    </row>
    <row r="66" spans="2:12" x14ac:dyDescent="0.2">
      <c r="B66" s="211"/>
      <c r="C66" s="224">
        <v>2030</v>
      </c>
      <c r="D66" s="199">
        <v>88.87</v>
      </c>
      <c r="E66" s="193">
        <v>38.92</v>
      </c>
      <c r="F66" s="194">
        <f t="shared" si="7"/>
        <v>7246.3768115942039</v>
      </c>
      <c r="G66" s="195" t="s">
        <v>248</v>
      </c>
      <c r="H66" s="196">
        <v>126.13</v>
      </c>
      <c r="I66" s="197">
        <v>1</v>
      </c>
      <c r="J66" s="198">
        <f t="shared" si="8"/>
        <v>45.653576086956534</v>
      </c>
      <c r="L66" s="204"/>
    </row>
    <row r="67" spans="2:12" x14ac:dyDescent="0.2">
      <c r="B67" s="211"/>
      <c r="C67" s="224">
        <v>2031</v>
      </c>
      <c r="D67" s="199">
        <v>88.87</v>
      </c>
      <c r="E67" s="193">
        <v>38.92</v>
      </c>
      <c r="F67" s="194">
        <f t="shared" si="7"/>
        <v>7246.3768115942039</v>
      </c>
      <c r="G67" s="195" t="s">
        <v>248</v>
      </c>
      <c r="H67" s="196">
        <v>126.13</v>
      </c>
      <c r="I67" s="197">
        <v>1</v>
      </c>
      <c r="J67" s="198">
        <f t="shared" si="8"/>
        <v>45.653576086956534</v>
      </c>
      <c r="K67" s="185"/>
      <c r="L67" s="201">
        <f>SUM(J56:J67)</f>
        <v>569.94308260869582</v>
      </c>
    </row>
    <row r="68" spans="2:12" s="183" customFormat="1" x14ac:dyDescent="0.2">
      <c r="F68" s="200"/>
      <c r="G68" s="184"/>
      <c r="J68" s="201"/>
    </row>
    <row r="69" spans="2:12" x14ac:dyDescent="0.2">
      <c r="B69" s="806" t="s">
        <v>286</v>
      </c>
      <c r="C69" s="192">
        <v>2016</v>
      </c>
      <c r="D69" s="192">
        <v>99.39</v>
      </c>
      <c r="E69" s="193">
        <v>38.92</v>
      </c>
      <c r="F69" s="194">
        <f>'Default Data'!H9</f>
        <v>6355.9322033898306</v>
      </c>
      <c r="G69" s="195" t="s">
        <v>248</v>
      </c>
      <c r="H69" s="196">
        <v>119.55</v>
      </c>
      <c r="I69" s="197">
        <v>1</v>
      </c>
      <c r="J69" s="198">
        <f>((D69-(E69/I69))*F69*H69*I69)/1000000</f>
        <v>45.948231991525425</v>
      </c>
    </row>
    <row r="70" spans="2:12" x14ac:dyDescent="0.2">
      <c r="B70" s="806"/>
      <c r="C70" s="192">
        <v>2017</v>
      </c>
      <c r="D70" s="192">
        <v>99.14</v>
      </c>
      <c r="E70" s="193">
        <v>38.92</v>
      </c>
      <c r="F70" s="194">
        <f>F69</f>
        <v>6355.9322033898306</v>
      </c>
      <c r="G70" s="195" t="s">
        <v>248</v>
      </c>
      <c r="H70" s="196">
        <v>119.55</v>
      </c>
      <c r="I70" s="197">
        <v>1</v>
      </c>
      <c r="J70" s="198">
        <f t="shared" ref="J70:J84" si="9">((D70-(E70/I70))*F70*H70*I70)/1000000</f>
        <v>45.758269067796604</v>
      </c>
    </row>
    <row r="71" spans="2:12" x14ac:dyDescent="0.2">
      <c r="B71" s="806"/>
      <c r="C71" s="192">
        <v>2018</v>
      </c>
      <c r="D71" s="192">
        <v>98.61</v>
      </c>
      <c r="E71" s="193">
        <v>38.92</v>
      </c>
      <c r="F71" s="194">
        <f t="shared" ref="F71:F84" si="10">F70</f>
        <v>6355.9322033898306</v>
      </c>
      <c r="G71" s="195" t="s">
        <v>248</v>
      </c>
      <c r="H71" s="196">
        <v>126.13</v>
      </c>
      <c r="I71" s="197">
        <v>1</v>
      </c>
      <c r="J71" s="198">
        <f t="shared" si="9"/>
        <v>47.851904872881356</v>
      </c>
    </row>
    <row r="72" spans="2:12" x14ac:dyDescent="0.2">
      <c r="B72" s="806"/>
      <c r="C72" s="192">
        <v>2019</v>
      </c>
      <c r="D72" s="199">
        <v>97.26</v>
      </c>
      <c r="E72" s="193">
        <v>38.92</v>
      </c>
      <c r="F72" s="194">
        <f t="shared" si="10"/>
        <v>6355.9322033898306</v>
      </c>
      <c r="G72" s="195" t="s">
        <v>248</v>
      </c>
      <c r="H72" s="196">
        <v>126.13</v>
      </c>
      <c r="I72" s="197">
        <v>1</v>
      </c>
      <c r="J72" s="198">
        <f t="shared" si="9"/>
        <v>46.769645338983054</v>
      </c>
    </row>
    <row r="73" spans="2:12" x14ac:dyDescent="0.2">
      <c r="B73" s="806"/>
      <c r="C73" s="192">
        <v>2020</v>
      </c>
      <c r="D73" s="199">
        <v>96.27</v>
      </c>
      <c r="E73" s="193">
        <v>38.92</v>
      </c>
      <c r="F73" s="194">
        <f t="shared" si="10"/>
        <v>6355.9322033898306</v>
      </c>
      <c r="G73" s="195" t="s">
        <v>248</v>
      </c>
      <c r="H73" s="196">
        <v>126.13</v>
      </c>
      <c r="I73" s="197">
        <v>1</v>
      </c>
      <c r="J73" s="198">
        <f t="shared" si="9"/>
        <v>45.975988347457623</v>
      </c>
    </row>
    <row r="74" spans="2:12" x14ac:dyDescent="0.2">
      <c r="B74" s="806"/>
      <c r="C74" s="192">
        <v>2021</v>
      </c>
      <c r="D74" s="199">
        <v>95.29</v>
      </c>
      <c r="E74" s="193">
        <v>38.92</v>
      </c>
      <c r="F74" s="194">
        <f t="shared" si="10"/>
        <v>6355.9322033898306</v>
      </c>
      <c r="G74" s="195" t="s">
        <v>248</v>
      </c>
      <c r="H74" s="196">
        <v>126.13</v>
      </c>
      <c r="I74" s="197">
        <v>1</v>
      </c>
      <c r="J74" s="198">
        <f t="shared" si="9"/>
        <v>45.190348093220344</v>
      </c>
    </row>
    <row r="75" spans="2:12" x14ac:dyDescent="0.2">
      <c r="B75" s="806"/>
      <c r="C75" s="192">
        <v>2022</v>
      </c>
      <c r="D75" s="199">
        <v>93.81</v>
      </c>
      <c r="E75" s="193">
        <v>38.92</v>
      </c>
      <c r="F75" s="194">
        <f t="shared" si="10"/>
        <v>6355.9322033898306</v>
      </c>
      <c r="G75" s="195" t="s">
        <v>248</v>
      </c>
      <c r="H75" s="196">
        <v>126.13</v>
      </c>
      <c r="I75" s="197">
        <v>1</v>
      </c>
      <c r="J75" s="198">
        <f t="shared" si="9"/>
        <v>44.003870974576266</v>
      </c>
    </row>
    <row r="76" spans="2:12" x14ac:dyDescent="0.2">
      <c r="B76" s="806"/>
      <c r="C76" s="192">
        <v>2023</v>
      </c>
      <c r="D76" s="199">
        <v>92.32</v>
      </c>
      <c r="E76" s="193">
        <v>38.92</v>
      </c>
      <c r="F76" s="194">
        <f t="shared" si="10"/>
        <v>6355.9322033898306</v>
      </c>
      <c r="G76" s="195" t="s">
        <v>248</v>
      </c>
      <c r="H76" s="196">
        <v>126.13</v>
      </c>
      <c r="I76" s="197">
        <v>1</v>
      </c>
      <c r="J76" s="198">
        <f t="shared" si="9"/>
        <v>42.809377118644058</v>
      </c>
    </row>
    <row r="77" spans="2:12" x14ac:dyDescent="0.2">
      <c r="B77" s="806"/>
      <c r="C77" s="192">
        <v>2024</v>
      </c>
      <c r="D77" s="199">
        <v>90.84</v>
      </c>
      <c r="E77" s="193">
        <v>38.92</v>
      </c>
      <c r="F77" s="194">
        <f t="shared" si="10"/>
        <v>6355.9322033898306</v>
      </c>
      <c r="G77" s="195" t="s">
        <v>248</v>
      </c>
      <c r="H77" s="196">
        <v>126.13</v>
      </c>
      <c r="I77" s="197">
        <v>1</v>
      </c>
      <c r="J77" s="198">
        <f t="shared" si="9"/>
        <v>41.622900000000001</v>
      </c>
    </row>
    <row r="78" spans="2:12" x14ac:dyDescent="0.2">
      <c r="B78" s="806"/>
      <c r="C78" s="192">
        <v>2025</v>
      </c>
      <c r="D78" s="199">
        <v>88.87</v>
      </c>
      <c r="E78" s="193">
        <v>38.92</v>
      </c>
      <c r="F78" s="194">
        <f t="shared" si="10"/>
        <v>6355.9322033898306</v>
      </c>
      <c r="G78" s="195" t="s">
        <v>248</v>
      </c>
      <c r="H78" s="196">
        <v>126.13</v>
      </c>
      <c r="I78" s="197">
        <v>1</v>
      </c>
      <c r="J78" s="198">
        <f t="shared" si="9"/>
        <v>40.043602754237284</v>
      </c>
    </row>
    <row r="79" spans="2:12" x14ac:dyDescent="0.2">
      <c r="B79" s="211"/>
      <c r="C79" s="224">
        <v>2026</v>
      </c>
      <c r="D79" s="199">
        <v>88.87</v>
      </c>
      <c r="E79" s="193">
        <v>38.92</v>
      </c>
      <c r="F79" s="194">
        <f t="shared" si="10"/>
        <v>6355.9322033898306</v>
      </c>
      <c r="G79" s="195" t="s">
        <v>248</v>
      </c>
      <c r="H79" s="196">
        <v>126.13</v>
      </c>
      <c r="I79" s="197">
        <v>1</v>
      </c>
      <c r="J79" s="198">
        <f t="shared" si="9"/>
        <v>40.043602754237284</v>
      </c>
    </row>
    <row r="80" spans="2:12" x14ac:dyDescent="0.2">
      <c r="B80" s="211"/>
      <c r="C80" s="224">
        <v>2027</v>
      </c>
      <c r="D80" s="199">
        <v>88.87</v>
      </c>
      <c r="E80" s="193">
        <v>38.92</v>
      </c>
      <c r="F80" s="194">
        <f t="shared" si="10"/>
        <v>6355.9322033898306</v>
      </c>
      <c r="G80" s="195" t="s">
        <v>248</v>
      </c>
      <c r="H80" s="196">
        <v>126.13</v>
      </c>
      <c r="I80" s="197">
        <v>1</v>
      </c>
      <c r="J80" s="198">
        <f t="shared" si="9"/>
        <v>40.043602754237284</v>
      </c>
    </row>
    <row r="81" spans="2:12" x14ac:dyDescent="0.2">
      <c r="B81" s="211"/>
      <c r="C81" s="224">
        <v>2028</v>
      </c>
      <c r="D81" s="199">
        <v>88.87</v>
      </c>
      <c r="E81" s="193">
        <v>38.92</v>
      </c>
      <c r="F81" s="194">
        <f t="shared" si="10"/>
        <v>6355.9322033898306</v>
      </c>
      <c r="G81" s="195" t="s">
        <v>248</v>
      </c>
      <c r="H81" s="196">
        <v>126.13</v>
      </c>
      <c r="I81" s="197">
        <v>1</v>
      </c>
      <c r="J81" s="198">
        <f t="shared" si="9"/>
        <v>40.043602754237284</v>
      </c>
    </row>
    <row r="82" spans="2:12" x14ac:dyDescent="0.2">
      <c r="B82" s="211"/>
      <c r="C82" s="224">
        <v>2029</v>
      </c>
      <c r="D82" s="199">
        <v>88.87</v>
      </c>
      <c r="E82" s="193">
        <v>38.92</v>
      </c>
      <c r="F82" s="194">
        <f t="shared" si="10"/>
        <v>6355.9322033898306</v>
      </c>
      <c r="G82" s="195" t="s">
        <v>248</v>
      </c>
      <c r="H82" s="196">
        <v>126.13</v>
      </c>
      <c r="I82" s="197">
        <v>1</v>
      </c>
      <c r="J82" s="198">
        <f t="shared" si="9"/>
        <v>40.043602754237284</v>
      </c>
    </row>
    <row r="83" spans="2:12" x14ac:dyDescent="0.2">
      <c r="B83" s="211"/>
      <c r="C83" s="224">
        <v>2030</v>
      </c>
      <c r="D83" s="199">
        <v>88.87</v>
      </c>
      <c r="E83" s="193">
        <v>38.92</v>
      </c>
      <c r="F83" s="194">
        <f t="shared" si="10"/>
        <v>6355.9322033898306</v>
      </c>
      <c r="G83" s="195" t="s">
        <v>248</v>
      </c>
      <c r="H83" s="196">
        <v>126.13</v>
      </c>
      <c r="I83" s="197">
        <v>1</v>
      </c>
      <c r="J83" s="198">
        <f t="shared" si="9"/>
        <v>40.043602754237284</v>
      </c>
    </row>
    <row r="84" spans="2:12" x14ac:dyDescent="0.2">
      <c r="B84" s="211"/>
      <c r="C84" s="224">
        <v>2031</v>
      </c>
      <c r="D84" s="199">
        <v>88.87</v>
      </c>
      <c r="E84" s="193">
        <v>38.92</v>
      </c>
      <c r="F84" s="194">
        <f t="shared" si="10"/>
        <v>6355.9322033898306</v>
      </c>
      <c r="G84" s="195" t="s">
        <v>248</v>
      </c>
      <c r="H84" s="196">
        <v>126.13</v>
      </c>
      <c r="I84" s="197">
        <v>1</v>
      </c>
      <c r="J84" s="198">
        <f t="shared" si="9"/>
        <v>40.043602754237284</v>
      </c>
      <c r="K84" s="185"/>
      <c r="L84" s="201">
        <f>SUM(J73:J84)</f>
        <v>499.90770381355918</v>
      </c>
    </row>
    <row r="85" spans="2:12" s="183" customFormat="1" x14ac:dyDescent="0.2">
      <c r="F85" s="200"/>
      <c r="G85" s="184"/>
      <c r="I85" s="205"/>
      <c r="J85" s="201"/>
      <c r="L85" s="206"/>
    </row>
    <row r="86" spans="2:12" s="183" customFormat="1" x14ac:dyDescent="0.2">
      <c r="B86" s="806" t="s">
        <v>287</v>
      </c>
      <c r="C86" s="192">
        <v>2016</v>
      </c>
      <c r="D86" s="192">
        <v>99.39</v>
      </c>
      <c r="E86" s="193">
        <v>44.74</v>
      </c>
      <c r="F86" s="194">
        <f>F52</f>
        <v>7246.3768115942039</v>
      </c>
      <c r="G86" s="195" t="s">
        <v>248</v>
      </c>
      <c r="H86" s="196">
        <v>119.55</v>
      </c>
      <c r="I86" s="197">
        <v>1</v>
      </c>
      <c r="J86" s="198">
        <f>((D86-(E86/I86))*F86*H86*I86)/1000000</f>
        <v>47.343532608695654</v>
      </c>
      <c r="L86" s="204"/>
    </row>
    <row r="87" spans="2:12" s="183" customFormat="1" x14ac:dyDescent="0.2">
      <c r="B87" s="806"/>
      <c r="C87" s="192">
        <v>2017</v>
      </c>
      <c r="D87" s="192">
        <v>99.14</v>
      </c>
      <c r="E87" s="193">
        <v>44.74</v>
      </c>
      <c r="F87" s="194">
        <f>F86</f>
        <v>7246.3768115942039</v>
      </c>
      <c r="G87" s="195" t="s">
        <v>248</v>
      </c>
      <c r="H87" s="196">
        <v>119.55</v>
      </c>
      <c r="I87" s="197">
        <v>1</v>
      </c>
      <c r="J87" s="198">
        <f t="shared" ref="J87:J95" si="11">((D87-(E87/I87))*F87*H87*I87)/1000000</f>
        <v>47.126956521739132</v>
      </c>
      <c r="L87" s="185"/>
    </row>
    <row r="88" spans="2:12" s="183" customFormat="1" x14ac:dyDescent="0.2">
      <c r="B88" s="806"/>
      <c r="C88" s="192">
        <v>2018</v>
      </c>
      <c r="D88" s="192">
        <v>98.61</v>
      </c>
      <c r="E88" s="193">
        <v>44.74</v>
      </c>
      <c r="F88" s="194">
        <f t="shared" ref="F88:F101" si="12">F87</f>
        <v>7246.3768115942039</v>
      </c>
      <c r="G88" s="195" t="s">
        <v>248</v>
      </c>
      <c r="H88" s="196">
        <v>126.13</v>
      </c>
      <c r="I88" s="197">
        <v>1</v>
      </c>
      <c r="J88" s="198">
        <f t="shared" si="11"/>
        <v>49.236399275362331</v>
      </c>
      <c r="L88" s="185"/>
    </row>
    <row r="89" spans="2:12" s="183" customFormat="1" x14ac:dyDescent="0.2">
      <c r="B89" s="806"/>
      <c r="C89" s="192">
        <v>2019</v>
      </c>
      <c r="D89" s="199">
        <v>97.26</v>
      </c>
      <c r="E89" s="193">
        <v>44.74</v>
      </c>
      <c r="F89" s="194">
        <f t="shared" si="12"/>
        <v>7246.3768115942039</v>
      </c>
      <c r="G89" s="195" t="s">
        <v>248</v>
      </c>
      <c r="H89" s="196">
        <v>126.13</v>
      </c>
      <c r="I89" s="197">
        <v>1</v>
      </c>
      <c r="J89" s="198">
        <f t="shared" si="11"/>
        <v>48.002518840579718</v>
      </c>
      <c r="L89" s="185"/>
    </row>
    <row r="90" spans="2:12" s="183" customFormat="1" x14ac:dyDescent="0.2">
      <c r="B90" s="806"/>
      <c r="C90" s="192">
        <v>2020</v>
      </c>
      <c r="D90" s="199">
        <v>96.27</v>
      </c>
      <c r="E90" s="193">
        <v>44.74</v>
      </c>
      <c r="F90" s="194">
        <f t="shared" si="12"/>
        <v>7246.3768115942039</v>
      </c>
      <c r="G90" s="195" t="s">
        <v>248</v>
      </c>
      <c r="H90" s="196">
        <v>126.13</v>
      </c>
      <c r="I90" s="197">
        <v>1</v>
      </c>
      <c r="J90" s="198">
        <f t="shared" si="11"/>
        <v>47.0976731884058</v>
      </c>
      <c r="L90" s="185"/>
    </row>
    <row r="91" spans="2:12" s="183" customFormat="1" x14ac:dyDescent="0.2">
      <c r="B91" s="806"/>
      <c r="C91" s="192">
        <v>2021</v>
      </c>
      <c r="D91" s="199">
        <v>95.29</v>
      </c>
      <c r="E91" s="193">
        <v>44.74</v>
      </c>
      <c r="F91" s="194">
        <f t="shared" si="12"/>
        <v>7246.3768115942039</v>
      </c>
      <c r="G91" s="195" t="s">
        <v>248</v>
      </c>
      <c r="H91" s="196">
        <v>126.13</v>
      </c>
      <c r="I91" s="197">
        <v>1</v>
      </c>
      <c r="J91" s="198">
        <f t="shared" si="11"/>
        <v>46.201967391304358</v>
      </c>
      <c r="L91" s="185"/>
    </row>
    <row r="92" spans="2:12" s="183" customFormat="1" x14ac:dyDescent="0.2">
      <c r="B92" s="806"/>
      <c r="C92" s="192">
        <v>2022</v>
      </c>
      <c r="D92" s="199">
        <v>93.81</v>
      </c>
      <c r="E92" s="193">
        <v>44.74</v>
      </c>
      <c r="F92" s="194">
        <f t="shared" si="12"/>
        <v>7246.3768115942039</v>
      </c>
      <c r="G92" s="195" t="s">
        <v>248</v>
      </c>
      <c r="H92" s="196">
        <v>126.13</v>
      </c>
      <c r="I92" s="197">
        <v>1</v>
      </c>
      <c r="J92" s="198">
        <f t="shared" si="11"/>
        <v>44.849268840579718</v>
      </c>
      <c r="L92" s="185"/>
    </row>
    <row r="93" spans="2:12" s="183" customFormat="1" x14ac:dyDescent="0.2">
      <c r="B93" s="806"/>
      <c r="C93" s="192">
        <v>2023</v>
      </c>
      <c r="D93" s="199">
        <v>92.32</v>
      </c>
      <c r="E93" s="193">
        <v>44.74</v>
      </c>
      <c r="F93" s="194">
        <f t="shared" si="12"/>
        <v>7246.3768115942039</v>
      </c>
      <c r="G93" s="195" t="s">
        <v>248</v>
      </c>
      <c r="H93" s="196">
        <v>126.13</v>
      </c>
      <c r="I93" s="197">
        <v>1</v>
      </c>
      <c r="J93" s="198">
        <f t="shared" si="11"/>
        <v>43.487430434782603</v>
      </c>
      <c r="L93" s="185"/>
    </row>
    <row r="94" spans="2:12" s="183" customFormat="1" x14ac:dyDescent="0.2">
      <c r="B94" s="806"/>
      <c r="C94" s="192">
        <v>2024</v>
      </c>
      <c r="D94" s="199">
        <v>90.84</v>
      </c>
      <c r="E94" s="193">
        <v>44.74</v>
      </c>
      <c r="F94" s="194">
        <f t="shared" si="12"/>
        <v>7246.3768115942039</v>
      </c>
      <c r="G94" s="195" t="s">
        <v>248</v>
      </c>
      <c r="H94" s="196">
        <v>126.13</v>
      </c>
      <c r="I94" s="197">
        <v>1</v>
      </c>
      <c r="J94" s="198">
        <f t="shared" si="11"/>
        <v>42.134731884057977</v>
      </c>
      <c r="L94" s="185"/>
    </row>
    <row r="95" spans="2:12" s="183" customFormat="1" x14ac:dyDescent="0.2">
      <c r="B95" s="806"/>
      <c r="C95" s="192">
        <v>2025</v>
      </c>
      <c r="D95" s="199">
        <v>88.87</v>
      </c>
      <c r="E95" s="193">
        <v>44.74</v>
      </c>
      <c r="F95" s="194">
        <f t="shared" si="12"/>
        <v>7246.3768115942039</v>
      </c>
      <c r="G95" s="195" t="s">
        <v>248</v>
      </c>
      <c r="H95" s="196">
        <v>126.13</v>
      </c>
      <c r="I95" s="197">
        <v>1</v>
      </c>
      <c r="J95" s="198">
        <f t="shared" si="11"/>
        <v>40.33418043478261</v>
      </c>
      <c r="L95" s="185"/>
    </row>
    <row r="96" spans="2:12" s="183" customFormat="1" x14ac:dyDescent="0.2">
      <c r="B96" s="211"/>
      <c r="C96" s="224">
        <v>2026</v>
      </c>
      <c r="D96" s="199">
        <v>88.87</v>
      </c>
      <c r="E96" s="193">
        <v>44.74</v>
      </c>
      <c r="F96" s="194">
        <f t="shared" si="12"/>
        <v>7246.3768115942039</v>
      </c>
      <c r="G96" s="195" t="s">
        <v>248</v>
      </c>
      <c r="H96" s="196">
        <v>126.13</v>
      </c>
      <c r="I96" s="197">
        <v>1</v>
      </c>
      <c r="J96" s="198">
        <f t="shared" ref="J96:J101" si="13">((D96-(E96/I96))*F96*H96*I96)/1000000</f>
        <v>40.33418043478261</v>
      </c>
      <c r="L96" s="185"/>
    </row>
    <row r="97" spans="2:12" s="183" customFormat="1" x14ac:dyDescent="0.2">
      <c r="B97" s="211"/>
      <c r="C97" s="224">
        <v>2027</v>
      </c>
      <c r="D97" s="199">
        <v>88.87</v>
      </c>
      <c r="E97" s="193">
        <v>44.74</v>
      </c>
      <c r="F97" s="194">
        <f t="shared" si="12"/>
        <v>7246.3768115942039</v>
      </c>
      <c r="G97" s="195" t="s">
        <v>248</v>
      </c>
      <c r="H97" s="196">
        <v>126.13</v>
      </c>
      <c r="I97" s="197">
        <v>1</v>
      </c>
      <c r="J97" s="198">
        <f t="shared" si="13"/>
        <v>40.33418043478261</v>
      </c>
      <c r="L97" s="185"/>
    </row>
    <row r="98" spans="2:12" s="183" customFormat="1" x14ac:dyDescent="0.2">
      <c r="B98" s="211"/>
      <c r="C98" s="224">
        <v>2028</v>
      </c>
      <c r="D98" s="199">
        <v>88.87</v>
      </c>
      <c r="E98" s="193">
        <v>44.74</v>
      </c>
      <c r="F98" s="194">
        <f t="shared" si="12"/>
        <v>7246.3768115942039</v>
      </c>
      <c r="G98" s="195" t="s">
        <v>248</v>
      </c>
      <c r="H98" s="196">
        <v>126.13</v>
      </c>
      <c r="I98" s="197">
        <v>1</v>
      </c>
      <c r="J98" s="198">
        <f t="shared" si="13"/>
        <v>40.33418043478261</v>
      </c>
      <c r="L98" s="185"/>
    </row>
    <row r="99" spans="2:12" s="183" customFormat="1" x14ac:dyDescent="0.2">
      <c r="B99" s="211"/>
      <c r="C99" s="224">
        <v>2029</v>
      </c>
      <c r="D99" s="199">
        <v>88.87</v>
      </c>
      <c r="E99" s="193">
        <v>44.74</v>
      </c>
      <c r="F99" s="194">
        <f t="shared" si="12"/>
        <v>7246.3768115942039</v>
      </c>
      <c r="G99" s="195" t="s">
        <v>248</v>
      </c>
      <c r="H99" s="196">
        <v>126.13</v>
      </c>
      <c r="I99" s="197">
        <v>1</v>
      </c>
      <c r="J99" s="198">
        <f t="shared" si="13"/>
        <v>40.33418043478261</v>
      </c>
      <c r="L99" s="185"/>
    </row>
    <row r="100" spans="2:12" s="183" customFormat="1" x14ac:dyDescent="0.2">
      <c r="B100" s="211"/>
      <c r="C100" s="224">
        <v>2030</v>
      </c>
      <c r="D100" s="199">
        <v>88.87</v>
      </c>
      <c r="E100" s="193">
        <v>44.74</v>
      </c>
      <c r="F100" s="194">
        <f t="shared" si="12"/>
        <v>7246.3768115942039</v>
      </c>
      <c r="G100" s="195" t="s">
        <v>248</v>
      </c>
      <c r="H100" s="196">
        <v>126.13</v>
      </c>
      <c r="I100" s="197">
        <v>1</v>
      </c>
      <c r="J100" s="198">
        <f t="shared" si="13"/>
        <v>40.33418043478261</v>
      </c>
      <c r="L100" s="185"/>
    </row>
    <row r="101" spans="2:12" s="183" customFormat="1" x14ac:dyDescent="0.2">
      <c r="B101" s="211"/>
      <c r="C101" s="224">
        <v>2031</v>
      </c>
      <c r="D101" s="199">
        <v>88.87</v>
      </c>
      <c r="E101" s="193">
        <v>44.74</v>
      </c>
      <c r="F101" s="194">
        <f t="shared" si="12"/>
        <v>7246.3768115942039</v>
      </c>
      <c r="G101" s="195" t="s">
        <v>248</v>
      </c>
      <c r="H101" s="196">
        <v>126.13</v>
      </c>
      <c r="I101" s="197">
        <v>1</v>
      </c>
      <c r="J101" s="198">
        <f t="shared" si="13"/>
        <v>40.33418043478261</v>
      </c>
      <c r="K101" s="185"/>
      <c r="L101" s="201">
        <f>SUM(J90:J101)</f>
        <v>506.1103347826089</v>
      </c>
    </row>
    <row r="102" spans="2:12" s="183" customFormat="1" x14ac:dyDescent="0.2">
      <c r="F102" s="200"/>
      <c r="G102" s="184"/>
      <c r="I102" s="205"/>
      <c r="J102" s="207"/>
    </row>
    <row r="103" spans="2:12" s="183" customFormat="1" x14ac:dyDescent="0.2">
      <c r="B103" s="806" t="s">
        <v>288</v>
      </c>
      <c r="C103" s="192">
        <v>2016</v>
      </c>
      <c r="D103" s="192">
        <v>99.39</v>
      </c>
      <c r="E103" s="193">
        <v>44.74</v>
      </c>
      <c r="F103" s="194">
        <f>F52</f>
        <v>7246.3768115942039</v>
      </c>
      <c r="G103" s="195" t="s">
        <v>248</v>
      </c>
      <c r="H103" s="196">
        <v>119.55</v>
      </c>
      <c r="I103" s="197">
        <v>1</v>
      </c>
      <c r="J103" s="198">
        <f>((D103-(E103/I103))*F103*H103*I103)/1000000</f>
        <v>47.343532608695654</v>
      </c>
      <c r="L103" s="185"/>
    </row>
    <row r="104" spans="2:12" s="183" customFormat="1" x14ac:dyDescent="0.2">
      <c r="B104" s="806"/>
      <c r="C104" s="192">
        <v>2017</v>
      </c>
      <c r="D104" s="192">
        <v>99.14</v>
      </c>
      <c r="E104" s="193">
        <v>44.74</v>
      </c>
      <c r="F104" s="194">
        <f>F103</f>
        <v>7246.3768115942039</v>
      </c>
      <c r="G104" s="195" t="s">
        <v>248</v>
      </c>
      <c r="H104" s="196">
        <v>119.55</v>
      </c>
      <c r="I104" s="197">
        <v>1</v>
      </c>
      <c r="J104" s="198">
        <f t="shared" ref="J104:J112" si="14">((D104-(E104/I104))*F104*H104*I104)/1000000</f>
        <v>47.126956521739132</v>
      </c>
      <c r="L104" s="185"/>
    </row>
    <row r="105" spans="2:12" s="183" customFormat="1" x14ac:dyDescent="0.2">
      <c r="B105" s="806"/>
      <c r="C105" s="192">
        <v>2018</v>
      </c>
      <c r="D105" s="192">
        <v>98.61</v>
      </c>
      <c r="E105" s="193">
        <v>44.74</v>
      </c>
      <c r="F105" s="194">
        <f t="shared" ref="F105:F118" si="15">F104</f>
        <v>7246.3768115942039</v>
      </c>
      <c r="G105" s="195" t="s">
        <v>248</v>
      </c>
      <c r="H105" s="196">
        <v>129.65</v>
      </c>
      <c r="I105" s="197">
        <v>1</v>
      </c>
      <c r="J105" s="198">
        <f t="shared" si="14"/>
        <v>50.610474637681172</v>
      </c>
      <c r="L105" s="185"/>
    </row>
    <row r="106" spans="2:12" s="183" customFormat="1" x14ac:dyDescent="0.2">
      <c r="B106" s="806"/>
      <c r="C106" s="192">
        <v>2019</v>
      </c>
      <c r="D106" s="199">
        <v>97.26</v>
      </c>
      <c r="E106" s="193">
        <v>44.74</v>
      </c>
      <c r="F106" s="194">
        <f t="shared" si="15"/>
        <v>7246.3768115942039</v>
      </c>
      <c r="G106" s="195" t="s">
        <v>248</v>
      </c>
      <c r="H106" s="196">
        <v>129.65</v>
      </c>
      <c r="I106" s="197">
        <v>1</v>
      </c>
      <c r="J106" s="198">
        <f t="shared" si="14"/>
        <v>49.342159420289867</v>
      </c>
      <c r="L106" s="185"/>
    </row>
    <row r="107" spans="2:12" s="183" customFormat="1" x14ac:dyDescent="0.2">
      <c r="B107" s="806"/>
      <c r="C107" s="192">
        <v>2020</v>
      </c>
      <c r="D107" s="199">
        <v>96.27</v>
      </c>
      <c r="E107" s="193">
        <v>44.74</v>
      </c>
      <c r="F107" s="194">
        <f t="shared" si="15"/>
        <v>7246.3768115942039</v>
      </c>
      <c r="G107" s="195" t="s">
        <v>248</v>
      </c>
      <c r="H107" s="196">
        <v>129.65</v>
      </c>
      <c r="I107" s="197">
        <v>1</v>
      </c>
      <c r="J107" s="198">
        <f t="shared" si="14"/>
        <v>48.412061594202896</v>
      </c>
      <c r="L107" s="185"/>
    </row>
    <row r="108" spans="2:12" s="183" customFormat="1" x14ac:dyDescent="0.2">
      <c r="B108" s="806"/>
      <c r="C108" s="192">
        <v>2021</v>
      </c>
      <c r="D108" s="199">
        <v>95.29</v>
      </c>
      <c r="E108" s="193">
        <v>44.74</v>
      </c>
      <c r="F108" s="194">
        <f t="shared" si="15"/>
        <v>7246.3768115942039</v>
      </c>
      <c r="G108" s="195" t="s">
        <v>248</v>
      </c>
      <c r="H108" s="196">
        <v>129.65</v>
      </c>
      <c r="I108" s="197">
        <v>1</v>
      </c>
      <c r="J108" s="198">
        <f t="shared" si="14"/>
        <v>47.491358695652188</v>
      </c>
      <c r="L108" s="185"/>
    </row>
    <row r="109" spans="2:12" s="183" customFormat="1" x14ac:dyDescent="0.2">
      <c r="B109" s="806"/>
      <c r="C109" s="192">
        <v>2022</v>
      </c>
      <c r="D109" s="199">
        <v>93.81</v>
      </c>
      <c r="E109" s="193">
        <v>44.74</v>
      </c>
      <c r="F109" s="194">
        <f t="shared" si="15"/>
        <v>7246.3768115942039</v>
      </c>
      <c r="G109" s="195" t="s">
        <v>248</v>
      </c>
      <c r="H109" s="196">
        <v>129.65</v>
      </c>
      <c r="I109" s="197">
        <v>1</v>
      </c>
      <c r="J109" s="198">
        <f t="shared" si="14"/>
        <v>46.100909420289867</v>
      </c>
      <c r="L109" s="185"/>
    </row>
    <row r="110" spans="2:12" s="183" customFormat="1" x14ac:dyDescent="0.2">
      <c r="B110" s="806"/>
      <c r="C110" s="192">
        <v>2023</v>
      </c>
      <c r="D110" s="199">
        <v>92.32</v>
      </c>
      <c r="E110" s="193">
        <v>44.74</v>
      </c>
      <c r="F110" s="194">
        <f t="shared" si="15"/>
        <v>7246.3768115942039</v>
      </c>
      <c r="G110" s="195" t="s">
        <v>248</v>
      </c>
      <c r="H110" s="196">
        <v>129.65</v>
      </c>
      <c r="I110" s="197">
        <v>1</v>
      </c>
      <c r="J110" s="198">
        <f t="shared" si="14"/>
        <v>44.701065217391303</v>
      </c>
      <c r="L110" s="185"/>
    </row>
    <row r="111" spans="2:12" s="183" customFormat="1" x14ac:dyDescent="0.2">
      <c r="B111" s="806"/>
      <c r="C111" s="192">
        <v>2024</v>
      </c>
      <c r="D111" s="199">
        <v>90.84</v>
      </c>
      <c r="E111" s="193">
        <v>44.74</v>
      </c>
      <c r="F111" s="194">
        <f t="shared" si="15"/>
        <v>7246.3768115942039</v>
      </c>
      <c r="G111" s="195" t="s">
        <v>248</v>
      </c>
      <c r="H111" s="196">
        <v>129.65</v>
      </c>
      <c r="I111" s="197">
        <v>1</v>
      </c>
      <c r="J111" s="198">
        <f t="shared" si="14"/>
        <v>43.310615942028988</v>
      </c>
      <c r="L111" s="185"/>
    </row>
    <row r="112" spans="2:12" s="183" customFormat="1" x14ac:dyDescent="0.2">
      <c r="B112" s="806"/>
      <c r="C112" s="192">
        <v>2025</v>
      </c>
      <c r="D112" s="199">
        <v>88.87</v>
      </c>
      <c r="E112" s="193">
        <v>44.74</v>
      </c>
      <c r="F112" s="194">
        <f t="shared" si="15"/>
        <v>7246.3768115942039</v>
      </c>
      <c r="G112" s="195" t="s">
        <v>248</v>
      </c>
      <c r="H112" s="196">
        <v>129.65</v>
      </c>
      <c r="I112" s="197">
        <v>1</v>
      </c>
      <c r="J112" s="198">
        <f t="shared" si="14"/>
        <v>41.459815217391309</v>
      </c>
      <c r="L112" s="185"/>
    </row>
    <row r="113" spans="2:12" s="183" customFormat="1" x14ac:dyDescent="0.2">
      <c r="B113" s="211"/>
      <c r="C113" s="224">
        <v>2026</v>
      </c>
      <c r="D113" s="199">
        <v>88.87</v>
      </c>
      <c r="E113" s="193">
        <v>44.74</v>
      </c>
      <c r="F113" s="194">
        <f t="shared" si="15"/>
        <v>7246.3768115942039</v>
      </c>
      <c r="G113" s="195" t="s">
        <v>248</v>
      </c>
      <c r="H113" s="196">
        <v>129.65</v>
      </c>
      <c r="I113" s="197">
        <v>1</v>
      </c>
      <c r="J113" s="198">
        <f t="shared" ref="J113:J118" si="16">((D113-(E113/I113))*F113*H113*I113)/1000000</f>
        <v>41.459815217391309</v>
      </c>
      <c r="L113" s="185"/>
    </row>
    <row r="114" spans="2:12" s="183" customFormat="1" x14ac:dyDescent="0.2">
      <c r="B114" s="211"/>
      <c r="C114" s="224">
        <v>2027</v>
      </c>
      <c r="D114" s="199">
        <v>88.87</v>
      </c>
      <c r="E114" s="193">
        <v>44.74</v>
      </c>
      <c r="F114" s="194">
        <f t="shared" si="15"/>
        <v>7246.3768115942039</v>
      </c>
      <c r="G114" s="195" t="s">
        <v>248</v>
      </c>
      <c r="H114" s="196">
        <v>129.65</v>
      </c>
      <c r="I114" s="197">
        <v>1</v>
      </c>
      <c r="J114" s="198">
        <f t="shared" si="16"/>
        <v>41.459815217391309</v>
      </c>
      <c r="L114" s="185"/>
    </row>
    <row r="115" spans="2:12" s="183" customFormat="1" x14ac:dyDescent="0.2">
      <c r="B115" s="211"/>
      <c r="C115" s="224">
        <v>2028</v>
      </c>
      <c r="D115" s="199">
        <v>88.87</v>
      </c>
      <c r="E115" s="193">
        <v>44.74</v>
      </c>
      <c r="F115" s="194">
        <f t="shared" si="15"/>
        <v>7246.3768115942039</v>
      </c>
      <c r="G115" s="195" t="s">
        <v>248</v>
      </c>
      <c r="H115" s="196">
        <v>129.65</v>
      </c>
      <c r="I115" s="197">
        <v>1</v>
      </c>
      <c r="J115" s="198">
        <f t="shared" si="16"/>
        <v>41.459815217391309</v>
      </c>
      <c r="L115" s="185"/>
    </row>
    <row r="116" spans="2:12" s="183" customFormat="1" x14ac:dyDescent="0.2">
      <c r="B116" s="211"/>
      <c r="C116" s="224">
        <v>2029</v>
      </c>
      <c r="D116" s="199">
        <v>88.87</v>
      </c>
      <c r="E116" s="193">
        <v>44.74</v>
      </c>
      <c r="F116" s="194">
        <f t="shared" si="15"/>
        <v>7246.3768115942039</v>
      </c>
      <c r="G116" s="195" t="s">
        <v>248</v>
      </c>
      <c r="H116" s="196">
        <v>129.65</v>
      </c>
      <c r="I116" s="197">
        <v>1</v>
      </c>
      <c r="J116" s="198">
        <f t="shared" si="16"/>
        <v>41.459815217391309</v>
      </c>
      <c r="L116" s="185"/>
    </row>
    <row r="117" spans="2:12" s="183" customFormat="1" x14ac:dyDescent="0.2">
      <c r="B117" s="211"/>
      <c r="C117" s="224">
        <v>2030</v>
      </c>
      <c r="D117" s="199">
        <v>88.87</v>
      </c>
      <c r="E117" s="193">
        <v>44.74</v>
      </c>
      <c r="F117" s="194">
        <f t="shared" si="15"/>
        <v>7246.3768115942039</v>
      </c>
      <c r="G117" s="195" t="s">
        <v>248</v>
      </c>
      <c r="H117" s="196">
        <v>129.65</v>
      </c>
      <c r="I117" s="197">
        <v>1</v>
      </c>
      <c r="J117" s="198">
        <f t="shared" si="16"/>
        <v>41.459815217391309</v>
      </c>
      <c r="L117" s="185"/>
    </row>
    <row r="118" spans="2:12" s="183" customFormat="1" x14ac:dyDescent="0.2">
      <c r="B118" s="211"/>
      <c r="C118" s="224">
        <v>2031</v>
      </c>
      <c r="D118" s="199">
        <v>88.87</v>
      </c>
      <c r="E118" s="193">
        <v>44.74</v>
      </c>
      <c r="F118" s="194">
        <f t="shared" si="15"/>
        <v>7246.3768115942039</v>
      </c>
      <c r="G118" s="195" t="s">
        <v>248</v>
      </c>
      <c r="H118" s="196">
        <v>129.65</v>
      </c>
      <c r="I118" s="197">
        <v>1</v>
      </c>
      <c r="J118" s="198">
        <f t="shared" si="16"/>
        <v>41.459815217391309</v>
      </c>
      <c r="K118" s="185"/>
      <c r="L118" s="201">
        <f>SUM(J107:J118)</f>
        <v>520.23471739130457</v>
      </c>
    </row>
    <row r="119" spans="2:12" x14ac:dyDescent="0.2">
      <c r="F119" s="185"/>
      <c r="G119" s="185"/>
      <c r="K119" s="185"/>
    </row>
    <row r="120" spans="2:12" x14ac:dyDescent="0.2">
      <c r="B120" s="806" t="s">
        <v>289</v>
      </c>
      <c r="C120" s="192">
        <v>2016</v>
      </c>
      <c r="D120" s="192">
        <v>99.39</v>
      </c>
      <c r="E120" s="193">
        <v>44.74</v>
      </c>
      <c r="F120" s="194">
        <f>F69</f>
        <v>6355.9322033898306</v>
      </c>
      <c r="G120" s="195" t="s">
        <v>248</v>
      </c>
      <c r="H120" s="196">
        <v>119.55</v>
      </c>
      <c r="I120" s="197">
        <v>1</v>
      </c>
      <c r="J120" s="198">
        <f>((D120-(E120/I120))*F120*H120*I120)/1000000</f>
        <v>41.525895127118645</v>
      </c>
      <c r="L120" s="204"/>
    </row>
    <row r="121" spans="2:12" x14ac:dyDescent="0.2">
      <c r="B121" s="806"/>
      <c r="C121" s="192">
        <v>2017</v>
      </c>
      <c r="D121" s="192">
        <v>99.14</v>
      </c>
      <c r="E121" s="193">
        <v>44.74</v>
      </c>
      <c r="F121" s="194">
        <f>F120</f>
        <v>6355.9322033898306</v>
      </c>
      <c r="G121" s="195" t="s">
        <v>248</v>
      </c>
      <c r="H121" s="196">
        <v>119.55</v>
      </c>
      <c r="I121" s="197">
        <v>1</v>
      </c>
      <c r="J121" s="198">
        <f t="shared" ref="J121:J135" si="17">((D121-(E121/I121))*F121*H121*I121)/1000000</f>
        <v>41.335932203389831</v>
      </c>
    </row>
    <row r="122" spans="2:12" x14ac:dyDescent="0.2">
      <c r="B122" s="806"/>
      <c r="C122" s="192">
        <v>2018</v>
      </c>
      <c r="D122" s="192">
        <v>98.61</v>
      </c>
      <c r="E122" s="193">
        <v>44.74</v>
      </c>
      <c r="F122" s="194">
        <f t="shared" ref="F122:F135" si="18">F121</f>
        <v>6355.9322033898306</v>
      </c>
      <c r="G122" s="195" t="s">
        <v>248</v>
      </c>
      <c r="H122" s="196">
        <v>126.13</v>
      </c>
      <c r="I122" s="197">
        <v>1</v>
      </c>
      <c r="J122" s="198">
        <f t="shared" si="17"/>
        <v>43.186163771186443</v>
      </c>
    </row>
    <row r="123" spans="2:12" x14ac:dyDescent="0.2">
      <c r="B123" s="806"/>
      <c r="C123" s="192">
        <v>2019</v>
      </c>
      <c r="D123" s="199">
        <v>97.26</v>
      </c>
      <c r="E123" s="193">
        <v>44.74</v>
      </c>
      <c r="F123" s="194">
        <f t="shared" si="18"/>
        <v>6355.9322033898306</v>
      </c>
      <c r="G123" s="195" t="s">
        <v>248</v>
      </c>
      <c r="H123" s="196">
        <v>126.13</v>
      </c>
      <c r="I123" s="197">
        <v>1</v>
      </c>
      <c r="J123" s="198">
        <f t="shared" si="17"/>
        <v>42.103904237288141</v>
      </c>
    </row>
    <row r="124" spans="2:12" x14ac:dyDescent="0.2">
      <c r="B124" s="806"/>
      <c r="C124" s="192">
        <v>2020</v>
      </c>
      <c r="D124" s="199">
        <v>96.27</v>
      </c>
      <c r="E124" s="193">
        <v>44.74</v>
      </c>
      <c r="F124" s="194">
        <f t="shared" si="18"/>
        <v>6355.9322033898306</v>
      </c>
      <c r="G124" s="195" t="s">
        <v>248</v>
      </c>
      <c r="H124" s="196">
        <v>126.13</v>
      </c>
      <c r="I124" s="197">
        <v>1</v>
      </c>
      <c r="J124" s="198">
        <f t="shared" si="17"/>
        <v>41.31024724576271</v>
      </c>
    </row>
    <row r="125" spans="2:12" x14ac:dyDescent="0.2">
      <c r="B125" s="806"/>
      <c r="C125" s="192">
        <v>2021</v>
      </c>
      <c r="D125" s="199">
        <v>95.29</v>
      </c>
      <c r="E125" s="193">
        <v>44.74</v>
      </c>
      <c r="F125" s="194">
        <f t="shared" si="18"/>
        <v>6355.9322033898306</v>
      </c>
      <c r="G125" s="195" t="s">
        <v>248</v>
      </c>
      <c r="H125" s="196">
        <v>126.13</v>
      </c>
      <c r="I125" s="197">
        <v>1</v>
      </c>
      <c r="J125" s="198">
        <f t="shared" si="17"/>
        <v>40.524606991525424</v>
      </c>
    </row>
    <row r="126" spans="2:12" x14ac:dyDescent="0.2">
      <c r="B126" s="806"/>
      <c r="C126" s="192">
        <v>2022</v>
      </c>
      <c r="D126" s="199">
        <v>93.81</v>
      </c>
      <c r="E126" s="193">
        <v>44.74</v>
      </c>
      <c r="F126" s="194">
        <f t="shared" si="18"/>
        <v>6355.9322033898306</v>
      </c>
      <c r="G126" s="195" t="s">
        <v>248</v>
      </c>
      <c r="H126" s="196">
        <v>126.13</v>
      </c>
      <c r="I126" s="197">
        <v>1</v>
      </c>
      <c r="J126" s="198">
        <f t="shared" si="17"/>
        <v>39.338129872881353</v>
      </c>
    </row>
    <row r="127" spans="2:12" x14ac:dyDescent="0.2">
      <c r="B127" s="806"/>
      <c r="C127" s="192">
        <v>2023</v>
      </c>
      <c r="D127" s="199">
        <v>92.32</v>
      </c>
      <c r="E127" s="193">
        <v>44.74</v>
      </c>
      <c r="F127" s="194">
        <f t="shared" si="18"/>
        <v>6355.9322033898306</v>
      </c>
      <c r="G127" s="195" t="s">
        <v>248</v>
      </c>
      <c r="H127" s="196">
        <v>126.13</v>
      </c>
      <c r="I127" s="197">
        <v>1</v>
      </c>
      <c r="J127" s="198">
        <f t="shared" si="17"/>
        <v>38.143636016949145</v>
      </c>
    </row>
    <row r="128" spans="2:12" x14ac:dyDescent="0.2">
      <c r="B128" s="806"/>
      <c r="C128" s="192">
        <v>2024</v>
      </c>
      <c r="D128" s="199">
        <v>90.84</v>
      </c>
      <c r="E128" s="193">
        <v>44.74</v>
      </c>
      <c r="F128" s="194">
        <f t="shared" si="18"/>
        <v>6355.9322033898306</v>
      </c>
      <c r="G128" s="195" t="s">
        <v>248</v>
      </c>
      <c r="H128" s="196">
        <v>126.13</v>
      </c>
      <c r="I128" s="197">
        <v>1</v>
      </c>
      <c r="J128" s="198">
        <f t="shared" si="17"/>
        <v>36.957158898305089</v>
      </c>
    </row>
    <row r="129" spans="2:12" x14ac:dyDescent="0.2">
      <c r="B129" s="806"/>
      <c r="C129" s="192">
        <v>2025</v>
      </c>
      <c r="D129" s="199">
        <v>88.87</v>
      </c>
      <c r="E129" s="193">
        <v>44.74</v>
      </c>
      <c r="F129" s="194">
        <f t="shared" si="18"/>
        <v>6355.9322033898306</v>
      </c>
      <c r="G129" s="195" t="s">
        <v>248</v>
      </c>
      <c r="H129" s="196">
        <v>126.13</v>
      </c>
      <c r="I129" s="197">
        <v>1</v>
      </c>
      <c r="J129" s="198">
        <f t="shared" si="17"/>
        <v>35.377861652542379</v>
      </c>
    </row>
    <row r="130" spans="2:12" x14ac:dyDescent="0.2">
      <c r="B130" s="211"/>
      <c r="C130" s="224">
        <v>2026</v>
      </c>
      <c r="D130" s="199">
        <v>88.87</v>
      </c>
      <c r="E130" s="193">
        <v>44.74</v>
      </c>
      <c r="F130" s="194">
        <f t="shared" si="18"/>
        <v>6355.9322033898306</v>
      </c>
      <c r="G130" s="195" t="s">
        <v>248</v>
      </c>
      <c r="H130" s="196">
        <v>126.13</v>
      </c>
      <c r="I130" s="197">
        <v>1</v>
      </c>
      <c r="J130" s="198">
        <f t="shared" si="17"/>
        <v>35.377861652542379</v>
      </c>
    </row>
    <row r="131" spans="2:12" x14ac:dyDescent="0.2">
      <c r="B131" s="211"/>
      <c r="C131" s="224">
        <v>2027</v>
      </c>
      <c r="D131" s="199">
        <v>88.87</v>
      </c>
      <c r="E131" s="193">
        <v>44.74</v>
      </c>
      <c r="F131" s="194">
        <f t="shared" si="18"/>
        <v>6355.9322033898306</v>
      </c>
      <c r="G131" s="195" t="s">
        <v>248</v>
      </c>
      <c r="H131" s="196">
        <v>126.13</v>
      </c>
      <c r="I131" s="197">
        <v>1</v>
      </c>
      <c r="J131" s="198">
        <f t="shared" si="17"/>
        <v>35.377861652542379</v>
      </c>
    </row>
    <row r="132" spans="2:12" x14ac:dyDescent="0.2">
      <c r="B132" s="211"/>
      <c r="C132" s="224">
        <v>2028</v>
      </c>
      <c r="D132" s="199">
        <v>88.87</v>
      </c>
      <c r="E132" s="193">
        <v>44.74</v>
      </c>
      <c r="F132" s="194">
        <f t="shared" si="18"/>
        <v>6355.9322033898306</v>
      </c>
      <c r="G132" s="195" t="s">
        <v>248</v>
      </c>
      <c r="H132" s="196">
        <v>126.13</v>
      </c>
      <c r="I132" s="197">
        <v>1</v>
      </c>
      <c r="J132" s="198">
        <f t="shared" si="17"/>
        <v>35.377861652542379</v>
      </c>
    </row>
    <row r="133" spans="2:12" x14ac:dyDescent="0.2">
      <c r="B133" s="211"/>
      <c r="C133" s="224">
        <v>2029</v>
      </c>
      <c r="D133" s="199">
        <v>88.87</v>
      </c>
      <c r="E133" s="193">
        <v>44.74</v>
      </c>
      <c r="F133" s="194">
        <f t="shared" si="18"/>
        <v>6355.9322033898306</v>
      </c>
      <c r="G133" s="195" t="s">
        <v>248</v>
      </c>
      <c r="H133" s="196">
        <v>126.13</v>
      </c>
      <c r="I133" s="197">
        <v>1</v>
      </c>
      <c r="J133" s="198">
        <f t="shared" si="17"/>
        <v>35.377861652542379</v>
      </c>
    </row>
    <row r="134" spans="2:12" x14ac:dyDescent="0.2">
      <c r="B134" s="211"/>
      <c r="C134" s="224">
        <v>2030</v>
      </c>
      <c r="D134" s="199">
        <v>88.87</v>
      </c>
      <c r="E134" s="193">
        <v>44.74</v>
      </c>
      <c r="F134" s="194">
        <f t="shared" si="18"/>
        <v>6355.9322033898306</v>
      </c>
      <c r="G134" s="195" t="s">
        <v>248</v>
      </c>
      <c r="H134" s="196">
        <v>126.13</v>
      </c>
      <c r="I134" s="197">
        <v>1</v>
      </c>
      <c r="J134" s="198">
        <f t="shared" si="17"/>
        <v>35.377861652542379</v>
      </c>
    </row>
    <row r="135" spans="2:12" s="183" customFormat="1" x14ac:dyDescent="0.2">
      <c r="B135" s="211"/>
      <c r="C135" s="224">
        <v>2031</v>
      </c>
      <c r="D135" s="199">
        <v>88.87</v>
      </c>
      <c r="E135" s="193">
        <v>44.74</v>
      </c>
      <c r="F135" s="194">
        <f t="shared" si="18"/>
        <v>6355.9322033898306</v>
      </c>
      <c r="G135" s="195" t="s">
        <v>248</v>
      </c>
      <c r="H135" s="196">
        <v>126.13</v>
      </c>
      <c r="I135" s="197">
        <v>1</v>
      </c>
      <c r="J135" s="198">
        <f t="shared" si="17"/>
        <v>35.377861652542379</v>
      </c>
      <c r="K135" s="185"/>
      <c r="L135" s="201">
        <f>SUM(J124:J135)</f>
        <v>443.91881059322043</v>
      </c>
    </row>
    <row r="136" spans="2:12" x14ac:dyDescent="0.2">
      <c r="B136" s="183"/>
      <c r="C136" s="183"/>
      <c r="D136" s="183"/>
      <c r="E136" s="183"/>
      <c r="F136" s="200"/>
      <c r="G136" s="184"/>
      <c r="H136" s="183"/>
      <c r="I136" s="205"/>
      <c r="J136" s="207"/>
      <c r="L136" s="183"/>
    </row>
    <row r="137" spans="2:12" x14ac:dyDescent="0.2">
      <c r="B137" s="806" t="s">
        <v>290</v>
      </c>
      <c r="C137" s="192">
        <v>2016</v>
      </c>
      <c r="D137" s="192">
        <v>99.39</v>
      </c>
      <c r="E137" s="193">
        <v>44.74</v>
      </c>
      <c r="F137" s="194">
        <f>F69</f>
        <v>6355.9322033898306</v>
      </c>
      <c r="G137" s="195" t="s">
        <v>248</v>
      </c>
      <c r="H137" s="196">
        <v>119.55</v>
      </c>
      <c r="I137" s="197">
        <v>1</v>
      </c>
      <c r="J137" s="198">
        <f>((D137-(E137/I137))*F137*H137*I137)/1000000</f>
        <v>41.525895127118645</v>
      </c>
    </row>
    <row r="138" spans="2:12" x14ac:dyDescent="0.2">
      <c r="B138" s="806"/>
      <c r="C138" s="192">
        <v>2017</v>
      </c>
      <c r="D138" s="192">
        <v>99.14</v>
      </c>
      <c r="E138" s="193">
        <v>44.74</v>
      </c>
      <c r="F138" s="194">
        <f>F137</f>
        <v>6355.9322033898306</v>
      </c>
      <c r="G138" s="195" t="s">
        <v>248</v>
      </c>
      <c r="H138" s="196">
        <v>119.55</v>
      </c>
      <c r="I138" s="197">
        <v>1</v>
      </c>
      <c r="J138" s="198">
        <f t="shared" ref="J138:J152" si="19">((D138-(E138/I138))*F138*H138*I138)/1000000</f>
        <v>41.335932203389831</v>
      </c>
    </row>
    <row r="139" spans="2:12" x14ac:dyDescent="0.2">
      <c r="B139" s="806"/>
      <c r="C139" s="192">
        <v>2018</v>
      </c>
      <c r="D139" s="192">
        <v>98.61</v>
      </c>
      <c r="E139" s="193">
        <v>44.74</v>
      </c>
      <c r="F139" s="194">
        <f t="shared" ref="F139:F152" si="20">F138</f>
        <v>6355.9322033898306</v>
      </c>
      <c r="G139" s="195" t="s">
        <v>248</v>
      </c>
      <c r="H139" s="196">
        <v>129.65</v>
      </c>
      <c r="I139" s="197">
        <v>1</v>
      </c>
      <c r="J139" s="198">
        <f t="shared" si="19"/>
        <v>44.391390889830518</v>
      </c>
    </row>
    <row r="140" spans="2:12" x14ac:dyDescent="0.2">
      <c r="B140" s="806"/>
      <c r="C140" s="192">
        <v>2019</v>
      </c>
      <c r="D140" s="199">
        <v>97.26</v>
      </c>
      <c r="E140" s="193">
        <v>44.74</v>
      </c>
      <c r="F140" s="194">
        <f t="shared" si="20"/>
        <v>6355.9322033898306</v>
      </c>
      <c r="G140" s="195" t="s">
        <v>248</v>
      </c>
      <c r="H140" s="196">
        <v>129.65</v>
      </c>
      <c r="I140" s="197">
        <v>1</v>
      </c>
      <c r="J140" s="198">
        <f t="shared" si="19"/>
        <v>43.278927966101705</v>
      </c>
    </row>
    <row r="141" spans="2:12" x14ac:dyDescent="0.2">
      <c r="B141" s="806"/>
      <c r="C141" s="192">
        <v>2020</v>
      </c>
      <c r="D141" s="199">
        <v>96.27</v>
      </c>
      <c r="E141" s="193">
        <v>44.74</v>
      </c>
      <c r="F141" s="194">
        <f t="shared" si="20"/>
        <v>6355.9322033898306</v>
      </c>
      <c r="G141" s="195" t="s">
        <v>248</v>
      </c>
      <c r="H141" s="196">
        <v>129.65</v>
      </c>
      <c r="I141" s="197">
        <v>1</v>
      </c>
      <c r="J141" s="198">
        <f t="shared" si="19"/>
        <v>42.463121822033898</v>
      </c>
    </row>
    <row r="142" spans="2:12" x14ac:dyDescent="0.2">
      <c r="B142" s="806"/>
      <c r="C142" s="192">
        <v>2021</v>
      </c>
      <c r="D142" s="199">
        <v>95.29</v>
      </c>
      <c r="E142" s="193">
        <v>44.74</v>
      </c>
      <c r="F142" s="194">
        <f t="shared" si="20"/>
        <v>6355.9322033898306</v>
      </c>
      <c r="G142" s="195" t="s">
        <v>248</v>
      </c>
      <c r="H142" s="196">
        <v>129.65</v>
      </c>
      <c r="I142" s="197">
        <v>1</v>
      </c>
      <c r="J142" s="198">
        <f t="shared" si="19"/>
        <v>41.655556144067809</v>
      </c>
    </row>
    <row r="143" spans="2:12" x14ac:dyDescent="0.2">
      <c r="B143" s="806"/>
      <c r="C143" s="192">
        <v>2022</v>
      </c>
      <c r="D143" s="199">
        <v>93.81</v>
      </c>
      <c r="E143" s="193">
        <v>44.74</v>
      </c>
      <c r="F143" s="194">
        <f t="shared" si="20"/>
        <v>6355.9322033898306</v>
      </c>
      <c r="G143" s="195" t="s">
        <v>248</v>
      </c>
      <c r="H143" s="196">
        <v>129.65</v>
      </c>
      <c r="I143" s="197">
        <v>1</v>
      </c>
      <c r="J143" s="198">
        <f t="shared" si="19"/>
        <v>40.435967161016947</v>
      </c>
    </row>
    <row r="144" spans="2:12" x14ac:dyDescent="0.2">
      <c r="B144" s="806"/>
      <c r="C144" s="192">
        <v>2023</v>
      </c>
      <c r="D144" s="199">
        <v>92.32</v>
      </c>
      <c r="E144" s="193">
        <v>44.74</v>
      </c>
      <c r="F144" s="194">
        <f t="shared" si="20"/>
        <v>6355.9322033898306</v>
      </c>
      <c r="G144" s="195" t="s">
        <v>248</v>
      </c>
      <c r="H144" s="196">
        <v>129.65</v>
      </c>
      <c r="I144" s="197">
        <v>1</v>
      </c>
      <c r="J144" s="198">
        <f t="shared" si="19"/>
        <v>39.208137711864403</v>
      </c>
    </row>
    <row r="145" spans="2:12" x14ac:dyDescent="0.2">
      <c r="B145" s="806"/>
      <c r="C145" s="192">
        <v>2024</v>
      </c>
      <c r="D145" s="199">
        <v>90.84</v>
      </c>
      <c r="E145" s="193">
        <v>44.74</v>
      </c>
      <c r="F145" s="194">
        <f t="shared" si="20"/>
        <v>6355.9322033898306</v>
      </c>
      <c r="G145" s="195" t="s">
        <v>248</v>
      </c>
      <c r="H145" s="196">
        <v>129.65</v>
      </c>
      <c r="I145" s="197">
        <v>1</v>
      </c>
      <c r="J145" s="198">
        <f t="shared" si="19"/>
        <v>37.988548728813562</v>
      </c>
    </row>
    <row r="146" spans="2:12" x14ac:dyDescent="0.2">
      <c r="B146" s="806"/>
      <c r="C146" s="192">
        <v>2025</v>
      </c>
      <c r="D146" s="199">
        <v>88.87</v>
      </c>
      <c r="E146" s="193">
        <v>44.74</v>
      </c>
      <c r="F146" s="194">
        <f t="shared" si="20"/>
        <v>6355.9322033898306</v>
      </c>
      <c r="G146" s="195" t="s">
        <v>248</v>
      </c>
      <c r="H146" s="196">
        <v>129.65</v>
      </c>
      <c r="I146" s="197">
        <v>1</v>
      </c>
      <c r="J146" s="198">
        <f t="shared" si="19"/>
        <v>36.365176906779659</v>
      </c>
    </row>
    <row r="147" spans="2:12" x14ac:dyDescent="0.2">
      <c r="B147" s="211"/>
      <c r="C147" s="224">
        <v>2026</v>
      </c>
      <c r="D147" s="199">
        <v>88.87</v>
      </c>
      <c r="E147" s="193">
        <v>44.74</v>
      </c>
      <c r="F147" s="194">
        <f t="shared" si="20"/>
        <v>6355.9322033898306</v>
      </c>
      <c r="G147" s="195" t="s">
        <v>248</v>
      </c>
      <c r="H147" s="196">
        <v>129.65</v>
      </c>
      <c r="I147" s="197">
        <v>1</v>
      </c>
      <c r="J147" s="198">
        <f t="shared" si="19"/>
        <v>36.365176906779659</v>
      </c>
    </row>
    <row r="148" spans="2:12" x14ac:dyDescent="0.2">
      <c r="B148" s="211"/>
      <c r="C148" s="224">
        <v>2027</v>
      </c>
      <c r="D148" s="199">
        <v>88.87</v>
      </c>
      <c r="E148" s="193">
        <v>44.74</v>
      </c>
      <c r="F148" s="194">
        <f t="shared" si="20"/>
        <v>6355.9322033898306</v>
      </c>
      <c r="G148" s="195" t="s">
        <v>248</v>
      </c>
      <c r="H148" s="196">
        <v>129.65</v>
      </c>
      <c r="I148" s="197">
        <v>1</v>
      </c>
      <c r="J148" s="198">
        <f t="shared" si="19"/>
        <v>36.365176906779659</v>
      </c>
    </row>
    <row r="149" spans="2:12" x14ac:dyDescent="0.2">
      <c r="B149" s="211"/>
      <c r="C149" s="224">
        <v>2028</v>
      </c>
      <c r="D149" s="199">
        <v>88.87</v>
      </c>
      <c r="E149" s="193">
        <v>44.74</v>
      </c>
      <c r="F149" s="194">
        <f t="shared" si="20"/>
        <v>6355.9322033898306</v>
      </c>
      <c r="G149" s="195" t="s">
        <v>248</v>
      </c>
      <c r="H149" s="196">
        <v>129.65</v>
      </c>
      <c r="I149" s="197">
        <v>1</v>
      </c>
      <c r="J149" s="198">
        <f t="shared" si="19"/>
        <v>36.365176906779659</v>
      </c>
    </row>
    <row r="150" spans="2:12" x14ac:dyDescent="0.2">
      <c r="B150" s="211"/>
      <c r="C150" s="224">
        <v>2029</v>
      </c>
      <c r="D150" s="199">
        <v>88.87</v>
      </c>
      <c r="E150" s="193">
        <v>44.74</v>
      </c>
      <c r="F150" s="194">
        <f t="shared" si="20"/>
        <v>6355.9322033898306</v>
      </c>
      <c r="G150" s="195" t="s">
        <v>248</v>
      </c>
      <c r="H150" s="196">
        <v>129.65</v>
      </c>
      <c r="I150" s="197">
        <v>1</v>
      </c>
      <c r="J150" s="198">
        <f t="shared" si="19"/>
        <v>36.365176906779659</v>
      </c>
    </row>
    <row r="151" spans="2:12" x14ac:dyDescent="0.2">
      <c r="B151" s="211"/>
      <c r="C151" s="224">
        <v>2030</v>
      </c>
      <c r="D151" s="199">
        <v>88.87</v>
      </c>
      <c r="E151" s="193">
        <v>44.74</v>
      </c>
      <c r="F151" s="194">
        <f t="shared" si="20"/>
        <v>6355.9322033898306</v>
      </c>
      <c r="G151" s="195" t="s">
        <v>248</v>
      </c>
      <c r="H151" s="196">
        <v>129.65</v>
      </c>
      <c r="I151" s="197">
        <v>1</v>
      </c>
      <c r="J151" s="198">
        <f t="shared" si="19"/>
        <v>36.365176906779659</v>
      </c>
    </row>
    <row r="152" spans="2:12" s="183" customFormat="1" x14ac:dyDescent="0.2">
      <c r="B152" s="211"/>
      <c r="C152" s="224">
        <v>2031</v>
      </c>
      <c r="D152" s="199">
        <v>88.87</v>
      </c>
      <c r="E152" s="193">
        <v>44.74</v>
      </c>
      <c r="F152" s="194">
        <f t="shared" si="20"/>
        <v>6355.9322033898306</v>
      </c>
      <c r="G152" s="195" t="s">
        <v>248</v>
      </c>
      <c r="H152" s="196">
        <v>129.65</v>
      </c>
      <c r="I152" s="197">
        <v>1</v>
      </c>
      <c r="J152" s="198">
        <f t="shared" si="19"/>
        <v>36.365176906779659</v>
      </c>
      <c r="K152" s="185"/>
      <c r="L152" s="201">
        <f>SUM(J141:J152)</f>
        <v>456.30756991525419</v>
      </c>
    </row>
    <row r="153" spans="2:12" s="248" customFormat="1" x14ac:dyDescent="0.2">
      <c r="B153" s="249"/>
      <c r="C153" s="250"/>
      <c r="D153" s="251"/>
      <c r="E153" s="250"/>
      <c r="F153" s="252"/>
      <c r="G153" s="253"/>
      <c r="H153" s="250"/>
      <c r="I153" s="254"/>
      <c r="J153" s="255"/>
      <c r="L153" s="256"/>
    </row>
    <row r="154" spans="2:12" x14ac:dyDescent="0.2">
      <c r="B154" s="806" t="s">
        <v>250</v>
      </c>
      <c r="C154" s="192">
        <v>2016</v>
      </c>
      <c r="D154" s="192">
        <v>99.39</v>
      </c>
      <c r="E154" s="210">
        <v>79.98</v>
      </c>
      <c r="F154" s="194">
        <f>'Default Data'!H10*1.25</f>
        <v>10053.619302949062</v>
      </c>
      <c r="G154" s="195" t="s">
        <v>251</v>
      </c>
      <c r="H154" s="196">
        <v>105.5</v>
      </c>
      <c r="I154" s="208">
        <v>0.9</v>
      </c>
      <c r="J154" s="198">
        <f>((D154-(E154/I154))*F154*H154*I154)/1000000</f>
        <v>10.045480898123317</v>
      </c>
      <c r="L154" s="209"/>
    </row>
    <row r="155" spans="2:12" x14ac:dyDescent="0.2">
      <c r="B155" s="806"/>
      <c r="C155" s="192">
        <v>2017</v>
      </c>
      <c r="D155" s="192">
        <v>99.14</v>
      </c>
      <c r="E155" s="210">
        <v>79.98</v>
      </c>
      <c r="F155" s="194">
        <f>F154</f>
        <v>10053.619302949062</v>
      </c>
      <c r="G155" s="195" t="s">
        <v>251</v>
      </c>
      <c r="H155" s="196">
        <v>105.5</v>
      </c>
      <c r="I155" s="208">
        <v>0.9</v>
      </c>
      <c r="J155" s="198">
        <f t="shared" ref="J155:J163" si="21">((D155-(E155/I155))*F155*H155*I155)/1000000</f>
        <v>9.8068331099195643</v>
      </c>
      <c r="L155" s="209"/>
    </row>
    <row r="156" spans="2:12" x14ac:dyDescent="0.2">
      <c r="B156" s="806"/>
      <c r="C156" s="192">
        <v>2018</v>
      </c>
      <c r="D156" s="192">
        <v>98.61</v>
      </c>
      <c r="E156" s="210">
        <v>79.98</v>
      </c>
      <c r="F156" s="194">
        <f t="shared" ref="F156:F169" si="22">F155</f>
        <v>10053.619302949062</v>
      </c>
      <c r="G156" s="195" t="s">
        <v>251</v>
      </c>
      <c r="H156" s="196">
        <v>105.5</v>
      </c>
      <c r="I156" s="208">
        <v>0.9</v>
      </c>
      <c r="J156" s="198">
        <f t="shared" si="21"/>
        <v>9.3008997989276079</v>
      </c>
      <c r="L156" s="209"/>
    </row>
    <row r="157" spans="2:12" x14ac:dyDescent="0.2">
      <c r="B157" s="806"/>
      <c r="C157" s="192">
        <v>2019</v>
      </c>
      <c r="D157" s="199">
        <v>97.26</v>
      </c>
      <c r="E157" s="210">
        <v>79.98</v>
      </c>
      <c r="F157" s="194">
        <f t="shared" si="22"/>
        <v>10053.619302949062</v>
      </c>
      <c r="G157" s="195" t="s">
        <v>251</v>
      </c>
      <c r="H157" s="196">
        <v>105.5</v>
      </c>
      <c r="I157" s="208">
        <v>0.9</v>
      </c>
      <c r="J157" s="198">
        <f t="shared" si="21"/>
        <v>8.0122017426273437</v>
      </c>
      <c r="L157" s="209"/>
    </row>
    <row r="158" spans="2:12" x14ac:dyDescent="0.2">
      <c r="B158" s="806"/>
      <c r="C158" s="192">
        <v>2020</v>
      </c>
      <c r="D158" s="199">
        <v>96.27</v>
      </c>
      <c r="E158" s="210">
        <v>79.98</v>
      </c>
      <c r="F158" s="194">
        <f t="shared" si="22"/>
        <v>10053.619302949062</v>
      </c>
      <c r="G158" s="195" t="s">
        <v>251</v>
      </c>
      <c r="H158" s="196">
        <v>105.5</v>
      </c>
      <c r="I158" s="208">
        <v>0.9</v>
      </c>
      <c r="J158" s="198">
        <f t="shared" si="21"/>
        <v>7.067156501340472</v>
      </c>
      <c r="L158" s="209"/>
    </row>
    <row r="159" spans="2:12" x14ac:dyDescent="0.2">
      <c r="B159" s="806"/>
      <c r="C159" s="192">
        <v>2021</v>
      </c>
      <c r="D159" s="199">
        <v>95.29</v>
      </c>
      <c r="E159" s="210">
        <v>79.98</v>
      </c>
      <c r="F159" s="194">
        <f t="shared" si="22"/>
        <v>10053.619302949062</v>
      </c>
      <c r="G159" s="195" t="s">
        <v>251</v>
      </c>
      <c r="H159" s="196">
        <v>105.5</v>
      </c>
      <c r="I159" s="208">
        <v>0.9</v>
      </c>
      <c r="J159" s="198">
        <f t="shared" si="21"/>
        <v>6.1316571715817689</v>
      </c>
      <c r="L159" s="209"/>
    </row>
    <row r="160" spans="2:12" x14ac:dyDescent="0.2">
      <c r="B160" s="806"/>
      <c r="C160" s="192">
        <v>2022</v>
      </c>
      <c r="D160" s="199">
        <v>93.81</v>
      </c>
      <c r="E160" s="210">
        <v>79.98</v>
      </c>
      <c r="F160" s="194">
        <f t="shared" si="22"/>
        <v>10053.619302949062</v>
      </c>
      <c r="G160" s="195" t="s">
        <v>251</v>
      </c>
      <c r="H160" s="196">
        <v>105.5</v>
      </c>
      <c r="I160" s="208">
        <v>0.9</v>
      </c>
      <c r="J160" s="198">
        <f t="shared" si="21"/>
        <v>4.7188622654155443</v>
      </c>
      <c r="L160" s="209"/>
    </row>
    <row r="161" spans="2:12" x14ac:dyDescent="0.2">
      <c r="B161" s="806"/>
      <c r="C161" s="192">
        <v>2023</v>
      </c>
      <c r="D161" s="199">
        <v>92.32</v>
      </c>
      <c r="E161" s="210">
        <v>79.98</v>
      </c>
      <c r="F161" s="194">
        <f t="shared" si="22"/>
        <v>10053.619302949062</v>
      </c>
      <c r="G161" s="195" t="s">
        <v>251</v>
      </c>
      <c r="H161" s="196">
        <v>105.5</v>
      </c>
      <c r="I161" s="208">
        <v>0.9</v>
      </c>
      <c r="J161" s="198">
        <f t="shared" si="21"/>
        <v>3.2965214477211662</v>
      </c>
      <c r="L161" s="209"/>
    </row>
    <row r="162" spans="2:12" x14ac:dyDescent="0.2">
      <c r="B162" s="806"/>
      <c r="C162" s="192">
        <v>2024</v>
      </c>
      <c r="D162" s="199">
        <v>90.84</v>
      </c>
      <c r="E162" s="210">
        <v>79.98</v>
      </c>
      <c r="F162" s="194">
        <f t="shared" si="22"/>
        <v>10053.619302949062</v>
      </c>
      <c r="G162" s="195" t="s">
        <v>251</v>
      </c>
      <c r="H162" s="196">
        <v>105.5</v>
      </c>
      <c r="I162" s="208">
        <v>0.9</v>
      </c>
      <c r="J162" s="198">
        <f t="shared" si="21"/>
        <v>1.883726541554956</v>
      </c>
      <c r="L162" s="209"/>
    </row>
    <row r="163" spans="2:12" x14ac:dyDescent="0.2">
      <c r="B163" s="806"/>
      <c r="C163" s="192">
        <v>2025</v>
      </c>
      <c r="D163" s="199">
        <v>88.87</v>
      </c>
      <c r="E163" s="210">
        <v>79.98</v>
      </c>
      <c r="F163" s="194">
        <f t="shared" si="22"/>
        <v>10053.619302949062</v>
      </c>
      <c r="G163" s="195" t="s">
        <v>251</v>
      </c>
      <c r="H163" s="196">
        <v>105.5</v>
      </c>
      <c r="I163" s="208">
        <v>0.9</v>
      </c>
      <c r="J163" s="198">
        <f t="shared" si="21"/>
        <v>3.1819705093804841E-3</v>
      </c>
      <c r="L163" s="209"/>
    </row>
    <row r="164" spans="2:12" x14ac:dyDescent="0.2">
      <c r="B164" s="211"/>
      <c r="C164" s="224">
        <v>2026</v>
      </c>
      <c r="D164" s="199">
        <v>88.87</v>
      </c>
      <c r="E164" s="210">
        <v>79.98</v>
      </c>
      <c r="F164" s="194">
        <f t="shared" si="22"/>
        <v>10053.619302949062</v>
      </c>
      <c r="G164" s="195" t="s">
        <v>251</v>
      </c>
      <c r="H164" s="196">
        <v>105.5</v>
      </c>
      <c r="I164" s="208">
        <v>0.9</v>
      </c>
      <c r="J164" s="198">
        <f t="shared" ref="J164:J169" si="23">((D164-(E164/I164))*F164*H164*I164)/1000000</f>
        <v>3.1819705093804841E-3</v>
      </c>
      <c r="L164" s="209"/>
    </row>
    <row r="165" spans="2:12" x14ac:dyDescent="0.2">
      <c r="B165" s="211"/>
      <c r="C165" s="224">
        <v>2027</v>
      </c>
      <c r="D165" s="199">
        <v>88.87</v>
      </c>
      <c r="E165" s="210">
        <v>79.98</v>
      </c>
      <c r="F165" s="194">
        <f t="shared" si="22"/>
        <v>10053.619302949062</v>
      </c>
      <c r="G165" s="195" t="s">
        <v>251</v>
      </c>
      <c r="H165" s="196">
        <v>105.5</v>
      </c>
      <c r="I165" s="208">
        <v>0.9</v>
      </c>
      <c r="J165" s="198">
        <f t="shared" si="23"/>
        <v>3.1819705093804841E-3</v>
      </c>
      <c r="L165" s="209"/>
    </row>
    <row r="166" spans="2:12" x14ac:dyDescent="0.2">
      <c r="B166" s="211"/>
      <c r="C166" s="224">
        <v>2028</v>
      </c>
      <c r="D166" s="199">
        <v>88.87</v>
      </c>
      <c r="E166" s="210">
        <v>79.98</v>
      </c>
      <c r="F166" s="194">
        <f t="shared" si="22"/>
        <v>10053.619302949062</v>
      </c>
      <c r="G166" s="195" t="s">
        <v>251</v>
      </c>
      <c r="H166" s="196">
        <v>105.5</v>
      </c>
      <c r="I166" s="208">
        <v>0.9</v>
      </c>
      <c r="J166" s="198">
        <f t="shared" si="23"/>
        <v>3.1819705093804841E-3</v>
      </c>
      <c r="L166" s="209"/>
    </row>
    <row r="167" spans="2:12" x14ac:dyDescent="0.2">
      <c r="B167" s="211"/>
      <c r="C167" s="224">
        <v>2029</v>
      </c>
      <c r="D167" s="199">
        <v>88.87</v>
      </c>
      <c r="E167" s="210">
        <v>79.98</v>
      </c>
      <c r="F167" s="194">
        <f t="shared" si="22"/>
        <v>10053.619302949062</v>
      </c>
      <c r="G167" s="195" t="s">
        <v>251</v>
      </c>
      <c r="H167" s="196">
        <v>105.5</v>
      </c>
      <c r="I167" s="208">
        <v>0.9</v>
      </c>
      <c r="J167" s="198">
        <f t="shared" si="23"/>
        <v>3.1819705093804841E-3</v>
      </c>
      <c r="L167" s="209"/>
    </row>
    <row r="168" spans="2:12" x14ac:dyDescent="0.2">
      <c r="B168" s="211"/>
      <c r="C168" s="224">
        <v>2030</v>
      </c>
      <c r="D168" s="199">
        <v>88.87</v>
      </c>
      <c r="E168" s="210">
        <v>79.98</v>
      </c>
      <c r="F168" s="194">
        <f t="shared" si="22"/>
        <v>10053.619302949062</v>
      </c>
      <c r="G168" s="195" t="s">
        <v>251</v>
      </c>
      <c r="H168" s="196">
        <v>105.5</v>
      </c>
      <c r="I168" s="208">
        <v>0.9</v>
      </c>
      <c r="J168" s="198">
        <f t="shared" si="23"/>
        <v>3.1819705093804841E-3</v>
      </c>
      <c r="L168" s="209"/>
    </row>
    <row r="169" spans="2:12" x14ac:dyDescent="0.2">
      <c r="B169" s="211"/>
      <c r="C169" s="224">
        <v>2031</v>
      </c>
      <c r="D169" s="199">
        <v>88.87</v>
      </c>
      <c r="E169" s="210">
        <v>79.98</v>
      </c>
      <c r="F169" s="194">
        <f t="shared" si="22"/>
        <v>10053.619302949062</v>
      </c>
      <c r="G169" s="195" t="s">
        <v>251</v>
      </c>
      <c r="H169" s="196">
        <v>105.5</v>
      </c>
      <c r="I169" s="208">
        <v>0.9</v>
      </c>
      <c r="J169" s="198">
        <f t="shared" si="23"/>
        <v>3.1819705093804841E-3</v>
      </c>
      <c r="K169" s="185"/>
      <c r="L169" s="201">
        <f>SUM(J158:J169)</f>
        <v>23.120197721179576</v>
      </c>
    </row>
    <row r="170" spans="2:12" s="183" customFormat="1" x14ac:dyDescent="0.2">
      <c r="F170" s="200"/>
      <c r="G170" s="184"/>
      <c r="J170" s="207"/>
    </row>
    <row r="171" spans="2:12" x14ac:dyDescent="0.2">
      <c r="B171" s="806" t="s">
        <v>252</v>
      </c>
      <c r="C171" s="192">
        <v>2016</v>
      </c>
      <c r="D171" s="192">
        <v>99.39</v>
      </c>
      <c r="E171" s="193">
        <v>44.74</v>
      </c>
      <c r="F171" s="194">
        <f>'Default Data'!H11*1.25</f>
        <v>10053.619302949062</v>
      </c>
      <c r="G171" s="195" t="s">
        <v>251</v>
      </c>
      <c r="H171" s="196">
        <v>105.5</v>
      </c>
      <c r="I171" s="208">
        <v>0.9</v>
      </c>
      <c r="J171" s="198">
        <f>((D171-(E171/I171))*F171*H171*I171)/1000000</f>
        <v>47.423027815013405</v>
      </c>
      <c r="L171" s="209"/>
    </row>
    <row r="172" spans="2:12" x14ac:dyDescent="0.2">
      <c r="B172" s="806"/>
      <c r="C172" s="192">
        <v>2017</v>
      </c>
      <c r="D172" s="192">
        <v>99.14</v>
      </c>
      <c r="E172" s="193">
        <v>44.74</v>
      </c>
      <c r="F172" s="194">
        <f>F171</f>
        <v>10053.619302949062</v>
      </c>
      <c r="G172" s="195" t="s">
        <v>251</v>
      </c>
      <c r="H172" s="196">
        <v>105.5</v>
      </c>
      <c r="I172" s="208">
        <v>0.9</v>
      </c>
      <c r="J172" s="198">
        <f t="shared" ref="J172:J180" si="24">((D172-(E172/I172))*F172*H172*I172)/1000000</f>
        <v>47.184380026809656</v>
      </c>
      <c r="L172" s="209"/>
    </row>
    <row r="173" spans="2:12" x14ac:dyDescent="0.2">
      <c r="B173" s="806"/>
      <c r="C173" s="192">
        <v>2018</v>
      </c>
      <c r="D173" s="192">
        <v>98.61</v>
      </c>
      <c r="E173" s="193">
        <v>44.74</v>
      </c>
      <c r="F173" s="194">
        <f t="shared" ref="F173:F185" si="25">F172</f>
        <v>10053.619302949062</v>
      </c>
      <c r="G173" s="195" t="s">
        <v>251</v>
      </c>
      <c r="H173" s="196">
        <v>105.5</v>
      </c>
      <c r="I173" s="208">
        <v>0.9</v>
      </c>
      <c r="J173" s="198">
        <f t="shared" si="24"/>
        <v>46.678446715817699</v>
      </c>
      <c r="L173" s="209"/>
    </row>
    <row r="174" spans="2:12" x14ac:dyDescent="0.2">
      <c r="B174" s="806"/>
      <c r="C174" s="192">
        <v>2019</v>
      </c>
      <c r="D174" s="199">
        <v>97.26</v>
      </c>
      <c r="E174" s="193">
        <v>44.74</v>
      </c>
      <c r="F174" s="194">
        <f t="shared" si="25"/>
        <v>10053.619302949062</v>
      </c>
      <c r="G174" s="195" t="s">
        <v>251</v>
      </c>
      <c r="H174" s="196">
        <v>105.5</v>
      </c>
      <c r="I174" s="208">
        <v>0.9</v>
      </c>
      <c r="J174" s="198">
        <f t="shared" si="24"/>
        <v>45.389748659517437</v>
      </c>
      <c r="L174" s="209"/>
    </row>
    <row r="175" spans="2:12" x14ac:dyDescent="0.2">
      <c r="B175" s="806"/>
      <c r="C175" s="192">
        <v>2020</v>
      </c>
      <c r="D175" s="199">
        <v>96.27</v>
      </c>
      <c r="E175" s="193">
        <v>44.74</v>
      </c>
      <c r="F175" s="194">
        <f t="shared" si="25"/>
        <v>10053.619302949062</v>
      </c>
      <c r="G175" s="195" t="s">
        <v>251</v>
      </c>
      <c r="H175" s="196">
        <v>105.5</v>
      </c>
      <c r="I175" s="208">
        <v>0.9</v>
      </c>
      <c r="J175" s="198">
        <f t="shared" si="24"/>
        <v>44.44470341823056</v>
      </c>
      <c r="L175" s="209"/>
    </row>
    <row r="176" spans="2:12" x14ac:dyDescent="0.2">
      <c r="B176" s="806"/>
      <c r="C176" s="192">
        <v>2021</v>
      </c>
      <c r="D176" s="199">
        <v>95.29</v>
      </c>
      <c r="E176" s="193">
        <v>44.74</v>
      </c>
      <c r="F176" s="194">
        <f t="shared" si="25"/>
        <v>10053.619302949062</v>
      </c>
      <c r="G176" s="195" t="s">
        <v>251</v>
      </c>
      <c r="H176" s="196">
        <v>105.5</v>
      </c>
      <c r="I176" s="208">
        <v>0.9</v>
      </c>
      <c r="J176" s="198">
        <f t="shared" si="24"/>
        <v>43.509204088471861</v>
      </c>
      <c r="L176" s="209"/>
    </row>
    <row r="177" spans="2:12" x14ac:dyDescent="0.2">
      <c r="B177" s="806"/>
      <c r="C177" s="192">
        <v>2022</v>
      </c>
      <c r="D177" s="199">
        <v>93.81</v>
      </c>
      <c r="E177" s="193">
        <v>44.74</v>
      </c>
      <c r="F177" s="194">
        <f t="shared" si="25"/>
        <v>10053.619302949062</v>
      </c>
      <c r="G177" s="195" t="s">
        <v>251</v>
      </c>
      <c r="H177" s="196">
        <v>105.5</v>
      </c>
      <c r="I177" s="208">
        <v>0.9</v>
      </c>
      <c r="J177" s="198">
        <f t="shared" si="24"/>
        <v>42.096409182305635</v>
      </c>
      <c r="L177" s="209"/>
    </row>
    <row r="178" spans="2:12" x14ac:dyDescent="0.2">
      <c r="B178" s="806"/>
      <c r="C178" s="192">
        <v>2023</v>
      </c>
      <c r="D178" s="199">
        <v>92.32</v>
      </c>
      <c r="E178" s="193">
        <v>44.74</v>
      </c>
      <c r="F178" s="194">
        <f t="shared" si="25"/>
        <v>10053.619302949062</v>
      </c>
      <c r="G178" s="195" t="s">
        <v>251</v>
      </c>
      <c r="H178" s="196">
        <v>105.5</v>
      </c>
      <c r="I178" s="208">
        <v>0.9</v>
      </c>
      <c r="J178" s="198">
        <f t="shared" si="24"/>
        <v>40.674068364611259</v>
      </c>
      <c r="L178" s="209"/>
    </row>
    <row r="179" spans="2:12" x14ac:dyDescent="0.2">
      <c r="B179" s="806"/>
      <c r="C179" s="192">
        <v>2024</v>
      </c>
      <c r="D179" s="199">
        <v>90.84</v>
      </c>
      <c r="E179" s="193">
        <v>44.74</v>
      </c>
      <c r="F179" s="194">
        <f t="shared" si="25"/>
        <v>10053.619302949062</v>
      </c>
      <c r="G179" s="195" t="s">
        <v>251</v>
      </c>
      <c r="H179" s="196">
        <v>105.5</v>
      </c>
      <c r="I179" s="208">
        <v>0.9</v>
      </c>
      <c r="J179" s="198">
        <f t="shared" si="24"/>
        <v>39.261273458445046</v>
      </c>
      <c r="L179" s="209"/>
    </row>
    <row r="180" spans="2:12" x14ac:dyDescent="0.2">
      <c r="B180" s="806"/>
      <c r="C180" s="192">
        <v>2025</v>
      </c>
      <c r="D180" s="199">
        <v>88.87</v>
      </c>
      <c r="E180" s="193">
        <v>44.74</v>
      </c>
      <c r="F180" s="194">
        <f t="shared" si="25"/>
        <v>10053.619302949062</v>
      </c>
      <c r="G180" s="195" t="s">
        <v>251</v>
      </c>
      <c r="H180" s="196">
        <v>105.5</v>
      </c>
      <c r="I180" s="208">
        <v>0.9</v>
      </c>
      <c r="J180" s="198">
        <f t="shared" si="24"/>
        <v>37.380728887399471</v>
      </c>
      <c r="L180" s="209"/>
    </row>
    <row r="181" spans="2:12" x14ac:dyDescent="0.2">
      <c r="B181" s="211"/>
      <c r="C181" s="224">
        <v>2026</v>
      </c>
      <c r="D181" s="199">
        <v>88.87</v>
      </c>
      <c r="E181" s="193">
        <v>44.74</v>
      </c>
      <c r="F181" s="194">
        <f t="shared" si="25"/>
        <v>10053.619302949062</v>
      </c>
      <c r="G181" s="195" t="s">
        <v>251</v>
      </c>
      <c r="H181" s="196">
        <v>105.5</v>
      </c>
      <c r="I181" s="208">
        <v>0.9</v>
      </c>
      <c r="J181" s="198">
        <f t="shared" ref="J181:J186" si="26">((D181-(E181/I181))*F181*H181*I181)/1000000</f>
        <v>37.380728887399471</v>
      </c>
      <c r="L181" s="209"/>
    </row>
    <row r="182" spans="2:12" x14ac:dyDescent="0.2">
      <c r="B182" s="211"/>
      <c r="C182" s="224">
        <v>2027</v>
      </c>
      <c r="D182" s="199">
        <v>88.87</v>
      </c>
      <c r="E182" s="193">
        <v>44.74</v>
      </c>
      <c r="F182" s="194">
        <f t="shared" si="25"/>
        <v>10053.619302949062</v>
      </c>
      <c r="G182" s="195" t="s">
        <v>251</v>
      </c>
      <c r="H182" s="196">
        <v>105.5</v>
      </c>
      <c r="I182" s="208">
        <v>0.9</v>
      </c>
      <c r="J182" s="198">
        <f t="shared" si="26"/>
        <v>37.380728887399471</v>
      </c>
      <c r="L182" s="209"/>
    </row>
    <row r="183" spans="2:12" x14ac:dyDescent="0.2">
      <c r="B183" s="211"/>
      <c r="C183" s="224">
        <v>2028</v>
      </c>
      <c r="D183" s="199">
        <v>88.87</v>
      </c>
      <c r="E183" s="193">
        <v>44.74</v>
      </c>
      <c r="F183" s="194">
        <f t="shared" si="25"/>
        <v>10053.619302949062</v>
      </c>
      <c r="G183" s="195" t="s">
        <v>251</v>
      </c>
      <c r="H183" s="196">
        <v>105.5</v>
      </c>
      <c r="I183" s="208">
        <v>0.9</v>
      </c>
      <c r="J183" s="198">
        <f t="shared" si="26"/>
        <v>37.380728887399471</v>
      </c>
      <c r="L183" s="209"/>
    </row>
    <row r="184" spans="2:12" x14ac:dyDescent="0.2">
      <c r="B184" s="211"/>
      <c r="C184" s="224">
        <v>2029</v>
      </c>
      <c r="D184" s="199">
        <v>88.87</v>
      </c>
      <c r="E184" s="193">
        <v>44.74</v>
      </c>
      <c r="F184" s="194">
        <f t="shared" si="25"/>
        <v>10053.619302949062</v>
      </c>
      <c r="G184" s="195" t="s">
        <v>251</v>
      </c>
      <c r="H184" s="196">
        <v>105.5</v>
      </c>
      <c r="I184" s="208">
        <v>0.9</v>
      </c>
      <c r="J184" s="198">
        <f t="shared" si="26"/>
        <v>37.380728887399471</v>
      </c>
      <c r="L184" s="209"/>
    </row>
    <row r="185" spans="2:12" x14ac:dyDescent="0.2">
      <c r="B185" s="211"/>
      <c r="C185" s="224">
        <v>2030</v>
      </c>
      <c r="D185" s="199">
        <v>88.87</v>
      </c>
      <c r="E185" s="193">
        <v>44.74</v>
      </c>
      <c r="F185" s="194">
        <f t="shared" si="25"/>
        <v>10053.619302949062</v>
      </c>
      <c r="G185" s="195" t="s">
        <v>251</v>
      </c>
      <c r="H185" s="196">
        <v>105.5</v>
      </c>
      <c r="I185" s="208">
        <v>0.9</v>
      </c>
      <c r="J185" s="198">
        <f t="shared" si="26"/>
        <v>37.380728887399471</v>
      </c>
      <c r="L185" s="209"/>
    </row>
    <row r="186" spans="2:12" x14ac:dyDescent="0.2">
      <c r="B186" s="211"/>
      <c r="C186" s="224">
        <v>2031</v>
      </c>
      <c r="D186" s="199">
        <v>88.87</v>
      </c>
      <c r="E186" s="193">
        <v>44.74</v>
      </c>
      <c r="F186" s="194">
        <f>F185</f>
        <v>10053.619302949062</v>
      </c>
      <c r="G186" s="195" t="s">
        <v>251</v>
      </c>
      <c r="H186" s="196">
        <v>105.5</v>
      </c>
      <c r="I186" s="208">
        <v>0.9</v>
      </c>
      <c r="J186" s="198">
        <f t="shared" si="26"/>
        <v>37.380728887399471</v>
      </c>
      <c r="K186" s="185"/>
      <c r="L186" s="201">
        <f>SUM(J175:J186)</f>
        <v>471.65076072386069</v>
      </c>
    </row>
    <row r="187" spans="2:12" s="183" customFormat="1" x14ac:dyDescent="0.2">
      <c r="F187" s="200"/>
      <c r="G187" s="184"/>
      <c r="J187" s="207"/>
    </row>
    <row r="188" spans="2:12" s="225" customFormat="1" x14ac:dyDescent="0.2">
      <c r="B188" s="813" t="s">
        <v>253</v>
      </c>
      <c r="C188" s="226">
        <v>2016</v>
      </c>
      <c r="D188" s="226">
        <v>98.37</v>
      </c>
      <c r="E188" s="226">
        <v>83.05</v>
      </c>
      <c r="F188" s="227">
        <v>100000</v>
      </c>
      <c r="G188" s="228" t="s">
        <v>248</v>
      </c>
      <c r="H188" s="235">
        <v>96.5</v>
      </c>
      <c r="I188" s="229">
        <v>1</v>
      </c>
      <c r="J188" s="230">
        <f>((D188-(E188/I188))*F188*H188*I188)/1000000</f>
        <v>147.83800000000005</v>
      </c>
      <c r="L188" s="236"/>
    </row>
    <row r="189" spans="2:12" s="225" customFormat="1" x14ac:dyDescent="0.2">
      <c r="B189" s="813"/>
      <c r="C189" s="226">
        <v>2017</v>
      </c>
      <c r="D189" s="226">
        <v>98.13</v>
      </c>
      <c r="E189" s="226">
        <v>83.05</v>
      </c>
      <c r="F189" s="227">
        <v>100000</v>
      </c>
      <c r="G189" s="228" t="s">
        <v>248</v>
      </c>
      <c r="H189" s="235">
        <v>96.5</v>
      </c>
      <c r="I189" s="229">
        <v>1</v>
      </c>
      <c r="J189" s="230">
        <f t="shared" ref="J189:J197" si="27">((D189-(E189/I189))*F189*H189*I189)/1000000</f>
        <v>145.52199999999996</v>
      </c>
    </row>
    <row r="190" spans="2:12" s="225" customFormat="1" x14ac:dyDescent="0.2">
      <c r="B190" s="813"/>
      <c r="C190" s="226">
        <v>2018</v>
      </c>
      <c r="D190" s="226">
        <v>97.66</v>
      </c>
      <c r="E190" s="226">
        <v>83.05</v>
      </c>
      <c r="F190" s="227">
        <v>100000</v>
      </c>
      <c r="G190" s="228" t="s">
        <v>248</v>
      </c>
      <c r="H190" s="235">
        <v>96.5</v>
      </c>
      <c r="I190" s="229">
        <v>1</v>
      </c>
      <c r="J190" s="230">
        <f t="shared" si="27"/>
        <v>140.98650000000001</v>
      </c>
    </row>
    <row r="191" spans="2:12" s="225" customFormat="1" x14ac:dyDescent="0.2">
      <c r="B191" s="813"/>
      <c r="C191" s="226">
        <v>2019</v>
      </c>
      <c r="D191" s="231">
        <v>96.59</v>
      </c>
      <c r="E191" s="231">
        <v>80.88</v>
      </c>
      <c r="F191" s="227">
        <v>100000</v>
      </c>
      <c r="G191" s="228" t="s">
        <v>248</v>
      </c>
      <c r="H191" s="235">
        <v>96.5</v>
      </c>
      <c r="I191" s="229">
        <v>1</v>
      </c>
      <c r="J191" s="230">
        <f t="shared" si="27"/>
        <v>151.60150000000007</v>
      </c>
    </row>
    <row r="192" spans="2:12" s="225" customFormat="1" x14ac:dyDescent="0.2">
      <c r="B192" s="813"/>
      <c r="C192" s="226">
        <v>2020</v>
      </c>
      <c r="D192" s="231">
        <v>95.61</v>
      </c>
      <c r="E192" s="231">
        <v>80.88</v>
      </c>
      <c r="F192" s="227">
        <v>100000</v>
      </c>
      <c r="G192" s="228" t="s">
        <v>248</v>
      </c>
      <c r="H192" s="235">
        <v>96.5</v>
      </c>
      <c r="I192" s="229">
        <v>1</v>
      </c>
      <c r="J192" s="230">
        <f t="shared" si="27"/>
        <v>142.14450000000005</v>
      </c>
    </row>
    <row r="193" spans="2:12" s="225" customFormat="1" x14ac:dyDescent="0.2">
      <c r="B193" s="813"/>
      <c r="C193" s="226">
        <v>2021</v>
      </c>
      <c r="D193" s="231">
        <v>94.63</v>
      </c>
      <c r="E193" s="231">
        <v>80.88</v>
      </c>
      <c r="F193" s="227">
        <v>100000</v>
      </c>
      <c r="G193" s="228" t="s">
        <v>248</v>
      </c>
      <c r="H193" s="235">
        <v>96.5</v>
      </c>
      <c r="I193" s="229">
        <v>1</v>
      </c>
      <c r="J193" s="230">
        <f t="shared" si="27"/>
        <v>132.6875</v>
      </c>
    </row>
    <row r="194" spans="2:12" s="225" customFormat="1" x14ac:dyDescent="0.2">
      <c r="B194" s="813"/>
      <c r="C194" s="226">
        <v>2022</v>
      </c>
      <c r="D194" s="231">
        <v>93.15</v>
      </c>
      <c r="E194" s="231">
        <v>80.88</v>
      </c>
      <c r="F194" s="227">
        <v>100000</v>
      </c>
      <c r="G194" s="228" t="s">
        <v>248</v>
      </c>
      <c r="H194" s="235">
        <v>96.5</v>
      </c>
      <c r="I194" s="229">
        <v>1</v>
      </c>
      <c r="J194" s="230">
        <f t="shared" si="27"/>
        <v>118.40550000000009</v>
      </c>
    </row>
    <row r="195" spans="2:12" s="225" customFormat="1" x14ac:dyDescent="0.2">
      <c r="B195" s="813"/>
      <c r="C195" s="226">
        <v>2023</v>
      </c>
      <c r="D195" s="231">
        <v>91.68</v>
      </c>
      <c r="E195" s="231">
        <v>80.88</v>
      </c>
      <c r="F195" s="227">
        <v>100000</v>
      </c>
      <c r="G195" s="228" t="s">
        <v>248</v>
      </c>
      <c r="H195" s="235">
        <v>96.5</v>
      </c>
      <c r="I195" s="229">
        <v>1</v>
      </c>
      <c r="J195" s="230">
        <f t="shared" si="27"/>
        <v>104.22000000000011</v>
      </c>
    </row>
    <row r="196" spans="2:12" s="225" customFormat="1" x14ac:dyDescent="0.2">
      <c r="B196" s="813"/>
      <c r="C196" s="226">
        <v>2024</v>
      </c>
      <c r="D196" s="231">
        <v>90.21</v>
      </c>
      <c r="E196" s="231">
        <v>80.88</v>
      </c>
      <c r="F196" s="227">
        <v>100000</v>
      </c>
      <c r="G196" s="228" t="s">
        <v>248</v>
      </c>
      <c r="H196" s="235">
        <v>96.5</v>
      </c>
      <c r="I196" s="229">
        <v>1</v>
      </c>
      <c r="J196" s="230">
        <f t="shared" si="27"/>
        <v>90.03449999999998</v>
      </c>
    </row>
    <row r="197" spans="2:12" s="225" customFormat="1" x14ac:dyDescent="0.2">
      <c r="B197" s="813"/>
      <c r="C197" s="226">
        <v>2025</v>
      </c>
      <c r="D197" s="231">
        <v>88.25</v>
      </c>
      <c r="E197" s="231">
        <v>80.88</v>
      </c>
      <c r="F197" s="227">
        <v>100000</v>
      </c>
      <c r="G197" s="228" t="s">
        <v>248</v>
      </c>
      <c r="H197" s="235">
        <v>96.5</v>
      </c>
      <c r="I197" s="229">
        <v>1</v>
      </c>
      <c r="J197" s="230">
        <f t="shared" si="27"/>
        <v>71.12050000000005</v>
      </c>
    </row>
    <row r="198" spans="2:12" s="225" customFormat="1" ht="15" x14ac:dyDescent="0.25">
      <c r="B198" s="237"/>
      <c r="C198" s="237"/>
      <c r="D198" s="237"/>
      <c r="E198" s="237"/>
      <c r="F198" s="237"/>
      <c r="G198" s="237"/>
      <c r="H198" s="237"/>
      <c r="I198" s="237"/>
      <c r="J198" s="237"/>
    </row>
    <row r="199" spans="2:12" s="225" customFormat="1" x14ac:dyDescent="0.2">
      <c r="B199" s="813" t="s">
        <v>254</v>
      </c>
      <c r="C199" s="226">
        <v>2016</v>
      </c>
      <c r="D199" s="226"/>
      <c r="E199" s="226"/>
      <c r="F199" s="227"/>
      <c r="G199" s="228"/>
      <c r="H199" s="235"/>
      <c r="I199" s="229"/>
      <c r="J199" s="238"/>
      <c r="L199" s="236"/>
    </row>
    <row r="200" spans="2:12" s="225" customFormat="1" x14ac:dyDescent="0.2">
      <c r="B200" s="813"/>
      <c r="C200" s="226">
        <v>2017</v>
      </c>
      <c r="D200" s="226"/>
      <c r="E200" s="226"/>
      <c r="F200" s="227"/>
      <c r="G200" s="228"/>
      <c r="H200" s="235"/>
      <c r="I200" s="229"/>
      <c r="J200" s="238"/>
    </row>
    <row r="201" spans="2:12" s="225" customFormat="1" x14ac:dyDescent="0.2">
      <c r="B201" s="813"/>
      <c r="C201" s="226">
        <v>2018</v>
      </c>
      <c r="D201" s="231"/>
      <c r="E201" s="226"/>
      <c r="F201" s="227"/>
      <c r="G201" s="228"/>
      <c r="H201" s="235"/>
      <c r="I201" s="229"/>
      <c r="J201" s="238"/>
    </row>
    <row r="202" spans="2:12" s="225" customFormat="1" x14ac:dyDescent="0.2">
      <c r="B202" s="813"/>
      <c r="C202" s="226">
        <v>2019</v>
      </c>
      <c r="D202" s="239">
        <v>90.8</v>
      </c>
      <c r="E202" s="226">
        <v>45</v>
      </c>
      <c r="F202" s="227">
        <v>100000</v>
      </c>
      <c r="G202" s="228" t="s">
        <v>248</v>
      </c>
      <c r="H202" s="235">
        <v>126.37</v>
      </c>
      <c r="I202" s="229">
        <v>1</v>
      </c>
      <c r="J202" s="230">
        <f t="shared" ref="J202:J208" si="28">((D202-(E202/I202))*F202*H202*I202)/1000000</f>
        <v>578.77459999999996</v>
      </c>
    </row>
    <row r="203" spans="2:12" s="225" customFormat="1" x14ac:dyDescent="0.2">
      <c r="B203" s="813"/>
      <c r="C203" s="226">
        <v>2020</v>
      </c>
      <c r="D203" s="239">
        <v>90.8</v>
      </c>
      <c r="E203" s="226">
        <v>45</v>
      </c>
      <c r="F203" s="227">
        <v>100000</v>
      </c>
      <c r="G203" s="228" t="s">
        <v>248</v>
      </c>
      <c r="H203" s="235">
        <v>126.37</v>
      </c>
      <c r="I203" s="229">
        <v>1</v>
      </c>
      <c r="J203" s="230">
        <f t="shared" si="28"/>
        <v>578.77459999999996</v>
      </c>
    </row>
    <row r="204" spans="2:12" s="225" customFormat="1" x14ac:dyDescent="0.2">
      <c r="B204" s="813"/>
      <c r="C204" s="226">
        <v>2021</v>
      </c>
      <c r="D204" s="239">
        <v>90.8</v>
      </c>
      <c r="E204" s="226">
        <v>45</v>
      </c>
      <c r="F204" s="227">
        <v>100000</v>
      </c>
      <c r="G204" s="228" t="s">
        <v>248</v>
      </c>
      <c r="H204" s="235">
        <v>126.37</v>
      </c>
      <c r="I204" s="229">
        <v>1</v>
      </c>
      <c r="J204" s="230">
        <f t="shared" si="28"/>
        <v>578.77459999999996</v>
      </c>
    </row>
    <row r="205" spans="2:12" s="225" customFormat="1" x14ac:dyDescent="0.2">
      <c r="B205" s="813"/>
      <c r="C205" s="226">
        <v>2022</v>
      </c>
      <c r="D205" s="239">
        <v>90.8</v>
      </c>
      <c r="E205" s="226">
        <v>45</v>
      </c>
      <c r="F205" s="227">
        <v>100000</v>
      </c>
      <c r="G205" s="228" t="s">
        <v>248</v>
      </c>
      <c r="H205" s="235">
        <v>126.37</v>
      </c>
      <c r="I205" s="229">
        <v>1</v>
      </c>
      <c r="J205" s="230">
        <f t="shared" si="28"/>
        <v>578.77459999999996</v>
      </c>
    </row>
    <row r="206" spans="2:12" s="225" customFormat="1" x14ac:dyDescent="0.2">
      <c r="B206" s="813"/>
      <c r="C206" s="226">
        <v>2023</v>
      </c>
      <c r="D206" s="239">
        <v>90.8</v>
      </c>
      <c r="E206" s="226">
        <v>45</v>
      </c>
      <c r="F206" s="227">
        <v>100000</v>
      </c>
      <c r="G206" s="228" t="s">
        <v>248</v>
      </c>
      <c r="H206" s="235">
        <v>126.37</v>
      </c>
      <c r="I206" s="229">
        <v>1</v>
      </c>
      <c r="J206" s="230">
        <f t="shared" si="28"/>
        <v>578.77459999999996</v>
      </c>
    </row>
    <row r="207" spans="2:12" s="225" customFormat="1" x14ac:dyDescent="0.2">
      <c r="B207" s="813"/>
      <c r="C207" s="226">
        <v>2024</v>
      </c>
      <c r="D207" s="239">
        <v>90.8</v>
      </c>
      <c r="E207" s="226">
        <v>45</v>
      </c>
      <c r="F207" s="227">
        <v>100000</v>
      </c>
      <c r="G207" s="228" t="s">
        <v>248</v>
      </c>
      <c r="H207" s="235">
        <v>126.37</v>
      </c>
      <c r="I207" s="229">
        <v>1</v>
      </c>
      <c r="J207" s="230">
        <f t="shared" si="28"/>
        <v>578.77459999999996</v>
      </c>
    </row>
    <row r="208" spans="2:12" s="225" customFormat="1" x14ac:dyDescent="0.2">
      <c r="B208" s="813"/>
      <c r="C208" s="226">
        <v>2025</v>
      </c>
      <c r="D208" s="231">
        <v>88.87</v>
      </c>
      <c r="E208" s="226">
        <v>45</v>
      </c>
      <c r="F208" s="227">
        <v>100000</v>
      </c>
      <c r="G208" s="228" t="s">
        <v>248</v>
      </c>
      <c r="H208" s="235">
        <v>126.37</v>
      </c>
      <c r="I208" s="229">
        <v>1</v>
      </c>
      <c r="J208" s="230">
        <f t="shared" si="28"/>
        <v>554.38518999999997</v>
      </c>
    </row>
    <row r="209" spans="2:13" s="225" customFormat="1" x14ac:dyDescent="0.2">
      <c r="B209" s="240"/>
      <c r="C209" s="241"/>
      <c r="D209" s="242"/>
      <c r="E209" s="241"/>
      <c r="F209" s="243"/>
      <c r="G209" s="244"/>
      <c r="H209" s="245"/>
      <c r="I209" s="246"/>
      <c r="J209" s="247"/>
    </row>
    <row r="210" spans="2:13" s="225" customFormat="1" x14ac:dyDescent="0.2">
      <c r="B210" s="813" t="s">
        <v>255</v>
      </c>
      <c r="C210" s="226">
        <v>2016</v>
      </c>
      <c r="D210" s="226">
        <v>98.37</v>
      </c>
      <c r="E210" s="226">
        <v>120.68</v>
      </c>
      <c r="F210" s="227">
        <v>10000</v>
      </c>
      <c r="G210" s="228" t="s">
        <v>256</v>
      </c>
      <c r="H210" s="235">
        <v>120</v>
      </c>
      <c r="I210" s="229">
        <v>2.5</v>
      </c>
      <c r="J210" s="230">
        <f>((D210-(E210/I210))*F210*H210*I210)/1000000</f>
        <v>150.29400000000001</v>
      </c>
      <c r="L210" s="236"/>
    </row>
    <row r="211" spans="2:13" s="225" customFormat="1" x14ac:dyDescent="0.2">
      <c r="B211" s="813"/>
      <c r="C211" s="226">
        <v>2017</v>
      </c>
      <c r="D211" s="226">
        <v>98.13</v>
      </c>
      <c r="E211" s="226">
        <v>120.68</v>
      </c>
      <c r="F211" s="227">
        <v>10000</v>
      </c>
      <c r="G211" s="228" t="s">
        <v>256</v>
      </c>
      <c r="H211" s="235">
        <v>120</v>
      </c>
      <c r="I211" s="229">
        <v>2.5</v>
      </c>
      <c r="J211" s="230">
        <f t="shared" ref="J211:J219" si="29">((D211-(E211/I211))*F211*H211*I211)/1000000</f>
        <v>149.57399999999998</v>
      </c>
    </row>
    <row r="212" spans="2:13" s="225" customFormat="1" x14ac:dyDescent="0.2">
      <c r="B212" s="813"/>
      <c r="C212" s="226">
        <v>2018</v>
      </c>
      <c r="D212" s="226">
        <v>97.66</v>
      </c>
      <c r="E212" s="226">
        <v>120.68</v>
      </c>
      <c r="F212" s="227">
        <v>10000</v>
      </c>
      <c r="G212" s="228" t="s">
        <v>256</v>
      </c>
      <c r="H212" s="235">
        <v>120</v>
      </c>
      <c r="I212" s="229">
        <v>2.5</v>
      </c>
      <c r="J212" s="230">
        <f t="shared" si="29"/>
        <v>148.16399999999996</v>
      </c>
    </row>
    <row r="213" spans="2:13" s="225" customFormat="1" x14ac:dyDescent="0.2">
      <c r="B213" s="813"/>
      <c r="C213" s="226">
        <v>2019</v>
      </c>
      <c r="D213" s="231">
        <v>96.59</v>
      </c>
      <c r="E213" s="226">
        <v>120.68</v>
      </c>
      <c r="F213" s="227">
        <v>10000</v>
      </c>
      <c r="G213" s="228" t="s">
        <v>256</v>
      </c>
      <c r="H213" s="235">
        <v>120</v>
      </c>
      <c r="I213" s="229">
        <v>2.5</v>
      </c>
      <c r="J213" s="230">
        <f t="shared" si="29"/>
        <v>144.95400000000001</v>
      </c>
    </row>
    <row r="214" spans="2:13" s="225" customFormat="1" x14ac:dyDescent="0.2">
      <c r="B214" s="813"/>
      <c r="C214" s="226">
        <v>2020</v>
      </c>
      <c r="D214" s="231">
        <v>95.61</v>
      </c>
      <c r="E214" s="226">
        <v>120.68</v>
      </c>
      <c r="F214" s="227">
        <v>10000</v>
      </c>
      <c r="G214" s="228" t="s">
        <v>256</v>
      </c>
      <c r="H214" s="235">
        <v>120</v>
      </c>
      <c r="I214" s="229">
        <v>2.5</v>
      </c>
      <c r="J214" s="230">
        <f t="shared" si="29"/>
        <v>142.01399999999998</v>
      </c>
    </row>
    <row r="215" spans="2:13" s="225" customFormat="1" x14ac:dyDescent="0.2">
      <c r="B215" s="813"/>
      <c r="C215" s="226">
        <v>2021</v>
      </c>
      <c r="D215" s="231">
        <v>94.63</v>
      </c>
      <c r="E215" s="226">
        <v>120.68</v>
      </c>
      <c r="F215" s="227">
        <v>10000</v>
      </c>
      <c r="G215" s="228" t="s">
        <v>256</v>
      </c>
      <c r="H215" s="235">
        <v>120</v>
      </c>
      <c r="I215" s="229">
        <v>2.5</v>
      </c>
      <c r="J215" s="230">
        <f t="shared" si="29"/>
        <v>139.07399999999998</v>
      </c>
    </row>
    <row r="216" spans="2:13" s="225" customFormat="1" x14ac:dyDescent="0.2">
      <c r="B216" s="813"/>
      <c r="C216" s="226">
        <v>2022</v>
      </c>
      <c r="D216" s="231">
        <v>93.15</v>
      </c>
      <c r="E216" s="226">
        <v>120.68</v>
      </c>
      <c r="F216" s="227">
        <v>10000</v>
      </c>
      <c r="G216" s="228" t="s">
        <v>256</v>
      </c>
      <c r="H216" s="235">
        <v>120</v>
      </c>
      <c r="I216" s="229">
        <v>2.5</v>
      </c>
      <c r="J216" s="230">
        <f t="shared" si="29"/>
        <v>134.63399999999999</v>
      </c>
    </row>
    <row r="217" spans="2:13" s="225" customFormat="1" x14ac:dyDescent="0.2">
      <c r="B217" s="813"/>
      <c r="C217" s="226">
        <v>2023</v>
      </c>
      <c r="D217" s="231">
        <v>91.68</v>
      </c>
      <c r="E217" s="226">
        <v>120.68</v>
      </c>
      <c r="F217" s="227">
        <v>10000</v>
      </c>
      <c r="G217" s="228" t="s">
        <v>256</v>
      </c>
      <c r="H217" s="235">
        <v>120</v>
      </c>
      <c r="I217" s="229">
        <v>2.5</v>
      </c>
      <c r="J217" s="230">
        <f t="shared" si="29"/>
        <v>130.22399999999999</v>
      </c>
    </row>
    <row r="218" spans="2:13" s="225" customFormat="1" x14ac:dyDescent="0.2">
      <c r="B218" s="813"/>
      <c r="C218" s="226">
        <v>2024</v>
      </c>
      <c r="D218" s="231">
        <v>90.21</v>
      </c>
      <c r="E218" s="226">
        <v>120.68</v>
      </c>
      <c r="F218" s="227">
        <v>10000</v>
      </c>
      <c r="G218" s="228" t="s">
        <v>256</v>
      </c>
      <c r="H218" s="235">
        <v>120</v>
      </c>
      <c r="I218" s="229">
        <v>2.5</v>
      </c>
      <c r="J218" s="230">
        <f t="shared" si="29"/>
        <v>125.81399999999996</v>
      </c>
    </row>
    <row r="219" spans="2:13" s="225" customFormat="1" x14ac:dyDescent="0.2">
      <c r="B219" s="813"/>
      <c r="C219" s="226">
        <v>2025</v>
      </c>
      <c r="D219" s="231">
        <v>88.25</v>
      </c>
      <c r="E219" s="226">
        <v>120.68</v>
      </c>
      <c r="F219" s="227">
        <v>10000</v>
      </c>
      <c r="G219" s="228" t="s">
        <v>256</v>
      </c>
      <c r="H219" s="235">
        <v>120</v>
      </c>
      <c r="I219" s="229">
        <v>2.5</v>
      </c>
      <c r="J219" s="230">
        <f t="shared" si="29"/>
        <v>119.93399999999998</v>
      </c>
    </row>
    <row r="220" spans="2:13" s="225" customFormat="1" x14ac:dyDescent="0.2">
      <c r="F220" s="233"/>
      <c r="G220" s="233"/>
    </row>
    <row r="221" spans="2:13" s="183" customFormat="1" ht="95.1" customHeight="1" x14ac:dyDescent="0.2">
      <c r="B221" s="814" t="s">
        <v>257</v>
      </c>
      <c r="C221" s="815"/>
      <c r="D221" s="815"/>
      <c r="E221" s="815"/>
      <c r="F221" s="815"/>
      <c r="G221" s="815"/>
      <c r="H221" s="815"/>
      <c r="I221" s="815"/>
      <c r="J221" s="816"/>
      <c r="L221" s="185"/>
      <c r="M221" s="185"/>
    </row>
    <row r="222" spans="2:13" s="183" customFormat="1" ht="15" x14ac:dyDescent="0.25">
      <c r="B222" s="817" t="s">
        <v>258</v>
      </c>
      <c r="C222" s="818"/>
      <c r="D222" s="818"/>
      <c r="E222" s="818"/>
      <c r="F222" s="818"/>
      <c r="G222" s="818"/>
      <c r="H222" s="818"/>
      <c r="I222" s="818"/>
      <c r="J222" s="819"/>
      <c r="L222" s="185"/>
      <c r="M222" s="185"/>
    </row>
    <row r="223" spans="2:13" s="183" customFormat="1" x14ac:dyDescent="0.2">
      <c r="B223" s="212"/>
      <c r="C223" s="212"/>
      <c r="D223" s="212"/>
      <c r="E223" s="212"/>
      <c r="F223" s="212"/>
      <c r="G223" s="212"/>
      <c r="H223" s="212"/>
      <c r="I223" s="212"/>
      <c r="J223" s="212"/>
      <c r="L223" s="185"/>
      <c r="M223" s="185"/>
    </row>
    <row r="224" spans="2:13" s="183" customFormat="1" x14ac:dyDescent="0.2">
      <c r="B224" s="213" t="s">
        <v>259</v>
      </c>
      <c r="C224" s="214"/>
      <c r="D224" s="214"/>
      <c r="E224" s="214"/>
      <c r="F224" s="214"/>
      <c r="G224" s="214"/>
      <c r="H224" s="214"/>
      <c r="I224" s="214"/>
      <c r="J224" s="215"/>
      <c r="L224" s="185"/>
      <c r="M224" s="185"/>
    </row>
    <row r="225" spans="2:13" s="183" customFormat="1" x14ac:dyDescent="0.2">
      <c r="B225" s="216" t="s">
        <v>260</v>
      </c>
      <c r="C225" s="807" t="s">
        <v>261</v>
      </c>
      <c r="D225" s="807"/>
      <c r="E225" s="807"/>
      <c r="F225" s="807"/>
      <c r="G225" s="807"/>
      <c r="H225" s="807"/>
      <c r="I225" s="807"/>
      <c r="J225" s="808"/>
      <c r="L225" s="185"/>
      <c r="M225" s="185"/>
    </row>
    <row r="226" spans="2:13" s="183" customFormat="1" x14ac:dyDescent="0.2">
      <c r="B226" s="216" t="s">
        <v>262</v>
      </c>
      <c r="C226" s="807" t="s">
        <v>263</v>
      </c>
      <c r="D226" s="807"/>
      <c r="E226" s="807"/>
      <c r="F226" s="807"/>
      <c r="G226" s="807"/>
      <c r="H226" s="807"/>
      <c r="I226" s="807"/>
      <c r="J226" s="808"/>
      <c r="L226" s="185"/>
      <c r="M226" s="185"/>
    </row>
    <row r="227" spans="2:13" s="183" customFormat="1" x14ac:dyDescent="0.2">
      <c r="B227" s="216" t="s">
        <v>264</v>
      </c>
      <c r="C227" s="807" t="s">
        <v>265</v>
      </c>
      <c r="D227" s="807"/>
      <c r="E227" s="807"/>
      <c r="F227" s="807"/>
      <c r="G227" s="807"/>
      <c r="H227" s="807"/>
      <c r="I227" s="807"/>
      <c r="J227" s="808"/>
      <c r="L227" s="185"/>
      <c r="M227" s="185"/>
    </row>
    <row r="228" spans="2:13" s="183" customFormat="1" x14ac:dyDescent="0.2">
      <c r="B228" s="217" t="s">
        <v>266</v>
      </c>
      <c r="C228" s="809" t="s">
        <v>267</v>
      </c>
      <c r="D228" s="809"/>
      <c r="E228" s="809"/>
      <c r="F228" s="809"/>
      <c r="G228" s="809"/>
      <c r="H228" s="809"/>
      <c r="I228" s="809"/>
      <c r="J228" s="810"/>
      <c r="L228" s="185"/>
      <c r="M228" s="185"/>
    </row>
    <row r="229" spans="2:13" s="183" customFormat="1" x14ac:dyDescent="0.2">
      <c r="B229" s="218" t="s">
        <v>268</v>
      </c>
      <c r="C229" s="811" t="s">
        <v>269</v>
      </c>
      <c r="D229" s="811"/>
      <c r="E229" s="811"/>
      <c r="F229" s="811"/>
      <c r="G229" s="811"/>
      <c r="H229" s="811"/>
      <c r="I229" s="811"/>
      <c r="J229" s="812"/>
      <c r="L229" s="185"/>
      <c r="M229" s="185"/>
    </row>
    <row r="230" spans="2:13" s="183" customFormat="1" x14ac:dyDescent="0.2">
      <c r="B230" s="216" t="s">
        <v>270</v>
      </c>
      <c r="C230" s="807" t="s">
        <v>271</v>
      </c>
      <c r="D230" s="807"/>
      <c r="E230" s="807"/>
      <c r="F230" s="807"/>
      <c r="G230" s="807"/>
      <c r="H230" s="807"/>
      <c r="I230" s="807"/>
      <c r="J230" s="808"/>
      <c r="L230" s="185"/>
      <c r="M230" s="185"/>
    </row>
    <row r="231" spans="2:13" s="183" customFormat="1" x14ac:dyDescent="0.2">
      <c r="B231" s="219" t="s">
        <v>272</v>
      </c>
      <c r="C231" s="800" t="s">
        <v>273</v>
      </c>
      <c r="D231" s="800"/>
      <c r="E231" s="800"/>
      <c r="F231" s="800"/>
      <c r="G231" s="800"/>
      <c r="H231" s="800"/>
      <c r="I231" s="800"/>
      <c r="J231" s="801"/>
      <c r="L231" s="185"/>
      <c r="M231" s="185"/>
    </row>
    <row r="232" spans="2:13" s="183" customFormat="1" x14ac:dyDescent="0.2">
      <c r="B232" s="220" t="s">
        <v>274</v>
      </c>
      <c r="C232" s="802" t="s">
        <v>275</v>
      </c>
      <c r="D232" s="802"/>
      <c r="E232" s="802"/>
      <c r="F232" s="802"/>
      <c r="G232" s="802"/>
      <c r="H232" s="802"/>
      <c r="I232" s="802"/>
      <c r="J232" s="803"/>
      <c r="L232" s="185"/>
      <c r="M232" s="185"/>
    </row>
    <row r="233" spans="2:13" s="183" customFormat="1" x14ac:dyDescent="0.2">
      <c r="B233" s="221" t="s">
        <v>276</v>
      </c>
      <c r="C233" s="804" t="s">
        <v>277</v>
      </c>
      <c r="D233" s="804"/>
      <c r="E233" s="804"/>
      <c r="F233" s="804"/>
      <c r="G233" s="804"/>
      <c r="H233" s="804"/>
      <c r="I233" s="804"/>
      <c r="J233" s="805"/>
      <c r="L233" s="185"/>
      <c r="M233" s="185"/>
    </row>
  </sheetData>
  <mergeCells count="33">
    <mergeCell ref="C2:J2"/>
    <mergeCell ref="B5:B6"/>
    <mergeCell ref="C5:C6"/>
    <mergeCell ref="F5:F6"/>
    <mergeCell ref="G5:G6"/>
    <mergeCell ref="I5:I6"/>
    <mergeCell ref="J5:J6"/>
    <mergeCell ref="B210:B219"/>
    <mergeCell ref="B221:J221"/>
    <mergeCell ref="B222:J222"/>
    <mergeCell ref="B7:B16"/>
    <mergeCell ref="B18:B27"/>
    <mergeCell ref="B52:B61"/>
    <mergeCell ref="B86:B95"/>
    <mergeCell ref="B103:B112"/>
    <mergeCell ref="B154:B163"/>
    <mergeCell ref="B35:B44"/>
    <mergeCell ref="M2:P17"/>
    <mergeCell ref="C231:J231"/>
    <mergeCell ref="C232:J232"/>
    <mergeCell ref="C233:J233"/>
    <mergeCell ref="B69:B78"/>
    <mergeCell ref="B120:B129"/>
    <mergeCell ref="B137:B146"/>
    <mergeCell ref="C225:J225"/>
    <mergeCell ref="C226:J226"/>
    <mergeCell ref="C227:J227"/>
    <mergeCell ref="C228:J228"/>
    <mergeCell ref="C229:J229"/>
    <mergeCell ref="C230:J230"/>
    <mergeCell ref="B171:B180"/>
    <mergeCell ref="B188:B197"/>
    <mergeCell ref="B199:B208"/>
  </mergeCells>
  <hyperlinks>
    <hyperlink ref="B222" r:id="rId1" display="OAR 340 Division 253"/>
    <hyperlink ref="B222:J222" r:id="rId2" display=" All tables can be found in OAR 340 Division 253"/>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H41"/>
  <sheetViews>
    <sheetView workbookViewId="0">
      <selection activeCell="Q2" sqref="Q2:T13"/>
    </sheetView>
  </sheetViews>
  <sheetFormatPr defaultRowHeight="15" x14ac:dyDescent="0.25"/>
  <cols>
    <col min="1" max="1" width="21.42578125" customWidth="1"/>
    <col min="2" max="2" width="12.140625" customWidth="1"/>
    <col min="3" max="3" width="11.42578125" customWidth="1"/>
    <col min="4" max="4" width="19.140625" customWidth="1"/>
    <col min="5" max="5" width="13.42578125" customWidth="1"/>
    <col min="6" max="6" width="9.85546875" customWidth="1"/>
    <col min="7" max="7" width="9" customWidth="1"/>
    <col min="8" max="8" width="13.5703125" customWidth="1"/>
    <col min="9" max="9" width="11.5703125" customWidth="1"/>
    <col min="10" max="10" width="10.85546875" customWidth="1"/>
    <col min="11" max="11" width="12.42578125" customWidth="1"/>
    <col min="12" max="12" width="11.85546875" customWidth="1"/>
    <col min="13" max="13" width="10.140625" customWidth="1"/>
    <col min="14" max="14" width="10.5703125" customWidth="1"/>
    <col min="15" max="15" width="10.85546875" customWidth="1"/>
  </cols>
  <sheetData>
    <row r="2" spans="1:20" ht="18.75" x14ac:dyDescent="0.3">
      <c r="A2" s="72" t="s">
        <v>68</v>
      </c>
      <c r="B2" s="78">
        <f>IF($A$12="IOU",I8,J8)</f>
        <v>60</v>
      </c>
      <c r="C2" s="51" t="s">
        <v>69</v>
      </c>
      <c r="D2" s="72"/>
      <c r="E2" s="370"/>
      <c r="F2" s="51"/>
      <c r="H2" s="507" t="s">
        <v>609</v>
      </c>
      <c r="I2" s="51"/>
      <c r="J2" s="51"/>
      <c r="K2" s="51"/>
      <c r="L2" s="51"/>
      <c r="M2" s="51"/>
      <c r="N2" s="51"/>
      <c r="O2" s="51"/>
      <c r="Q2" s="797" t="s">
        <v>763</v>
      </c>
      <c r="R2" s="797"/>
      <c r="S2" s="797"/>
      <c r="T2" s="797"/>
    </row>
    <row r="3" spans="1:20" x14ac:dyDescent="0.25">
      <c r="A3" s="72" t="s">
        <v>619</v>
      </c>
      <c r="B3" s="78">
        <f t="shared" ref="B3:B9" si="0">IF($A$12="IOU",I9,J9)</f>
        <v>31.833333333333332</v>
      </c>
      <c r="C3" s="51" t="s">
        <v>72</v>
      </c>
      <c r="D3" s="72"/>
      <c r="E3" s="73"/>
      <c r="F3" s="51"/>
      <c r="H3" s="508" t="s">
        <v>610</v>
      </c>
      <c r="I3" s="509" t="s">
        <v>111</v>
      </c>
      <c r="J3" s="509" t="s">
        <v>611</v>
      </c>
      <c r="K3" s="509" t="s">
        <v>612</v>
      </c>
      <c r="L3" s="509" t="s">
        <v>613</v>
      </c>
      <c r="M3" s="509" t="s">
        <v>614</v>
      </c>
      <c r="N3" s="509" t="s">
        <v>615</v>
      </c>
      <c r="O3" s="509" t="s">
        <v>616</v>
      </c>
      <c r="Q3" s="797"/>
      <c r="R3" s="797"/>
      <c r="S3" s="797"/>
      <c r="T3" s="797"/>
    </row>
    <row r="4" spans="1:20" x14ac:dyDescent="0.25">
      <c r="A4" s="72" t="s">
        <v>640</v>
      </c>
      <c r="B4" s="531">
        <f t="shared" si="0"/>
        <v>3.4239230769230771</v>
      </c>
      <c r="C4" s="73"/>
      <c r="D4" s="72"/>
      <c r="E4" s="78"/>
      <c r="F4" s="51"/>
      <c r="H4" s="508" t="s">
        <v>617</v>
      </c>
      <c r="I4" s="510">
        <v>420.5</v>
      </c>
      <c r="J4" s="511">
        <v>8333.3333333333339</v>
      </c>
      <c r="K4" s="512">
        <v>5.4774000000000003E-2</v>
      </c>
      <c r="L4" s="512">
        <v>5.4774000000000003E-2</v>
      </c>
      <c r="M4" s="513">
        <v>31.833333333333332</v>
      </c>
      <c r="N4" s="514">
        <v>7.6920000000000002</v>
      </c>
      <c r="O4" s="514">
        <v>7.6920000000000002</v>
      </c>
      <c r="Q4" s="797"/>
      <c r="R4" s="797"/>
      <c r="S4" s="797"/>
      <c r="T4" s="797"/>
    </row>
    <row r="5" spans="1:20" x14ac:dyDescent="0.25">
      <c r="A5" s="72" t="s">
        <v>642</v>
      </c>
      <c r="B5" s="531">
        <f t="shared" si="0"/>
        <v>6.7307692307692308</v>
      </c>
      <c r="C5" s="51"/>
      <c r="D5" s="72" t="s">
        <v>101</v>
      </c>
      <c r="E5" s="80">
        <f>Inputs!B16</f>
        <v>30000</v>
      </c>
      <c r="F5" s="51" t="s">
        <v>102</v>
      </c>
      <c r="H5" s="508"/>
      <c r="I5" s="509" t="s">
        <v>111</v>
      </c>
      <c r="J5" s="509" t="s">
        <v>611</v>
      </c>
      <c r="K5" s="509" t="s">
        <v>612</v>
      </c>
      <c r="L5" s="509" t="s">
        <v>613</v>
      </c>
      <c r="M5" s="509" t="s">
        <v>614</v>
      </c>
      <c r="N5" s="509" t="s">
        <v>615</v>
      </c>
      <c r="O5" s="509" t="s">
        <v>616</v>
      </c>
      <c r="Q5" s="797"/>
      <c r="R5" s="797"/>
      <c r="S5" s="797"/>
      <c r="T5" s="797"/>
    </row>
    <row r="6" spans="1:20" x14ac:dyDescent="0.25">
      <c r="A6" s="72" t="s">
        <v>111</v>
      </c>
      <c r="B6" s="152">
        <f t="shared" si="0"/>
        <v>80.333076923076916</v>
      </c>
      <c r="C6" s="51"/>
      <c r="D6" s="72"/>
      <c r="E6" s="84"/>
      <c r="F6" s="51"/>
      <c r="H6" s="508" t="s">
        <v>618</v>
      </c>
      <c r="I6" s="514">
        <v>80.333076923076916</v>
      </c>
      <c r="J6" s="515">
        <v>8333.3333333333339</v>
      </c>
      <c r="K6" s="512">
        <v>5.774615384615385E-2</v>
      </c>
      <c r="L6" s="512">
        <v>5.0480769230769225E-2</v>
      </c>
      <c r="M6" s="513">
        <v>31.833333333333332</v>
      </c>
      <c r="N6" s="514">
        <v>3.4239230769230771</v>
      </c>
      <c r="O6" s="514">
        <v>6.7307692307692308</v>
      </c>
      <c r="Q6" s="797"/>
      <c r="R6" s="797"/>
      <c r="S6" s="797"/>
      <c r="T6" s="797"/>
    </row>
    <row r="7" spans="1:20" x14ac:dyDescent="0.25">
      <c r="A7" s="72" t="s">
        <v>620</v>
      </c>
      <c r="B7" s="371">
        <f t="shared" si="0"/>
        <v>8333</v>
      </c>
      <c r="C7" s="51" t="s">
        <v>119</v>
      </c>
      <c r="D7" s="72" t="s">
        <v>120</v>
      </c>
      <c r="E7" s="80">
        <f>Inputs!B18</f>
        <v>1</v>
      </c>
      <c r="F7" s="51"/>
      <c r="H7" s="516"/>
      <c r="I7" s="517" t="s">
        <v>617</v>
      </c>
      <c r="J7" s="517" t="s">
        <v>618</v>
      </c>
      <c r="K7" s="516"/>
      <c r="L7" s="51"/>
      <c r="M7" s="51"/>
      <c r="N7" s="51"/>
      <c r="O7" s="51"/>
      <c r="Q7" s="797"/>
      <c r="R7" s="797"/>
      <c r="S7" s="797"/>
      <c r="T7" s="797"/>
    </row>
    <row r="8" spans="1:20" x14ac:dyDescent="0.25">
      <c r="A8" s="72" t="s">
        <v>643</v>
      </c>
      <c r="B8" s="532">
        <f t="shared" si="0"/>
        <v>5.774615384615385E-2</v>
      </c>
      <c r="C8" s="51"/>
      <c r="D8" s="72"/>
      <c r="E8" s="92"/>
      <c r="F8" s="51"/>
      <c r="H8" s="518" t="s">
        <v>68</v>
      </c>
      <c r="I8" s="516">
        <v>60</v>
      </c>
      <c r="J8" s="516">
        <v>60</v>
      </c>
      <c r="K8" s="516" t="s">
        <v>69</v>
      </c>
      <c r="L8" s="51"/>
      <c r="M8" s="51"/>
      <c r="N8" s="51"/>
      <c r="O8" s="51"/>
      <c r="Q8" s="797"/>
      <c r="R8" s="797"/>
      <c r="S8" s="797"/>
      <c r="T8" s="797"/>
    </row>
    <row r="9" spans="1:20" x14ac:dyDescent="0.25">
      <c r="A9" s="72" t="s">
        <v>644</v>
      </c>
      <c r="B9" s="532">
        <f t="shared" si="0"/>
        <v>5.0480769230769225E-2</v>
      </c>
      <c r="C9" s="51"/>
      <c r="D9" s="72" t="s">
        <v>125</v>
      </c>
      <c r="E9" s="84">
        <v>1.95</v>
      </c>
      <c r="F9" s="51" t="s">
        <v>126</v>
      </c>
      <c r="H9" s="518" t="s">
        <v>639</v>
      </c>
      <c r="I9" s="519">
        <f>M6</f>
        <v>31.833333333333332</v>
      </c>
      <c r="J9" s="519">
        <f>M4</f>
        <v>31.833333333333332</v>
      </c>
      <c r="K9" s="516" t="s">
        <v>72</v>
      </c>
      <c r="L9" s="51"/>
      <c r="M9" s="51"/>
      <c r="N9" s="51"/>
      <c r="O9" s="51"/>
      <c r="Q9" s="797"/>
      <c r="R9" s="797"/>
      <c r="S9" s="797"/>
      <c r="T9" s="797"/>
    </row>
    <row r="10" spans="1:20" x14ac:dyDescent="0.25">
      <c r="A10" s="72" t="s">
        <v>129</v>
      </c>
      <c r="B10" s="98">
        <f>((E5*E7)/12)*E9</f>
        <v>4875</v>
      </c>
      <c r="C10" s="51" t="s">
        <v>638</v>
      </c>
      <c r="D10" s="72" t="s">
        <v>130</v>
      </c>
      <c r="E10" s="92">
        <f>(E5*E7)/12</f>
        <v>2500</v>
      </c>
      <c r="F10" s="51" t="s">
        <v>102</v>
      </c>
      <c r="H10" s="518" t="s">
        <v>86</v>
      </c>
      <c r="I10" s="520">
        <f>N4</f>
        <v>7.6920000000000002</v>
      </c>
      <c r="J10" s="520">
        <f>N6</f>
        <v>3.4239230769230771</v>
      </c>
      <c r="K10" s="521"/>
      <c r="L10" s="51"/>
      <c r="M10" s="51"/>
      <c r="N10" s="51"/>
      <c r="O10" s="51"/>
      <c r="Q10" s="797"/>
      <c r="R10" s="797"/>
      <c r="S10" s="797"/>
      <c r="T10" s="797"/>
    </row>
    <row r="11" spans="1:20" x14ac:dyDescent="0.25">
      <c r="A11" s="72" t="s">
        <v>132</v>
      </c>
      <c r="B11" s="98">
        <f>E7*B2</f>
        <v>60</v>
      </c>
      <c r="C11" s="51" t="s">
        <v>133</v>
      </c>
      <c r="D11" s="72" t="s">
        <v>134</v>
      </c>
      <c r="E11" s="97">
        <v>105000</v>
      </c>
      <c r="F11" s="51"/>
      <c r="H11" s="518" t="s">
        <v>100</v>
      </c>
      <c r="I11" s="520">
        <f>O4</f>
        <v>7.6920000000000002</v>
      </c>
      <c r="J11" s="520">
        <f>O6</f>
        <v>6.7307692307692308</v>
      </c>
      <c r="K11" s="516"/>
      <c r="L11" s="51"/>
      <c r="M11" s="51"/>
      <c r="N11" s="51"/>
      <c r="O11" s="51"/>
      <c r="Q11" s="797"/>
      <c r="R11" s="797"/>
      <c r="S11" s="797"/>
      <c r="T11" s="797"/>
    </row>
    <row r="12" spans="1:20" x14ac:dyDescent="0.25">
      <c r="A12" s="525" t="s">
        <v>618</v>
      </c>
      <c r="C12" s="118"/>
      <c r="H12" s="518" t="s">
        <v>111</v>
      </c>
      <c r="I12" s="520">
        <f>I4</f>
        <v>420.5</v>
      </c>
      <c r="J12" s="520">
        <f>I6</f>
        <v>80.333076923076916</v>
      </c>
      <c r="K12" s="516"/>
      <c r="L12" s="51"/>
      <c r="M12" s="51"/>
      <c r="N12" s="51"/>
      <c r="O12" s="51"/>
      <c r="Q12" s="797"/>
      <c r="R12" s="797"/>
      <c r="S12" s="797"/>
      <c r="T12" s="797"/>
    </row>
    <row r="13" spans="1:20" x14ac:dyDescent="0.25">
      <c r="C13" s="118"/>
      <c r="H13" s="518" t="s">
        <v>639</v>
      </c>
      <c r="I13" s="521">
        <v>8333</v>
      </c>
      <c r="J13" s="521">
        <v>8333</v>
      </c>
      <c r="K13" s="516" t="s">
        <v>119</v>
      </c>
      <c r="L13" s="51"/>
      <c r="M13" s="51"/>
      <c r="N13" s="51"/>
      <c r="O13" s="51"/>
      <c r="Q13" s="797"/>
      <c r="R13" s="797"/>
      <c r="S13" s="797"/>
      <c r="T13" s="797"/>
    </row>
    <row r="14" spans="1:20" x14ac:dyDescent="0.25">
      <c r="H14" s="518" t="s">
        <v>643</v>
      </c>
      <c r="I14" s="522">
        <f>K4</f>
        <v>5.4774000000000003E-2</v>
      </c>
      <c r="J14" s="523">
        <f>K6</f>
        <v>5.774615384615385E-2</v>
      </c>
      <c r="K14" s="516"/>
      <c r="L14" s="51"/>
      <c r="M14" s="51"/>
      <c r="N14" s="51"/>
      <c r="O14" s="51"/>
    </row>
    <row r="15" spans="1:20" x14ac:dyDescent="0.25">
      <c r="B15" s="70" t="s">
        <v>133</v>
      </c>
      <c r="H15" s="518" t="s">
        <v>644</v>
      </c>
      <c r="I15" s="522">
        <f>L4</f>
        <v>5.4774000000000003E-2</v>
      </c>
      <c r="J15" s="523">
        <f>L6</f>
        <v>5.0480769230769225E-2</v>
      </c>
      <c r="K15" s="516"/>
      <c r="L15" s="51"/>
      <c r="M15" s="51"/>
      <c r="N15" s="51"/>
      <c r="O15" s="51"/>
    </row>
    <row r="16" spans="1:20" x14ac:dyDescent="0.25">
      <c r="B16" t="s">
        <v>641</v>
      </c>
      <c r="C16" t="s">
        <v>651</v>
      </c>
    </row>
    <row r="17" spans="1:33" x14ac:dyDescent="0.25">
      <c r="B17" t="s">
        <v>641</v>
      </c>
      <c r="C17" t="s">
        <v>652</v>
      </c>
    </row>
    <row r="18" spans="1:33" x14ac:dyDescent="0.25">
      <c r="B18" t="s">
        <v>641</v>
      </c>
      <c r="C18" t="s">
        <v>653</v>
      </c>
    </row>
    <row r="19" spans="1:33" x14ac:dyDescent="0.25">
      <c r="C19" t="s">
        <v>654</v>
      </c>
    </row>
    <row r="20" spans="1:33" x14ac:dyDescent="0.25">
      <c r="B20" t="s">
        <v>641</v>
      </c>
      <c r="C20" s="526">
        <f>(((3.423923*31.83)+((60-31.83)*6.730769)))/2500</f>
        <v>0.119435692728</v>
      </c>
      <c r="D20" t="s">
        <v>655</v>
      </c>
    </row>
    <row r="21" spans="1:33" x14ac:dyDescent="0.25">
      <c r="B21" s="70" t="s">
        <v>119</v>
      </c>
    </row>
    <row r="22" spans="1:33" x14ac:dyDescent="0.25">
      <c r="B22" t="s">
        <v>403</v>
      </c>
      <c r="C22" t="s">
        <v>656</v>
      </c>
    </row>
    <row r="23" spans="1:33" x14ac:dyDescent="0.25">
      <c r="B23" t="s">
        <v>403</v>
      </c>
      <c r="C23" t="s">
        <v>657</v>
      </c>
    </row>
    <row r="24" spans="1:33" x14ac:dyDescent="0.25">
      <c r="B24" t="s">
        <v>403</v>
      </c>
      <c r="C24" t="s">
        <v>658</v>
      </c>
    </row>
    <row r="25" spans="1:33" x14ac:dyDescent="0.25">
      <c r="C25" t="s">
        <v>659</v>
      </c>
    </row>
    <row r="26" spans="1:33" x14ac:dyDescent="0.25">
      <c r="B26" t="s">
        <v>403</v>
      </c>
      <c r="C26" s="526">
        <f>(((4875*0.0577462)+80.33)/2500)</f>
        <v>0.14473708999999998</v>
      </c>
      <c r="D26" t="s">
        <v>655</v>
      </c>
    </row>
    <row r="28" spans="1:33" s="51" customFormat="1" x14ac:dyDescent="0.25">
      <c r="B28" s="51" t="s">
        <v>664</v>
      </c>
      <c r="C28" s="527">
        <f>C20-C33</f>
        <v>9.0263871599999268E-4</v>
      </c>
    </row>
    <row r="29" spans="1:33" s="51" customFormat="1" x14ac:dyDescent="0.25">
      <c r="B29" s="51" t="s">
        <v>665</v>
      </c>
      <c r="C29" s="274">
        <f>C26-C33</f>
        <v>2.6204035987999974E-2</v>
      </c>
    </row>
    <row r="30" spans="1:33" ht="15.75" thickBot="1" x14ac:dyDescent="0.3">
      <c r="B30" s="72" t="s">
        <v>660</v>
      </c>
      <c r="C30" s="528">
        <f>C20+C26</f>
        <v>0.26417278272799999</v>
      </c>
    </row>
    <row r="31" spans="1:33" x14ac:dyDescent="0.25">
      <c r="B31" s="426">
        <v>2019</v>
      </c>
      <c r="C31" s="426">
        <v>2020</v>
      </c>
      <c r="D31" s="426">
        <v>2021</v>
      </c>
      <c r="E31" s="426">
        <v>2022</v>
      </c>
      <c r="F31" s="426">
        <v>2023</v>
      </c>
      <c r="G31" s="426">
        <v>2024</v>
      </c>
      <c r="H31" s="426">
        <v>2025</v>
      </c>
      <c r="I31" s="426">
        <v>2026</v>
      </c>
      <c r="J31" s="426">
        <v>2027</v>
      </c>
      <c r="K31" s="426">
        <v>2028</v>
      </c>
      <c r="L31" s="426">
        <v>2029</v>
      </c>
      <c r="M31" s="426">
        <v>2030</v>
      </c>
      <c r="N31" s="426">
        <v>2031</v>
      </c>
      <c r="O31" s="426">
        <v>2032</v>
      </c>
      <c r="P31" s="426">
        <v>2033</v>
      </c>
      <c r="Q31" s="426">
        <v>2034</v>
      </c>
      <c r="R31" s="426">
        <v>2035</v>
      </c>
      <c r="S31" s="426">
        <v>2036</v>
      </c>
      <c r="T31" s="426">
        <v>2037</v>
      </c>
      <c r="U31" s="426">
        <v>2038</v>
      </c>
      <c r="V31" s="426">
        <v>2039</v>
      </c>
      <c r="W31" s="426">
        <v>2040</v>
      </c>
      <c r="X31" s="426">
        <v>2041</v>
      </c>
      <c r="Y31" s="426">
        <v>2042</v>
      </c>
      <c r="Z31" s="426">
        <v>2043</v>
      </c>
      <c r="AA31" s="426">
        <v>2044</v>
      </c>
      <c r="AB31" s="426">
        <v>2045</v>
      </c>
      <c r="AC31" s="426">
        <v>2046</v>
      </c>
      <c r="AD31" s="426">
        <v>2047</v>
      </c>
      <c r="AE31" s="426">
        <v>2048</v>
      </c>
      <c r="AF31" s="426">
        <v>2049</v>
      </c>
      <c r="AG31" s="427">
        <v>2050</v>
      </c>
    </row>
    <row r="32" spans="1:33" x14ac:dyDescent="0.25">
      <c r="A32" t="s">
        <v>663</v>
      </c>
      <c r="B32" s="452">
        <v>33.252597999999999</v>
      </c>
      <c r="C32" s="452">
        <v>34.740051000000001</v>
      </c>
      <c r="D32" s="452">
        <v>35.656936999999999</v>
      </c>
      <c r="E32" s="452">
        <v>36.969535999999998</v>
      </c>
      <c r="F32" s="452">
        <v>38.461060000000003</v>
      </c>
      <c r="G32" s="452">
        <v>39.889266999999997</v>
      </c>
      <c r="H32" s="452">
        <v>41.661911000000003</v>
      </c>
      <c r="I32" s="452">
        <v>43.369644000000001</v>
      </c>
      <c r="J32" s="452">
        <v>44.733212000000002</v>
      </c>
      <c r="K32" s="452">
        <v>45.747687999999997</v>
      </c>
      <c r="L32" s="452">
        <v>46.676856999999998</v>
      </c>
      <c r="M32" s="452">
        <v>47.572341999999999</v>
      </c>
      <c r="N32" s="452">
        <v>48.575695000000003</v>
      </c>
      <c r="O32" s="452">
        <v>49.627586000000001</v>
      </c>
      <c r="P32" s="452">
        <v>51.003799000000001</v>
      </c>
      <c r="Q32" s="452">
        <v>52.227412999999999</v>
      </c>
      <c r="R32" s="452">
        <v>52.873469999999998</v>
      </c>
      <c r="S32" s="452">
        <v>53.636631000000001</v>
      </c>
      <c r="T32" s="452">
        <v>54.585723999999999</v>
      </c>
      <c r="U32" s="452">
        <v>55.632477000000002</v>
      </c>
      <c r="V32" s="452">
        <v>56.568375000000003</v>
      </c>
      <c r="W32" s="452">
        <v>57.481597999999998</v>
      </c>
      <c r="X32" s="452">
        <v>58.470314000000002</v>
      </c>
      <c r="Y32" s="452">
        <v>59.526611000000003</v>
      </c>
      <c r="Z32" s="452">
        <v>60.421332999999997</v>
      </c>
      <c r="AA32" s="452">
        <v>61.528331999999999</v>
      </c>
      <c r="AB32" s="452">
        <v>62.742671999999999</v>
      </c>
      <c r="AC32" s="452">
        <v>63.992901000000003</v>
      </c>
      <c r="AD32" s="452">
        <v>65.289978000000005</v>
      </c>
      <c r="AE32" s="452">
        <v>66.594391000000002</v>
      </c>
      <c r="AF32" s="452">
        <v>67.759308000000004</v>
      </c>
      <c r="AG32" s="453">
        <v>68.945312000000001</v>
      </c>
    </row>
    <row r="33" spans="1:34" x14ac:dyDescent="0.25">
      <c r="A33" s="533">
        <f>1-(C33/N33)</f>
        <v>0.28482647546267736</v>
      </c>
      <c r="B33" s="484">
        <f t="shared" ref="B33:AG33" si="1">B32/(1000000/3412)</f>
        <v>0.113457864376</v>
      </c>
      <c r="C33" s="484">
        <f t="shared" si="1"/>
        <v>0.11853305401200001</v>
      </c>
      <c r="D33" s="484">
        <f t="shared" si="1"/>
        <v>0.12166146904399999</v>
      </c>
      <c r="E33" s="484">
        <f t="shared" si="1"/>
        <v>0.126140056832</v>
      </c>
      <c r="F33" s="484">
        <f t="shared" si="1"/>
        <v>0.13122913672</v>
      </c>
      <c r="G33" s="484">
        <f t="shared" si="1"/>
        <v>0.13610217900399998</v>
      </c>
      <c r="H33" s="484">
        <f t="shared" si="1"/>
        <v>0.142150440332</v>
      </c>
      <c r="I33" s="484">
        <f t="shared" si="1"/>
        <v>0.14797722532800001</v>
      </c>
      <c r="J33" s="484">
        <f t="shared" si="1"/>
        <v>0.15262971934400002</v>
      </c>
      <c r="K33" s="484">
        <f t="shared" si="1"/>
        <v>0.15609111145599999</v>
      </c>
      <c r="L33" s="484">
        <f t="shared" si="1"/>
        <v>0.15926143608400001</v>
      </c>
      <c r="M33" s="484">
        <f t="shared" si="1"/>
        <v>0.16231683090400001</v>
      </c>
      <c r="N33" s="484">
        <f t="shared" si="1"/>
        <v>0.16574027134000002</v>
      </c>
      <c r="O33" s="484">
        <f t="shared" si="1"/>
        <v>0.169329323432</v>
      </c>
      <c r="P33" s="484">
        <f t="shared" si="1"/>
        <v>0.17402496218800001</v>
      </c>
      <c r="Q33" s="484">
        <f t="shared" si="1"/>
        <v>0.178199933156</v>
      </c>
      <c r="R33" s="484">
        <f t="shared" si="1"/>
        <v>0.18040427964</v>
      </c>
      <c r="S33" s="484">
        <f t="shared" si="1"/>
        <v>0.183008184972</v>
      </c>
      <c r="T33" s="484">
        <f t="shared" si="1"/>
        <v>0.186246490288</v>
      </c>
      <c r="U33" s="484">
        <f t="shared" si="1"/>
        <v>0.18981801152400002</v>
      </c>
      <c r="V33" s="484">
        <f t="shared" si="1"/>
        <v>0.19301129550000001</v>
      </c>
      <c r="W33" s="484">
        <f t="shared" si="1"/>
        <v>0.196127212376</v>
      </c>
      <c r="X33" s="484">
        <f t="shared" si="1"/>
        <v>0.19950071136800002</v>
      </c>
      <c r="Y33" s="484">
        <f t="shared" si="1"/>
        <v>0.20310479673200002</v>
      </c>
      <c r="Z33" s="484">
        <f t="shared" si="1"/>
        <v>0.206157588196</v>
      </c>
      <c r="AA33" s="484">
        <f t="shared" si="1"/>
        <v>0.20993466878399999</v>
      </c>
      <c r="AB33" s="484">
        <f t="shared" si="1"/>
        <v>0.214077996864</v>
      </c>
      <c r="AC33" s="484">
        <f t="shared" si="1"/>
        <v>0.21834377821200002</v>
      </c>
      <c r="AD33" s="484">
        <f t="shared" si="1"/>
        <v>0.22276940493600003</v>
      </c>
      <c r="AE33" s="484">
        <f t="shared" si="1"/>
        <v>0.22722006209200002</v>
      </c>
      <c r="AF33" s="484">
        <f t="shared" si="1"/>
        <v>0.23119475889600002</v>
      </c>
      <c r="AG33" s="485">
        <f t="shared" si="1"/>
        <v>0.235241404544</v>
      </c>
    </row>
    <row r="34" spans="1:34" s="51" customFormat="1" x14ac:dyDescent="0.25">
      <c r="A34" s="536" t="s">
        <v>661</v>
      </c>
      <c r="B34" s="484"/>
      <c r="C34" s="534">
        <f>1-(B33/C33)</f>
        <v>4.281666138026119E-2</v>
      </c>
      <c r="D34" s="534">
        <f t="shared" ref="D34:AG34" si="2">1-(C33/D33)</f>
        <v>2.57140987741038E-2</v>
      </c>
      <c r="E34" s="534">
        <f t="shared" si="2"/>
        <v>3.5504881640927355E-2</v>
      </c>
      <c r="F34" s="534">
        <f t="shared" si="2"/>
        <v>3.8780106424523897E-2</v>
      </c>
      <c r="G34" s="534">
        <f t="shared" si="2"/>
        <v>3.5804292919195402E-2</v>
      </c>
      <c r="H34" s="534">
        <f t="shared" si="2"/>
        <v>4.2548312294172108E-2</v>
      </c>
      <c r="I34" s="534">
        <f t="shared" si="2"/>
        <v>3.9376228220826537E-2</v>
      </c>
      <c r="J34" s="534">
        <f t="shared" si="2"/>
        <v>3.0482228729741156E-2</v>
      </c>
      <c r="K34" s="534">
        <f t="shared" si="2"/>
        <v>2.2175459446168944E-2</v>
      </c>
      <c r="L34" s="534">
        <f t="shared" si="2"/>
        <v>1.9906417435090029E-2</v>
      </c>
      <c r="M34" s="534">
        <f t="shared" si="2"/>
        <v>1.8823647572364655E-2</v>
      </c>
      <c r="N34" s="534">
        <f t="shared" si="2"/>
        <v>2.0655453308491056E-2</v>
      </c>
      <c r="O34" s="534">
        <f t="shared" si="2"/>
        <v>2.119569144467337E-2</v>
      </c>
      <c r="P34" s="534">
        <f t="shared" si="2"/>
        <v>2.6982558691363456E-2</v>
      </c>
      <c r="Q34" s="534">
        <f t="shared" si="2"/>
        <v>2.3428577632210068E-2</v>
      </c>
      <c r="R34" s="534">
        <f t="shared" si="2"/>
        <v>1.2218925672932035E-2</v>
      </c>
      <c r="S34" s="534">
        <f t="shared" si="2"/>
        <v>1.4228354498999063E-2</v>
      </c>
      <c r="T34" s="534">
        <f t="shared" si="2"/>
        <v>1.7387201825884047E-2</v>
      </c>
      <c r="U34" s="534">
        <f t="shared" si="2"/>
        <v>1.8815502318906385E-2</v>
      </c>
      <c r="V34" s="534">
        <f t="shared" si="2"/>
        <v>1.6544544544544459E-2</v>
      </c>
      <c r="W34" s="534">
        <f t="shared" si="2"/>
        <v>1.5887223594584055E-2</v>
      </c>
      <c r="X34" s="534">
        <f t="shared" si="2"/>
        <v>1.6909709087589375E-2</v>
      </c>
      <c r="Y34" s="534">
        <f t="shared" si="2"/>
        <v>1.7744954437268423E-2</v>
      </c>
      <c r="Z34" s="534">
        <f t="shared" si="2"/>
        <v>1.4808048011784036E-2</v>
      </c>
      <c r="AA34" s="534">
        <f t="shared" si="2"/>
        <v>1.7991695273000374E-2</v>
      </c>
      <c r="AB34" s="534">
        <f t="shared" si="2"/>
        <v>1.9354292083703428E-2</v>
      </c>
      <c r="AC34" s="534">
        <f t="shared" si="2"/>
        <v>1.9536995205140073E-2</v>
      </c>
      <c r="AD34" s="534">
        <f t="shared" si="2"/>
        <v>1.9866402773179082E-2</v>
      </c>
      <c r="AE34" s="534">
        <f t="shared" si="2"/>
        <v>1.9587430418877116E-2</v>
      </c>
      <c r="AF34" s="534">
        <f t="shared" si="2"/>
        <v>1.7191984900436164E-2</v>
      </c>
      <c r="AG34" s="534">
        <f t="shared" si="2"/>
        <v>1.7202097801805483E-2</v>
      </c>
      <c r="AH34" s="537">
        <f>SUM(C34:AG34)</f>
        <v>0.71946997836274662</v>
      </c>
    </row>
    <row r="35" spans="1:34" x14ac:dyDescent="0.25">
      <c r="A35" s="533">
        <f>1-(C35/N35)</f>
        <v>0.28328368312900998</v>
      </c>
      <c r="B35" s="112" t="s">
        <v>666</v>
      </c>
      <c r="C35" s="112">
        <f>C33+$C$28</f>
        <v>0.119435692728</v>
      </c>
      <c r="D35" s="112">
        <f t="shared" ref="D35:AG35" si="3">D33+$C$28</f>
        <v>0.12256410775999999</v>
      </c>
      <c r="E35" s="112">
        <f t="shared" si="3"/>
        <v>0.12704269554799999</v>
      </c>
      <c r="F35" s="112">
        <f t="shared" si="3"/>
        <v>0.13213177543599999</v>
      </c>
      <c r="G35" s="112">
        <f t="shared" si="3"/>
        <v>0.13700481771999998</v>
      </c>
      <c r="H35" s="112">
        <f t="shared" si="3"/>
        <v>0.14305307904799999</v>
      </c>
      <c r="I35" s="112">
        <f t="shared" si="3"/>
        <v>0.148879864044</v>
      </c>
      <c r="J35" s="112">
        <f t="shared" si="3"/>
        <v>0.15353235806000001</v>
      </c>
      <c r="K35" s="112">
        <f t="shared" si="3"/>
        <v>0.15699375017199999</v>
      </c>
      <c r="L35" s="112">
        <f t="shared" si="3"/>
        <v>0.1601640748</v>
      </c>
      <c r="M35" s="112">
        <f t="shared" si="3"/>
        <v>0.16321946962</v>
      </c>
      <c r="N35" s="112">
        <f t="shared" si="3"/>
        <v>0.16664291005600002</v>
      </c>
      <c r="O35" s="112">
        <f t="shared" si="3"/>
        <v>0.17023196214799999</v>
      </c>
      <c r="P35" s="112">
        <f t="shared" si="3"/>
        <v>0.174927600904</v>
      </c>
      <c r="Q35" s="112">
        <f t="shared" si="3"/>
        <v>0.17910257187199999</v>
      </c>
      <c r="R35" s="112">
        <f t="shared" si="3"/>
        <v>0.18130691835599999</v>
      </c>
      <c r="S35" s="112">
        <f t="shared" si="3"/>
        <v>0.18391082368799999</v>
      </c>
      <c r="T35" s="112">
        <f t="shared" si="3"/>
        <v>0.18714912900399999</v>
      </c>
      <c r="U35" s="112">
        <f t="shared" si="3"/>
        <v>0.19072065024000001</v>
      </c>
      <c r="V35" s="112">
        <f t="shared" si="3"/>
        <v>0.19391393421600001</v>
      </c>
      <c r="W35" s="112">
        <f t="shared" si="3"/>
        <v>0.197029851092</v>
      </c>
      <c r="X35" s="112">
        <f t="shared" si="3"/>
        <v>0.20040335008400001</v>
      </c>
      <c r="Y35" s="112">
        <f t="shared" si="3"/>
        <v>0.20400743544800001</v>
      </c>
      <c r="Z35" s="112">
        <f t="shared" si="3"/>
        <v>0.20706022691199999</v>
      </c>
      <c r="AA35" s="112">
        <f t="shared" si="3"/>
        <v>0.21083730749999999</v>
      </c>
      <c r="AB35" s="112">
        <f t="shared" si="3"/>
        <v>0.21498063558</v>
      </c>
      <c r="AC35" s="112">
        <f t="shared" si="3"/>
        <v>0.21924641692800001</v>
      </c>
      <c r="AD35" s="112">
        <f t="shared" si="3"/>
        <v>0.22367204365200002</v>
      </c>
      <c r="AE35" s="112">
        <f t="shared" si="3"/>
        <v>0.22812270080800001</v>
      </c>
      <c r="AF35" s="112">
        <f t="shared" si="3"/>
        <v>0.23209739761200002</v>
      </c>
      <c r="AG35" s="112">
        <f t="shared" si="3"/>
        <v>0.23614404325999999</v>
      </c>
    </row>
    <row r="36" spans="1:34" x14ac:dyDescent="0.25">
      <c r="A36" s="533">
        <f>1-(C36/N36)</f>
        <v>0.24594226307181355</v>
      </c>
      <c r="B36" s="112" t="s">
        <v>667</v>
      </c>
      <c r="C36" s="112">
        <f>C33+$C$29</f>
        <v>0.14473708999999998</v>
      </c>
      <c r="D36" s="112">
        <f t="shared" ref="D36:AG36" si="4">D33+$C$29</f>
        <v>0.14786550503199997</v>
      </c>
      <c r="E36" s="112">
        <f t="shared" si="4"/>
        <v>0.15234409281999997</v>
      </c>
      <c r="F36" s="112">
        <f t="shared" si="4"/>
        <v>0.15743317270799997</v>
      </c>
      <c r="G36" s="112">
        <f t="shared" si="4"/>
        <v>0.16230621499199996</v>
      </c>
      <c r="H36" s="112">
        <f t="shared" si="4"/>
        <v>0.16835447631999997</v>
      </c>
      <c r="I36" s="112">
        <f t="shared" si="4"/>
        <v>0.17418126131599998</v>
      </c>
      <c r="J36" s="112">
        <f t="shared" si="4"/>
        <v>0.17883375533199999</v>
      </c>
      <c r="K36" s="112">
        <f t="shared" si="4"/>
        <v>0.18229514744399997</v>
      </c>
      <c r="L36" s="112">
        <f t="shared" si="4"/>
        <v>0.18546547207199998</v>
      </c>
      <c r="M36" s="112">
        <f t="shared" si="4"/>
        <v>0.18852086689199998</v>
      </c>
      <c r="N36" s="112">
        <f t="shared" si="4"/>
        <v>0.191944307328</v>
      </c>
      <c r="O36" s="112">
        <f t="shared" si="4"/>
        <v>0.19553335941999997</v>
      </c>
      <c r="P36" s="112">
        <f t="shared" si="4"/>
        <v>0.20022899817599998</v>
      </c>
      <c r="Q36" s="112">
        <f t="shared" si="4"/>
        <v>0.20440396914399997</v>
      </c>
      <c r="R36" s="112">
        <f t="shared" si="4"/>
        <v>0.20660831562799997</v>
      </c>
      <c r="S36" s="112">
        <f t="shared" si="4"/>
        <v>0.20921222095999997</v>
      </c>
      <c r="T36" s="112">
        <f t="shared" si="4"/>
        <v>0.21245052627599997</v>
      </c>
      <c r="U36" s="112">
        <f t="shared" si="4"/>
        <v>0.21602204751199999</v>
      </c>
      <c r="V36" s="112">
        <f t="shared" si="4"/>
        <v>0.21921533148799999</v>
      </c>
      <c r="W36" s="112">
        <f t="shared" si="4"/>
        <v>0.22233124836399998</v>
      </c>
      <c r="X36" s="112">
        <f t="shared" si="4"/>
        <v>0.22570474735599999</v>
      </c>
      <c r="Y36" s="112">
        <f t="shared" si="4"/>
        <v>0.22930883271999999</v>
      </c>
      <c r="Z36" s="112">
        <f t="shared" si="4"/>
        <v>0.23236162418399997</v>
      </c>
      <c r="AA36" s="112">
        <f t="shared" si="4"/>
        <v>0.23613870477199997</v>
      </c>
      <c r="AB36" s="112">
        <f t="shared" si="4"/>
        <v>0.24028203285199998</v>
      </c>
      <c r="AC36" s="112">
        <f t="shared" si="4"/>
        <v>0.24454781419999999</v>
      </c>
      <c r="AD36" s="112">
        <f t="shared" si="4"/>
        <v>0.24897344092400001</v>
      </c>
      <c r="AE36" s="112">
        <f t="shared" si="4"/>
        <v>0.25342409807999999</v>
      </c>
      <c r="AF36" s="112">
        <f t="shared" si="4"/>
        <v>0.25739879488399997</v>
      </c>
      <c r="AG36" s="112">
        <f t="shared" si="4"/>
        <v>0.26144544053199997</v>
      </c>
    </row>
    <row r="37" spans="1:34" x14ac:dyDescent="0.25">
      <c r="A37" s="533">
        <f t="shared" ref="A37" si="5">1-(B37/N37)</f>
        <v>0.28753522676128718</v>
      </c>
      <c r="B37" s="529">
        <v>0.25909432831271795</v>
      </c>
      <c r="C37" s="529">
        <v>0.26924470758471797</v>
      </c>
      <c r="D37" s="112">
        <v>0.27550153764871793</v>
      </c>
      <c r="E37" s="112">
        <v>0.28445871322471794</v>
      </c>
      <c r="F37" s="112">
        <v>0.29463687300071795</v>
      </c>
      <c r="G37" s="112">
        <v>0.30438295756871792</v>
      </c>
      <c r="H37" s="112">
        <v>0.31647948022471795</v>
      </c>
      <c r="I37" s="112">
        <v>0.32813305021671796</v>
      </c>
      <c r="J37" s="112">
        <v>0.33743803824871799</v>
      </c>
      <c r="K37" s="112">
        <v>0.34436082247271793</v>
      </c>
      <c r="L37" s="112">
        <v>0.35070147172871796</v>
      </c>
      <c r="M37" s="112">
        <v>0.35681226136871796</v>
      </c>
      <c r="N37" s="529">
        <v>0.36365914224071799</v>
      </c>
      <c r="O37" s="112">
        <v>0.37083724642471794</v>
      </c>
      <c r="P37" s="112">
        <v>0.38022852393671797</v>
      </c>
      <c r="Q37" s="112">
        <v>0.38857846587271794</v>
      </c>
      <c r="R37" s="112">
        <v>0.39298715884071794</v>
      </c>
      <c r="S37" s="112">
        <v>0.39819496950471794</v>
      </c>
      <c r="T37" s="112">
        <v>0.40467158013671795</v>
      </c>
      <c r="U37" s="112">
        <v>0.41181462260871798</v>
      </c>
      <c r="V37" s="112">
        <v>0.41820119056071797</v>
      </c>
      <c r="W37" s="112">
        <v>0.42443302431271795</v>
      </c>
      <c r="X37" s="112">
        <v>0.43118002229671798</v>
      </c>
      <c r="Y37" s="112">
        <v>0.43838819302471799</v>
      </c>
      <c r="Z37" s="112">
        <v>0.44449377595271794</v>
      </c>
      <c r="AA37" s="112">
        <v>0.45204793712871794</v>
      </c>
      <c r="AB37" s="112">
        <v>0.46033459328871795</v>
      </c>
      <c r="AC37" s="112">
        <v>0.46886615598471798</v>
      </c>
      <c r="AD37" s="112">
        <v>0.47771740943271801</v>
      </c>
      <c r="AE37" s="112">
        <v>0.48661872374471798</v>
      </c>
      <c r="AF37" s="112">
        <v>0.49456811735271805</v>
      </c>
      <c r="AG37" s="113">
        <v>0.502661408648718</v>
      </c>
    </row>
    <row r="38" spans="1:34" x14ac:dyDescent="0.25">
      <c r="B38" s="538" t="s">
        <v>668</v>
      </c>
      <c r="C38" s="527">
        <f>C30</f>
        <v>0.26417278272799999</v>
      </c>
      <c r="D38" s="527">
        <f t="shared" ref="D38:AG38" si="6">C38*(1+D34)</f>
        <v>0.27096574775649762</v>
      </c>
      <c r="E38" s="527">
        <f t="shared" si="6"/>
        <v>0.28058635455933745</v>
      </c>
      <c r="F38" s="527">
        <f t="shared" si="6"/>
        <v>0.29146752325041775</v>
      </c>
      <c r="G38" s="527">
        <f t="shared" si="6"/>
        <v>0.30190331182930807</v>
      </c>
      <c r="H38" s="527">
        <f t="shared" si="6"/>
        <v>0.31474878822366631</v>
      </c>
      <c r="I38" s="527">
        <f t="shared" si="6"/>
        <v>0.32714240834099001</v>
      </c>
      <c r="J38" s="527">
        <f t="shared" si="6"/>
        <v>0.33711443805923841</v>
      </c>
      <c r="K38" s="527">
        <f t="shared" si="6"/>
        <v>0.34459010560913911</v>
      </c>
      <c r="L38" s="527">
        <f t="shared" si="6"/>
        <v>0.35144966009539641</v>
      </c>
      <c r="M38" s="527">
        <f t="shared" si="6"/>
        <v>0.35806522463645951</v>
      </c>
      <c r="N38" s="527">
        <f t="shared" si="6"/>
        <v>0.36546122416533228</v>
      </c>
      <c r="O38" s="527">
        <f t="shared" si="6"/>
        <v>0.37320742750773328</v>
      </c>
      <c r="P38" s="527">
        <f t="shared" si="6"/>
        <v>0.38327751882451344</v>
      </c>
      <c r="Q38" s="527">
        <f t="shared" si="6"/>
        <v>0.39225716592897442</v>
      </c>
      <c r="R38" s="527">
        <f t="shared" si="6"/>
        <v>0.39705012708413551</v>
      </c>
      <c r="S38" s="527">
        <f t="shared" si="6"/>
        <v>0.40269949704616126</v>
      </c>
      <c r="T38" s="527">
        <f t="shared" si="6"/>
        <v>0.40970131447648483</v>
      </c>
      <c r="U38" s="527">
        <f t="shared" si="6"/>
        <v>0.41741005050907615</v>
      </c>
      <c r="V38" s="527">
        <f t="shared" si="6"/>
        <v>0.4243159096830641</v>
      </c>
      <c r="W38" s="527">
        <f t="shared" si="6"/>
        <v>0.43105711141493824</v>
      </c>
      <c r="X38" s="527">
        <f t="shared" si="6"/>
        <v>0.43834616176910146</v>
      </c>
      <c r="Y38" s="527">
        <f t="shared" si="6"/>
        <v>0.44612459443744562</v>
      </c>
      <c r="Z38" s="527">
        <f t="shared" si="6"/>
        <v>0.45273082885111299</v>
      </c>
      <c r="AA38" s="527">
        <f t="shared" si="6"/>
        <v>0.46087622396449512</v>
      </c>
      <c r="AB38" s="527">
        <f t="shared" si="6"/>
        <v>0.46979615701753824</v>
      </c>
      <c r="AC38" s="527">
        <f t="shared" si="6"/>
        <v>0.47897456228458313</v>
      </c>
      <c r="AD38" s="527">
        <f t="shared" si="6"/>
        <v>0.48849006385703586</v>
      </c>
      <c r="AE38" s="527">
        <f t="shared" si="6"/>
        <v>0.49805832899314834</v>
      </c>
      <c r="AF38" s="527">
        <f t="shared" si="6"/>
        <v>0.50662094026473503</v>
      </c>
      <c r="AG38" s="527">
        <f t="shared" si="6"/>
        <v>0.5153358832276117</v>
      </c>
    </row>
    <row r="39" spans="1:34" x14ac:dyDescent="0.25">
      <c r="B39" s="539" t="s">
        <v>669</v>
      </c>
      <c r="C39" s="535">
        <f t="shared" ref="C39:AG39" si="7">1-(C37/C38)</f>
        <v>-1.9199271038985888E-2</v>
      </c>
      <c r="D39" s="535">
        <f t="shared" si="7"/>
        <v>-1.673934779497066E-2</v>
      </c>
      <c r="E39" s="535">
        <f t="shared" si="7"/>
        <v>-1.3800951480559487E-2</v>
      </c>
      <c r="F39" s="535">
        <f t="shared" si="7"/>
        <v>-1.0873766363250104E-2</v>
      </c>
      <c r="G39" s="535">
        <f t="shared" si="7"/>
        <v>-8.2133770722323529E-3</v>
      </c>
      <c r="H39" s="535">
        <f t="shared" si="7"/>
        <v>-5.4986454779351046E-3</v>
      </c>
      <c r="I39" s="535">
        <f t="shared" si="7"/>
        <v>-3.0281670931986415E-3</v>
      </c>
      <c r="J39" s="535">
        <f t="shared" si="7"/>
        <v>-9.5991198520750665E-4</v>
      </c>
      <c r="K39" s="535">
        <f t="shared" si="7"/>
        <v>6.6537933820198791E-4</v>
      </c>
      <c r="L39" s="535">
        <f t="shared" si="7"/>
        <v>2.1288635375984466E-3</v>
      </c>
      <c r="M39" s="535">
        <f t="shared" si="7"/>
        <v>3.4992598597467506E-3</v>
      </c>
      <c r="N39" s="535">
        <f t="shared" si="7"/>
        <v>4.9309798289272067E-3</v>
      </c>
      <c r="O39" s="535">
        <f t="shared" si="7"/>
        <v>6.3508411363710771E-3</v>
      </c>
      <c r="P39" s="535">
        <f t="shared" si="7"/>
        <v>7.9550579881296768E-3</v>
      </c>
      <c r="Q39" s="535">
        <f t="shared" si="7"/>
        <v>9.3782864298840307E-3</v>
      </c>
      <c r="R39" s="535">
        <f t="shared" si="7"/>
        <v>1.0232884883466187E-2</v>
      </c>
      <c r="S39" s="535">
        <f t="shared" si="7"/>
        <v>1.1185828575611456E-2</v>
      </c>
      <c r="T39" s="535">
        <f t="shared" si="7"/>
        <v>1.2276588241348141E-2</v>
      </c>
      <c r="U39" s="535">
        <f t="shared" si="7"/>
        <v>1.3405110618524785E-2</v>
      </c>
      <c r="V39" s="535">
        <f t="shared" si="7"/>
        <v>1.4410770331269029E-2</v>
      </c>
      <c r="W39" s="535">
        <f t="shared" si="7"/>
        <v>1.536707532901338E-2</v>
      </c>
      <c r="X39" s="535">
        <f t="shared" si="7"/>
        <v>1.6348128710565124E-2</v>
      </c>
      <c r="Y39" s="535">
        <f t="shared" si="7"/>
        <v>1.7341347034415588E-2</v>
      </c>
      <c r="Z39" s="535">
        <f t="shared" si="7"/>
        <v>1.8194150637583228E-2</v>
      </c>
      <c r="AA39" s="535">
        <f t="shared" si="7"/>
        <v>1.9155439957035614E-2</v>
      </c>
      <c r="AB39" s="535">
        <f t="shared" si="7"/>
        <v>2.0139721424896728E-2</v>
      </c>
      <c r="AC39" s="535">
        <f t="shared" si="7"/>
        <v>2.1104265436666769E-2</v>
      </c>
      <c r="AD39" s="535">
        <f t="shared" si="7"/>
        <v>2.2052965293211435E-2</v>
      </c>
      <c r="AE39" s="535">
        <f t="shared" si="7"/>
        <v>2.2968404667694453E-2</v>
      </c>
      <c r="AF39" s="535">
        <f t="shared" si="7"/>
        <v>2.3790613364143121E-2</v>
      </c>
      <c r="AG39" s="535">
        <f t="shared" si="7"/>
        <v>2.4594589648040621E-2</v>
      </c>
    </row>
    <row r="40" spans="1:34" x14ac:dyDescent="0.25">
      <c r="C40" t="s">
        <v>670</v>
      </c>
    </row>
    <row r="41" spans="1:34" x14ac:dyDescent="0.25">
      <c r="B41" t="s">
        <v>662</v>
      </c>
    </row>
  </sheetData>
  <mergeCells count="1">
    <mergeCell ref="Q2:T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144"/>
  <sheetViews>
    <sheetView topLeftCell="B1" zoomScale="80" zoomScaleNormal="80" workbookViewId="0">
      <selection activeCell="AN2" sqref="AN2:AQ15"/>
    </sheetView>
  </sheetViews>
  <sheetFormatPr defaultColWidth="9.140625" defaultRowHeight="15" x14ac:dyDescent="0.25"/>
  <cols>
    <col min="1" max="2" width="17.5703125" style="51" customWidth="1"/>
    <col min="3" max="3" width="50.85546875" style="51" customWidth="1"/>
    <col min="4" max="4" width="18.140625" style="51" customWidth="1"/>
    <col min="5" max="5" width="12.85546875" style="51" customWidth="1"/>
    <col min="6" max="6" width="12.42578125" style="51" customWidth="1"/>
    <col min="7" max="7" width="11.42578125" style="51" customWidth="1"/>
    <col min="8" max="9" width="12.140625" style="51" customWidth="1"/>
    <col min="10" max="10" width="12.5703125" style="51" customWidth="1"/>
    <col min="11" max="11" width="13" style="51" customWidth="1"/>
    <col min="12" max="12" width="13.5703125" style="51" customWidth="1"/>
    <col min="13" max="13" width="12.5703125" style="51" customWidth="1"/>
    <col min="14" max="14" width="12.85546875" style="51" customWidth="1"/>
    <col min="15" max="15" width="12.140625" style="51" customWidth="1"/>
    <col min="16" max="16" width="12.42578125" style="51" customWidth="1"/>
    <col min="17" max="18" width="12" style="51" customWidth="1"/>
    <col min="19" max="19" width="13.140625" style="51" customWidth="1"/>
    <col min="20" max="20" width="12.42578125" style="51" customWidth="1"/>
    <col min="21" max="21" width="11.42578125" style="51" customWidth="1"/>
    <col min="22" max="22" width="12.42578125" style="51" customWidth="1"/>
    <col min="23" max="24" width="11.5703125" style="51" customWidth="1"/>
    <col min="25" max="25" width="12.5703125" style="51" customWidth="1"/>
    <col min="26" max="26" width="11.5703125" style="51" customWidth="1"/>
    <col min="27" max="27" width="11.85546875" style="51" customWidth="1"/>
    <col min="28" max="28" width="11.5703125" style="51" customWidth="1"/>
    <col min="29" max="29" width="12" style="51" customWidth="1"/>
    <col min="30" max="30" width="11.5703125" style="51" customWidth="1"/>
    <col min="31" max="31" width="11.42578125" style="51" customWidth="1"/>
    <col min="32" max="33" width="11.85546875" style="51" customWidth="1"/>
    <col min="34" max="34" width="12.5703125" style="51" customWidth="1"/>
    <col min="35" max="35" width="11.5703125" style="51" customWidth="1"/>
    <col min="36" max="36" width="12.42578125" style="51" customWidth="1"/>
    <col min="37" max="37" width="11.42578125" style="51" customWidth="1"/>
    <col min="38" max="38" width="12.42578125" style="51" customWidth="1"/>
    <col min="39" max="16384" width="9.140625" style="51"/>
  </cols>
  <sheetData>
    <row r="1" spans="1:43" x14ac:dyDescent="0.25">
      <c r="B1" s="70" t="s">
        <v>64</v>
      </c>
      <c r="C1" s="51" t="s">
        <v>65</v>
      </c>
      <c r="I1" s="70"/>
      <c r="L1" s="51" t="s">
        <v>66</v>
      </c>
      <c r="O1" s="71"/>
      <c r="P1" s="71" t="s">
        <v>67</v>
      </c>
    </row>
    <row r="2" spans="1:43" x14ac:dyDescent="0.25">
      <c r="A2" s="72" t="s">
        <v>68</v>
      </c>
      <c r="B2" s="51">
        <v>60</v>
      </c>
      <c r="C2" s="51" t="s">
        <v>69</v>
      </c>
      <c r="D2" s="72" t="s">
        <v>394</v>
      </c>
      <c r="E2" s="370">
        <f>Inputs!B12</f>
        <v>2.4E-2</v>
      </c>
      <c r="I2" s="70" t="s">
        <v>70</v>
      </c>
      <c r="O2" s="71"/>
      <c r="P2" s="71"/>
      <c r="X2" s="72" t="s">
        <v>71</v>
      </c>
      <c r="AN2" s="797" t="s">
        <v>763</v>
      </c>
      <c r="AO2" s="797"/>
      <c r="AP2" s="797"/>
      <c r="AQ2" s="797"/>
    </row>
    <row r="3" spans="1:43" x14ac:dyDescent="0.25">
      <c r="A3" s="72" t="s">
        <v>647</v>
      </c>
      <c r="B3" s="78">
        <f t="shared" ref="B3:B9" si="0">IF($A$12="IOU",E136,F136)</f>
        <v>31.833333333333332</v>
      </c>
      <c r="C3" s="51" t="s">
        <v>72</v>
      </c>
      <c r="D3" s="72" t="s">
        <v>73</v>
      </c>
      <c r="E3" s="73">
        <v>127462</v>
      </c>
      <c r="F3" s="51" t="s">
        <v>74</v>
      </c>
      <c r="G3" s="51">
        <f>E3/3412</f>
        <v>37.356975381008205</v>
      </c>
      <c r="I3" s="74" t="s">
        <v>75</v>
      </c>
      <c r="J3" s="51">
        <v>4.72</v>
      </c>
      <c r="K3" s="51" t="s">
        <v>76</v>
      </c>
      <c r="L3" s="72"/>
      <c r="M3" s="72" t="s">
        <v>77</v>
      </c>
      <c r="N3" s="75">
        <v>500000</v>
      </c>
      <c r="O3" s="72"/>
      <c r="P3" s="72" t="s">
        <v>78</v>
      </c>
      <c r="Q3" s="51">
        <v>0.98</v>
      </c>
      <c r="R3" s="51" t="s">
        <v>79</v>
      </c>
      <c r="S3" s="51" t="s">
        <v>80</v>
      </c>
      <c r="U3" s="72" t="s">
        <v>81</v>
      </c>
      <c r="V3" s="76">
        <v>2204.6</v>
      </c>
      <c r="W3" s="51" t="s">
        <v>82</v>
      </c>
      <c r="Y3" s="51" t="s">
        <v>83</v>
      </c>
      <c r="AB3" s="72" t="s">
        <v>84</v>
      </c>
      <c r="AC3" s="51">
        <v>0.91076740035693049</v>
      </c>
      <c r="AG3" s="51" t="s">
        <v>85</v>
      </c>
      <c r="AN3" s="797"/>
      <c r="AO3" s="797"/>
      <c r="AP3" s="797"/>
      <c r="AQ3" s="797"/>
    </row>
    <row r="4" spans="1:43" x14ac:dyDescent="0.25">
      <c r="A4" s="72" t="s">
        <v>645</v>
      </c>
      <c r="B4" s="152">
        <f t="shared" si="0"/>
        <v>7.6920000000000002</v>
      </c>
      <c r="C4" s="73"/>
      <c r="D4" s="72" t="s">
        <v>87</v>
      </c>
      <c r="E4" s="78">
        <v>7.8454755140000003</v>
      </c>
      <c r="F4" s="51" t="s">
        <v>88</v>
      </c>
      <c r="G4" s="274">
        <f>G3*H104</f>
        <v>17.169912160785461</v>
      </c>
      <c r="I4" s="74" t="s">
        <v>89</v>
      </c>
      <c r="J4" s="51">
        <v>1.95</v>
      </c>
      <c r="K4" s="51" t="s">
        <v>90</v>
      </c>
      <c r="L4" s="72"/>
      <c r="M4" s="79" t="s">
        <v>91</v>
      </c>
      <c r="N4" s="75">
        <v>800000</v>
      </c>
      <c r="O4" s="72"/>
      <c r="P4" s="72" t="s">
        <v>92</v>
      </c>
      <c r="Q4" s="51">
        <v>0.9</v>
      </c>
      <c r="S4" s="72" t="s">
        <v>93</v>
      </c>
      <c r="T4" s="287">
        <v>29.3</v>
      </c>
      <c r="U4" s="51" t="s">
        <v>71</v>
      </c>
      <c r="W4" s="72" t="s">
        <v>94</v>
      </c>
      <c r="X4" s="51">
        <v>11.68</v>
      </c>
      <c r="Y4" s="72" t="s">
        <v>95</v>
      </c>
      <c r="Z4" s="51">
        <v>134.47999999999999</v>
      </c>
      <c r="AA4" s="51" t="s">
        <v>96</v>
      </c>
      <c r="AB4" s="72" t="s">
        <v>97</v>
      </c>
      <c r="AC4" s="78">
        <f>(Z4*0.95)+(Z5*0.05)</f>
        <v>134.0625</v>
      </c>
      <c r="AD4" s="51" t="s">
        <v>96</v>
      </c>
      <c r="AG4" s="72" t="s">
        <v>98</v>
      </c>
      <c r="AH4" s="77">
        <v>2</v>
      </c>
      <c r="AI4" s="51" t="s">
        <v>99</v>
      </c>
      <c r="AJ4" s="51" t="s">
        <v>395</v>
      </c>
      <c r="AN4" s="797"/>
      <c r="AO4" s="797"/>
      <c r="AP4" s="797"/>
      <c r="AQ4" s="797"/>
    </row>
    <row r="5" spans="1:43" x14ac:dyDescent="0.25">
      <c r="A5" s="72" t="s">
        <v>646</v>
      </c>
      <c r="B5" s="152">
        <f t="shared" si="0"/>
        <v>7.6920000000000002</v>
      </c>
      <c r="D5" s="72" t="s">
        <v>101</v>
      </c>
      <c r="E5" s="80">
        <f>Inputs!B16</f>
        <v>30000</v>
      </c>
      <c r="F5" s="51" t="s">
        <v>102</v>
      </c>
      <c r="H5" s="81"/>
      <c r="I5" s="82" t="s">
        <v>103</v>
      </c>
      <c r="J5" s="51">
        <f>J6*0.9</f>
        <v>3.726</v>
      </c>
      <c r="K5" s="51" t="s">
        <v>637</v>
      </c>
      <c r="L5" s="72"/>
      <c r="M5" s="72" t="s">
        <v>104</v>
      </c>
      <c r="N5" s="75">
        <v>1200000</v>
      </c>
      <c r="O5" s="72"/>
      <c r="P5" s="72" t="s">
        <v>105</v>
      </c>
      <c r="Q5" s="73">
        <v>127462</v>
      </c>
      <c r="R5" s="51" t="s">
        <v>74</v>
      </c>
      <c r="S5" s="72" t="s">
        <v>106</v>
      </c>
      <c r="T5" s="287">
        <v>26.55</v>
      </c>
      <c r="U5" s="51" t="s">
        <v>71</v>
      </c>
      <c r="W5" s="72" t="s">
        <v>107</v>
      </c>
      <c r="X5" s="51">
        <v>23.7</v>
      </c>
      <c r="Y5" s="72" t="s">
        <v>108</v>
      </c>
      <c r="Z5" s="51">
        <v>126.13</v>
      </c>
      <c r="AA5" s="51" t="s">
        <v>96</v>
      </c>
      <c r="AB5" s="72" t="s">
        <v>106</v>
      </c>
      <c r="AC5" s="51">
        <f>(Z4*0.8)+(Z5*0.2)</f>
        <v>132.81</v>
      </c>
      <c r="AD5" s="51" t="s">
        <v>96</v>
      </c>
      <c r="AE5" s="83">
        <f>AC5/AC4</f>
        <v>0.99065734265734262</v>
      </c>
      <c r="AG5" s="72" t="s">
        <v>93</v>
      </c>
      <c r="AH5" s="51">
        <v>2.5</v>
      </c>
      <c r="AI5" s="51" t="s">
        <v>109</v>
      </c>
      <c r="AJ5" s="51">
        <v>100</v>
      </c>
      <c r="AK5" s="51" t="s">
        <v>110</v>
      </c>
      <c r="AN5" s="797"/>
      <c r="AO5" s="797"/>
      <c r="AP5" s="797"/>
      <c r="AQ5" s="797"/>
    </row>
    <row r="6" spans="1:43" ht="15.75" thickBot="1" x14ac:dyDescent="0.3">
      <c r="A6" s="72" t="s">
        <v>111</v>
      </c>
      <c r="B6" s="152">
        <f t="shared" si="0"/>
        <v>420.5</v>
      </c>
      <c r="D6" s="72" t="s">
        <v>112</v>
      </c>
      <c r="E6" s="84">
        <f>J6</f>
        <v>4.1399999999999997</v>
      </c>
      <c r="I6" s="82" t="s">
        <v>113</v>
      </c>
      <c r="J6" s="51">
        <v>4.1399999999999997</v>
      </c>
      <c r="K6" s="51" t="s">
        <v>76</v>
      </c>
      <c r="M6" s="72" t="s">
        <v>114</v>
      </c>
      <c r="N6" s="85">
        <v>14</v>
      </c>
      <c r="O6" s="72" t="s">
        <v>600</v>
      </c>
      <c r="P6" s="506">
        <v>0.94</v>
      </c>
      <c r="Q6" s="86"/>
      <c r="S6" s="72" t="s">
        <v>115</v>
      </c>
      <c r="T6" s="287">
        <v>24.44</v>
      </c>
      <c r="U6" s="51" t="s">
        <v>71</v>
      </c>
      <c r="W6" s="72"/>
      <c r="Y6" s="72" t="s">
        <v>116</v>
      </c>
      <c r="Z6" s="51">
        <v>129.65</v>
      </c>
      <c r="AA6" s="51" t="s">
        <v>96</v>
      </c>
      <c r="AB6" s="72" t="s">
        <v>117</v>
      </c>
      <c r="AC6" s="78">
        <f>(Z4*0.8)+(Z6*0.2)</f>
        <v>133.51400000000001</v>
      </c>
      <c r="AD6" s="51" t="s">
        <v>96</v>
      </c>
      <c r="AE6" s="83">
        <f>AC6/AC4</f>
        <v>0.99590862470862473</v>
      </c>
      <c r="AG6" s="72" t="s">
        <v>118</v>
      </c>
      <c r="AH6" s="51">
        <v>2.25</v>
      </c>
      <c r="AI6" s="51" t="s">
        <v>109</v>
      </c>
      <c r="AJ6" s="51">
        <v>100</v>
      </c>
      <c r="AK6" s="51" t="s">
        <v>110</v>
      </c>
      <c r="AN6" s="797"/>
      <c r="AO6" s="797"/>
      <c r="AP6" s="797"/>
      <c r="AQ6" s="797"/>
    </row>
    <row r="7" spans="1:43" x14ac:dyDescent="0.25">
      <c r="A7" s="72" t="s">
        <v>648</v>
      </c>
      <c r="B7" s="371">
        <f t="shared" si="0"/>
        <v>8333</v>
      </c>
      <c r="C7" s="51" t="s">
        <v>119</v>
      </c>
      <c r="D7" s="72" t="s">
        <v>120</v>
      </c>
      <c r="E7" s="80">
        <f>Inputs!B18</f>
        <v>1</v>
      </c>
      <c r="G7" s="158"/>
      <c r="I7" s="72"/>
      <c r="J7" s="51">
        <f>J6*0.9</f>
        <v>3.726</v>
      </c>
      <c r="L7" s="87" t="s">
        <v>121</v>
      </c>
      <c r="M7" s="88"/>
      <c r="N7" s="88"/>
      <c r="O7" s="89" t="s">
        <v>599</v>
      </c>
      <c r="P7" s="504">
        <v>0.95</v>
      </c>
      <c r="Q7" s="90"/>
      <c r="S7" s="72" t="s">
        <v>122</v>
      </c>
      <c r="T7" s="287">
        <v>9.36</v>
      </c>
      <c r="U7" s="51" t="s">
        <v>71</v>
      </c>
      <c r="W7" s="72" t="s">
        <v>122</v>
      </c>
      <c r="X7" s="78">
        <f>T7/AC3</f>
        <v>10.27704768125408</v>
      </c>
      <c r="Y7" s="72" t="s">
        <v>71</v>
      </c>
      <c r="AG7" s="72" t="s">
        <v>94</v>
      </c>
      <c r="AH7" s="51">
        <v>2</v>
      </c>
      <c r="AI7" s="51" t="s">
        <v>109</v>
      </c>
      <c r="AJ7" s="51">
        <v>100</v>
      </c>
      <c r="AK7" s="51" t="s">
        <v>110</v>
      </c>
      <c r="AN7" s="797"/>
      <c r="AO7" s="797"/>
      <c r="AP7" s="797"/>
      <c r="AQ7" s="797"/>
    </row>
    <row r="8" spans="1:43" x14ac:dyDescent="0.25">
      <c r="A8" s="72" t="s">
        <v>643</v>
      </c>
      <c r="B8" s="531">
        <f t="shared" si="0"/>
        <v>5.4774000000000003E-2</v>
      </c>
      <c r="D8" s="72" t="s">
        <v>672</v>
      </c>
      <c r="E8" s="92">
        <f>E5*E7</f>
        <v>30000</v>
      </c>
      <c r="I8" s="72"/>
      <c r="L8" s="93" t="s">
        <v>95</v>
      </c>
      <c r="M8" s="94">
        <v>1</v>
      </c>
      <c r="N8" s="63"/>
      <c r="O8" s="95" t="s">
        <v>123</v>
      </c>
      <c r="P8" s="96">
        <f>M8*0.99</f>
        <v>0.99</v>
      </c>
      <c r="Q8" s="90"/>
      <c r="S8" s="72" t="s">
        <v>389</v>
      </c>
      <c r="T8" s="287">
        <f>VLOOKUP(Inputs!$B$31,'CIs for 2020'!$A:$AT,45,FALSE)</f>
        <v>191.41504672912029</v>
      </c>
      <c r="U8" s="51" t="s">
        <v>679</v>
      </c>
      <c r="W8" s="72"/>
      <c r="X8" s="78"/>
      <c r="Y8" s="72"/>
      <c r="AN8" s="797"/>
      <c r="AO8" s="797"/>
      <c r="AP8" s="797"/>
      <c r="AQ8" s="797"/>
    </row>
    <row r="9" spans="1:43" x14ac:dyDescent="0.25">
      <c r="A9" s="72" t="s">
        <v>644</v>
      </c>
      <c r="B9" s="531">
        <f t="shared" si="0"/>
        <v>5.4774000000000003E-2</v>
      </c>
      <c r="D9" s="72" t="s">
        <v>125</v>
      </c>
      <c r="E9" s="84">
        <v>1.95</v>
      </c>
      <c r="F9" s="51" t="s">
        <v>126</v>
      </c>
      <c r="H9" s="72"/>
      <c r="I9" s="72" t="s">
        <v>127</v>
      </c>
      <c r="J9" s="97">
        <v>120000</v>
      </c>
      <c r="L9" s="93" t="s">
        <v>128</v>
      </c>
      <c r="M9" s="94">
        <v>0.93</v>
      </c>
      <c r="N9" s="63"/>
      <c r="O9" s="95" t="s">
        <v>115</v>
      </c>
      <c r="P9" s="96">
        <f>M8*0.98</f>
        <v>0.98</v>
      </c>
      <c r="Q9" s="90"/>
      <c r="S9" s="72" t="s">
        <v>389</v>
      </c>
      <c r="T9" s="368">
        <f>(T8*0.00220462/0.277778)</f>
        <v>1.5191895698001754</v>
      </c>
      <c r="U9" s="368" t="s">
        <v>124</v>
      </c>
      <c r="W9" s="72"/>
      <c r="X9" s="78"/>
      <c r="Y9" s="72"/>
      <c r="AN9" s="797"/>
      <c r="AO9" s="797"/>
      <c r="AP9" s="797"/>
      <c r="AQ9" s="797"/>
    </row>
    <row r="10" spans="1:43" x14ac:dyDescent="0.25">
      <c r="A10" s="72" t="s">
        <v>129</v>
      </c>
      <c r="B10" s="98">
        <f>((E5*E7)/12)*E9</f>
        <v>4875</v>
      </c>
      <c r="C10" s="51" t="s">
        <v>638</v>
      </c>
      <c r="D10" s="72" t="s">
        <v>130</v>
      </c>
      <c r="E10" s="92">
        <f>(E5*E7)/12</f>
        <v>2500</v>
      </c>
      <c r="F10" s="51" t="s">
        <v>102</v>
      </c>
      <c r="I10" s="72" t="s">
        <v>131</v>
      </c>
      <c r="J10" s="51">
        <v>12</v>
      </c>
      <c r="L10" s="93" t="s">
        <v>107</v>
      </c>
      <c r="M10" s="94">
        <v>1.0149999999999999</v>
      </c>
      <c r="N10" s="63"/>
      <c r="O10" s="95" t="s">
        <v>94</v>
      </c>
      <c r="P10" s="96">
        <f>M8*0.95</f>
        <v>0.95</v>
      </c>
      <c r="Q10" s="90"/>
      <c r="S10" s="72"/>
      <c r="W10" s="72"/>
      <c r="X10" s="78"/>
      <c r="Y10" s="72"/>
      <c r="AN10" s="797"/>
      <c r="AO10" s="797"/>
      <c r="AP10" s="797"/>
      <c r="AQ10" s="797"/>
    </row>
    <row r="11" spans="1:43" ht="15.75" thickBot="1" x14ac:dyDescent="0.3">
      <c r="A11" s="72" t="s">
        <v>132</v>
      </c>
      <c r="B11" s="98">
        <f>E7*B2</f>
        <v>60</v>
      </c>
      <c r="C11" s="51" t="s">
        <v>133</v>
      </c>
      <c r="D11" s="72" t="s">
        <v>134</v>
      </c>
      <c r="E11" s="97">
        <v>105000</v>
      </c>
      <c r="I11" s="72"/>
      <c r="L11" s="99" t="s">
        <v>135</v>
      </c>
      <c r="M11" s="100">
        <v>0.96</v>
      </c>
      <c r="N11" s="101"/>
      <c r="O11" s="102" t="s">
        <v>601</v>
      </c>
      <c r="P11" s="505">
        <v>0.91</v>
      </c>
      <c r="Q11" s="90"/>
      <c r="S11" s="72"/>
      <c r="W11" s="72"/>
      <c r="X11" s="78"/>
      <c r="Y11" s="72"/>
      <c r="AN11" s="797"/>
      <c r="AO11" s="797"/>
      <c r="AP11" s="797"/>
      <c r="AQ11" s="797"/>
    </row>
    <row r="12" spans="1:43" x14ac:dyDescent="0.25">
      <c r="A12" s="524" t="str">
        <f>IF(Inputs!B31="Pacific Power (PacifiCorp)","IOU",IF(Inputs!B31="Portland General Electric (PGE)","IOU","COU"))</f>
        <v>IOU</v>
      </c>
      <c r="B12" s="87" t="s">
        <v>136</v>
      </c>
      <c r="C12" s="422" t="s">
        <v>137</v>
      </c>
      <c r="D12" s="423" t="s">
        <v>493</v>
      </c>
      <c r="E12" s="424">
        <v>2017</v>
      </c>
      <c r="F12" s="425">
        <v>2018</v>
      </c>
      <c r="G12" s="426">
        <v>2019</v>
      </c>
      <c r="H12" s="426">
        <v>2020</v>
      </c>
      <c r="I12" s="426">
        <v>2021</v>
      </c>
      <c r="J12" s="426">
        <v>2022</v>
      </c>
      <c r="K12" s="426">
        <v>2023</v>
      </c>
      <c r="L12" s="426">
        <v>2024</v>
      </c>
      <c r="M12" s="426">
        <v>2025</v>
      </c>
      <c r="N12" s="426">
        <v>2026</v>
      </c>
      <c r="O12" s="426">
        <v>2027</v>
      </c>
      <c r="P12" s="426">
        <v>2028</v>
      </c>
      <c r="Q12" s="426">
        <v>2029</v>
      </c>
      <c r="R12" s="426">
        <v>2030</v>
      </c>
      <c r="S12" s="426">
        <v>2031</v>
      </c>
      <c r="T12" s="426">
        <v>2032</v>
      </c>
      <c r="U12" s="426">
        <v>2033</v>
      </c>
      <c r="V12" s="426">
        <v>2034</v>
      </c>
      <c r="W12" s="426">
        <v>2035</v>
      </c>
      <c r="X12" s="426">
        <v>2036</v>
      </c>
      <c r="Y12" s="426">
        <v>2037</v>
      </c>
      <c r="Z12" s="426">
        <v>2038</v>
      </c>
      <c r="AA12" s="426">
        <v>2039</v>
      </c>
      <c r="AB12" s="426">
        <v>2040</v>
      </c>
      <c r="AC12" s="426">
        <v>2041</v>
      </c>
      <c r="AD12" s="426">
        <v>2042</v>
      </c>
      <c r="AE12" s="426">
        <v>2043</v>
      </c>
      <c r="AF12" s="426">
        <v>2044</v>
      </c>
      <c r="AG12" s="426">
        <v>2045</v>
      </c>
      <c r="AH12" s="426">
        <v>2046</v>
      </c>
      <c r="AI12" s="426">
        <v>2047</v>
      </c>
      <c r="AJ12" s="426">
        <v>2048</v>
      </c>
      <c r="AK12" s="426">
        <v>2049</v>
      </c>
      <c r="AL12" s="427">
        <v>2050</v>
      </c>
      <c r="AN12" s="797"/>
      <c r="AO12" s="797"/>
      <c r="AP12" s="797"/>
      <c r="AQ12" s="797"/>
    </row>
    <row r="13" spans="1:43" ht="15.75" thickBot="1" x14ac:dyDescent="0.3">
      <c r="B13" s="105" t="s">
        <v>138</v>
      </c>
      <c r="C13" s="428" t="s">
        <v>494</v>
      </c>
      <c r="D13" s="429" t="s">
        <v>139</v>
      </c>
      <c r="E13" s="430">
        <v>20.40943</v>
      </c>
      <c r="F13" s="431">
        <v>24.526931999999999</v>
      </c>
      <c r="G13" s="432">
        <v>22.110787999999999</v>
      </c>
      <c r="H13" s="432">
        <v>21.86459</v>
      </c>
      <c r="I13" s="432">
        <v>22.520702</v>
      </c>
      <c r="J13" s="432">
        <v>23.447042</v>
      </c>
      <c r="K13" s="432">
        <v>24.155602999999999</v>
      </c>
      <c r="L13" s="432">
        <v>25.152311000000001</v>
      </c>
      <c r="M13" s="432">
        <v>25.876425000000001</v>
      </c>
      <c r="N13" s="432">
        <v>26.968354999999999</v>
      </c>
      <c r="O13" s="432">
        <v>27.682907</v>
      </c>
      <c r="P13" s="432">
        <v>28.782222999999998</v>
      </c>
      <c r="Q13" s="432">
        <v>29.744112000000001</v>
      </c>
      <c r="R13" s="432">
        <v>31.072458000000001</v>
      </c>
      <c r="S13" s="432">
        <v>32.131252000000003</v>
      </c>
      <c r="T13" s="432">
        <v>33.081982000000004</v>
      </c>
      <c r="U13" s="432">
        <v>34.358592999999999</v>
      </c>
      <c r="V13" s="432">
        <v>35.388378000000003</v>
      </c>
      <c r="W13" s="432">
        <v>36.483024999999998</v>
      </c>
      <c r="X13" s="432">
        <v>37.664371000000003</v>
      </c>
      <c r="Y13" s="432">
        <v>38.762928000000002</v>
      </c>
      <c r="Z13" s="432">
        <v>39.965316999999999</v>
      </c>
      <c r="AA13" s="432">
        <v>41.210845999999997</v>
      </c>
      <c r="AB13" s="432">
        <v>42.134258000000003</v>
      </c>
      <c r="AC13" s="432">
        <v>43.364654999999999</v>
      </c>
      <c r="AD13" s="432">
        <v>45.008724000000001</v>
      </c>
      <c r="AE13" s="432">
        <v>46.323138999999998</v>
      </c>
      <c r="AF13" s="432">
        <v>47.77346</v>
      </c>
      <c r="AG13" s="432">
        <v>49.573794999999997</v>
      </c>
      <c r="AH13" s="432">
        <v>50.781283999999999</v>
      </c>
      <c r="AI13" s="432">
        <v>52.495159000000001</v>
      </c>
      <c r="AJ13" s="432">
        <v>54.246723000000003</v>
      </c>
      <c r="AK13" s="432">
        <v>55.935318000000002</v>
      </c>
      <c r="AL13" s="433">
        <v>57.626914999999997</v>
      </c>
      <c r="AN13" s="797"/>
      <c r="AO13" s="797"/>
      <c r="AP13" s="797"/>
      <c r="AQ13" s="797"/>
    </row>
    <row r="14" spans="1:43" x14ac:dyDescent="0.25">
      <c r="B14" s="106" t="s">
        <v>140</v>
      </c>
      <c r="C14" s="104"/>
      <c r="D14" s="434" t="s">
        <v>141</v>
      </c>
      <c r="E14" s="435">
        <f>E13/$E$4</f>
        <v>2.6014267667498325</v>
      </c>
      <c r="F14" s="436">
        <f t="shared" ref="F14:AL14" si="1">F13/$E$4</f>
        <v>3.1262518066919553</v>
      </c>
      <c r="G14" s="437">
        <f t="shared" si="1"/>
        <v>2.818285260153321</v>
      </c>
      <c r="H14" s="437">
        <f t="shared" si="1"/>
        <v>2.7869043706762371</v>
      </c>
      <c r="I14" s="437">
        <f t="shared" si="1"/>
        <v>2.870533718423125</v>
      </c>
      <c r="J14" s="437">
        <f t="shared" si="1"/>
        <v>2.9886068675072024</v>
      </c>
      <c r="K14" s="437">
        <f t="shared" si="1"/>
        <v>3.0789214696923213</v>
      </c>
      <c r="L14" s="437">
        <f t="shared" si="1"/>
        <v>3.2059638647927082</v>
      </c>
      <c r="M14" s="437">
        <f t="shared" si="1"/>
        <v>3.2982608834638953</v>
      </c>
      <c r="N14" s="437">
        <f t="shared" si="1"/>
        <v>3.4374404651287014</v>
      </c>
      <c r="O14" s="437">
        <f t="shared" si="1"/>
        <v>3.5285186921558469</v>
      </c>
      <c r="P14" s="437">
        <f t="shared" si="1"/>
        <v>3.6686397081526851</v>
      </c>
      <c r="Q14" s="437">
        <f t="shared" si="1"/>
        <v>3.7912440038749193</v>
      </c>
      <c r="R14" s="437">
        <f t="shared" si="1"/>
        <v>3.9605576417327661</v>
      </c>
      <c r="S14" s="437">
        <f t="shared" si="1"/>
        <v>4.0955136425654262</v>
      </c>
      <c r="T14" s="437">
        <f t="shared" si="1"/>
        <v>4.2166955898296115</v>
      </c>
      <c r="U14" s="437">
        <f t="shared" si="1"/>
        <v>4.3794149811172298</v>
      </c>
      <c r="V14" s="437">
        <f t="shared" si="1"/>
        <v>4.5106734367917625</v>
      </c>
      <c r="W14" s="437">
        <f t="shared" si="1"/>
        <v>4.6501993327105806</v>
      </c>
      <c r="X14" s="437">
        <f t="shared" si="1"/>
        <v>4.8007760565677806</v>
      </c>
      <c r="Y14" s="437">
        <f t="shared" si="1"/>
        <v>4.940800328906616</v>
      </c>
      <c r="Z14" s="437">
        <f t="shared" si="1"/>
        <v>5.0940592356299081</v>
      </c>
      <c r="AA14" s="437">
        <f t="shared" si="1"/>
        <v>5.2528168530333899</v>
      </c>
      <c r="AB14" s="437">
        <f t="shared" si="1"/>
        <v>5.370516793381455</v>
      </c>
      <c r="AC14" s="437">
        <f t="shared" si="1"/>
        <v>5.52734565580087</v>
      </c>
      <c r="AD14" s="437">
        <f t="shared" si="1"/>
        <v>5.7369019786861069</v>
      </c>
      <c r="AE14" s="437">
        <f t="shared" si="1"/>
        <v>5.9044399434218917</v>
      </c>
      <c r="AF14" s="437">
        <f t="shared" si="1"/>
        <v>6.0893007587302757</v>
      </c>
      <c r="AG14" s="437">
        <f t="shared" si="1"/>
        <v>6.3187750585081996</v>
      </c>
      <c r="AH14" s="437">
        <f t="shared" si="1"/>
        <v>6.4726840214315144</v>
      </c>
      <c r="AI14" s="437">
        <f t="shared" si="1"/>
        <v>6.6911379566890581</v>
      </c>
      <c r="AJ14" s="437">
        <f t="shared" si="1"/>
        <v>6.9143958072647678</v>
      </c>
      <c r="AK14" s="437">
        <f t="shared" si="1"/>
        <v>7.1296275031622001</v>
      </c>
      <c r="AL14" s="438">
        <f t="shared" si="1"/>
        <v>7.345241839983645</v>
      </c>
      <c r="AN14" s="797"/>
      <c r="AO14" s="797"/>
      <c r="AP14" s="797"/>
      <c r="AQ14" s="797"/>
    </row>
    <row r="15" spans="1:43" x14ac:dyDescent="0.25">
      <c r="B15" s="108" t="s">
        <v>142</v>
      </c>
      <c r="C15" s="439" t="s">
        <v>495</v>
      </c>
      <c r="D15" s="440">
        <v>0.45</v>
      </c>
      <c r="E15" s="109">
        <f>E14-$D$15</f>
        <v>2.1514267667498324</v>
      </c>
      <c r="F15" s="110">
        <f t="shared" ref="F15:AL15" si="2">F14-$D$15</f>
        <v>2.6762518066919552</v>
      </c>
      <c r="G15" s="109">
        <f t="shared" si="2"/>
        <v>2.3682852601533209</v>
      </c>
      <c r="H15" s="109">
        <f t="shared" si="2"/>
        <v>2.3369043706762369</v>
      </c>
      <c r="I15" s="109">
        <f t="shared" si="2"/>
        <v>2.4205337184231248</v>
      </c>
      <c r="J15" s="109">
        <f t="shared" si="2"/>
        <v>2.5386068675072022</v>
      </c>
      <c r="K15" s="109">
        <f t="shared" si="2"/>
        <v>2.6289214696923211</v>
      </c>
      <c r="L15" s="109">
        <f t="shared" si="2"/>
        <v>2.7559638647927081</v>
      </c>
      <c r="M15" s="109">
        <f t="shared" si="2"/>
        <v>2.8482608834638952</v>
      </c>
      <c r="N15" s="109">
        <f t="shared" si="2"/>
        <v>2.9874404651287012</v>
      </c>
      <c r="O15" s="109">
        <f t="shared" si="2"/>
        <v>3.0785186921558467</v>
      </c>
      <c r="P15" s="109">
        <f t="shared" si="2"/>
        <v>3.218639708152685</v>
      </c>
      <c r="Q15" s="109">
        <f t="shared" si="2"/>
        <v>3.3412440038749192</v>
      </c>
      <c r="R15" s="109">
        <f t="shared" si="2"/>
        <v>3.510557641732766</v>
      </c>
      <c r="S15" s="109">
        <f t="shared" si="2"/>
        <v>3.645513642565426</v>
      </c>
      <c r="T15" s="109">
        <f t="shared" si="2"/>
        <v>3.7666955898296113</v>
      </c>
      <c r="U15" s="109">
        <f t="shared" si="2"/>
        <v>3.9294149811172296</v>
      </c>
      <c r="V15" s="109">
        <f t="shared" si="2"/>
        <v>4.0606734367917623</v>
      </c>
      <c r="W15" s="109">
        <f t="shared" si="2"/>
        <v>4.2001993327105804</v>
      </c>
      <c r="X15" s="109">
        <f t="shared" si="2"/>
        <v>4.3507760565677804</v>
      </c>
      <c r="Y15" s="109">
        <f t="shared" si="2"/>
        <v>4.4908003289066158</v>
      </c>
      <c r="Z15" s="109">
        <f t="shared" si="2"/>
        <v>4.644059235629908</v>
      </c>
      <c r="AA15" s="109">
        <f t="shared" si="2"/>
        <v>4.8028168530333897</v>
      </c>
      <c r="AB15" s="109">
        <f t="shared" si="2"/>
        <v>4.9205167933814549</v>
      </c>
      <c r="AC15" s="109">
        <f t="shared" si="2"/>
        <v>5.0773456558008698</v>
      </c>
      <c r="AD15" s="109">
        <f t="shared" si="2"/>
        <v>5.2869019786861067</v>
      </c>
      <c r="AE15" s="109">
        <f t="shared" si="2"/>
        <v>5.4544399434218915</v>
      </c>
      <c r="AF15" s="109">
        <f t="shared" si="2"/>
        <v>5.6393007587302755</v>
      </c>
      <c r="AG15" s="109">
        <f t="shared" si="2"/>
        <v>5.8687750585081995</v>
      </c>
      <c r="AH15" s="109">
        <f t="shared" si="2"/>
        <v>6.0226840214315143</v>
      </c>
      <c r="AI15" s="109">
        <f t="shared" si="2"/>
        <v>6.2411379566890579</v>
      </c>
      <c r="AJ15" s="109">
        <f t="shared" si="2"/>
        <v>6.4643958072647676</v>
      </c>
      <c r="AK15" s="109">
        <f t="shared" si="2"/>
        <v>6.6796275031621999</v>
      </c>
      <c r="AL15" s="110">
        <f t="shared" si="2"/>
        <v>6.8952418399836448</v>
      </c>
      <c r="AN15" s="797"/>
      <c r="AO15" s="797"/>
      <c r="AP15" s="797"/>
      <c r="AQ15" s="797"/>
    </row>
    <row r="16" spans="1:43" x14ac:dyDescent="0.25">
      <c r="B16" s="111"/>
      <c r="C16" s="441" t="s">
        <v>143</v>
      </c>
      <c r="D16" s="111"/>
      <c r="E16" s="112">
        <f>E15/$E$6</f>
        <v>0.51966830114730256</v>
      </c>
      <c r="F16" s="113">
        <f t="shared" ref="F16:AL16" si="3">F15/$E$6</f>
        <v>0.64643763446665592</v>
      </c>
      <c r="G16" s="112">
        <f t="shared" si="3"/>
        <v>0.57204957974717896</v>
      </c>
      <c r="H16" s="112">
        <f t="shared" si="3"/>
        <v>0.56446965475271427</v>
      </c>
      <c r="I16" s="112">
        <f t="shared" si="3"/>
        <v>0.58466998029544082</v>
      </c>
      <c r="J16" s="112">
        <f t="shared" si="3"/>
        <v>0.61319006461526626</v>
      </c>
      <c r="K16" s="112">
        <f t="shared" si="3"/>
        <v>0.63500518591601962</v>
      </c>
      <c r="L16" s="112">
        <f t="shared" si="3"/>
        <v>0.66569175478084741</v>
      </c>
      <c r="M16" s="112">
        <f t="shared" si="3"/>
        <v>0.68798572064345298</v>
      </c>
      <c r="N16" s="112">
        <f t="shared" si="3"/>
        <v>0.72160397708422741</v>
      </c>
      <c r="O16" s="112">
        <f t="shared" si="3"/>
        <v>0.74360354882991475</v>
      </c>
      <c r="P16" s="112">
        <f t="shared" si="3"/>
        <v>0.77744920486779834</v>
      </c>
      <c r="Q16" s="112">
        <f t="shared" si="3"/>
        <v>0.8070637690519129</v>
      </c>
      <c r="R16" s="112">
        <f t="shared" si="3"/>
        <v>0.84796078302723821</v>
      </c>
      <c r="S16" s="112">
        <f t="shared" si="3"/>
        <v>0.8805588508612141</v>
      </c>
      <c r="T16" s="112">
        <f t="shared" si="3"/>
        <v>0.90982985261584826</v>
      </c>
      <c r="U16" s="112">
        <f t="shared" si="3"/>
        <v>0.94913405340995893</v>
      </c>
      <c r="V16" s="112">
        <f t="shared" si="3"/>
        <v>0.98083899439414557</v>
      </c>
      <c r="W16" s="112">
        <f t="shared" si="3"/>
        <v>1.0145409016209133</v>
      </c>
      <c r="X16" s="112">
        <f t="shared" si="3"/>
        <v>1.0509120909584011</v>
      </c>
      <c r="Y16" s="112">
        <f t="shared" si="3"/>
        <v>1.0847343789629507</v>
      </c>
      <c r="Z16" s="112">
        <f t="shared" si="3"/>
        <v>1.1217534385579488</v>
      </c>
      <c r="AA16" s="112">
        <f t="shared" si="3"/>
        <v>1.1601006891385</v>
      </c>
      <c r="AB16" s="112">
        <f t="shared" si="3"/>
        <v>1.1885306264206414</v>
      </c>
      <c r="AC16" s="112">
        <f t="shared" si="3"/>
        <v>1.2264119941547995</v>
      </c>
      <c r="AD16" s="112">
        <f t="shared" si="3"/>
        <v>1.2770294634507504</v>
      </c>
      <c r="AE16" s="112">
        <f t="shared" si="3"/>
        <v>1.3174975708748531</v>
      </c>
      <c r="AF16" s="112">
        <f t="shared" si="3"/>
        <v>1.3621499417222889</v>
      </c>
      <c r="AG16" s="112">
        <f t="shared" si="3"/>
        <v>1.4175785165478745</v>
      </c>
      <c r="AH16" s="112">
        <f t="shared" si="3"/>
        <v>1.4547545945486751</v>
      </c>
      <c r="AI16" s="112">
        <f t="shared" si="3"/>
        <v>1.5075212455770672</v>
      </c>
      <c r="AJ16" s="112">
        <f t="shared" si="3"/>
        <v>1.5614482626243402</v>
      </c>
      <c r="AK16" s="112">
        <f t="shared" si="3"/>
        <v>1.6134365949667151</v>
      </c>
      <c r="AL16" s="113">
        <f t="shared" si="3"/>
        <v>1.6655173526530545</v>
      </c>
    </row>
    <row r="17" spans="2:38" s="118" customFormat="1" x14ac:dyDescent="0.25">
      <c r="B17" s="114"/>
      <c r="C17" s="442" t="s">
        <v>144</v>
      </c>
      <c r="D17" s="114"/>
      <c r="E17" s="116">
        <f>($E$5*$E$7)*E16</f>
        <v>15590.049034419077</v>
      </c>
      <c r="F17" s="117">
        <f>($E$5*F16)*$E$7</f>
        <v>19393.129033999678</v>
      </c>
      <c r="G17" s="116">
        <f t="shared" ref="G17:AL17" si="4">($E$5*G16)*$E$7</f>
        <v>17161.487392415369</v>
      </c>
      <c r="H17" s="116">
        <f t="shared" si="4"/>
        <v>16934.089642581428</v>
      </c>
      <c r="I17" s="116">
        <f t="shared" si="4"/>
        <v>17540.099408863225</v>
      </c>
      <c r="J17" s="116">
        <f t="shared" si="4"/>
        <v>18395.701938457987</v>
      </c>
      <c r="K17" s="116">
        <f t="shared" si="4"/>
        <v>19050.155577480589</v>
      </c>
      <c r="L17" s="116">
        <f t="shared" si="4"/>
        <v>19970.752643425421</v>
      </c>
      <c r="M17" s="116">
        <f t="shared" si="4"/>
        <v>20639.571619303588</v>
      </c>
      <c r="N17" s="116">
        <f t="shared" si="4"/>
        <v>21648.119312526822</v>
      </c>
      <c r="O17" s="116">
        <f t="shared" si="4"/>
        <v>22308.106464897442</v>
      </c>
      <c r="P17" s="116">
        <f t="shared" si="4"/>
        <v>23323.47614603395</v>
      </c>
      <c r="Q17" s="116">
        <f t="shared" si="4"/>
        <v>24211.913071557388</v>
      </c>
      <c r="R17" s="116">
        <f t="shared" si="4"/>
        <v>25438.823490817147</v>
      </c>
      <c r="S17" s="116">
        <f t="shared" si="4"/>
        <v>26416.765525836425</v>
      </c>
      <c r="T17" s="116">
        <f t="shared" si="4"/>
        <v>27294.895578475447</v>
      </c>
      <c r="U17" s="116">
        <f t="shared" si="4"/>
        <v>28474.02160229877</v>
      </c>
      <c r="V17" s="116">
        <f t="shared" si="4"/>
        <v>29425.169831824369</v>
      </c>
      <c r="W17" s="116">
        <f t="shared" si="4"/>
        <v>30436.227048627399</v>
      </c>
      <c r="X17" s="116">
        <f t="shared" si="4"/>
        <v>31527.362728752032</v>
      </c>
      <c r="Y17" s="116">
        <f t="shared" si="4"/>
        <v>32542.031368888522</v>
      </c>
      <c r="Z17" s="116">
        <f t="shared" si="4"/>
        <v>33652.603156738463</v>
      </c>
      <c r="AA17" s="116">
        <f t="shared" si="4"/>
        <v>34803.020674154999</v>
      </c>
      <c r="AB17" s="116">
        <f t="shared" si="4"/>
        <v>35655.918792619246</v>
      </c>
      <c r="AC17" s="116">
        <f t="shared" si="4"/>
        <v>36792.359824643987</v>
      </c>
      <c r="AD17" s="116">
        <f t="shared" si="4"/>
        <v>38310.88390352251</v>
      </c>
      <c r="AE17" s="116">
        <f t="shared" si="4"/>
        <v>39524.927126245595</v>
      </c>
      <c r="AF17" s="116">
        <f t="shared" si="4"/>
        <v>40864.498251668665</v>
      </c>
      <c r="AG17" s="116">
        <f t="shared" si="4"/>
        <v>42527.355496436234</v>
      </c>
      <c r="AH17" s="116">
        <f t="shared" si="4"/>
        <v>43642.63783646025</v>
      </c>
      <c r="AI17" s="116">
        <f t="shared" si="4"/>
        <v>45225.637367312018</v>
      </c>
      <c r="AJ17" s="116">
        <f t="shared" si="4"/>
        <v>46843.447878730207</v>
      </c>
      <c r="AK17" s="116">
        <f t="shared" si="4"/>
        <v>48403.097849001453</v>
      </c>
      <c r="AL17" s="117">
        <f t="shared" si="4"/>
        <v>49965.520579591634</v>
      </c>
    </row>
    <row r="18" spans="2:38" s="118" customFormat="1" x14ac:dyDescent="0.25">
      <c r="B18" s="114"/>
      <c r="C18" s="442" t="s">
        <v>145</v>
      </c>
      <c r="D18" s="114"/>
      <c r="E18" s="119">
        <f t="shared" ref="E18:AL18" si="5">($E$5/$E$6)*$E$7</f>
        <v>7246.3768115942039</v>
      </c>
      <c r="F18" s="120">
        <f t="shared" si="5"/>
        <v>7246.3768115942039</v>
      </c>
      <c r="G18" s="119">
        <f t="shared" si="5"/>
        <v>7246.3768115942039</v>
      </c>
      <c r="H18" s="119">
        <f t="shared" si="5"/>
        <v>7246.3768115942039</v>
      </c>
      <c r="I18" s="119">
        <f t="shared" si="5"/>
        <v>7246.3768115942039</v>
      </c>
      <c r="J18" s="119">
        <f t="shared" si="5"/>
        <v>7246.3768115942039</v>
      </c>
      <c r="K18" s="119">
        <f t="shared" si="5"/>
        <v>7246.3768115942039</v>
      </c>
      <c r="L18" s="119">
        <f t="shared" si="5"/>
        <v>7246.3768115942039</v>
      </c>
      <c r="M18" s="119">
        <f t="shared" si="5"/>
        <v>7246.3768115942039</v>
      </c>
      <c r="N18" s="119">
        <f t="shared" si="5"/>
        <v>7246.3768115942039</v>
      </c>
      <c r="O18" s="119">
        <f t="shared" si="5"/>
        <v>7246.3768115942039</v>
      </c>
      <c r="P18" s="119">
        <f t="shared" si="5"/>
        <v>7246.3768115942039</v>
      </c>
      <c r="Q18" s="119">
        <f t="shared" si="5"/>
        <v>7246.3768115942039</v>
      </c>
      <c r="R18" s="119">
        <f t="shared" si="5"/>
        <v>7246.3768115942039</v>
      </c>
      <c r="S18" s="119">
        <f t="shared" si="5"/>
        <v>7246.3768115942039</v>
      </c>
      <c r="T18" s="119">
        <f t="shared" si="5"/>
        <v>7246.3768115942039</v>
      </c>
      <c r="U18" s="119">
        <f t="shared" si="5"/>
        <v>7246.3768115942039</v>
      </c>
      <c r="V18" s="119">
        <f t="shared" si="5"/>
        <v>7246.3768115942039</v>
      </c>
      <c r="W18" s="119">
        <f t="shared" si="5"/>
        <v>7246.3768115942039</v>
      </c>
      <c r="X18" s="119">
        <f t="shared" si="5"/>
        <v>7246.3768115942039</v>
      </c>
      <c r="Y18" s="119">
        <f t="shared" si="5"/>
        <v>7246.3768115942039</v>
      </c>
      <c r="Z18" s="119">
        <f t="shared" si="5"/>
        <v>7246.3768115942039</v>
      </c>
      <c r="AA18" s="119">
        <f t="shared" si="5"/>
        <v>7246.3768115942039</v>
      </c>
      <c r="AB18" s="119">
        <f t="shared" si="5"/>
        <v>7246.3768115942039</v>
      </c>
      <c r="AC18" s="119">
        <f t="shared" si="5"/>
        <v>7246.3768115942039</v>
      </c>
      <c r="AD18" s="119">
        <f t="shared" si="5"/>
        <v>7246.3768115942039</v>
      </c>
      <c r="AE18" s="119">
        <f t="shared" si="5"/>
        <v>7246.3768115942039</v>
      </c>
      <c r="AF18" s="119">
        <f t="shared" si="5"/>
        <v>7246.3768115942039</v>
      </c>
      <c r="AG18" s="119">
        <f t="shared" si="5"/>
        <v>7246.3768115942039</v>
      </c>
      <c r="AH18" s="119">
        <f t="shared" si="5"/>
        <v>7246.3768115942039</v>
      </c>
      <c r="AI18" s="119">
        <f t="shared" si="5"/>
        <v>7246.3768115942039</v>
      </c>
      <c r="AJ18" s="119">
        <f t="shared" si="5"/>
        <v>7246.3768115942039</v>
      </c>
      <c r="AK18" s="119">
        <f t="shared" si="5"/>
        <v>7246.3768115942039</v>
      </c>
      <c r="AL18" s="120">
        <f t="shared" si="5"/>
        <v>7246.3768115942039</v>
      </c>
    </row>
    <row r="19" spans="2:38" s="118" customFormat="1" x14ac:dyDescent="0.25">
      <c r="B19" s="114"/>
      <c r="C19" s="442" t="s">
        <v>146</v>
      </c>
      <c r="D19" s="114"/>
      <c r="E19" s="119">
        <f>(E18/$AJ$5)*$AH$5</f>
        <v>181.15942028985512</v>
      </c>
      <c r="F19" s="120">
        <f t="shared" ref="F19:AL19" si="6">(F18/$AJ$5)*$AH$5</f>
        <v>181.15942028985512</v>
      </c>
      <c r="G19" s="119">
        <f t="shared" si="6"/>
        <v>181.15942028985512</v>
      </c>
      <c r="H19" s="119">
        <f t="shared" si="6"/>
        <v>181.15942028985512</v>
      </c>
      <c r="I19" s="119">
        <f t="shared" si="6"/>
        <v>181.15942028985512</v>
      </c>
      <c r="J19" s="119">
        <f t="shared" si="6"/>
        <v>181.15942028985512</v>
      </c>
      <c r="K19" s="119">
        <f t="shared" si="6"/>
        <v>181.15942028985512</v>
      </c>
      <c r="L19" s="119">
        <f t="shared" si="6"/>
        <v>181.15942028985512</v>
      </c>
      <c r="M19" s="119">
        <f t="shared" si="6"/>
        <v>181.15942028985512</v>
      </c>
      <c r="N19" s="119">
        <f t="shared" si="6"/>
        <v>181.15942028985512</v>
      </c>
      <c r="O19" s="119">
        <f t="shared" si="6"/>
        <v>181.15942028985512</v>
      </c>
      <c r="P19" s="119">
        <f t="shared" si="6"/>
        <v>181.15942028985512</v>
      </c>
      <c r="Q19" s="119">
        <f t="shared" si="6"/>
        <v>181.15942028985512</v>
      </c>
      <c r="R19" s="119">
        <f t="shared" si="6"/>
        <v>181.15942028985512</v>
      </c>
      <c r="S19" s="119">
        <f t="shared" si="6"/>
        <v>181.15942028985512</v>
      </c>
      <c r="T19" s="119">
        <f t="shared" si="6"/>
        <v>181.15942028985512</v>
      </c>
      <c r="U19" s="119">
        <f t="shared" si="6"/>
        <v>181.15942028985512</v>
      </c>
      <c r="V19" s="119">
        <f t="shared" si="6"/>
        <v>181.15942028985512</v>
      </c>
      <c r="W19" s="119">
        <f t="shared" si="6"/>
        <v>181.15942028985512</v>
      </c>
      <c r="X19" s="119">
        <f t="shared" si="6"/>
        <v>181.15942028985512</v>
      </c>
      <c r="Y19" s="119">
        <f t="shared" si="6"/>
        <v>181.15942028985512</v>
      </c>
      <c r="Z19" s="119">
        <f t="shared" si="6"/>
        <v>181.15942028985512</v>
      </c>
      <c r="AA19" s="119">
        <f t="shared" si="6"/>
        <v>181.15942028985512</v>
      </c>
      <c r="AB19" s="119">
        <f t="shared" si="6"/>
        <v>181.15942028985512</v>
      </c>
      <c r="AC19" s="119">
        <f t="shared" si="6"/>
        <v>181.15942028985512</v>
      </c>
      <c r="AD19" s="119">
        <f t="shared" si="6"/>
        <v>181.15942028985512</v>
      </c>
      <c r="AE19" s="119">
        <f t="shared" si="6"/>
        <v>181.15942028985512</v>
      </c>
      <c r="AF19" s="119">
        <f t="shared" si="6"/>
        <v>181.15942028985512</v>
      </c>
      <c r="AG19" s="119">
        <f t="shared" si="6"/>
        <v>181.15942028985512</v>
      </c>
      <c r="AH19" s="119">
        <f t="shared" si="6"/>
        <v>181.15942028985512</v>
      </c>
      <c r="AI19" s="119">
        <f t="shared" si="6"/>
        <v>181.15942028985512</v>
      </c>
      <c r="AJ19" s="119">
        <f t="shared" si="6"/>
        <v>181.15942028985512</v>
      </c>
      <c r="AK19" s="119">
        <f t="shared" si="6"/>
        <v>181.15942028985512</v>
      </c>
      <c r="AL19" s="120">
        <f t="shared" si="6"/>
        <v>181.15942028985512</v>
      </c>
    </row>
    <row r="20" spans="2:38" s="118" customFormat="1" x14ac:dyDescent="0.25">
      <c r="B20" s="114"/>
      <c r="C20" s="442" t="s">
        <v>147</v>
      </c>
      <c r="D20" s="540">
        <f>H20/(E5*E7)</f>
        <v>1.2367149758454109E-2</v>
      </c>
      <c r="E20" s="121">
        <f>E19*$AH$4</f>
        <v>362.31884057971024</v>
      </c>
      <c r="F20" s="122">
        <f>F19*$AH$4</f>
        <v>362.31884057971024</v>
      </c>
      <c r="G20" s="121">
        <f>G19*$AH$4</f>
        <v>362.31884057971024</v>
      </c>
      <c r="H20" s="121">
        <f>G20*(1+$E$2)</f>
        <v>371.0144927536233</v>
      </c>
      <c r="I20" s="121">
        <f>H20*(1+$E$2)</f>
        <v>379.91884057971026</v>
      </c>
      <c r="J20" s="121">
        <f t="shared" ref="J20:AL20" si="7">I20*(1+$E$2)</f>
        <v>389.03689275362331</v>
      </c>
      <c r="K20" s="121">
        <f t="shared" si="7"/>
        <v>398.37377817971026</v>
      </c>
      <c r="L20" s="121">
        <f t="shared" si="7"/>
        <v>407.9347488560233</v>
      </c>
      <c r="M20" s="121">
        <f t="shared" si="7"/>
        <v>417.72518282856788</v>
      </c>
      <c r="N20" s="121">
        <f t="shared" si="7"/>
        <v>427.75058721645354</v>
      </c>
      <c r="O20" s="121">
        <f t="shared" si="7"/>
        <v>438.01660130964842</v>
      </c>
      <c r="P20" s="121">
        <f t="shared" si="7"/>
        <v>448.52899974107999</v>
      </c>
      <c r="Q20" s="121">
        <f t="shared" si="7"/>
        <v>459.29369573486593</v>
      </c>
      <c r="R20" s="121">
        <f t="shared" si="7"/>
        <v>470.31674443250273</v>
      </c>
      <c r="S20" s="121">
        <f t="shared" si="7"/>
        <v>481.60434629888283</v>
      </c>
      <c r="T20" s="121">
        <f t="shared" si="7"/>
        <v>493.16285061005601</v>
      </c>
      <c r="U20" s="121">
        <f t="shared" si="7"/>
        <v>504.99875902469739</v>
      </c>
      <c r="V20" s="121">
        <f t="shared" si="7"/>
        <v>517.11872924129011</v>
      </c>
      <c r="W20" s="121">
        <f t="shared" si="7"/>
        <v>529.52957874308106</v>
      </c>
      <c r="X20" s="121">
        <f t="shared" si="7"/>
        <v>542.23828863291499</v>
      </c>
      <c r="Y20" s="121">
        <f t="shared" si="7"/>
        <v>555.25200756010497</v>
      </c>
      <c r="Z20" s="121">
        <f t="shared" si="7"/>
        <v>568.57805574154747</v>
      </c>
      <c r="AA20" s="121">
        <f t="shared" si="7"/>
        <v>582.22392907934466</v>
      </c>
      <c r="AB20" s="121">
        <f t="shared" si="7"/>
        <v>596.19730337724889</v>
      </c>
      <c r="AC20" s="121">
        <f t="shared" si="7"/>
        <v>610.50603865830283</v>
      </c>
      <c r="AD20" s="121">
        <f t="shared" si="7"/>
        <v>625.15818358610215</v>
      </c>
      <c r="AE20" s="121">
        <f t="shared" si="7"/>
        <v>640.16197999216865</v>
      </c>
      <c r="AF20" s="121">
        <f t="shared" si="7"/>
        <v>655.52586751198066</v>
      </c>
      <c r="AG20" s="121">
        <f t="shared" si="7"/>
        <v>671.25848833226826</v>
      </c>
      <c r="AH20" s="121">
        <f t="shared" si="7"/>
        <v>687.36869205224275</v>
      </c>
      <c r="AI20" s="121">
        <f t="shared" si="7"/>
        <v>703.86554066149654</v>
      </c>
      <c r="AJ20" s="121">
        <f t="shared" si="7"/>
        <v>720.75831363737245</v>
      </c>
      <c r="AK20" s="121">
        <f t="shared" si="7"/>
        <v>738.05651316466935</v>
      </c>
      <c r="AL20" s="122">
        <f t="shared" si="7"/>
        <v>755.76986948062142</v>
      </c>
    </row>
    <row r="21" spans="2:38" s="118" customFormat="1" x14ac:dyDescent="0.25">
      <c r="B21" s="114"/>
      <c r="C21" s="442" t="s">
        <v>148</v>
      </c>
      <c r="D21" s="114"/>
      <c r="E21" s="121">
        <f>E17+E20</f>
        <v>15952.367874998787</v>
      </c>
      <c r="F21" s="122">
        <f t="shared" ref="F21:AL21" si="8">F17+F20</f>
        <v>19755.447874579389</v>
      </c>
      <c r="G21" s="121">
        <f t="shared" si="8"/>
        <v>17523.806232995081</v>
      </c>
      <c r="H21" s="121">
        <f t="shared" si="8"/>
        <v>17305.104135335052</v>
      </c>
      <c r="I21" s="121">
        <f t="shared" si="8"/>
        <v>17920.018249442935</v>
      </c>
      <c r="J21" s="121">
        <f t="shared" si="8"/>
        <v>18784.738831211609</v>
      </c>
      <c r="K21" s="121">
        <f t="shared" si="8"/>
        <v>19448.529355660299</v>
      </c>
      <c r="L21" s="121">
        <f t="shared" si="8"/>
        <v>20378.687392281445</v>
      </c>
      <c r="M21" s="121">
        <f t="shared" si="8"/>
        <v>21057.296802132154</v>
      </c>
      <c r="N21" s="121">
        <f t="shared" si="8"/>
        <v>22075.869899743277</v>
      </c>
      <c r="O21" s="121">
        <f t="shared" si="8"/>
        <v>22746.123066207092</v>
      </c>
      <c r="P21" s="121">
        <f t="shared" si="8"/>
        <v>23772.005145775031</v>
      </c>
      <c r="Q21" s="121">
        <f t="shared" si="8"/>
        <v>24671.206767292253</v>
      </c>
      <c r="R21" s="121">
        <f t="shared" si="8"/>
        <v>25909.140235249652</v>
      </c>
      <c r="S21" s="121">
        <f t="shared" si="8"/>
        <v>26898.369872135307</v>
      </c>
      <c r="T21" s="121">
        <f t="shared" si="8"/>
        <v>27788.058429085504</v>
      </c>
      <c r="U21" s="121">
        <f t="shared" si="8"/>
        <v>28979.020361323466</v>
      </c>
      <c r="V21" s="121">
        <f t="shared" si="8"/>
        <v>29942.288561065659</v>
      </c>
      <c r="W21" s="121">
        <f t="shared" si="8"/>
        <v>30965.75662737048</v>
      </c>
      <c r="X21" s="121">
        <f t="shared" si="8"/>
        <v>32069.601017384946</v>
      </c>
      <c r="Y21" s="121">
        <f t="shared" si="8"/>
        <v>33097.283376448628</v>
      </c>
      <c r="Z21" s="121">
        <f t="shared" si="8"/>
        <v>34221.181212480013</v>
      </c>
      <c r="AA21" s="121">
        <f t="shared" si="8"/>
        <v>35385.244603234343</v>
      </c>
      <c r="AB21" s="121">
        <f t="shared" si="8"/>
        <v>36252.116095996498</v>
      </c>
      <c r="AC21" s="121">
        <f t="shared" si="8"/>
        <v>37402.865863302293</v>
      </c>
      <c r="AD21" s="121">
        <f t="shared" si="8"/>
        <v>38936.04208710861</v>
      </c>
      <c r="AE21" s="121">
        <f t="shared" si="8"/>
        <v>40165.089106237763</v>
      </c>
      <c r="AF21" s="121">
        <f t="shared" si="8"/>
        <v>41520.024119180649</v>
      </c>
      <c r="AG21" s="121">
        <f t="shared" si="8"/>
        <v>43198.613984768504</v>
      </c>
      <c r="AH21" s="121">
        <f t="shared" si="8"/>
        <v>44330.006528512495</v>
      </c>
      <c r="AI21" s="121">
        <f t="shared" si="8"/>
        <v>45929.502907973518</v>
      </c>
      <c r="AJ21" s="121">
        <f t="shared" si="8"/>
        <v>47564.206192367579</v>
      </c>
      <c r="AK21" s="121">
        <f t="shared" si="8"/>
        <v>49141.154362166126</v>
      </c>
      <c r="AL21" s="122">
        <f t="shared" si="8"/>
        <v>50721.290449072258</v>
      </c>
    </row>
    <row r="22" spans="2:38" s="118" customFormat="1" x14ac:dyDescent="0.25">
      <c r="B22" s="114"/>
      <c r="C22" s="442" t="s">
        <v>149</v>
      </c>
      <c r="D22" s="114"/>
      <c r="E22" s="121">
        <f>$E$5*$E$7*$M$8</f>
        <v>30000</v>
      </c>
      <c r="F22" s="122">
        <f>$E$5*$E$7*$M$8</f>
        <v>30000</v>
      </c>
      <c r="G22" s="121">
        <f>$E$5*$E$7*$M$8</f>
        <v>30000</v>
      </c>
      <c r="H22" s="121">
        <f>G22*(1+$E$2)</f>
        <v>30720</v>
      </c>
      <c r="I22" s="121">
        <f>H22*(1+$E$2)</f>
        <v>31457.279999999999</v>
      </c>
      <c r="J22" s="121">
        <f t="shared" ref="J22:AL22" si="9">I22*(1+$E$2)</f>
        <v>32212.254720000001</v>
      </c>
      <c r="K22" s="121">
        <f t="shared" si="9"/>
        <v>32985.348833280004</v>
      </c>
      <c r="L22" s="121">
        <f t="shared" si="9"/>
        <v>33776.997205278727</v>
      </c>
      <c r="M22" s="121">
        <f t="shared" si="9"/>
        <v>34587.645138205415</v>
      </c>
      <c r="N22" s="121">
        <f t="shared" si="9"/>
        <v>35417.748621522347</v>
      </c>
      <c r="O22" s="121">
        <f t="shared" si="9"/>
        <v>36267.774588438886</v>
      </c>
      <c r="P22" s="121">
        <f t="shared" si="9"/>
        <v>37138.201178561423</v>
      </c>
      <c r="Q22" s="121">
        <f t="shared" si="9"/>
        <v>38029.518006846898</v>
      </c>
      <c r="R22" s="121">
        <f t="shared" si="9"/>
        <v>38942.226439011225</v>
      </c>
      <c r="S22" s="121">
        <f t="shared" si="9"/>
        <v>39876.839873547498</v>
      </c>
      <c r="T22" s="121">
        <f t="shared" si="9"/>
        <v>40833.884030512636</v>
      </c>
      <c r="U22" s="121">
        <f t="shared" si="9"/>
        <v>41813.897247244939</v>
      </c>
      <c r="V22" s="121">
        <f t="shared" si="9"/>
        <v>42817.430781178817</v>
      </c>
      <c r="W22" s="121">
        <f t="shared" si="9"/>
        <v>43845.049119927113</v>
      </c>
      <c r="X22" s="121">
        <f t="shared" si="9"/>
        <v>44897.330298805362</v>
      </c>
      <c r="Y22" s="121">
        <f t="shared" si="9"/>
        <v>45974.866225976693</v>
      </c>
      <c r="Z22" s="121">
        <f t="shared" si="9"/>
        <v>47078.263015400138</v>
      </c>
      <c r="AA22" s="121">
        <f t="shared" si="9"/>
        <v>48208.141327769743</v>
      </c>
      <c r="AB22" s="121">
        <f t="shared" si="9"/>
        <v>49365.136719636219</v>
      </c>
      <c r="AC22" s="121">
        <f t="shared" si="9"/>
        <v>50549.900000907488</v>
      </c>
      <c r="AD22" s="121">
        <f t="shared" si="9"/>
        <v>51763.097600929272</v>
      </c>
      <c r="AE22" s="121">
        <f t="shared" si="9"/>
        <v>53005.411943351573</v>
      </c>
      <c r="AF22" s="121">
        <f t="shared" si="9"/>
        <v>54277.541829992013</v>
      </c>
      <c r="AG22" s="121">
        <f t="shared" si="9"/>
        <v>55580.202833911826</v>
      </c>
      <c r="AH22" s="121">
        <f t="shared" si="9"/>
        <v>56914.12770192571</v>
      </c>
      <c r="AI22" s="121">
        <f t="shared" si="9"/>
        <v>58280.066766771932</v>
      </c>
      <c r="AJ22" s="121">
        <f t="shared" si="9"/>
        <v>59678.788369174457</v>
      </c>
      <c r="AK22" s="121">
        <f t="shared" si="9"/>
        <v>61111.079290034642</v>
      </c>
      <c r="AL22" s="122">
        <f t="shared" si="9"/>
        <v>62577.745192995477</v>
      </c>
    </row>
    <row r="23" spans="2:38" s="118" customFormat="1" x14ac:dyDescent="0.25">
      <c r="B23" s="114"/>
      <c r="C23" s="442" t="s">
        <v>150</v>
      </c>
      <c r="D23" s="114"/>
      <c r="E23" s="121">
        <f>E21+E22</f>
        <v>45952.367874998788</v>
      </c>
      <c r="F23" s="122">
        <f t="shared" ref="F23:AL23" si="10">F21+F22</f>
        <v>49755.447874579389</v>
      </c>
      <c r="G23" s="121">
        <f t="shared" si="10"/>
        <v>47523.806232995077</v>
      </c>
      <c r="H23" s="121">
        <f t="shared" si="10"/>
        <v>48025.104135335052</v>
      </c>
      <c r="I23" s="121">
        <f t="shared" si="10"/>
        <v>49377.298249442931</v>
      </c>
      <c r="J23" s="121">
        <f t="shared" si="10"/>
        <v>50996.993551211606</v>
      </c>
      <c r="K23" s="121">
        <f t="shared" si="10"/>
        <v>52433.878188940304</v>
      </c>
      <c r="L23" s="121">
        <f t="shared" si="10"/>
        <v>54155.684597560175</v>
      </c>
      <c r="M23" s="121">
        <f t="shared" si="10"/>
        <v>55644.941940337565</v>
      </c>
      <c r="N23" s="121">
        <f t="shared" si="10"/>
        <v>57493.618521265627</v>
      </c>
      <c r="O23" s="121">
        <f t="shared" si="10"/>
        <v>59013.897654645974</v>
      </c>
      <c r="P23" s="121">
        <f t="shared" si="10"/>
        <v>60910.206324336454</v>
      </c>
      <c r="Q23" s="121">
        <f t="shared" si="10"/>
        <v>62700.724774139147</v>
      </c>
      <c r="R23" s="121">
        <f t="shared" si="10"/>
        <v>64851.366674260877</v>
      </c>
      <c r="S23" s="121">
        <f t="shared" si="10"/>
        <v>66775.209745682805</v>
      </c>
      <c r="T23" s="121">
        <f t="shared" si="10"/>
        <v>68621.94245959814</v>
      </c>
      <c r="U23" s="121">
        <f t="shared" si="10"/>
        <v>70792.917608568401</v>
      </c>
      <c r="V23" s="121">
        <f t="shared" si="10"/>
        <v>72759.719342244469</v>
      </c>
      <c r="W23" s="121">
        <f t="shared" si="10"/>
        <v>74810.805747297592</v>
      </c>
      <c r="X23" s="121">
        <f t="shared" si="10"/>
        <v>76966.931316190312</v>
      </c>
      <c r="Y23" s="121">
        <f t="shared" si="10"/>
        <v>79072.149602425314</v>
      </c>
      <c r="Z23" s="121">
        <f t="shared" si="10"/>
        <v>81299.444227880158</v>
      </c>
      <c r="AA23" s="121">
        <f t="shared" si="10"/>
        <v>83593.385931004086</v>
      </c>
      <c r="AB23" s="121">
        <f t="shared" si="10"/>
        <v>85617.252815632717</v>
      </c>
      <c r="AC23" s="121">
        <f t="shared" si="10"/>
        <v>87952.765864209781</v>
      </c>
      <c r="AD23" s="121">
        <f t="shared" si="10"/>
        <v>90699.139688037889</v>
      </c>
      <c r="AE23" s="121">
        <f t="shared" si="10"/>
        <v>93170.501049589337</v>
      </c>
      <c r="AF23" s="121">
        <f t="shared" si="10"/>
        <v>95797.565949172655</v>
      </c>
      <c r="AG23" s="121">
        <f t="shared" si="10"/>
        <v>98778.816818680323</v>
      </c>
      <c r="AH23" s="121">
        <f t="shared" si="10"/>
        <v>101244.13423043821</v>
      </c>
      <c r="AI23" s="121">
        <f t="shared" si="10"/>
        <v>104209.56967474545</v>
      </c>
      <c r="AJ23" s="121">
        <f t="shared" si="10"/>
        <v>107242.99456154203</v>
      </c>
      <c r="AK23" s="121">
        <f t="shared" si="10"/>
        <v>110252.23365220077</v>
      </c>
      <c r="AL23" s="122">
        <f t="shared" si="10"/>
        <v>113299.03564206773</v>
      </c>
    </row>
    <row r="24" spans="2:38" s="118" customFormat="1" ht="15.75" thickBot="1" x14ac:dyDescent="0.3">
      <c r="B24" s="123"/>
      <c r="C24" s="443" t="s">
        <v>151</v>
      </c>
      <c r="D24" s="123"/>
      <c r="E24" s="125">
        <f>(E18*$T$4)/$V$3</f>
        <v>96.307194311761847</v>
      </c>
      <c r="F24" s="126">
        <f>(F18*$T$4)/$V$3</f>
        <v>96.307194311761847</v>
      </c>
      <c r="G24" s="125">
        <f t="shared" ref="G24:AL24" si="11">(G18*$T$4)/$V$3</f>
        <v>96.307194311761847</v>
      </c>
      <c r="H24" s="125">
        <f>(H18*$T$4)/$V$3</f>
        <v>96.307194311761847</v>
      </c>
      <c r="I24" s="125">
        <f t="shared" si="11"/>
        <v>96.307194311761847</v>
      </c>
      <c r="J24" s="125">
        <f t="shared" si="11"/>
        <v>96.307194311761847</v>
      </c>
      <c r="K24" s="125">
        <f t="shared" si="11"/>
        <v>96.307194311761847</v>
      </c>
      <c r="L24" s="125">
        <f t="shared" si="11"/>
        <v>96.307194311761847</v>
      </c>
      <c r="M24" s="125">
        <f t="shared" si="11"/>
        <v>96.307194311761847</v>
      </c>
      <c r="N24" s="125">
        <f t="shared" si="11"/>
        <v>96.307194311761847</v>
      </c>
      <c r="O24" s="125">
        <f t="shared" si="11"/>
        <v>96.307194311761847</v>
      </c>
      <c r="P24" s="125">
        <f t="shared" si="11"/>
        <v>96.307194311761847</v>
      </c>
      <c r="Q24" s="125">
        <f t="shared" si="11"/>
        <v>96.307194311761847</v>
      </c>
      <c r="R24" s="125">
        <f t="shared" si="11"/>
        <v>96.307194311761847</v>
      </c>
      <c r="S24" s="125">
        <f t="shared" si="11"/>
        <v>96.307194311761847</v>
      </c>
      <c r="T24" s="125">
        <f t="shared" si="11"/>
        <v>96.307194311761847</v>
      </c>
      <c r="U24" s="125">
        <f t="shared" si="11"/>
        <v>96.307194311761847</v>
      </c>
      <c r="V24" s="125">
        <f t="shared" si="11"/>
        <v>96.307194311761847</v>
      </c>
      <c r="W24" s="125">
        <f t="shared" si="11"/>
        <v>96.307194311761847</v>
      </c>
      <c r="X24" s="125">
        <f t="shared" si="11"/>
        <v>96.307194311761847</v>
      </c>
      <c r="Y24" s="125">
        <f t="shared" si="11"/>
        <v>96.307194311761847</v>
      </c>
      <c r="Z24" s="125">
        <f t="shared" si="11"/>
        <v>96.307194311761847</v>
      </c>
      <c r="AA24" s="125">
        <f t="shared" si="11"/>
        <v>96.307194311761847</v>
      </c>
      <c r="AB24" s="125">
        <f t="shared" si="11"/>
        <v>96.307194311761847</v>
      </c>
      <c r="AC24" s="125">
        <f t="shared" si="11"/>
        <v>96.307194311761847</v>
      </c>
      <c r="AD24" s="125">
        <f t="shared" si="11"/>
        <v>96.307194311761847</v>
      </c>
      <c r="AE24" s="125">
        <f t="shared" si="11"/>
        <v>96.307194311761847</v>
      </c>
      <c r="AF24" s="125">
        <f t="shared" si="11"/>
        <v>96.307194311761847</v>
      </c>
      <c r="AG24" s="125">
        <f t="shared" si="11"/>
        <v>96.307194311761847</v>
      </c>
      <c r="AH24" s="125">
        <f t="shared" si="11"/>
        <v>96.307194311761847</v>
      </c>
      <c r="AI24" s="125">
        <f t="shared" si="11"/>
        <v>96.307194311761847</v>
      </c>
      <c r="AJ24" s="125">
        <f t="shared" si="11"/>
        <v>96.307194311761847</v>
      </c>
      <c r="AK24" s="125">
        <f t="shared" si="11"/>
        <v>96.307194311761847</v>
      </c>
      <c r="AL24" s="126">
        <f t="shared" si="11"/>
        <v>96.307194311761847</v>
      </c>
    </row>
    <row r="25" spans="2:38" x14ac:dyDescent="0.25">
      <c r="B25" s="87" t="s">
        <v>152</v>
      </c>
      <c r="C25" s="444" t="s">
        <v>495</v>
      </c>
      <c r="D25" s="445">
        <v>0.42</v>
      </c>
      <c r="E25" s="446">
        <f>E14-$D$25</f>
        <v>2.1814267667498326</v>
      </c>
      <c r="F25" s="447">
        <f>F14-$D$25</f>
        <v>2.7062518066919554</v>
      </c>
      <c r="G25" s="448">
        <f t="shared" ref="G25:AL25" si="12">G14-$D$25</f>
        <v>2.3982852601533211</v>
      </c>
      <c r="H25" s="448">
        <f t="shared" si="12"/>
        <v>2.3669043706762372</v>
      </c>
      <c r="I25" s="448">
        <f t="shared" si="12"/>
        <v>2.4505337184231251</v>
      </c>
      <c r="J25" s="448">
        <f t="shared" si="12"/>
        <v>2.5686068675072025</v>
      </c>
      <c r="K25" s="448">
        <f t="shared" si="12"/>
        <v>2.6589214696923213</v>
      </c>
      <c r="L25" s="448">
        <f t="shared" si="12"/>
        <v>2.7859638647927083</v>
      </c>
      <c r="M25" s="448">
        <f t="shared" si="12"/>
        <v>2.8782608834638954</v>
      </c>
      <c r="N25" s="448">
        <f t="shared" si="12"/>
        <v>3.0174404651287015</v>
      </c>
      <c r="O25" s="448">
        <f t="shared" si="12"/>
        <v>3.108518692155847</v>
      </c>
      <c r="P25" s="448">
        <f t="shared" si="12"/>
        <v>3.2486397081526852</v>
      </c>
      <c r="Q25" s="448">
        <f t="shared" si="12"/>
        <v>3.3712440038749194</v>
      </c>
      <c r="R25" s="448">
        <f t="shared" si="12"/>
        <v>3.5405576417327662</v>
      </c>
      <c r="S25" s="448">
        <f t="shared" si="12"/>
        <v>3.6755136425654262</v>
      </c>
      <c r="T25" s="448">
        <f t="shared" si="12"/>
        <v>3.7966955898296115</v>
      </c>
      <c r="U25" s="448">
        <f t="shared" si="12"/>
        <v>3.9594149811172299</v>
      </c>
      <c r="V25" s="448">
        <f t="shared" si="12"/>
        <v>4.0906734367917625</v>
      </c>
      <c r="W25" s="448">
        <f t="shared" si="12"/>
        <v>4.2301993327105807</v>
      </c>
      <c r="X25" s="448">
        <f t="shared" si="12"/>
        <v>4.3807760565677807</v>
      </c>
      <c r="Y25" s="448">
        <f t="shared" si="12"/>
        <v>4.5208003289066161</v>
      </c>
      <c r="Z25" s="448">
        <f t="shared" si="12"/>
        <v>4.6740592356299082</v>
      </c>
      <c r="AA25" s="448">
        <f t="shared" si="12"/>
        <v>4.8328168530333899</v>
      </c>
      <c r="AB25" s="448">
        <f t="shared" si="12"/>
        <v>4.9505167933814551</v>
      </c>
      <c r="AC25" s="448">
        <f t="shared" si="12"/>
        <v>5.1073456558008701</v>
      </c>
      <c r="AD25" s="448">
        <f t="shared" si="12"/>
        <v>5.3169019786861069</v>
      </c>
      <c r="AE25" s="448">
        <f t="shared" si="12"/>
        <v>5.4844399434218918</v>
      </c>
      <c r="AF25" s="448">
        <f t="shared" si="12"/>
        <v>5.6693007587302757</v>
      </c>
      <c r="AG25" s="448">
        <f t="shared" si="12"/>
        <v>5.8987750585081997</v>
      </c>
      <c r="AH25" s="448">
        <f t="shared" si="12"/>
        <v>6.0526840214315145</v>
      </c>
      <c r="AI25" s="448">
        <f t="shared" si="12"/>
        <v>6.2711379566890582</v>
      </c>
      <c r="AJ25" s="448">
        <f t="shared" si="12"/>
        <v>6.4943958072647678</v>
      </c>
      <c r="AK25" s="448">
        <f t="shared" si="12"/>
        <v>6.7096275031622001</v>
      </c>
      <c r="AL25" s="449">
        <f t="shared" si="12"/>
        <v>6.9252418399836451</v>
      </c>
    </row>
    <row r="26" spans="2:38" x14ac:dyDescent="0.25">
      <c r="B26" s="111"/>
      <c r="C26" s="441" t="s">
        <v>153</v>
      </c>
      <c r="D26" s="111"/>
      <c r="E26" s="112">
        <f>E25/$E$6</f>
        <v>0.52691467795889679</v>
      </c>
      <c r="F26" s="113">
        <f t="shared" ref="F26:AL26" si="13">F25/$E$6</f>
        <v>0.65368401127825015</v>
      </c>
      <c r="G26" s="112">
        <f t="shared" si="13"/>
        <v>0.57929595655877331</v>
      </c>
      <c r="H26" s="112">
        <f t="shared" si="13"/>
        <v>0.5717160315643085</v>
      </c>
      <c r="I26" s="112">
        <f t="shared" si="13"/>
        <v>0.59191635710703505</v>
      </c>
      <c r="J26" s="112">
        <f t="shared" si="13"/>
        <v>0.6204364414268605</v>
      </c>
      <c r="K26" s="112">
        <f t="shared" si="13"/>
        <v>0.64225156272761386</v>
      </c>
      <c r="L26" s="112">
        <f t="shared" si="13"/>
        <v>0.67293813159244165</v>
      </c>
      <c r="M26" s="112">
        <f t="shared" si="13"/>
        <v>0.69523209745504722</v>
      </c>
      <c r="N26" s="112">
        <f t="shared" si="13"/>
        <v>0.72885035389582165</v>
      </c>
      <c r="O26" s="112">
        <f t="shared" si="13"/>
        <v>0.75084992564150899</v>
      </c>
      <c r="P26" s="112">
        <f t="shared" si="13"/>
        <v>0.78469558167939257</v>
      </c>
      <c r="Q26" s="112">
        <f t="shared" si="13"/>
        <v>0.81431014586350714</v>
      </c>
      <c r="R26" s="112">
        <f t="shared" si="13"/>
        <v>0.85520715983883244</v>
      </c>
      <c r="S26" s="112">
        <f t="shared" si="13"/>
        <v>0.88780522767280834</v>
      </c>
      <c r="T26" s="112">
        <f t="shared" si="13"/>
        <v>0.91707622942744249</v>
      </c>
      <c r="U26" s="112">
        <f t="shared" si="13"/>
        <v>0.95638043022155317</v>
      </c>
      <c r="V26" s="112">
        <f t="shared" si="13"/>
        <v>0.9880853712057398</v>
      </c>
      <c r="W26" s="112">
        <f t="shared" si="13"/>
        <v>1.0217872784325075</v>
      </c>
      <c r="X26" s="112">
        <f t="shared" si="13"/>
        <v>1.0581584677699953</v>
      </c>
      <c r="Y26" s="112">
        <f t="shared" si="13"/>
        <v>1.0919807557745451</v>
      </c>
      <c r="Z26" s="112">
        <f t="shared" si="13"/>
        <v>1.1289998153695431</v>
      </c>
      <c r="AA26" s="112">
        <f t="shared" si="13"/>
        <v>1.1673470659500942</v>
      </c>
      <c r="AB26" s="112">
        <f t="shared" si="13"/>
        <v>1.1957770032322357</v>
      </c>
      <c r="AC26" s="112">
        <f t="shared" si="13"/>
        <v>1.2336583709663937</v>
      </c>
      <c r="AD26" s="112">
        <f t="shared" si="13"/>
        <v>1.2842758402623449</v>
      </c>
      <c r="AE26" s="112">
        <f t="shared" si="13"/>
        <v>1.3247439476864473</v>
      </c>
      <c r="AF26" s="112">
        <f t="shared" si="13"/>
        <v>1.3693963185338831</v>
      </c>
      <c r="AG26" s="112">
        <f t="shared" si="13"/>
        <v>1.4248248933594687</v>
      </c>
      <c r="AH26" s="112">
        <f t="shared" si="13"/>
        <v>1.4620009713602693</v>
      </c>
      <c r="AI26" s="112">
        <f t="shared" si="13"/>
        <v>1.5147676223886615</v>
      </c>
      <c r="AJ26" s="112">
        <f t="shared" si="13"/>
        <v>1.5686946394359345</v>
      </c>
      <c r="AK26" s="112">
        <f t="shared" si="13"/>
        <v>1.6206829717783093</v>
      </c>
      <c r="AL26" s="113">
        <f t="shared" si="13"/>
        <v>1.6727637294646487</v>
      </c>
    </row>
    <row r="27" spans="2:38" s="118" customFormat="1" x14ac:dyDescent="0.25">
      <c r="B27" s="114"/>
      <c r="C27" s="442" t="s">
        <v>144</v>
      </c>
      <c r="D27" s="114"/>
      <c r="E27" s="116">
        <f>($E$5*E26)*$E$7</f>
        <v>15807.440338766904</v>
      </c>
      <c r="F27" s="117">
        <f t="shared" ref="F27:AL27" si="14">($E$5*F26)*$E$7</f>
        <v>19610.520338347505</v>
      </c>
      <c r="G27" s="116">
        <f t="shared" si="14"/>
        <v>17378.8786967632</v>
      </c>
      <c r="H27" s="116">
        <f t="shared" si="14"/>
        <v>17151.480946929256</v>
      </c>
      <c r="I27" s="116">
        <f t="shared" si="14"/>
        <v>17757.490713211053</v>
      </c>
      <c r="J27" s="116">
        <f t="shared" si="14"/>
        <v>18613.093242805815</v>
      </c>
      <c r="K27" s="116">
        <f t="shared" si="14"/>
        <v>19267.546881828417</v>
      </c>
      <c r="L27" s="116">
        <f t="shared" si="14"/>
        <v>20188.143947773249</v>
      </c>
      <c r="M27" s="116">
        <f t="shared" si="14"/>
        <v>20856.962923651416</v>
      </c>
      <c r="N27" s="116">
        <f t="shared" si="14"/>
        <v>21865.51061687465</v>
      </c>
      <c r="O27" s="116">
        <f t="shared" si="14"/>
        <v>22525.49776924527</v>
      </c>
      <c r="P27" s="116">
        <f t="shared" si="14"/>
        <v>23540.867450381778</v>
      </c>
      <c r="Q27" s="116">
        <f t="shared" si="14"/>
        <v>24429.304375905213</v>
      </c>
      <c r="R27" s="116">
        <f t="shared" si="14"/>
        <v>25656.214795164975</v>
      </c>
      <c r="S27" s="116">
        <f t="shared" si="14"/>
        <v>26634.156830184249</v>
      </c>
      <c r="T27" s="116">
        <f t="shared" si="14"/>
        <v>27512.286882823275</v>
      </c>
      <c r="U27" s="116">
        <f t="shared" si="14"/>
        <v>28691.412906646594</v>
      </c>
      <c r="V27" s="116">
        <f t="shared" si="14"/>
        <v>29642.561136172193</v>
      </c>
      <c r="W27" s="116">
        <f t="shared" si="14"/>
        <v>30653.618352975223</v>
      </c>
      <c r="X27" s="116">
        <f t="shared" si="14"/>
        <v>31744.75403309986</v>
      </c>
      <c r="Y27" s="116">
        <f t="shared" si="14"/>
        <v>32759.422673236353</v>
      </c>
      <c r="Z27" s="116">
        <f t="shared" si="14"/>
        <v>33869.994461086295</v>
      </c>
      <c r="AA27" s="116">
        <f t="shared" si="14"/>
        <v>35020.411978502823</v>
      </c>
      <c r="AB27" s="116">
        <f t="shared" si="14"/>
        <v>35873.31009696707</v>
      </c>
      <c r="AC27" s="116">
        <f t="shared" si="14"/>
        <v>37009.751128991811</v>
      </c>
      <c r="AD27" s="116">
        <f t="shared" si="14"/>
        <v>38528.275207870349</v>
      </c>
      <c r="AE27" s="116">
        <f t="shared" si="14"/>
        <v>39742.318430593419</v>
      </c>
      <c r="AF27" s="116">
        <f t="shared" si="14"/>
        <v>41081.889556016496</v>
      </c>
      <c r="AG27" s="116">
        <f t="shared" si="14"/>
        <v>42744.746800784058</v>
      </c>
      <c r="AH27" s="116">
        <f t="shared" si="14"/>
        <v>43860.029140808081</v>
      </c>
      <c r="AI27" s="116">
        <f t="shared" si="14"/>
        <v>45443.028671659842</v>
      </c>
      <c r="AJ27" s="116">
        <f t="shared" si="14"/>
        <v>47060.839183078031</v>
      </c>
      <c r="AK27" s="116">
        <f t="shared" si="14"/>
        <v>48620.489153349277</v>
      </c>
      <c r="AL27" s="117">
        <f t="shared" si="14"/>
        <v>50182.911883939458</v>
      </c>
    </row>
    <row r="28" spans="2:38" s="118" customFormat="1" x14ac:dyDescent="0.25">
      <c r="B28" s="114"/>
      <c r="C28" s="442" t="s">
        <v>145</v>
      </c>
      <c r="D28" s="114"/>
      <c r="E28" s="119">
        <f>($E$5/$E$6)*$E$7</f>
        <v>7246.3768115942039</v>
      </c>
      <c r="F28" s="120">
        <f t="shared" ref="F28:AL28" si="15">($E$5/$E$6)*$E$7</f>
        <v>7246.3768115942039</v>
      </c>
      <c r="G28" s="119">
        <f t="shared" si="15"/>
        <v>7246.3768115942039</v>
      </c>
      <c r="H28" s="119">
        <f t="shared" si="15"/>
        <v>7246.3768115942039</v>
      </c>
      <c r="I28" s="119">
        <f t="shared" si="15"/>
        <v>7246.3768115942039</v>
      </c>
      <c r="J28" s="119">
        <f t="shared" si="15"/>
        <v>7246.3768115942039</v>
      </c>
      <c r="K28" s="119">
        <f t="shared" si="15"/>
        <v>7246.3768115942039</v>
      </c>
      <c r="L28" s="119">
        <f t="shared" si="15"/>
        <v>7246.3768115942039</v>
      </c>
      <c r="M28" s="119">
        <f t="shared" si="15"/>
        <v>7246.3768115942039</v>
      </c>
      <c r="N28" s="119">
        <f t="shared" si="15"/>
        <v>7246.3768115942039</v>
      </c>
      <c r="O28" s="119">
        <f t="shared" si="15"/>
        <v>7246.3768115942039</v>
      </c>
      <c r="P28" s="119">
        <f t="shared" si="15"/>
        <v>7246.3768115942039</v>
      </c>
      <c r="Q28" s="119">
        <f t="shared" si="15"/>
        <v>7246.3768115942039</v>
      </c>
      <c r="R28" s="119">
        <f t="shared" si="15"/>
        <v>7246.3768115942039</v>
      </c>
      <c r="S28" s="119">
        <f t="shared" si="15"/>
        <v>7246.3768115942039</v>
      </c>
      <c r="T28" s="119">
        <f t="shared" si="15"/>
        <v>7246.3768115942039</v>
      </c>
      <c r="U28" s="119">
        <f t="shared" si="15"/>
        <v>7246.3768115942039</v>
      </c>
      <c r="V28" s="119">
        <f t="shared" si="15"/>
        <v>7246.3768115942039</v>
      </c>
      <c r="W28" s="119">
        <f t="shared" si="15"/>
        <v>7246.3768115942039</v>
      </c>
      <c r="X28" s="119">
        <f t="shared" si="15"/>
        <v>7246.3768115942039</v>
      </c>
      <c r="Y28" s="119">
        <f t="shared" si="15"/>
        <v>7246.3768115942039</v>
      </c>
      <c r="Z28" s="119">
        <f t="shared" si="15"/>
        <v>7246.3768115942039</v>
      </c>
      <c r="AA28" s="119">
        <f t="shared" si="15"/>
        <v>7246.3768115942039</v>
      </c>
      <c r="AB28" s="119">
        <f t="shared" si="15"/>
        <v>7246.3768115942039</v>
      </c>
      <c r="AC28" s="119">
        <f t="shared" si="15"/>
        <v>7246.3768115942039</v>
      </c>
      <c r="AD28" s="119">
        <f t="shared" si="15"/>
        <v>7246.3768115942039</v>
      </c>
      <c r="AE28" s="119">
        <f t="shared" si="15"/>
        <v>7246.3768115942039</v>
      </c>
      <c r="AF28" s="119">
        <f t="shared" si="15"/>
        <v>7246.3768115942039</v>
      </c>
      <c r="AG28" s="119">
        <f t="shared" si="15"/>
        <v>7246.3768115942039</v>
      </c>
      <c r="AH28" s="119">
        <f t="shared" si="15"/>
        <v>7246.3768115942039</v>
      </c>
      <c r="AI28" s="119">
        <f t="shared" si="15"/>
        <v>7246.3768115942039</v>
      </c>
      <c r="AJ28" s="119">
        <f t="shared" si="15"/>
        <v>7246.3768115942039</v>
      </c>
      <c r="AK28" s="119">
        <f t="shared" si="15"/>
        <v>7246.3768115942039</v>
      </c>
      <c r="AL28" s="120">
        <f t="shared" si="15"/>
        <v>7246.3768115942039</v>
      </c>
    </row>
    <row r="29" spans="2:38" s="118" customFormat="1" x14ac:dyDescent="0.25">
      <c r="B29" s="114"/>
      <c r="C29" s="442" t="s">
        <v>146</v>
      </c>
      <c r="D29" s="114"/>
      <c r="E29" s="119">
        <f>(E28/$AJ$6)*$AH$6</f>
        <v>163.04347826086959</v>
      </c>
      <c r="F29" s="120">
        <f t="shared" ref="F29:AL29" si="16">(F28/$AJ$6)*$AH$6</f>
        <v>163.04347826086959</v>
      </c>
      <c r="G29" s="119">
        <f t="shared" si="16"/>
        <v>163.04347826086959</v>
      </c>
      <c r="H29" s="119">
        <f t="shared" si="16"/>
        <v>163.04347826086959</v>
      </c>
      <c r="I29" s="119">
        <f t="shared" si="16"/>
        <v>163.04347826086959</v>
      </c>
      <c r="J29" s="119">
        <f t="shared" si="16"/>
        <v>163.04347826086959</v>
      </c>
      <c r="K29" s="119">
        <f t="shared" si="16"/>
        <v>163.04347826086959</v>
      </c>
      <c r="L29" s="119">
        <f t="shared" si="16"/>
        <v>163.04347826086959</v>
      </c>
      <c r="M29" s="119">
        <f t="shared" si="16"/>
        <v>163.04347826086959</v>
      </c>
      <c r="N29" s="119">
        <f t="shared" si="16"/>
        <v>163.04347826086959</v>
      </c>
      <c r="O29" s="119">
        <f t="shared" si="16"/>
        <v>163.04347826086959</v>
      </c>
      <c r="P29" s="119">
        <f t="shared" si="16"/>
        <v>163.04347826086959</v>
      </c>
      <c r="Q29" s="119">
        <f t="shared" si="16"/>
        <v>163.04347826086959</v>
      </c>
      <c r="R29" s="119">
        <f t="shared" si="16"/>
        <v>163.04347826086959</v>
      </c>
      <c r="S29" s="119">
        <f t="shared" si="16"/>
        <v>163.04347826086959</v>
      </c>
      <c r="T29" s="119">
        <f t="shared" si="16"/>
        <v>163.04347826086959</v>
      </c>
      <c r="U29" s="119">
        <f t="shared" si="16"/>
        <v>163.04347826086959</v>
      </c>
      <c r="V29" s="119">
        <f t="shared" si="16"/>
        <v>163.04347826086959</v>
      </c>
      <c r="W29" s="119">
        <f t="shared" si="16"/>
        <v>163.04347826086959</v>
      </c>
      <c r="X29" s="119">
        <f t="shared" si="16"/>
        <v>163.04347826086959</v>
      </c>
      <c r="Y29" s="119">
        <f t="shared" si="16"/>
        <v>163.04347826086959</v>
      </c>
      <c r="Z29" s="119">
        <f t="shared" si="16"/>
        <v>163.04347826086959</v>
      </c>
      <c r="AA29" s="119">
        <f t="shared" si="16"/>
        <v>163.04347826086959</v>
      </c>
      <c r="AB29" s="119">
        <f t="shared" si="16"/>
        <v>163.04347826086959</v>
      </c>
      <c r="AC29" s="119">
        <f t="shared" si="16"/>
        <v>163.04347826086959</v>
      </c>
      <c r="AD29" s="119">
        <f t="shared" si="16"/>
        <v>163.04347826086959</v>
      </c>
      <c r="AE29" s="119">
        <f t="shared" si="16"/>
        <v>163.04347826086959</v>
      </c>
      <c r="AF29" s="119">
        <f t="shared" si="16"/>
        <v>163.04347826086959</v>
      </c>
      <c r="AG29" s="119">
        <f t="shared" si="16"/>
        <v>163.04347826086959</v>
      </c>
      <c r="AH29" s="119">
        <f t="shared" si="16"/>
        <v>163.04347826086959</v>
      </c>
      <c r="AI29" s="119">
        <f t="shared" si="16"/>
        <v>163.04347826086959</v>
      </c>
      <c r="AJ29" s="119">
        <f t="shared" si="16"/>
        <v>163.04347826086959</v>
      </c>
      <c r="AK29" s="119">
        <f t="shared" si="16"/>
        <v>163.04347826086959</v>
      </c>
      <c r="AL29" s="120">
        <f t="shared" si="16"/>
        <v>163.04347826086959</v>
      </c>
    </row>
    <row r="30" spans="2:38" s="118" customFormat="1" x14ac:dyDescent="0.25">
      <c r="B30" s="114"/>
      <c r="C30" s="442" t="s">
        <v>147</v>
      </c>
      <c r="D30" s="114"/>
      <c r="E30" s="121">
        <f>E29*$AH$4</f>
        <v>326.08695652173918</v>
      </c>
      <c r="F30" s="122">
        <f>F29*$AH$4</f>
        <v>326.08695652173918</v>
      </c>
      <c r="G30" s="121">
        <f>G29*$AH$4</f>
        <v>326.08695652173918</v>
      </c>
      <c r="H30" s="121">
        <f>G30*(1+$E$2)</f>
        <v>333.91304347826093</v>
      </c>
      <c r="I30" s="121">
        <f t="shared" ref="I30:AL30" si="17">H30*(1+$E$2)</f>
        <v>341.92695652173921</v>
      </c>
      <c r="J30" s="121">
        <f t="shared" si="17"/>
        <v>350.13320347826095</v>
      </c>
      <c r="K30" s="121">
        <f t="shared" si="17"/>
        <v>358.5364003617392</v>
      </c>
      <c r="L30" s="121">
        <f t="shared" si="17"/>
        <v>367.14127397042097</v>
      </c>
      <c r="M30" s="121">
        <f t="shared" si="17"/>
        <v>375.95266454571106</v>
      </c>
      <c r="N30" s="121">
        <f t="shared" si="17"/>
        <v>384.97552849480815</v>
      </c>
      <c r="O30" s="121">
        <f t="shared" si="17"/>
        <v>394.21494117868355</v>
      </c>
      <c r="P30" s="121">
        <f t="shared" si="17"/>
        <v>403.67609976697196</v>
      </c>
      <c r="Q30" s="121">
        <f t="shared" si="17"/>
        <v>413.36432616137927</v>
      </c>
      <c r="R30" s="121">
        <f t="shared" si="17"/>
        <v>423.28506998925241</v>
      </c>
      <c r="S30" s="121">
        <f t="shared" si="17"/>
        <v>433.44391166899447</v>
      </c>
      <c r="T30" s="121">
        <f t="shared" si="17"/>
        <v>443.84656554905035</v>
      </c>
      <c r="U30" s="121">
        <f t="shared" si="17"/>
        <v>454.4988831222276</v>
      </c>
      <c r="V30" s="121">
        <f t="shared" si="17"/>
        <v>465.40685631716104</v>
      </c>
      <c r="W30" s="121">
        <f t="shared" si="17"/>
        <v>476.57662086877292</v>
      </c>
      <c r="X30" s="121">
        <f t="shared" si="17"/>
        <v>488.0144597696235</v>
      </c>
      <c r="Y30" s="121">
        <f t="shared" si="17"/>
        <v>499.72680680409445</v>
      </c>
      <c r="Z30" s="121">
        <f t="shared" si="17"/>
        <v>511.72025016739275</v>
      </c>
      <c r="AA30" s="121">
        <f t="shared" si="17"/>
        <v>524.00153617141018</v>
      </c>
      <c r="AB30" s="121">
        <f t="shared" si="17"/>
        <v>536.57757303952405</v>
      </c>
      <c r="AC30" s="121">
        <f t="shared" si="17"/>
        <v>549.4554347924726</v>
      </c>
      <c r="AD30" s="121">
        <f t="shared" si="17"/>
        <v>562.64236522749195</v>
      </c>
      <c r="AE30" s="121">
        <f t="shared" si="17"/>
        <v>576.14578199295181</v>
      </c>
      <c r="AF30" s="121">
        <f t="shared" si="17"/>
        <v>589.9732807607827</v>
      </c>
      <c r="AG30" s="121">
        <f t="shared" si="17"/>
        <v>604.13263949904149</v>
      </c>
      <c r="AH30" s="121">
        <f t="shared" si="17"/>
        <v>618.6318228470185</v>
      </c>
      <c r="AI30" s="121">
        <f t="shared" si="17"/>
        <v>633.47898659534701</v>
      </c>
      <c r="AJ30" s="121">
        <f t="shared" si="17"/>
        <v>648.6824822736354</v>
      </c>
      <c r="AK30" s="121">
        <f t="shared" si="17"/>
        <v>664.2508618482027</v>
      </c>
      <c r="AL30" s="122">
        <f t="shared" si="17"/>
        <v>680.19288253255957</v>
      </c>
    </row>
    <row r="31" spans="2:38" s="118" customFormat="1" x14ac:dyDescent="0.25">
      <c r="B31" s="114"/>
      <c r="C31" s="442" t="s">
        <v>148</v>
      </c>
      <c r="D31" s="114"/>
      <c r="E31" s="121">
        <f>E27+E30</f>
        <v>16133.527295288644</v>
      </c>
      <c r="F31" s="122">
        <f t="shared" ref="F31:AL31" si="18">F27+F30</f>
        <v>19936.607294869245</v>
      </c>
      <c r="G31" s="121">
        <f t="shared" si="18"/>
        <v>17704.96565328494</v>
      </c>
      <c r="H31" s="121">
        <f t="shared" si="18"/>
        <v>17485.393990407516</v>
      </c>
      <c r="I31" s="121">
        <f t="shared" si="18"/>
        <v>18099.417669732793</v>
      </c>
      <c r="J31" s="121">
        <f t="shared" si="18"/>
        <v>18963.226446284076</v>
      </c>
      <c r="K31" s="121">
        <f t="shared" si="18"/>
        <v>19626.083282190157</v>
      </c>
      <c r="L31" s="121">
        <f t="shared" si="18"/>
        <v>20555.28522174367</v>
      </c>
      <c r="M31" s="121">
        <f t="shared" si="18"/>
        <v>21232.915588197127</v>
      </c>
      <c r="N31" s="121">
        <f t="shared" si="18"/>
        <v>22250.486145369458</v>
      </c>
      <c r="O31" s="121">
        <f t="shared" si="18"/>
        <v>22919.712710423955</v>
      </c>
      <c r="P31" s="121">
        <f t="shared" si="18"/>
        <v>23944.543550148752</v>
      </c>
      <c r="Q31" s="121">
        <f t="shared" si="18"/>
        <v>24842.668702066592</v>
      </c>
      <c r="R31" s="121">
        <f t="shared" si="18"/>
        <v>26079.499865154226</v>
      </c>
      <c r="S31" s="121">
        <f t="shared" si="18"/>
        <v>27067.600741853243</v>
      </c>
      <c r="T31" s="121">
        <f t="shared" si="18"/>
        <v>27956.133448372326</v>
      </c>
      <c r="U31" s="121">
        <f t="shared" si="18"/>
        <v>29145.911789768823</v>
      </c>
      <c r="V31" s="121">
        <f t="shared" si="18"/>
        <v>30107.967992489353</v>
      </c>
      <c r="W31" s="121">
        <f t="shared" si="18"/>
        <v>31130.194973843998</v>
      </c>
      <c r="X31" s="121">
        <f t="shared" si="18"/>
        <v>32232.768492869483</v>
      </c>
      <c r="Y31" s="121">
        <f t="shared" si="18"/>
        <v>33259.149480040447</v>
      </c>
      <c r="Z31" s="121">
        <f t="shared" si="18"/>
        <v>34381.714711253684</v>
      </c>
      <c r="AA31" s="121">
        <f t="shared" si="18"/>
        <v>35544.413514674234</v>
      </c>
      <c r="AB31" s="121">
        <f t="shared" si="18"/>
        <v>36409.887670006596</v>
      </c>
      <c r="AC31" s="121">
        <f t="shared" si="18"/>
        <v>37559.206563784282</v>
      </c>
      <c r="AD31" s="121">
        <f t="shared" si="18"/>
        <v>39090.917573097839</v>
      </c>
      <c r="AE31" s="121">
        <f t="shared" si="18"/>
        <v>40318.464212586368</v>
      </c>
      <c r="AF31" s="121">
        <f t="shared" si="18"/>
        <v>41671.862836777276</v>
      </c>
      <c r="AG31" s="121">
        <f t="shared" si="18"/>
        <v>43348.879440283097</v>
      </c>
      <c r="AH31" s="121">
        <f t="shared" si="18"/>
        <v>44478.6609636551</v>
      </c>
      <c r="AI31" s="121">
        <f t="shared" si="18"/>
        <v>46076.507658255192</v>
      </c>
      <c r="AJ31" s="121">
        <f t="shared" si="18"/>
        <v>47709.521665351669</v>
      </c>
      <c r="AK31" s="121">
        <f t="shared" si="18"/>
        <v>49284.74001519748</v>
      </c>
      <c r="AL31" s="122">
        <f t="shared" si="18"/>
        <v>50863.104766472017</v>
      </c>
    </row>
    <row r="32" spans="2:38" s="118" customFormat="1" x14ac:dyDescent="0.25">
      <c r="B32" s="114"/>
      <c r="C32" s="442" t="s">
        <v>149</v>
      </c>
      <c r="D32" s="114"/>
      <c r="E32" s="121">
        <f>$E$5*$E$7*$P$8</f>
        <v>29700</v>
      </c>
      <c r="F32" s="122">
        <f>$E$5*$E$7*$P$8</f>
        <v>29700</v>
      </c>
      <c r="G32" s="121">
        <f>$E$5*$E$7*$P$8</f>
        <v>29700</v>
      </c>
      <c r="H32" s="121">
        <f>G32*(1+$E$2)</f>
        <v>30412.799999999999</v>
      </c>
      <c r="I32" s="121">
        <f t="shared" ref="I32:AL32" si="19">H32*(1+$E$2)</f>
        <v>31142.707200000001</v>
      </c>
      <c r="J32" s="121">
        <f t="shared" si="19"/>
        <v>31890.1321728</v>
      </c>
      <c r="K32" s="121">
        <f t="shared" si="19"/>
        <v>32655.495344947201</v>
      </c>
      <c r="L32" s="121">
        <f t="shared" si="19"/>
        <v>33439.227233225938</v>
      </c>
      <c r="M32" s="121">
        <f t="shared" si="19"/>
        <v>34241.768686823358</v>
      </c>
      <c r="N32" s="121">
        <f t="shared" si="19"/>
        <v>35063.571135307116</v>
      </c>
      <c r="O32" s="121">
        <f t="shared" si="19"/>
        <v>35905.096842554485</v>
      </c>
      <c r="P32" s="121">
        <f t="shared" si="19"/>
        <v>36766.819166775793</v>
      </c>
      <c r="Q32" s="121">
        <f t="shared" si="19"/>
        <v>37649.222826778416</v>
      </c>
      <c r="R32" s="121">
        <f t="shared" si="19"/>
        <v>38552.804174621102</v>
      </c>
      <c r="S32" s="121">
        <f t="shared" si="19"/>
        <v>39478.071474812008</v>
      </c>
      <c r="T32" s="121">
        <f t="shared" si="19"/>
        <v>40425.5451902075</v>
      </c>
      <c r="U32" s="121">
        <f t="shared" si="19"/>
        <v>41395.758274772481</v>
      </c>
      <c r="V32" s="121">
        <f t="shared" si="19"/>
        <v>42389.256473367022</v>
      </c>
      <c r="W32" s="121">
        <f t="shared" si="19"/>
        <v>43406.598628727828</v>
      </c>
      <c r="X32" s="121">
        <f t="shared" si="19"/>
        <v>44448.356995817296</v>
      </c>
      <c r="Y32" s="121">
        <f t="shared" si="19"/>
        <v>45515.117563716914</v>
      </c>
      <c r="Z32" s="121">
        <f t="shared" si="19"/>
        <v>46607.480385246119</v>
      </c>
      <c r="AA32" s="121">
        <f t="shared" si="19"/>
        <v>47726.059914492027</v>
      </c>
      <c r="AB32" s="121">
        <f t="shared" si="19"/>
        <v>48871.485352439835</v>
      </c>
      <c r="AC32" s="121">
        <f t="shared" si="19"/>
        <v>50044.40100089839</v>
      </c>
      <c r="AD32" s="121">
        <f t="shared" si="19"/>
        <v>51245.466624919951</v>
      </c>
      <c r="AE32" s="121">
        <f t="shared" si="19"/>
        <v>52475.357823918028</v>
      </c>
      <c r="AF32" s="121">
        <f t="shared" si="19"/>
        <v>53734.766411692064</v>
      </c>
      <c r="AG32" s="121">
        <f t="shared" si="19"/>
        <v>55024.400805572674</v>
      </c>
      <c r="AH32" s="121">
        <f t="shared" si="19"/>
        <v>56344.986424906419</v>
      </c>
      <c r="AI32" s="121">
        <f t="shared" si="19"/>
        <v>57697.266099104178</v>
      </c>
      <c r="AJ32" s="121">
        <f t="shared" si="19"/>
        <v>59082.000485482677</v>
      </c>
      <c r="AK32" s="121">
        <f t="shared" si="19"/>
        <v>60499.968497134265</v>
      </c>
      <c r="AL32" s="122">
        <f t="shared" si="19"/>
        <v>61951.967741065491</v>
      </c>
    </row>
    <row r="33" spans="2:38" s="118" customFormat="1" x14ac:dyDescent="0.25">
      <c r="B33" s="114"/>
      <c r="C33" s="442" t="s">
        <v>150</v>
      </c>
      <c r="D33" s="114"/>
      <c r="E33" s="121">
        <f>E31+E32</f>
        <v>45833.527295288644</v>
      </c>
      <c r="F33" s="122">
        <f t="shared" ref="F33:AL33" si="20">F31+F32</f>
        <v>49636.607294869245</v>
      </c>
      <c r="G33" s="121">
        <f t="shared" si="20"/>
        <v>47404.96565328494</v>
      </c>
      <c r="H33" s="121">
        <f t="shared" si="20"/>
        <v>47898.193990407512</v>
      </c>
      <c r="I33" s="121">
        <f t="shared" si="20"/>
        <v>49242.124869732797</v>
      </c>
      <c r="J33" s="121">
        <f t="shared" si="20"/>
        <v>50853.358619084072</v>
      </c>
      <c r="K33" s="121">
        <f t="shared" si="20"/>
        <v>52281.578627137358</v>
      </c>
      <c r="L33" s="121">
        <f t="shared" si="20"/>
        <v>53994.512454969605</v>
      </c>
      <c r="M33" s="121">
        <f t="shared" si="20"/>
        <v>55474.684275020481</v>
      </c>
      <c r="N33" s="121">
        <f t="shared" si="20"/>
        <v>57314.05728067657</v>
      </c>
      <c r="O33" s="121">
        <f t="shared" si="20"/>
        <v>58824.80955297844</v>
      </c>
      <c r="P33" s="121">
        <f t="shared" si="20"/>
        <v>60711.362716924545</v>
      </c>
      <c r="Q33" s="121">
        <f t="shared" si="20"/>
        <v>62491.891528845008</v>
      </c>
      <c r="R33" s="121">
        <f t="shared" si="20"/>
        <v>64632.304039775328</v>
      </c>
      <c r="S33" s="121">
        <f t="shared" si="20"/>
        <v>66545.672216665247</v>
      </c>
      <c r="T33" s="121">
        <f t="shared" si="20"/>
        <v>68381.678638579819</v>
      </c>
      <c r="U33" s="121">
        <f t="shared" si="20"/>
        <v>70541.670064541308</v>
      </c>
      <c r="V33" s="121">
        <f t="shared" si="20"/>
        <v>72497.224465856372</v>
      </c>
      <c r="W33" s="121">
        <f t="shared" si="20"/>
        <v>74536.793602571823</v>
      </c>
      <c r="X33" s="121">
        <f t="shared" si="20"/>
        <v>76681.125488686783</v>
      </c>
      <c r="Y33" s="121">
        <f t="shared" si="20"/>
        <v>78774.267043757369</v>
      </c>
      <c r="Z33" s="121">
        <f t="shared" si="20"/>
        <v>80989.19509649981</v>
      </c>
      <c r="AA33" s="121">
        <f t="shared" si="20"/>
        <v>83270.473429166261</v>
      </c>
      <c r="AB33" s="121">
        <f t="shared" si="20"/>
        <v>85281.373022446438</v>
      </c>
      <c r="AC33" s="121">
        <f t="shared" si="20"/>
        <v>87603.607564682665</v>
      </c>
      <c r="AD33" s="121">
        <f t="shared" si="20"/>
        <v>90336.384198017797</v>
      </c>
      <c r="AE33" s="121">
        <f t="shared" si="20"/>
        <v>92793.822036504396</v>
      </c>
      <c r="AF33" s="121">
        <f t="shared" si="20"/>
        <v>95406.62924846934</v>
      </c>
      <c r="AG33" s="121">
        <f t="shared" si="20"/>
        <v>98373.280245855771</v>
      </c>
      <c r="AH33" s="121">
        <f t="shared" si="20"/>
        <v>100823.64738856151</v>
      </c>
      <c r="AI33" s="121">
        <f t="shared" si="20"/>
        <v>103773.77375735936</v>
      </c>
      <c r="AJ33" s="121">
        <f t="shared" si="20"/>
        <v>106791.52215083435</v>
      </c>
      <c r="AK33" s="121">
        <f t="shared" si="20"/>
        <v>109784.70851233174</v>
      </c>
      <c r="AL33" s="122">
        <f t="shared" si="20"/>
        <v>112815.07250753751</v>
      </c>
    </row>
    <row r="34" spans="2:38" s="118" customFormat="1" x14ac:dyDescent="0.25">
      <c r="B34" s="114"/>
      <c r="C34" s="442" t="s">
        <v>154</v>
      </c>
      <c r="D34" s="114"/>
      <c r="E34" s="121">
        <f>E33-E23</f>
        <v>-118.84057971014408</v>
      </c>
      <c r="F34" s="122">
        <f t="shared" ref="F34:AL34" si="21">F33-F23</f>
        <v>-118.84057971014408</v>
      </c>
      <c r="G34" s="121">
        <f t="shared" si="21"/>
        <v>-118.84057971013681</v>
      </c>
      <c r="H34" s="121">
        <f t="shared" si="21"/>
        <v>-126.91014492754039</v>
      </c>
      <c r="I34" s="121">
        <f t="shared" si="21"/>
        <v>-135.1733797101333</v>
      </c>
      <c r="J34" s="121">
        <f t="shared" si="21"/>
        <v>-143.63493212753383</v>
      </c>
      <c r="K34" s="121">
        <f t="shared" si="21"/>
        <v>-152.29956180294539</v>
      </c>
      <c r="L34" s="121">
        <f t="shared" si="21"/>
        <v>-161.17214259057073</v>
      </c>
      <c r="M34" s="121">
        <f t="shared" si="21"/>
        <v>-170.25766531708359</v>
      </c>
      <c r="N34" s="121">
        <f t="shared" si="21"/>
        <v>-179.56124058905698</v>
      </c>
      <c r="O34" s="121">
        <f t="shared" si="21"/>
        <v>-189.08810166753392</v>
      </c>
      <c r="P34" s="121">
        <f t="shared" si="21"/>
        <v>-198.84360741190903</v>
      </c>
      <c r="Q34" s="121">
        <f t="shared" si="21"/>
        <v>-208.83324529413949</v>
      </c>
      <c r="R34" s="121">
        <f t="shared" si="21"/>
        <v>-219.06263448554819</v>
      </c>
      <c r="S34" s="121">
        <f t="shared" si="21"/>
        <v>-229.53752901755797</v>
      </c>
      <c r="T34" s="121">
        <f t="shared" si="21"/>
        <v>-240.26382101832132</v>
      </c>
      <c r="U34" s="121">
        <f t="shared" si="21"/>
        <v>-251.24754402709368</v>
      </c>
      <c r="V34" s="121">
        <f t="shared" si="21"/>
        <v>-262.4948763880966</v>
      </c>
      <c r="W34" s="121">
        <f t="shared" si="21"/>
        <v>-274.01214472576976</v>
      </c>
      <c r="X34" s="121">
        <f t="shared" si="21"/>
        <v>-285.80582750352914</v>
      </c>
      <c r="Y34" s="121">
        <f t="shared" si="21"/>
        <v>-297.88255866794498</v>
      </c>
      <c r="Z34" s="121">
        <f t="shared" si="21"/>
        <v>-310.24913138034754</v>
      </c>
      <c r="AA34" s="121">
        <f t="shared" si="21"/>
        <v>-322.9125018378254</v>
      </c>
      <c r="AB34" s="121">
        <f t="shared" si="21"/>
        <v>-335.87979318627913</v>
      </c>
      <c r="AC34" s="121">
        <f t="shared" si="21"/>
        <v>-349.15829952711647</v>
      </c>
      <c r="AD34" s="121">
        <f t="shared" si="21"/>
        <v>-362.75549002009211</v>
      </c>
      <c r="AE34" s="121">
        <f t="shared" si="21"/>
        <v>-376.67901308494038</v>
      </c>
      <c r="AF34" s="121">
        <f t="shared" si="21"/>
        <v>-390.93670070331427</v>
      </c>
      <c r="AG34" s="121">
        <f t="shared" si="21"/>
        <v>-405.53657282455242</v>
      </c>
      <c r="AH34" s="121">
        <f t="shared" si="21"/>
        <v>-420.48684187670005</v>
      </c>
      <c r="AI34" s="121">
        <f t="shared" si="21"/>
        <v>-435.79591738608724</v>
      </c>
      <c r="AJ34" s="121">
        <f t="shared" si="21"/>
        <v>-451.47241070767632</v>
      </c>
      <c r="AK34" s="121">
        <f t="shared" si="21"/>
        <v>-467.52513986903068</v>
      </c>
      <c r="AL34" s="122">
        <f t="shared" si="21"/>
        <v>-483.96313453021867</v>
      </c>
    </row>
    <row r="35" spans="2:38" s="118" customFormat="1" x14ac:dyDescent="0.25">
      <c r="B35" s="114"/>
      <c r="C35" s="442" t="s">
        <v>155</v>
      </c>
      <c r="D35" s="114"/>
      <c r="E35" s="119">
        <f>(E28*$T$5)/$V$3</f>
        <v>87.268123173285915</v>
      </c>
      <c r="F35" s="120">
        <f t="shared" ref="F35:AL35" si="22">(F28*$T$5)/$V$3</f>
        <v>87.268123173285915</v>
      </c>
      <c r="G35" s="119">
        <f t="shared" si="22"/>
        <v>87.268123173285915</v>
      </c>
      <c r="H35" s="119">
        <f t="shared" si="22"/>
        <v>87.268123173285915</v>
      </c>
      <c r="I35" s="119">
        <f t="shared" si="22"/>
        <v>87.268123173285915</v>
      </c>
      <c r="J35" s="119">
        <f t="shared" si="22"/>
        <v>87.268123173285915</v>
      </c>
      <c r="K35" s="119">
        <f t="shared" si="22"/>
        <v>87.268123173285915</v>
      </c>
      <c r="L35" s="119">
        <f t="shared" si="22"/>
        <v>87.268123173285915</v>
      </c>
      <c r="M35" s="119">
        <f t="shared" si="22"/>
        <v>87.268123173285915</v>
      </c>
      <c r="N35" s="119">
        <f t="shared" si="22"/>
        <v>87.268123173285915</v>
      </c>
      <c r="O35" s="119">
        <f t="shared" si="22"/>
        <v>87.268123173285915</v>
      </c>
      <c r="P35" s="119">
        <f t="shared" si="22"/>
        <v>87.268123173285915</v>
      </c>
      <c r="Q35" s="119">
        <f t="shared" si="22"/>
        <v>87.268123173285915</v>
      </c>
      <c r="R35" s="119">
        <f t="shared" si="22"/>
        <v>87.268123173285915</v>
      </c>
      <c r="S35" s="119">
        <f t="shared" si="22"/>
        <v>87.268123173285915</v>
      </c>
      <c r="T35" s="119">
        <f t="shared" si="22"/>
        <v>87.268123173285915</v>
      </c>
      <c r="U35" s="119">
        <f t="shared" si="22"/>
        <v>87.268123173285915</v>
      </c>
      <c r="V35" s="119">
        <f t="shared" si="22"/>
        <v>87.268123173285915</v>
      </c>
      <c r="W35" s="119">
        <f t="shared" si="22"/>
        <v>87.268123173285915</v>
      </c>
      <c r="X35" s="119">
        <f t="shared" si="22"/>
        <v>87.268123173285915</v>
      </c>
      <c r="Y35" s="119">
        <f t="shared" si="22"/>
        <v>87.268123173285915</v>
      </c>
      <c r="Z35" s="119">
        <f t="shared" si="22"/>
        <v>87.268123173285915</v>
      </c>
      <c r="AA35" s="119">
        <f t="shared" si="22"/>
        <v>87.268123173285915</v>
      </c>
      <c r="AB35" s="119">
        <f t="shared" si="22"/>
        <v>87.268123173285915</v>
      </c>
      <c r="AC35" s="119">
        <f t="shared" si="22"/>
        <v>87.268123173285915</v>
      </c>
      <c r="AD35" s="119">
        <f t="shared" si="22"/>
        <v>87.268123173285915</v>
      </c>
      <c r="AE35" s="119">
        <f t="shared" si="22"/>
        <v>87.268123173285915</v>
      </c>
      <c r="AF35" s="119">
        <f t="shared" si="22"/>
        <v>87.268123173285915</v>
      </c>
      <c r="AG35" s="119">
        <f t="shared" si="22"/>
        <v>87.268123173285915</v>
      </c>
      <c r="AH35" s="119">
        <f t="shared" si="22"/>
        <v>87.268123173285915</v>
      </c>
      <c r="AI35" s="119">
        <f t="shared" si="22"/>
        <v>87.268123173285915</v>
      </c>
      <c r="AJ35" s="119">
        <f t="shared" si="22"/>
        <v>87.268123173285915</v>
      </c>
      <c r="AK35" s="119">
        <f t="shared" si="22"/>
        <v>87.268123173285915</v>
      </c>
      <c r="AL35" s="120">
        <f t="shared" si="22"/>
        <v>87.268123173285915</v>
      </c>
    </row>
    <row r="36" spans="2:38" s="118" customFormat="1" x14ac:dyDescent="0.25">
      <c r="B36" s="114"/>
      <c r="C36" s="442" t="s">
        <v>156</v>
      </c>
      <c r="D36" s="114"/>
      <c r="E36" s="119">
        <f t="shared" ref="E36:AL36" si="23">E24-E35</f>
        <v>9.0390711384759328</v>
      </c>
      <c r="F36" s="120">
        <f t="shared" si="23"/>
        <v>9.0390711384759328</v>
      </c>
      <c r="G36" s="119">
        <f t="shared" si="23"/>
        <v>9.0390711384759328</v>
      </c>
      <c r="H36" s="119">
        <f t="shared" si="23"/>
        <v>9.0390711384759328</v>
      </c>
      <c r="I36" s="119">
        <f t="shared" si="23"/>
        <v>9.0390711384759328</v>
      </c>
      <c r="J36" s="119">
        <f t="shared" si="23"/>
        <v>9.0390711384759328</v>
      </c>
      <c r="K36" s="119">
        <f t="shared" si="23"/>
        <v>9.0390711384759328</v>
      </c>
      <c r="L36" s="119">
        <f t="shared" si="23"/>
        <v>9.0390711384759328</v>
      </c>
      <c r="M36" s="119">
        <f t="shared" si="23"/>
        <v>9.0390711384759328</v>
      </c>
      <c r="N36" s="119">
        <f t="shared" si="23"/>
        <v>9.0390711384759328</v>
      </c>
      <c r="O36" s="119">
        <f t="shared" si="23"/>
        <v>9.0390711384759328</v>
      </c>
      <c r="P36" s="119">
        <f t="shared" si="23"/>
        <v>9.0390711384759328</v>
      </c>
      <c r="Q36" s="119">
        <f t="shared" si="23"/>
        <v>9.0390711384759328</v>
      </c>
      <c r="R36" s="119">
        <f t="shared" si="23"/>
        <v>9.0390711384759328</v>
      </c>
      <c r="S36" s="119">
        <f t="shared" si="23"/>
        <v>9.0390711384759328</v>
      </c>
      <c r="T36" s="119">
        <f t="shared" si="23"/>
        <v>9.0390711384759328</v>
      </c>
      <c r="U36" s="119">
        <f t="shared" si="23"/>
        <v>9.0390711384759328</v>
      </c>
      <c r="V36" s="119">
        <f t="shared" si="23"/>
        <v>9.0390711384759328</v>
      </c>
      <c r="W36" s="119">
        <f t="shared" si="23"/>
        <v>9.0390711384759328</v>
      </c>
      <c r="X36" s="119">
        <f t="shared" si="23"/>
        <v>9.0390711384759328</v>
      </c>
      <c r="Y36" s="119">
        <f t="shared" si="23"/>
        <v>9.0390711384759328</v>
      </c>
      <c r="Z36" s="119">
        <f t="shared" si="23"/>
        <v>9.0390711384759328</v>
      </c>
      <c r="AA36" s="119">
        <f t="shared" si="23"/>
        <v>9.0390711384759328</v>
      </c>
      <c r="AB36" s="119">
        <f t="shared" si="23"/>
        <v>9.0390711384759328</v>
      </c>
      <c r="AC36" s="119">
        <f t="shared" si="23"/>
        <v>9.0390711384759328</v>
      </c>
      <c r="AD36" s="119">
        <f t="shared" si="23"/>
        <v>9.0390711384759328</v>
      </c>
      <c r="AE36" s="119">
        <f t="shared" si="23"/>
        <v>9.0390711384759328</v>
      </c>
      <c r="AF36" s="119">
        <f t="shared" si="23"/>
        <v>9.0390711384759328</v>
      </c>
      <c r="AG36" s="119">
        <f t="shared" si="23"/>
        <v>9.0390711384759328</v>
      </c>
      <c r="AH36" s="119">
        <f t="shared" si="23"/>
        <v>9.0390711384759328</v>
      </c>
      <c r="AI36" s="119">
        <f t="shared" si="23"/>
        <v>9.0390711384759328</v>
      </c>
      <c r="AJ36" s="119">
        <f t="shared" si="23"/>
        <v>9.0390711384759328</v>
      </c>
      <c r="AK36" s="119">
        <f t="shared" si="23"/>
        <v>9.0390711384759328</v>
      </c>
      <c r="AL36" s="120">
        <f t="shared" si="23"/>
        <v>9.0390711384759328</v>
      </c>
    </row>
    <row r="37" spans="2:38" s="118" customFormat="1" ht="15.75" thickBot="1" x14ac:dyDescent="0.3">
      <c r="B37" s="123"/>
      <c r="C37" s="443" t="s">
        <v>157</v>
      </c>
      <c r="D37" s="123"/>
      <c r="E37" s="127">
        <f>E34/E36</f>
        <v>-13.147432727272644</v>
      </c>
      <c r="F37" s="128">
        <f t="shared" ref="F37:AL37" si="24">F34/F36</f>
        <v>-13.147432727272644</v>
      </c>
      <c r="G37" s="127">
        <f t="shared" si="24"/>
        <v>-13.147432727271839</v>
      </c>
      <c r="H37" s="127">
        <f t="shared" si="24"/>
        <v>-14.040175476364107</v>
      </c>
      <c r="I37" s="127">
        <f t="shared" si="24"/>
        <v>-14.954344051431454</v>
      </c>
      <c r="J37" s="127">
        <f t="shared" si="24"/>
        <v>-15.890452672303224</v>
      </c>
      <c r="K37" s="127">
        <f t="shared" si="24"/>
        <v>-16.849027900075189</v>
      </c>
      <c r="L37" s="127">
        <f t="shared" si="24"/>
        <v>-17.830608933314114</v>
      </c>
      <c r="M37" s="127">
        <f t="shared" si="24"/>
        <v>-18.835747911349056</v>
      </c>
      <c r="N37" s="127">
        <f t="shared" si="24"/>
        <v>-19.865010224859518</v>
      </c>
      <c r="O37" s="127">
        <f t="shared" si="24"/>
        <v>-20.9189748338916</v>
      </c>
      <c r="P37" s="127">
        <f t="shared" si="24"/>
        <v>-21.998234593542076</v>
      </c>
      <c r="Q37" s="127">
        <f t="shared" si="24"/>
        <v>-23.103396587423099</v>
      </c>
      <c r="R37" s="127">
        <f t="shared" si="24"/>
        <v>-24.235082469157785</v>
      </c>
      <c r="S37" s="127">
        <f t="shared" si="24"/>
        <v>-25.393928812054909</v>
      </c>
      <c r="T37" s="127">
        <f t="shared" si="24"/>
        <v>-26.580587467179942</v>
      </c>
      <c r="U37" s="127">
        <f t="shared" si="24"/>
        <v>-27.795725930026947</v>
      </c>
      <c r="V37" s="127">
        <f t="shared" si="24"/>
        <v>-29.040027715984493</v>
      </c>
      <c r="W37" s="127">
        <f t="shared" si="24"/>
        <v>-30.314192744805705</v>
      </c>
      <c r="X37" s="127">
        <f t="shared" si="24"/>
        <v>-31.618937734316642</v>
      </c>
      <c r="Y37" s="127">
        <f t="shared" si="24"/>
        <v>-32.954996603574756</v>
      </c>
      <c r="Z37" s="127">
        <f t="shared" si="24"/>
        <v>-34.323120885699574</v>
      </c>
      <c r="AA37" s="127">
        <f t="shared" si="24"/>
        <v>-35.724080150592918</v>
      </c>
      <c r="AB37" s="127">
        <f t="shared" si="24"/>
        <v>-37.158662437843304</v>
      </c>
      <c r="AC37" s="127">
        <f t="shared" si="24"/>
        <v>-38.627674699989988</v>
      </c>
      <c r="AD37" s="127">
        <f t="shared" si="24"/>
        <v>-40.131943256423568</v>
      </c>
      <c r="AE37" s="127">
        <f t="shared" si="24"/>
        <v>-41.672314258216112</v>
      </c>
      <c r="AF37" s="127">
        <f t="shared" si="24"/>
        <v>-43.24965416404828</v>
      </c>
      <c r="AG37" s="127">
        <f t="shared" si="24"/>
        <v>-44.864850227622995</v>
      </c>
      <c r="AH37" s="127">
        <f t="shared" si="24"/>
        <v>-46.518810996723481</v>
      </c>
      <c r="AI37" s="127">
        <f t="shared" si="24"/>
        <v>-48.212466824281051</v>
      </c>
      <c r="AJ37" s="127">
        <f t="shared" si="24"/>
        <v>-49.946770391697413</v>
      </c>
      <c r="AK37" s="127">
        <f t="shared" si="24"/>
        <v>-51.722697244736977</v>
      </c>
      <c r="AL37" s="128">
        <f t="shared" si="24"/>
        <v>-53.541246342245195</v>
      </c>
    </row>
    <row r="38" spans="2:38" x14ac:dyDescent="0.25">
      <c r="B38" s="87" t="s">
        <v>158</v>
      </c>
      <c r="C38" s="444" t="s">
        <v>496</v>
      </c>
      <c r="D38" s="445">
        <v>0.33</v>
      </c>
      <c r="E38" s="446">
        <f t="shared" ref="E38:AL38" si="25">E14-$D$38</f>
        <v>2.2714267667498325</v>
      </c>
      <c r="F38" s="447">
        <f t="shared" si="25"/>
        <v>2.7962518066919553</v>
      </c>
      <c r="G38" s="448">
        <f t="shared" si="25"/>
        <v>2.488285260153321</v>
      </c>
      <c r="H38" s="448">
        <f t="shared" si="25"/>
        <v>2.456904370676237</v>
      </c>
      <c r="I38" s="448">
        <f t="shared" si="25"/>
        <v>2.5405337184231249</v>
      </c>
      <c r="J38" s="448">
        <f t="shared" si="25"/>
        <v>2.6586068675072023</v>
      </c>
      <c r="K38" s="448">
        <f t="shared" si="25"/>
        <v>2.7489214696923212</v>
      </c>
      <c r="L38" s="448">
        <f t="shared" si="25"/>
        <v>2.8759638647927082</v>
      </c>
      <c r="M38" s="448">
        <f t="shared" si="25"/>
        <v>2.9682608834638953</v>
      </c>
      <c r="N38" s="448">
        <f t="shared" si="25"/>
        <v>3.1074404651287013</v>
      </c>
      <c r="O38" s="448">
        <f t="shared" si="25"/>
        <v>3.1985186921558468</v>
      </c>
      <c r="P38" s="448">
        <f t="shared" si="25"/>
        <v>3.3386397081526851</v>
      </c>
      <c r="Q38" s="448">
        <f t="shared" si="25"/>
        <v>3.4612440038749193</v>
      </c>
      <c r="R38" s="448">
        <f t="shared" si="25"/>
        <v>3.6305576417327661</v>
      </c>
      <c r="S38" s="448">
        <f t="shared" si="25"/>
        <v>3.7655136425654261</v>
      </c>
      <c r="T38" s="448">
        <f t="shared" si="25"/>
        <v>3.8866955898296114</v>
      </c>
      <c r="U38" s="448">
        <f t="shared" si="25"/>
        <v>4.0494149811172298</v>
      </c>
      <c r="V38" s="448">
        <f t="shared" si="25"/>
        <v>4.1806734367917624</v>
      </c>
      <c r="W38" s="448">
        <f t="shared" si="25"/>
        <v>4.3201993327105805</v>
      </c>
      <c r="X38" s="448">
        <f t="shared" si="25"/>
        <v>4.4707760565677805</v>
      </c>
      <c r="Y38" s="448">
        <f t="shared" si="25"/>
        <v>4.610800328906616</v>
      </c>
      <c r="Z38" s="448">
        <f t="shared" si="25"/>
        <v>4.7640592356299081</v>
      </c>
      <c r="AA38" s="448">
        <f t="shared" si="25"/>
        <v>4.9228168530333898</v>
      </c>
      <c r="AB38" s="448">
        <f t="shared" si="25"/>
        <v>5.040516793381455</v>
      </c>
      <c r="AC38" s="448">
        <f t="shared" si="25"/>
        <v>5.1973456558008699</v>
      </c>
      <c r="AD38" s="448">
        <f t="shared" si="25"/>
        <v>5.4069019786861068</v>
      </c>
      <c r="AE38" s="448">
        <f t="shared" si="25"/>
        <v>5.5744399434218916</v>
      </c>
      <c r="AF38" s="448">
        <f t="shared" si="25"/>
        <v>5.7593007587302756</v>
      </c>
      <c r="AG38" s="448">
        <f t="shared" si="25"/>
        <v>5.9887750585081996</v>
      </c>
      <c r="AH38" s="448">
        <f t="shared" si="25"/>
        <v>6.1426840214315144</v>
      </c>
      <c r="AI38" s="448">
        <f t="shared" si="25"/>
        <v>6.361137956689058</v>
      </c>
      <c r="AJ38" s="448">
        <f t="shared" si="25"/>
        <v>6.5843958072647677</v>
      </c>
      <c r="AK38" s="448">
        <f t="shared" si="25"/>
        <v>6.7996275031622</v>
      </c>
      <c r="AL38" s="449">
        <f t="shared" si="25"/>
        <v>7.0152418399836449</v>
      </c>
    </row>
    <row r="39" spans="2:38" x14ac:dyDescent="0.25">
      <c r="B39" s="111"/>
      <c r="C39" s="441" t="s">
        <v>159</v>
      </c>
      <c r="D39" s="111"/>
      <c r="E39" s="112">
        <f>E38/$E$6</f>
        <v>0.54865380839367939</v>
      </c>
      <c r="F39" s="113">
        <f t="shared" ref="F39:AL39" si="26">F38/$E$6</f>
        <v>0.67542314171303275</v>
      </c>
      <c r="G39" s="112">
        <f t="shared" si="26"/>
        <v>0.60103508699355579</v>
      </c>
      <c r="H39" s="112">
        <f t="shared" si="26"/>
        <v>0.5934551619990911</v>
      </c>
      <c r="I39" s="112">
        <f t="shared" si="26"/>
        <v>0.61365548754181765</v>
      </c>
      <c r="J39" s="112">
        <f t="shared" si="26"/>
        <v>0.64217557186164309</v>
      </c>
      <c r="K39" s="112">
        <f t="shared" si="26"/>
        <v>0.66399069316239645</v>
      </c>
      <c r="L39" s="112">
        <f t="shared" si="26"/>
        <v>0.69467726202722424</v>
      </c>
      <c r="M39" s="112">
        <f t="shared" si="26"/>
        <v>0.71697122788982981</v>
      </c>
      <c r="N39" s="112">
        <f t="shared" si="26"/>
        <v>0.75058948433060424</v>
      </c>
      <c r="O39" s="112">
        <f t="shared" si="26"/>
        <v>0.77258905607629158</v>
      </c>
      <c r="P39" s="112">
        <f t="shared" si="26"/>
        <v>0.80643471211417517</v>
      </c>
      <c r="Q39" s="112">
        <f t="shared" si="26"/>
        <v>0.83604927629828973</v>
      </c>
      <c r="R39" s="112">
        <f t="shared" si="26"/>
        <v>0.87694629027361504</v>
      </c>
      <c r="S39" s="112">
        <f t="shared" si="26"/>
        <v>0.90954435810759093</v>
      </c>
      <c r="T39" s="112">
        <f t="shared" si="26"/>
        <v>0.93881535986222509</v>
      </c>
      <c r="U39" s="112">
        <f t="shared" si="26"/>
        <v>0.97811956065633576</v>
      </c>
      <c r="V39" s="112">
        <f t="shared" si="26"/>
        <v>1.0098245016405223</v>
      </c>
      <c r="W39" s="112">
        <f t="shared" si="26"/>
        <v>1.04352640886729</v>
      </c>
      <c r="X39" s="112">
        <f t="shared" si="26"/>
        <v>1.079897598204778</v>
      </c>
      <c r="Y39" s="112">
        <f t="shared" si="26"/>
        <v>1.1137198862093276</v>
      </c>
      <c r="Z39" s="112">
        <f t="shared" si="26"/>
        <v>1.1507389458043258</v>
      </c>
      <c r="AA39" s="112">
        <f t="shared" si="26"/>
        <v>1.1890861963848769</v>
      </c>
      <c r="AB39" s="112">
        <f t="shared" si="26"/>
        <v>1.2175161336670182</v>
      </c>
      <c r="AC39" s="112">
        <f t="shared" si="26"/>
        <v>1.2553975014011765</v>
      </c>
      <c r="AD39" s="112">
        <f t="shared" si="26"/>
        <v>1.3060149706971274</v>
      </c>
      <c r="AE39" s="112">
        <f t="shared" si="26"/>
        <v>1.34648307812123</v>
      </c>
      <c r="AF39" s="112">
        <f t="shared" si="26"/>
        <v>1.3911354489686658</v>
      </c>
      <c r="AG39" s="112">
        <f t="shared" si="26"/>
        <v>1.4465640237942512</v>
      </c>
      <c r="AH39" s="112">
        <f t="shared" si="26"/>
        <v>1.483740101795052</v>
      </c>
      <c r="AI39" s="112">
        <f t="shared" si="26"/>
        <v>1.5365067528234442</v>
      </c>
      <c r="AJ39" s="112">
        <f t="shared" si="26"/>
        <v>1.5904337698707169</v>
      </c>
      <c r="AK39" s="112">
        <f t="shared" si="26"/>
        <v>1.6424221022130918</v>
      </c>
      <c r="AL39" s="113">
        <f t="shared" si="26"/>
        <v>1.6945028598994312</v>
      </c>
    </row>
    <row r="40" spans="2:38" s="118" customFormat="1" x14ac:dyDescent="0.25">
      <c r="B40" s="114"/>
      <c r="C40" s="442" t="s">
        <v>144</v>
      </c>
      <c r="D40" s="114"/>
      <c r="E40" s="116">
        <f>($E$5*E39)*$E$7</f>
        <v>16459.614251810381</v>
      </c>
      <c r="F40" s="117">
        <f t="shared" ref="F40:AL40" si="27">($E$5*F39)*$E$7</f>
        <v>20262.694251390982</v>
      </c>
      <c r="G40" s="116">
        <f t="shared" si="27"/>
        <v>18031.052609806673</v>
      </c>
      <c r="H40" s="116">
        <f t="shared" si="27"/>
        <v>17803.654859972732</v>
      </c>
      <c r="I40" s="116">
        <f t="shared" si="27"/>
        <v>18409.664626254529</v>
      </c>
      <c r="J40" s="116">
        <f t="shared" si="27"/>
        <v>19265.267155849291</v>
      </c>
      <c r="K40" s="116">
        <f t="shared" si="27"/>
        <v>19919.720794871893</v>
      </c>
      <c r="L40" s="116">
        <f t="shared" si="27"/>
        <v>20840.317860816725</v>
      </c>
      <c r="M40" s="116">
        <f t="shared" si="27"/>
        <v>21509.136836694895</v>
      </c>
      <c r="N40" s="116">
        <f t="shared" si="27"/>
        <v>22517.684529918126</v>
      </c>
      <c r="O40" s="116">
        <f t="shared" si="27"/>
        <v>23177.671682288747</v>
      </c>
      <c r="P40" s="116">
        <f t="shared" si="27"/>
        <v>24193.041363425255</v>
      </c>
      <c r="Q40" s="116">
        <f t="shared" si="27"/>
        <v>25081.478288948692</v>
      </c>
      <c r="R40" s="116">
        <f t="shared" si="27"/>
        <v>26308.388708208451</v>
      </c>
      <c r="S40" s="116">
        <f t="shared" si="27"/>
        <v>27286.330743227729</v>
      </c>
      <c r="T40" s="116">
        <f t="shared" si="27"/>
        <v>28164.460795866751</v>
      </c>
      <c r="U40" s="116">
        <f t="shared" si="27"/>
        <v>29343.586819690074</v>
      </c>
      <c r="V40" s="116">
        <f t="shared" si="27"/>
        <v>30294.735049215669</v>
      </c>
      <c r="W40" s="116">
        <f t="shared" si="27"/>
        <v>31305.7922660187</v>
      </c>
      <c r="X40" s="116">
        <f t="shared" si="27"/>
        <v>32396.92794614334</v>
      </c>
      <c r="Y40" s="116">
        <f t="shared" si="27"/>
        <v>33411.596586279826</v>
      </c>
      <c r="Z40" s="116">
        <f t="shared" si="27"/>
        <v>34522.168374129775</v>
      </c>
      <c r="AA40" s="116">
        <f t="shared" si="27"/>
        <v>35672.585891546303</v>
      </c>
      <c r="AB40" s="116">
        <f t="shared" si="27"/>
        <v>36525.484010010543</v>
      </c>
      <c r="AC40" s="116">
        <f t="shared" si="27"/>
        <v>37661.925042035291</v>
      </c>
      <c r="AD40" s="116">
        <f t="shared" si="27"/>
        <v>39180.449120913821</v>
      </c>
      <c r="AE40" s="116">
        <f t="shared" si="27"/>
        <v>40394.492343636899</v>
      </c>
      <c r="AF40" s="116">
        <f t="shared" si="27"/>
        <v>41734.063469059976</v>
      </c>
      <c r="AG40" s="116">
        <f t="shared" si="27"/>
        <v>43396.920713827538</v>
      </c>
      <c r="AH40" s="116">
        <f t="shared" si="27"/>
        <v>44512.203053851561</v>
      </c>
      <c r="AI40" s="116">
        <f t="shared" si="27"/>
        <v>46095.202584703322</v>
      </c>
      <c r="AJ40" s="116">
        <f t="shared" si="27"/>
        <v>47713.013096121511</v>
      </c>
      <c r="AK40" s="116">
        <f t="shared" si="27"/>
        <v>49272.663066392757</v>
      </c>
      <c r="AL40" s="117">
        <f t="shared" si="27"/>
        <v>50835.085796982938</v>
      </c>
    </row>
    <row r="41" spans="2:38" s="118" customFormat="1" x14ac:dyDescent="0.25">
      <c r="B41" s="114"/>
      <c r="C41" s="442" t="s">
        <v>145</v>
      </c>
      <c r="D41" s="114"/>
      <c r="E41" s="119">
        <f>($E$5/$E$6)*$E$7</f>
        <v>7246.3768115942039</v>
      </c>
      <c r="F41" s="120">
        <f t="shared" ref="F41:AL41" si="28">($E$5/$E$6)*$E$7</f>
        <v>7246.3768115942039</v>
      </c>
      <c r="G41" s="119">
        <f t="shared" si="28"/>
        <v>7246.3768115942039</v>
      </c>
      <c r="H41" s="119">
        <f t="shared" si="28"/>
        <v>7246.3768115942039</v>
      </c>
      <c r="I41" s="119">
        <f t="shared" si="28"/>
        <v>7246.3768115942039</v>
      </c>
      <c r="J41" s="119">
        <f t="shared" si="28"/>
        <v>7246.3768115942039</v>
      </c>
      <c r="K41" s="119">
        <f t="shared" si="28"/>
        <v>7246.3768115942039</v>
      </c>
      <c r="L41" s="119">
        <f t="shared" si="28"/>
        <v>7246.3768115942039</v>
      </c>
      <c r="M41" s="119">
        <f t="shared" si="28"/>
        <v>7246.3768115942039</v>
      </c>
      <c r="N41" s="119">
        <f t="shared" si="28"/>
        <v>7246.3768115942039</v>
      </c>
      <c r="O41" s="119">
        <f t="shared" si="28"/>
        <v>7246.3768115942039</v>
      </c>
      <c r="P41" s="119">
        <f t="shared" si="28"/>
        <v>7246.3768115942039</v>
      </c>
      <c r="Q41" s="119">
        <f t="shared" si="28"/>
        <v>7246.3768115942039</v>
      </c>
      <c r="R41" s="119">
        <f t="shared" si="28"/>
        <v>7246.3768115942039</v>
      </c>
      <c r="S41" s="119">
        <f t="shared" si="28"/>
        <v>7246.3768115942039</v>
      </c>
      <c r="T41" s="119">
        <f t="shared" si="28"/>
        <v>7246.3768115942039</v>
      </c>
      <c r="U41" s="119">
        <f t="shared" si="28"/>
        <v>7246.3768115942039</v>
      </c>
      <c r="V41" s="119">
        <f t="shared" si="28"/>
        <v>7246.3768115942039</v>
      </c>
      <c r="W41" s="119">
        <f t="shared" si="28"/>
        <v>7246.3768115942039</v>
      </c>
      <c r="X41" s="119">
        <f t="shared" si="28"/>
        <v>7246.3768115942039</v>
      </c>
      <c r="Y41" s="119">
        <f t="shared" si="28"/>
        <v>7246.3768115942039</v>
      </c>
      <c r="Z41" s="119">
        <f t="shared" si="28"/>
        <v>7246.3768115942039</v>
      </c>
      <c r="AA41" s="119">
        <f t="shared" si="28"/>
        <v>7246.3768115942039</v>
      </c>
      <c r="AB41" s="119">
        <f t="shared" si="28"/>
        <v>7246.3768115942039</v>
      </c>
      <c r="AC41" s="119">
        <f t="shared" si="28"/>
        <v>7246.3768115942039</v>
      </c>
      <c r="AD41" s="119">
        <f t="shared" si="28"/>
        <v>7246.3768115942039</v>
      </c>
      <c r="AE41" s="119">
        <f t="shared" si="28"/>
        <v>7246.3768115942039</v>
      </c>
      <c r="AF41" s="119">
        <f t="shared" si="28"/>
        <v>7246.3768115942039</v>
      </c>
      <c r="AG41" s="119">
        <f t="shared" si="28"/>
        <v>7246.3768115942039</v>
      </c>
      <c r="AH41" s="119">
        <f t="shared" si="28"/>
        <v>7246.3768115942039</v>
      </c>
      <c r="AI41" s="119">
        <f t="shared" si="28"/>
        <v>7246.3768115942039</v>
      </c>
      <c r="AJ41" s="119">
        <f t="shared" si="28"/>
        <v>7246.3768115942039</v>
      </c>
      <c r="AK41" s="119">
        <f t="shared" si="28"/>
        <v>7246.3768115942039</v>
      </c>
      <c r="AL41" s="120">
        <f t="shared" si="28"/>
        <v>7246.3768115942039</v>
      </c>
    </row>
    <row r="42" spans="2:38" s="118" customFormat="1" x14ac:dyDescent="0.25">
      <c r="B42" s="114"/>
      <c r="C42" s="442" t="s">
        <v>146</v>
      </c>
      <c r="D42" s="114"/>
      <c r="E42" s="119">
        <f>(E41/$AJ$6)*$AH$6</f>
        <v>163.04347826086959</v>
      </c>
      <c r="F42" s="120">
        <f t="shared" ref="F42:AL42" si="29">(F41/$AJ$6)*$AH$6</f>
        <v>163.04347826086959</v>
      </c>
      <c r="G42" s="119">
        <f t="shared" si="29"/>
        <v>163.04347826086959</v>
      </c>
      <c r="H42" s="119">
        <f t="shared" si="29"/>
        <v>163.04347826086959</v>
      </c>
      <c r="I42" s="119">
        <f t="shared" si="29"/>
        <v>163.04347826086959</v>
      </c>
      <c r="J42" s="119">
        <f t="shared" si="29"/>
        <v>163.04347826086959</v>
      </c>
      <c r="K42" s="119">
        <f t="shared" si="29"/>
        <v>163.04347826086959</v>
      </c>
      <c r="L42" s="119">
        <f t="shared" si="29"/>
        <v>163.04347826086959</v>
      </c>
      <c r="M42" s="119">
        <f t="shared" si="29"/>
        <v>163.04347826086959</v>
      </c>
      <c r="N42" s="119">
        <f t="shared" si="29"/>
        <v>163.04347826086959</v>
      </c>
      <c r="O42" s="119">
        <f t="shared" si="29"/>
        <v>163.04347826086959</v>
      </c>
      <c r="P42" s="119">
        <f t="shared" si="29"/>
        <v>163.04347826086959</v>
      </c>
      <c r="Q42" s="119">
        <f t="shared" si="29"/>
        <v>163.04347826086959</v>
      </c>
      <c r="R42" s="119">
        <f t="shared" si="29"/>
        <v>163.04347826086959</v>
      </c>
      <c r="S42" s="119">
        <f t="shared" si="29"/>
        <v>163.04347826086959</v>
      </c>
      <c r="T42" s="119">
        <f t="shared" si="29"/>
        <v>163.04347826086959</v>
      </c>
      <c r="U42" s="119">
        <f t="shared" si="29"/>
        <v>163.04347826086959</v>
      </c>
      <c r="V42" s="119">
        <f t="shared" si="29"/>
        <v>163.04347826086959</v>
      </c>
      <c r="W42" s="119">
        <f t="shared" si="29"/>
        <v>163.04347826086959</v>
      </c>
      <c r="X42" s="119">
        <f t="shared" si="29"/>
        <v>163.04347826086959</v>
      </c>
      <c r="Y42" s="119">
        <f t="shared" si="29"/>
        <v>163.04347826086959</v>
      </c>
      <c r="Z42" s="119">
        <f t="shared" si="29"/>
        <v>163.04347826086959</v>
      </c>
      <c r="AA42" s="119">
        <f t="shared" si="29"/>
        <v>163.04347826086959</v>
      </c>
      <c r="AB42" s="119">
        <f t="shared" si="29"/>
        <v>163.04347826086959</v>
      </c>
      <c r="AC42" s="119">
        <f t="shared" si="29"/>
        <v>163.04347826086959</v>
      </c>
      <c r="AD42" s="119">
        <f t="shared" si="29"/>
        <v>163.04347826086959</v>
      </c>
      <c r="AE42" s="119">
        <f t="shared" si="29"/>
        <v>163.04347826086959</v>
      </c>
      <c r="AF42" s="119">
        <f t="shared" si="29"/>
        <v>163.04347826086959</v>
      </c>
      <c r="AG42" s="119">
        <f t="shared" si="29"/>
        <v>163.04347826086959</v>
      </c>
      <c r="AH42" s="119">
        <f t="shared" si="29"/>
        <v>163.04347826086959</v>
      </c>
      <c r="AI42" s="119">
        <f t="shared" si="29"/>
        <v>163.04347826086959</v>
      </c>
      <c r="AJ42" s="119">
        <f t="shared" si="29"/>
        <v>163.04347826086959</v>
      </c>
      <c r="AK42" s="119">
        <f t="shared" si="29"/>
        <v>163.04347826086959</v>
      </c>
      <c r="AL42" s="120">
        <f t="shared" si="29"/>
        <v>163.04347826086959</v>
      </c>
    </row>
    <row r="43" spans="2:38" s="118" customFormat="1" x14ac:dyDescent="0.25">
      <c r="B43" s="114"/>
      <c r="C43" s="442" t="s">
        <v>147</v>
      </c>
      <c r="D43" s="114"/>
      <c r="E43" s="121">
        <f>E42*$AH$4</f>
        <v>326.08695652173918</v>
      </c>
      <c r="F43" s="122">
        <f>F42*$AH$4</f>
        <v>326.08695652173918</v>
      </c>
      <c r="G43" s="121">
        <f>G42*$AH$4</f>
        <v>326.08695652173918</v>
      </c>
      <c r="H43" s="121">
        <f>G43*(1+$E$2)</f>
        <v>333.91304347826093</v>
      </c>
      <c r="I43" s="121">
        <f t="shared" ref="I43:AL43" si="30">H43*(1+$E$2)</f>
        <v>341.92695652173921</v>
      </c>
      <c r="J43" s="121">
        <f t="shared" si="30"/>
        <v>350.13320347826095</v>
      </c>
      <c r="K43" s="121">
        <f t="shared" si="30"/>
        <v>358.5364003617392</v>
      </c>
      <c r="L43" s="121">
        <f t="shared" si="30"/>
        <v>367.14127397042097</v>
      </c>
      <c r="M43" s="121">
        <f t="shared" si="30"/>
        <v>375.95266454571106</v>
      </c>
      <c r="N43" s="121">
        <f t="shared" si="30"/>
        <v>384.97552849480815</v>
      </c>
      <c r="O43" s="121">
        <f t="shared" si="30"/>
        <v>394.21494117868355</v>
      </c>
      <c r="P43" s="121">
        <f t="shared" si="30"/>
        <v>403.67609976697196</v>
      </c>
      <c r="Q43" s="121">
        <f t="shared" si="30"/>
        <v>413.36432616137927</v>
      </c>
      <c r="R43" s="121">
        <f t="shared" si="30"/>
        <v>423.28506998925241</v>
      </c>
      <c r="S43" s="121">
        <f t="shared" si="30"/>
        <v>433.44391166899447</v>
      </c>
      <c r="T43" s="121">
        <f t="shared" si="30"/>
        <v>443.84656554905035</v>
      </c>
      <c r="U43" s="121">
        <f t="shared" si="30"/>
        <v>454.4988831222276</v>
      </c>
      <c r="V43" s="121">
        <f t="shared" si="30"/>
        <v>465.40685631716104</v>
      </c>
      <c r="W43" s="121">
        <f t="shared" si="30"/>
        <v>476.57662086877292</v>
      </c>
      <c r="X43" s="121">
        <f t="shared" si="30"/>
        <v>488.0144597696235</v>
      </c>
      <c r="Y43" s="121">
        <f t="shared" si="30"/>
        <v>499.72680680409445</v>
      </c>
      <c r="Z43" s="121">
        <f t="shared" si="30"/>
        <v>511.72025016739275</v>
      </c>
      <c r="AA43" s="121">
        <f t="shared" si="30"/>
        <v>524.00153617141018</v>
      </c>
      <c r="AB43" s="121">
        <f t="shared" si="30"/>
        <v>536.57757303952405</v>
      </c>
      <c r="AC43" s="121">
        <f t="shared" si="30"/>
        <v>549.4554347924726</v>
      </c>
      <c r="AD43" s="121">
        <f t="shared" si="30"/>
        <v>562.64236522749195</v>
      </c>
      <c r="AE43" s="121">
        <f t="shared" si="30"/>
        <v>576.14578199295181</v>
      </c>
      <c r="AF43" s="121">
        <f t="shared" si="30"/>
        <v>589.9732807607827</v>
      </c>
      <c r="AG43" s="121">
        <f t="shared" si="30"/>
        <v>604.13263949904149</v>
      </c>
      <c r="AH43" s="121">
        <f t="shared" si="30"/>
        <v>618.6318228470185</v>
      </c>
      <c r="AI43" s="121">
        <f t="shared" si="30"/>
        <v>633.47898659534701</v>
      </c>
      <c r="AJ43" s="121">
        <f t="shared" si="30"/>
        <v>648.6824822736354</v>
      </c>
      <c r="AK43" s="121">
        <f t="shared" si="30"/>
        <v>664.2508618482027</v>
      </c>
      <c r="AL43" s="122">
        <f t="shared" si="30"/>
        <v>680.19288253255957</v>
      </c>
    </row>
    <row r="44" spans="2:38" s="118" customFormat="1" x14ac:dyDescent="0.25">
      <c r="B44" s="114"/>
      <c r="C44" s="442" t="s">
        <v>148</v>
      </c>
      <c r="D44" s="114"/>
      <c r="E44" s="121">
        <f>E40+E43</f>
        <v>16785.701208332121</v>
      </c>
      <c r="F44" s="122">
        <f t="shared" ref="F44:AL44" si="31">F40+F43</f>
        <v>20588.781207912722</v>
      </c>
      <c r="G44" s="121">
        <f t="shared" si="31"/>
        <v>18357.139566328413</v>
      </c>
      <c r="H44" s="121">
        <f t="shared" si="31"/>
        <v>18137.567903450992</v>
      </c>
      <c r="I44" s="121">
        <f t="shared" si="31"/>
        <v>18751.591582776269</v>
      </c>
      <c r="J44" s="121">
        <f t="shared" si="31"/>
        <v>19615.400359327552</v>
      </c>
      <c r="K44" s="121">
        <f t="shared" si="31"/>
        <v>20278.257195233633</v>
      </c>
      <c r="L44" s="121">
        <f t="shared" si="31"/>
        <v>21207.459134787146</v>
      </c>
      <c r="M44" s="121">
        <f t="shared" si="31"/>
        <v>21885.089501240607</v>
      </c>
      <c r="N44" s="121">
        <f t="shared" si="31"/>
        <v>22902.660058412934</v>
      </c>
      <c r="O44" s="121">
        <f t="shared" si="31"/>
        <v>23571.886623467431</v>
      </c>
      <c r="P44" s="121">
        <f t="shared" si="31"/>
        <v>24596.717463192228</v>
      </c>
      <c r="Q44" s="121">
        <f t="shared" si="31"/>
        <v>25494.842615110072</v>
      </c>
      <c r="R44" s="121">
        <f t="shared" si="31"/>
        <v>26731.673778197703</v>
      </c>
      <c r="S44" s="121">
        <f t="shared" si="31"/>
        <v>27719.774654896722</v>
      </c>
      <c r="T44" s="121">
        <f t="shared" si="31"/>
        <v>28608.307361415802</v>
      </c>
      <c r="U44" s="121">
        <f t="shared" si="31"/>
        <v>29798.085702812303</v>
      </c>
      <c r="V44" s="121">
        <f t="shared" si="31"/>
        <v>30760.14190553283</v>
      </c>
      <c r="W44" s="121">
        <f t="shared" si="31"/>
        <v>31782.368886887474</v>
      </c>
      <c r="X44" s="121">
        <f t="shared" si="31"/>
        <v>32884.942405912967</v>
      </c>
      <c r="Y44" s="121">
        <f t="shared" si="31"/>
        <v>33911.32339308392</v>
      </c>
      <c r="Z44" s="121">
        <f t="shared" si="31"/>
        <v>35033.888624297164</v>
      </c>
      <c r="AA44" s="121">
        <f t="shared" si="31"/>
        <v>36196.587427717714</v>
      </c>
      <c r="AB44" s="121">
        <f t="shared" si="31"/>
        <v>37062.061583050068</v>
      </c>
      <c r="AC44" s="121">
        <f t="shared" si="31"/>
        <v>38211.380476827762</v>
      </c>
      <c r="AD44" s="121">
        <f t="shared" si="31"/>
        <v>39743.091486141311</v>
      </c>
      <c r="AE44" s="121">
        <f t="shared" si="31"/>
        <v>40970.638125629848</v>
      </c>
      <c r="AF44" s="121">
        <f t="shared" si="31"/>
        <v>42324.036749820756</v>
      </c>
      <c r="AG44" s="121">
        <f t="shared" si="31"/>
        <v>44001.053353326577</v>
      </c>
      <c r="AH44" s="121">
        <f t="shared" si="31"/>
        <v>45130.83487669858</v>
      </c>
      <c r="AI44" s="121">
        <f t="shared" si="31"/>
        <v>46728.681571298672</v>
      </c>
      <c r="AJ44" s="121">
        <f t="shared" si="31"/>
        <v>48361.695578395149</v>
      </c>
      <c r="AK44" s="121">
        <f t="shared" si="31"/>
        <v>49936.91392824096</v>
      </c>
      <c r="AL44" s="122">
        <f t="shared" si="31"/>
        <v>51515.278679515497</v>
      </c>
    </row>
    <row r="45" spans="2:38" s="118" customFormat="1" x14ac:dyDescent="0.25">
      <c r="B45" s="114"/>
      <c r="C45" s="442" t="s">
        <v>149</v>
      </c>
      <c r="D45" s="114"/>
      <c r="E45" s="121">
        <f>$E$5*$E$7*$P$9</f>
        <v>29400</v>
      </c>
      <c r="F45" s="122">
        <f>$E$5*$E$7*$P$9</f>
        <v>29400</v>
      </c>
      <c r="G45" s="121">
        <f>$E$5*$E$7*$P$9</f>
        <v>29400</v>
      </c>
      <c r="H45" s="121">
        <f>G45*(1+$E$2)</f>
        <v>30105.600000000002</v>
      </c>
      <c r="I45" s="121">
        <f t="shared" ref="I45:AL45" si="32">H45*(1+$E$2)</f>
        <v>30828.134400000003</v>
      </c>
      <c r="J45" s="121">
        <f t="shared" si="32"/>
        <v>31568.009625600003</v>
      </c>
      <c r="K45" s="121">
        <f t="shared" si="32"/>
        <v>32325.641856614406</v>
      </c>
      <c r="L45" s="121">
        <f t="shared" si="32"/>
        <v>33101.457261173149</v>
      </c>
      <c r="M45" s="121">
        <f t="shared" si="32"/>
        <v>33895.892235441308</v>
      </c>
      <c r="N45" s="121">
        <f t="shared" si="32"/>
        <v>34709.3936490919</v>
      </c>
      <c r="O45" s="121">
        <f t="shared" si="32"/>
        <v>35542.419096670106</v>
      </c>
      <c r="P45" s="121">
        <f t="shared" si="32"/>
        <v>36395.437154990192</v>
      </c>
      <c r="Q45" s="121">
        <f t="shared" si="32"/>
        <v>37268.927646709955</v>
      </c>
      <c r="R45" s="121">
        <f t="shared" si="32"/>
        <v>38163.381910230994</v>
      </c>
      <c r="S45" s="121">
        <f t="shared" si="32"/>
        <v>39079.30307607654</v>
      </c>
      <c r="T45" s="121">
        <f t="shared" si="32"/>
        <v>40017.206349902379</v>
      </c>
      <c r="U45" s="121">
        <f t="shared" si="32"/>
        <v>40977.619302300038</v>
      </c>
      <c r="V45" s="121">
        <f t="shared" si="32"/>
        <v>41961.082165555243</v>
      </c>
      <c r="W45" s="121">
        <f t="shared" si="32"/>
        <v>42968.148137528573</v>
      </c>
      <c r="X45" s="121">
        <f t="shared" si="32"/>
        <v>43999.383692829259</v>
      </c>
      <c r="Y45" s="121">
        <f t="shared" si="32"/>
        <v>45055.368901457165</v>
      </c>
      <c r="Z45" s="121">
        <f t="shared" si="32"/>
        <v>46136.697755092137</v>
      </c>
      <c r="AA45" s="121">
        <f t="shared" si="32"/>
        <v>47243.978501214347</v>
      </c>
      <c r="AB45" s="121">
        <f t="shared" si="32"/>
        <v>48377.833985243495</v>
      </c>
      <c r="AC45" s="121">
        <f t="shared" si="32"/>
        <v>49538.902000889342</v>
      </c>
      <c r="AD45" s="121">
        <f t="shared" si="32"/>
        <v>50727.835648910688</v>
      </c>
      <c r="AE45" s="121">
        <f t="shared" si="32"/>
        <v>51945.303704484548</v>
      </c>
      <c r="AF45" s="121">
        <f t="shared" si="32"/>
        <v>53191.990993392181</v>
      </c>
      <c r="AG45" s="121">
        <f t="shared" si="32"/>
        <v>54468.598777233594</v>
      </c>
      <c r="AH45" s="121">
        <f t="shared" si="32"/>
        <v>55775.845147887201</v>
      </c>
      <c r="AI45" s="121">
        <f t="shared" si="32"/>
        <v>57114.465431436496</v>
      </c>
      <c r="AJ45" s="121">
        <f t="shared" si="32"/>
        <v>58485.212601790976</v>
      </c>
      <c r="AK45" s="121">
        <f t="shared" si="32"/>
        <v>59888.85770423396</v>
      </c>
      <c r="AL45" s="122">
        <f t="shared" si="32"/>
        <v>61326.190289135578</v>
      </c>
    </row>
    <row r="46" spans="2:38" s="118" customFormat="1" x14ac:dyDescent="0.25">
      <c r="B46" s="114"/>
      <c r="C46" s="442" t="s">
        <v>150</v>
      </c>
      <c r="D46" s="114"/>
      <c r="E46" s="121">
        <f>E44+E45</f>
        <v>46185.701208332117</v>
      </c>
      <c r="F46" s="122">
        <f t="shared" ref="F46:AL46" si="33">F44+F45</f>
        <v>49988.781207912718</v>
      </c>
      <c r="G46" s="121">
        <f t="shared" si="33"/>
        <v>47757.139566328413</v>
      </c>
      <c r="H46" s="121">
        <f t="shared" si="33"/>
        <v>48243.167903450994</v>
      </c>
      <c r="I46" s="121">
        <f t="shared" si="33"/>
        <v>49579.725982776275</v>
      </c>
      <c r="J46" s="121">
        <f t="shared" si="33"/>
        <v>51183.409984927552</v>
      </c>
      <c r="K46" s="121">
        <f t="shared" si="33"/>
        <v>52603.899051848042</v>
      </c>
      <c r="L46" s="121">
        <f t="shared" si="33"/>
        <v>54308.916395960296</v>
      </c>
      <c r="M46" s="121">
        <f t="shared" si="33"/>
        <v>55780.981736681919</v>
      </c>
      <c r="N46" s="121">
        <f t="shared" si="33"/>
        <v>57612.053707504834</v>
      </c>
      <c r="O46" s="121">
        <f t="shared" si="33"/>
        <v>59114.305720137534</v>
      </c>
      <c r="P46" s="121">
        <f t="shared" si="33"/>
        <v>60992.154618182423</v>
      </c>
      <c r="Q46" s="121">
        <f t="shared" si="33"/>
        <v>62763.770261820027</v>
      </c>
      <c r="R46" s="121">
        <f t="shared" si="33"/>
        <v>64895.055688428693</v>
      </c>
      <c r="S46" s="121">
        <f t="shared" si="33"/>
        <v>66799.077730973266</v>
      </c>
      <c r="T46" s="121">
        <f t="shared" si="33"/>
        <v>68625.513711318185</v>
      </c>
      <c r="U46" s="121">
        <f t="shared" si="33"/>
        <v>70775.705005112337</v>
      </c>
      <c r="V46" s="121">
        <f t="shared" si="33"/>
        <v>72721.224071088072</v>
      </c>
      <c r="W46" s="121">
        <f t="shared" si="33"/>
        <v>74750.51702441604</v>
      </c>
      <c r="X46" s="121">
        <f t="shared" si="33"/>
        <v>76884.326098742225</v>
      </c>
      <c r="Y46" s="121">
        <f t="shared" si="33"/>
        <v>78966.692294541077</v>
      </c>
      <c r="Z46" s="121">
        <f t="shared" si="33"/>
        <v>81170.586379389308</v>
      </c>
      <c r="AA46" s="121">
        <f t="shared" si="33"/>
        <v>83440.565928932061</v>
      </c>
      <c r="AB46" s="121">
        <f t="shared" si="33"/>
        <v>85439.895568293563</v>
      </c>
      <c r="AC46" s="121">
        <f t="shared" si="33"/>
        <v>87750.282477717104</v>
      </c>
      <c r="AD46" s="121">
        <f t="shared" si="33"/>
        <v>90470.927135051999</v>
      </c>
      <c r="AE46" s="121">
        <f t="shared" si="33"/>
        <v>92915.941830114403</v>
      </c>
      <c r="AF46" s="121">
        <f t="shared" si="33"/>
        <v>95516.027743212937</v>
      </c>
      <c r="AG46" s="121">
        <f t="shared" si="33"/>
        <v>98469.652130560164</v>
      </c>
      <c r="AH46" s="121">
        <f t="shared" si="33"/>
        <v>100906.68002458577</v>
      </c>
      <c r="AI46" s="121">
        <f t="shared" si="33"/>
        <v>103843.14700273518</v>
      </c>
      <c r="AJ46" s="121">
        <f t="shared" si="33"/>
        <v>106846.90818018612</v>
      </c>
      <c r="AK46" s="121">
        <f t="shared" si="33"/>
        <v>109825.77163247492</v>
      </c>
      <c r="AL46" s="122">
        <f t="shared" si="33"/>
        <v>112841.46896865108</v>
      </c>
    </row>
    <row r="47" spans="2:38" s="118" customFormat="1" x14ac:dyDescent="0.25">
      <c r="B47" s="114"/>
      <c r="C47" s="442" t="s">
        <v>154</v>
      </c>
      <c r="D47" s="114"/>
      <c r="E47" s="121">
        <f>E46-E23</f>
        <v>233.33333333332848</v>
      </c>
      <c r="F47" s="122">
        <f t="shared" ref="F47:AL47" si="34">F46-F23</f>
        <v>233.33333333332848</v>
      </c>
      <c r="G47" s="121">
        <f t="shared" si="34"/>
        <v>233.33333333333576</v>
      </c>
      <c r="H47" s="121">
        <f t="shared" si="34"/>
        <v>218.06376811594237</v>
      </c>
      <c r="I47" s="121">
        <f t="shared" si="34"/>
        <v>202.4277333333448</v>
      </c>
      <c r="J47" s="121">
        <f t="shared" si="34"/>
        <v>186.41643371594546</v>
      </c>
      <c r="K47" s="121">
        <f t="shared" si="34"/>
        <v>170.02086290773877</v>
      </c>
      <c r="L47" s="121">
        <f t="shared" si="34"/>
        <v>153.23179840012017</v>
      </c>
      <c r="M47" s="121">
        <f t="shared" si="34"/>
        <v>136.03979634435382</v>
      </c>
      <c r="N47" s="121">
        <f t="shared" si="34"/>
        <v>118.43518623920681</v>
      </c>
      <c r="O47" s="121">
        <f t="shared" si="34"/>
        <v>100.40806549155968</v>
      </c>
      <c r="P47" s="121">
        <f t="shared" si="34"/>
        <v>81.948293845969602</v>
      </c>
      <c r="Q47" s="121">
        <f t="shared" si="34"/>
        <v>63.045487680879887</v>
      </c>
      <c r="R47" s="121">
        <f t="shared" si="34"/>
        <v>43.689014167815913</v>
      </c>
      <c r="S47" s="121">
        <f t="shared" si="34"/>
        <v>23.867985290460638</v>
      </c>
      <c r="T47" s="121">
        <f t="shared" si="34"/>
        <v>3.5712517200445291</v>
      </c>
      <c r="U47" s="121">
        <f t="shared" si="34"/>
        <v>-17.212603456064244</v>
      </c>
      <c r="V47" s="121">
        <f t="shared" si="34"/>
        <v>-38.495271156396484</v>
      </c>
      <c r="W47" s="121">
        <f t="shared" si="34"/>
        <v>-60.28872288155253</v>
      </c>
      <c r="X47" s="121">
        <f t="shared" si="34"/>
        <v>-82.605217448086478</v>
      </c>
      <c r="Y47" s="121">
        <f t="shared" si="34"/>
        <v>-105.4573078842368</v>
      </c>
      <c r="Z47" s="121">
        <f t="shared" si="34"/>
        <v>-128.8578484908503</v>
      </c>
      <c r="AA47" s="121">
        <f t="shared" si="34"/>
        <v>-152.82000207202509</v>
      </c>
      <c r="AB47" s="121">
        <f t="shared" si="34"/>
        <v>-177.35724733915413</v>
      </c>
      <c r="AC47" s="121">
        <f t="shared" si="34"/>
        <v>-202.4833864926768</v>
      </c>
      <c r="AD47" s="121">
        <f t="shared" si="34"/>
        <v>-228.21255298588949</v>
      </c>
      <c r="AE47" s="121">
        <f t="shared" si="34"/>
        <v>-254.55921947493334</v>
      </c>
      <c r="AF47" s="121">
        <f t="shared" si="34"/>
        <v>-281.53820595971774</v>
      </c>
      <c r="AG47" s="121">
        <f t="shared" si="34"/>
        <v>-309.16468812015955</v>
      </c>
      <c r="AH47" s="121">
        <f t="shared" si="34"/>
        <v>-337.45420585243846</v>
      </c>
      <c r="AI47" s="121">
        <f t="shared" si="34"/>
        <v>-366.42267201027425</v>
      </c>
      <c r="AJ47" s="121">
        <f t="shared" si="34"/>
        <v>-396.08638135591173</v>
      </c>
      <c r="AK47" s="121">
        <f t="shared" si="34"/>
        <v>-426.46201972584822</v>
      </c>
      <c r="AL47" s="122">
        <f t="shared" si="34"/>
        <v>-457.56667341664433</v>
      </c>
    </row>
    <row r="48" spans="2:38" s="118" customFormat="1" x14ac:dyDescent="0.25">
      <c r="B48" s="114"/>
      <c r="C48" s="442" t="s">
        <v>155</v>
      </c>
      <c r="D48" s="114"/>
      <c r="E48" s="129">
        <f>(E41*$T$6)/$V$3</f>
        <v>80.332690408855285</v>
      </c>
      <c r="F48" s="130">
        <f t="shared" ref="F48:AL48" si="35">(F41*$T$6)/$V$3</f>
        <v>80.332690408855285</v>
      </c>
      <c r="G48" s="129">
        <f t="shared" si="35"/>
        <v>80.332690408855285</v>
      </c>
      <c r="H48" s="129">
        <f t="shared" si="35"/>
        <v>80.332690408855285</v>
      </c>
      <c r="I48" s="129">
        <f t="shared" si="35"/>
        <v>80.332690408855285</v>
      </c>
      <c r="J48" s="129">
        <f t="shared" si="35"/>
        <v>80.332690408855285</v>
      </c>
      <c r="K48" s="129">
        <f t="shared" si="35"/>
        <v>80.332690408855285</v>
      </c>
      <c r="L48" s="129">
        <f t="shared" si="35"/>
        <v>80.332690408855285</v>
      </c>
      <c r="M48" s="129">
        <f t="shared" si="35"/>
        <v>80.332690408855285</v>
      </c>
      <c r="N48" s="129">
        <f t="shared" si="35"/>
        <v>80.332690408855285</v>
      </c>
      <c r="O48" s="129">
        <f t="shared" si="35"/>
        <v>80.332690408855285</v>
      </c>
      <c r="P48" s="129">
        <f t="shared" si="35"/>
        <v>80.332690408855285</v>
      </c>
      <c r="Q48" s="129">
        <f t="shared" si="35"/>
        <v>80.332690408855285</v>
      </c>
      <c r="R48" s="129">
        <f t="shared" si="35"/>
        <v>80.332690408855285</v>
      </c>
      <c r="S48" s="129">
        <f t="shared" si="35"/>
        <v>80.332690408855285</v>
      </c>
      <c r="T48" s="129">
        <f t="shared" si="35"/>
        <v>80.332690408855285</v>
      </c>
      <c r="U48" s="129">
        <f t="shared" si="35"/>
        <v>80.332690408855285</v>
      </c>
      <c r="V48" s="129">
        <f t="shared" si="35"/>
        <v>80.332690408855285</v>
      </c>
      <c r="W48" s="129">
        <f t="shared" si="35"/>
        <v>80.332690408855285</v>
      </c>
      <c r="X48" s="129">
        <f t="shared" si="35"/>
        <v>80.332690408855285</v>
      </c>
      <c r="Y48" s="129">
        <f t="shared" si="35"/>
        <v>80.332690408855285</v>
      </c>
      <c r="Z48" s="129">
        <f t="shared" si="35"/>
        <v>80.332690408855285</v>
      </c>
      <c r="AA48" s="129">
        <f t="shared" si="35"/>
        <v>80.332690408855285</v>
      </c>
      <c r="AB48" s="129">
        <f t="shared" si="35"/>
        <v>80.332690408855285</v>
      </c>
      <c r="AC48" s="129">
        <f t="shared" si="35"/>
        <v>80.332690408855285</v>
      </c>
      <c r="AD48" s="129">
        <f t="shared" si="35"/>
        <v>80.332690408855285</v>
      </c>
      <c r="AE48" s="129">
        <f t="shared" si="35"/>
        <v>80.332690408855285</v>
      </c>
      <c r="AF48" s="129">
        <f t="shared" si="35"/>
        <v>80.332690408855285</v>
      </c>
      <c r="AG48" s="129">
        <f t="shared" si="35"/>
        <v>80.332690408855285</v>
      </c>
      <c r="AH48" s="129">
        <f t="shared" si="35"/>
        <v>80.332690408855285</v>
      </c>
      <c r="AI48" s="129">
        <f t="shared" si="35"/>
        <v>80.332690408855285</v>
      </c>
      <c r="AJ48" s="129">
        <f t="shared" si="35"/>
        <v>80.332690408855285</v>
      </c>
      <c r="AK48" s="129">
        <f t="shared" si="35"/>
        <v>80.332690408855285</v>
      </c>
      <c r="AL48" s="130">
        <f t="shared" si="35"/>
        <v>80.332690408855285</v>
      </c>
    </row>
    <row r="49" spans="2:38" s="118" customFormat="1" x14ac:dyDescent="0.25">
      <c r="B49" s="114"/>
      <c r="C49" s="442" t="s">
        <v>156</v>
      </c>
      <c r="D49" s="114"/>
      <c r="E49" s="129">
        <f t="shared" ref="E49:AL49" si="36">E24-E48</f>
        <v>15.974503902906562</v>
      </c>
      <c r="F49" s="130">
        <f t="shared" si="36"/>
        <v>15.974503902906562</v>
      </c>
      <c r="G49" s="129">
        <f t="shared" si="36"/>
        <v>15.974503902906562</v>
      </c>
      <c r="H49" s="129">
        <f t="shared" si="36"/>
        <v>15.974503902906562</v>
      </c>
      <c r="I49" s="129">
        <f t="shared" si="36"/>
        <v>15.974503902906562</v>
      </c>
      <c r="J49" s="129">
        <f t="shared" si="36"/>
        <v>15.974503902906562</v>
      </c>
      <c r="K49" s="129">
        <f t="shared" si="36"/>
        <v>15.974503902906562</v>
      </c>
      <c r="L49" s="129">
        <f t="shared" si="36"/>
        <v>15.974503902906562</v>
      </c>
      <c r="M49" s="129">
        <f t="shared" si="36"/>
        <v>15.974503902906562</v>
      </c>
      <c r="N49" s="129">
        <f t="shared" si="36"/>
        <v>15.974503902906562</v>
      </c>
      <c r="O49" s="129">
        <f t="shared" si="36"/>
        <v>15.974503902906562</v>
      </c>
      <c r="P49" s="129">
        <f t="shared" si="36"/>
        <v>15.974503902906562</v>
      </c>
      <c r="Q49" s="129">
        <f t="shared" si="36"/>
        <v>15.974503902906562</v>
      </c>
      <c r="R49" s="129">
        <f t="shared" si="36"/>
        <v>15.974503902906562</v>
      </c>
      <c r="S49" s="129">
        <f t="shared" si="36"/>
        <v>15.974503902906562</v>
      </c>
      <c r="T49" s="129">
        <f t="shared" si="36"/>
        <v>15.974503902906562</v>
      </c>
      <c r="U49" s="129">
        <f t="shared" si="36"/>
        <v>15.974503902906562</v>
      </c>
      <c r="V49" s="129">
        <f t="shared" si="36"/>
        <v>15.974503902906562</v>
      </c>
      <c r="W49" s="129">
        <f t="shared" si="36"/>
        <v>15.974503902906562</v>
      </c>
      <c r="X49" s="129">
        <f t="shared" si="36"/>
        <v>15.974503902906562</v>
      </c>
      <c r="Y49" s="129">
        <f t="shared" si="36"/>
        <v>15.974503902906562</v>
      </c>
      <c r="Z49" s="129">
        <f t="shared" si="36"/>
        <v>15.974503902906562</v>
      </c>
      <c r="AA49" s="129">
        <f t="shared" si="36"/>
        <v>15.974503902906562</v>
      </c>
      <c r="AB49" s="129">
        <f t="shared" si="36"/>
        <v>15.974503902906562</v>
      </c>
      <c r="AC49" s="129">
        <f t="shared" si="36"/>
        <v>15.974503902906562</v>
      </c>
      <c r="AD49" s="129">
        <f t="shared" si="36"/>
        <v>15.974503902906562</v>
      </c>
      <c r="AE49" s="129">
        <f t="shared" si="36"/>
        <v>15.974503902906562</v>
      </c>
      <c r="AF49" s="129">
        <f t="shared" si="36"/>
        <v>15.974503902906562</v>
      </c>
      <c r="AG49" s="129">
        <f t="shared" si="36"/>
        <v>15.974503902906562</v>
      </c>
      <c r="AH49" s="129">
        <f t="shared" si="36"/>
        <v>15.974503902906562</v>
      </c>
      <c r="AI49" s="129">
        <f t="shared" si="36"/>
        <v>15.974503902906562</v>
      </c>
      <c r="AJ49" s="129">
        <f t="shared" si="36"/>
        <v>15.974503902906562</v>
      </c>
      <c r="AK49" s="129">
        <f t="shared" si="36"/>
        <v>15.974503902906562</v>
      </c>
      <c r="AL49" s="130">
        <f t="shared" si="36"/>
        <v>15.974503902906562</v>
      </c>
    </row>
    <row r="50" spans="2:38" s="118" customFormat="1" ht="15.75" thickBot="1" x14ac:dyDescent="0.3">
      <c r="B50" s="123"/>
      <c r="C50" s="443" t="s">
        <v>157</v>
      </c>
      <c r="D50" s="123"/>
      <c r="E50" s="127">
        <f>E47/E49</f>
        <v>14.606609053497646</v>
      </c>
      <c r="F50" s="128">
        <f t="shared" ref="F50:AL50" si="37">F47/F49</f>
        <v>14.606609053497646</v>
      </c>
      <c r="G50" s="127">
        <f t="shared" si="37"/>
        <v>14.606609053498103</v>
      </c>
      <c r="H50" s="127">
        <f t="shared" si="37"/>
        <v>13.650738041152291</v>
      </c>
      <c r="I50" s="127">
        <f t="shared" si="37"/>
        <v>12.671926124511012</v>
      </c>
      <c r="J50" s="127">
        <f t="shared" si="37"/>
        <v>11.669622721869127</v>
      </c>
      <c r="K50" s="127">
        <f t="shared" si="37"/>
        <v>10.643264037564476</v>
      </c>
      <c r="L50" s="127">
        <f t="shared" si="37"/>
        <v>9.5922727448355776</v>
      </c>
      <c r="M50" s="127">
        <f t="shared" si="37"/>
        <v>8.5160576610833818</v>
      </c>
      <c r="N50" s="127">
        <f t="shared" si="37"/>
        <v>7.4140134153184887</v>
      </c>
      <c r="O50" s="127">
        <f t="shared" si="37"/>
        <v>6.2855201076567031</v>
      </c>
      <c r="P50" s="127">
        <f t="shared" si="37"/>
        <v>5.1299429606110714</v>
      </c>
      <c r="Q50" s="127">
        <f t="shared" si="37"/>
        <v>3.9466319620360015</v>
      </c>
      <c r="R50" s="127">
        <f t="shared" si="37"/>
        <v>2.734921499494372</v>
      </c>
      <c r="S50" s="127">
        <f t="shared" si="37"/>
        <v>1.4941299858531354</v>
      </c>
      <c r="T50" s="127">
        <f t="shared" si="37"/>
        <v>0.22355947588423947</v>
      </c>
      <c r="U50" s="127">
        <f t="shared" si="37"/>
        <v>-1.0775047263240776</v>
      </c>
      <c r="V50" s="127">
        <f t="shared" si="37"/>
        <v>-2.4097944693851976</v>
      </c>
      <c r="W50" s="127">
        <f t="shared" si="37"/>
        <v>-3.7740591662807752</v>
      </c>
      <c r="X50" s="127">
        <f t="shared" si="37"/>
        <v>-5.171066215900229</v>
      </c>
      <c r="Y50" s="127">
        <f t="shared" si="37"/>
        <v>-6.6016014347117737</v>
      </c>
      <c r="Z50" s="127">
        <f t="shared" si="37"/>
        <v>-8.06646949877452</v>
      </c>
      <c r="AA50" s="127">
        <f t="shared" si="37"/>
        <v>-9.5664943963749316</v>
      </c>
      <c r="AB50" s="127">
        <f t="shared" si="37"/>
        <v>-11.102519891518131</v>
      </c>
      <c r="AC50" s="127">
        <f t="shared" si="37"/>
        <v>-12.675409998543675</v>
      </c>
      <c r="AD50" s="127">
        <f t="shared" si="37"/>
        <v>-14.286049468138174</v>
      </c>
      <c r="AE50" s="127">
        <f t="shared" si="37"/>
        <v>-15.93534428500257</v>
      </c>
      <c r="AF50" s="127">
        <f t="shared" si="37"/>
        <v>-17.624222177471932</v>
      </c>
      <c r="AG50" s="127">
        <f t="shared" si="37"/>
        <v>-19.353633139361968</v>
      </c>
      <c r="AH50" s="127">
        <f t="shared" si="37"/>
        <v>-21.124549964336524</v>
      </c>
      <c r="AI50" s="127">
        <f t="shared" si="37"/>
        <v>-22.937968793109352</v>
      </c>
      <c r="AJ50" s="127">
        <f t="shared" si="37"/>
        <v>-24.794909673773581</v>
      </c>
      <c r="AK50" s="127">
        <f t="shared" si="37"/>
        <v>-26.696417135573984</v>
      </c>
      <c r="AL50" s="128">
        <f t="shared" si="37"/>
        <v>-28.643560776456415</v>
      </c>
    </row>
    <row r="51" spans="2:38" x14ac:dyDescent="0.25">
      <c r="B51" s="87" t="s">
        <v>160</v>
      </c>
      <c r="C51" s="444" t="s">
        <v>496</v>
      </c>
      <c r="D51" s="445">
        <v>0.18</v>
      </c>
      <c r="E51" s="446">
        <f t="shared" ref="E51:AL51" si="38">E14-$D$51</f>
        <v>2.4214267667498324</v>
      </c>
      <c r="F51" s="447">
        <f t="shared" si="38"/>
        <v>2.9462518066919552</v>
      </c>
      <c r="G51" s="448">
        <f t="shared" si="38"/>
        <v>2.6382852601533209</v>
      </c>
      <c r="H51" s="448">
        <f t="shared" si="38"/>
        <v>2.6069043706762369</v>
      </c>
      <c r="I51" s="448">
        <f t="shared" si="38"/>
        <v>2.6905337184231248</v>
      </c>
      <c r="J51" s="448">
        <f t="shared" si="38"/>
        <v>2.8086068675072022</v>
      </c>
      <c r="K51" s="448">
        <f t="shared" si="38"/>
        <v>2.8989214696923211</v>
      </c>
      <c r="L51" s="448">
        <f t="shared" si="38"/>
        <v>3.0259638647927081</v>
      </c>
      <c r="M51" s="448">
        <f t="shared" si="38"/>
        <v>3.1182608834638952</v>
      </c>
      <c r="N51" s="448">
        <f t="shared" si="38"/>
        <v>3.2574404651287012</v>
      </c>
      <c r="O51" s="448">
        <f t="shared" si="38"/>
        <v>3.3485186921558467</v>
      </c>
      <c r="P51" s="448">
        <f t="shared" si="38"/>
        <v>3.488639708152685</v>
      </c>
      <c r="Q51" s="448">
        <f t="shared" si="38"/>
        <v>3.6112440038749192</v>
      </c>
      <c r="R51" s="448">
        <f t="shared" si="38"/>
        <v>3.780557641732766</v>
      </c>
      <c r="S51" s="448">
        <f t="shared" si="38"/>
        <v>3.915513642565426</v>
      </c>
      <c r="T51" s="448">
        <f t="shared" si="38"/>
        <v>4.0366955898296117</v>
      </c>
      <c r="U51" s="448">
        <f t="shared" si="38"/>
        <v>4.1994149811172301</v>
      </c>
      <c r="V51" s="448">
        <f t="shared" si="38"/>
        <v>4.3306734367917628</v>
      </c>
      <c r="W51" s="448">
        <f t="shared" si="38"/>
        <v>4.4701993327105809</v>
      </c>
      <c r="X51" s="448">
        <f t="shared" si="38"/>
        <v>4.6207760565677809</v>
      </c>
      <c r="Y51" s="448">
        <f t="shared" si="38"/>
        <v>4.7608003289066163</v>
      </c>
      <c r="Z51" s="448">
        <f t="shared" si="38"/>
        <v>4.9140592356299084</v>
      </c>
      <c r="AA51" s="448">
        <f t="shared" si="38"/>
        <v>5.0728168530333901</v>
      </c>
      <c r="AB51" s="448">
        <f t="shared" si="38"/>
        <v>5.1905167933814553</v>
      </c>
      <c r="AC51" s="448">
        <f t="shared" si="38"/>
        <v>5.3473456558008703</v>
      </c>
      <c r="AD51" s="448">
        <f t="shared" si="38"/>
        <v>5.5569019786861071</v>
      </c>
      <c r="AE51" s="448">
        <f t="shared" si="38"/>
        <v>5.724439943421892</v>
      </c>
      <c r="AF51" s="448">
        <f t="shared" si="38"/>
        <v>5.9093007587302759</v>
      </c>
      <c r="AG51" s="448">
        <f t="shared" si="38"/>
        <v>6.1387750585081999</v>
      </c>
      <c r="AH51" s="448">
        <f t="shared" si="38"/>
        <v>6.2926840214315147</v>
      </c>
      <c r="AI51" s="448">
        <f t="shared" si="38"/>
        <v>6.5111379566890584</v>
      </c>
      <c r="AJ51" s="448">
        <f t="shared" si="38"/>
        <v>6.7343958072647681</v>
      </c>
      <c r="AK51" s="448">
        <f t="shared" si="38"/>
        <v>6.9496275031622003</v>
      </c>
      <c r="AL51" s="449">
        <f t="shared" si="38"/>
        <v>7.1652418399836453</v>
      </c>
    </row>
    <row r="52" spans="2:38" x14ac:dyDescent="0.25">
      <c r="B52" s="111"/>
      <c r="C52" s="441" t="s">
        <v>161</v>
      </c>
      <c r="D52" s="111"/>
      <c r="E52" s="112">
        <f>E51/$E$6</f>
        <v>0.58488569245165034</v>
      </c>
      <c r="F52" s="113">
        <f t="shared" ref="F52:AL52" si="39">F51/$E$6</f>
        <v>0.7116550257710037</v>
      </c>
      <c r="G52" s="112">
        <f t="shared" si="39"/>
        <v>0.63726697105152685</v>
      </c>
      <c r="H52" s="112">
        <f t="shared" si="39"/>
        <v>0.62968704605706216</v>
      </c>
      <c r="I52" s="112">
        <f t="shared" si="39"/>
        <v>0.64988737159978871</v>
      </c>
      <c r="J52" s="112">
        <f t="shared" si="39"/>
        <v>0.67840745591961416</v>
      </c>
      <c r="K52" s="112">
        <f t="shared" si="39"/>
        <v>0.70022257722036751</v>
      </c>
      <c r="L52" s="112">
        <f t="shared" si="39"/>
        <v>0.73090914608519519</v>
      </c>
      <c r="M52" s="112">
        <f t="shared" si="39"/>
        <v>0.75320311194780087</v>
      </c>
      <c r="N52" s="112">
        <f t="shared" si="39"/>
        <v>0.78682136838857519</v>
      </c>
      <c r="O52" s="112">
        <f t="shared" si="39"/>
        <v>0.80882094013426253</v>
      </c>
      <c r="P52" s="112">
        <f t="shared" si="39"/>
        <v>0.84266659617214623</v>
      </c>
      <c r="Q52" s="112">
        <f t="shared" si="39"/>
        <v>0.87228116035626069</v>
      </c>
      <c r="R52" s="112">
        <f t="shared" si="39"/>
        <v>0.9131781743315861</v>
      </c>
      <c r="S52" s="112">
        <f t="shared" si="39"/>
        <v>0.94577624216556189</v>
      </c>
      <c r="T52" s="112">
        <f t="shared" si="39"/>
        <v>0.97504724392019615</v>
      </c>
      <c r="U52" s="112">
        <f t="shared" si="39"/>
        <v>1.0143514447143069</v>
      </c>
      <c r="V52" s="112">
        <f t="shared" si="39"/>
        <v>1.0460563856984935</v>
      </c>
      <c r="W52" s="112">
        <f t="shared" si="39"/>
        <v>1.0797582929252612</v>
      </c>
      <c r="X52" s="112">
        <f t="shared" si="39"/>
        <v>1.116129482262749</v>
      </c>
      <c r="Y52" s="112">
        <f t="shared" si="39"/>
        <v>1.1499517702672988</v>
      </c>
      <c r="Z52" s="112">
        <f t="shared" si="39"/>
        <v>1.1869708298622967</v>
      </c>
      <c r="AA52" s="112">
        <f t="shared" si="39"/>
        <v>1.2253180804428478</v>
      </c>
      <c r="AB52" s="112">
        <f t="shared" si="39"/>
        <v>1.2537480177249893</v>
      </c>
      <c r="AC52" s="112">
        <f t="shared" si="39"/>
        <v>1.2916293854591474</v>
      </c>
      <c r="AD52" s="112">
        <f t="shared" si="39"/>
        <v>1.3422468547550985</v>
      </c>
      <c r="AE52" s="112">
        <f t="shared" si="39"/>
        <v>1.382714962179201</v>
      </c>
      <c r="AF52" s="112">
        <f t="shared" si="39"/>
        <v>1.4273673330266368</v>
      </c>
      <c r="AG52" s="112">
        <f t="shared" si="39"/>
        <v>1.4827959078522224</v>
      </c>
      <c r="AH52" s="112">
        <f t="shared" si="39"/>
        <v>1.519971985853023</v>
      </c>
      <c r="AI52" s="112">
        <f t="shared" si="39"/>
        <v>1.5727386368814151</v>
      </c>
      <c r="AJ52" s="112">
        <f t="shared" si="39"/>
        <v>1.6266656539286881</v>
      </c>
      <c r="AK52" s="112">
        <f t="shared" si="39"/>
        <v>1.678653986271063</v>
      </c>
      <c r="AL52" s="113">
        <f t="shared" si="39"/>
        <v>1.7307347439574023</v>
      </c>
    </row>
    <row r="53" spans="2:38" s="118" customFormat="1" x14ac:dyDescent="0.25">
      <c r="B53" s="114"/>
      <c r="C53" s="442" t="s">
        <v>144</v>
      </c>
      <c r="D53" s="114"/>
      <c r="E53" s="116">
        <f>($E$5*E52)*$E$7</f>
        <v>17546.570773549509</v>
      </c>
      <c r="F53" s="117">
        <f t="shared" ref="F53:AL53" si="40">($E$5*F52)*$E$7</f>
        <v>21349.65077313011</v>
      </c>
      <c r="G53" s="116">
        <f t="shared" si="40"/>
        <v>19118.009131545805</v>
      </c>
      <c r="H53" s="116">
        <f t="shared" si="40"/>
        <v>18890.611381711864</v>
      </c>
      <c r="I53" s="116">
        <f t="shared" si="40"/>
        <v>19496.621147993661</v>
      </c>
      <c r="J53" s="116">
        <f t="shared" si="40"/>
        <v>20352.223677588423</v>
      </c>
      <c r="K53" s="116">
        <f t="shared" si="40"/>
        <v>21006.677316611025</v>
      </c>
      <c r="L53" s="116">
        <f t="shared" si="40"/>
        <v>21927.274382555857</v>
      </c>
      <c r="M53" s="116">
        <f t="shared" si="40"/>
        <v>22596.093358434027</v>
      </c>
      <c r="N53" s="116">
        <f t="shared" si="40"/>
        <v>23604.641051657254</v>
      </c>
      <c r="O53" s="116">
        <f t="shared" si="40"/>
        <v>24264.628204027875</v>
      </c>
      <c r="P53" s="116">
        <f t="shared" si="40"/>
        <v>25279.997885164386</v>
      </c>
      <c r="Q53" s="116">
        <f t="shared" si="40"/>
        <v>26168.434810687821</v>
      </c>
      <c r="R53" s="116">
        <f t="shared" si="40"/>
        <v>27395.345229947583</v>
      </c>
      <c r="S53" s="116">
        <f t="shared" si="40"/>
        <v>28373.287264966857</v>
      </c>
      <c r="T53" s="116">
        <f t="shared" si="40"/>
        <v>29251.417317605883</v>
      </c>
      <c r="U53" s="116">
        <f t="shared" si="40"/>
        <v>30430.543341429209</v>
      </c>
      <c r="V53" s="116">
        <f t="shared" si="40"/>
        <v>31381.691570954805</v>
      </c>
      <c r="W53" s="116">
        <f t="shared" si="40"/>
        <v>32392.748787757835</v>
      </c>
      <c r="X53" s="116">
        <f t="shared" si="40"/>
        <v>33483.884467882468</v>
      </c>
      <c r="Y53" s="116">
        <f t="shared" si="40"/>
        <v>34498.553108018961</v>
      </c>
      <c r="Z53" s="116">
        <f t="shared" si="40"/>
        <v>35609.124895868903</v>
      </c>
      <c r="AA53" s="116">
        <f t="shared" si="40"/>
        <v>36759.542413285439</v>
      </c>
      <c r="AB53" s="116">
        <f t="shared" si="40"/>
        <v>37612.440531749678</v>
      </c>
      <c r="AC53" s="116">
        <f t="shared" si="40"/>
        <v>38748.881563774419</v>
      </c>
      <c r="AD53" s="116">
        <f t="shared" si="40"/>
        <v>40267.405642652957</v>
      </c>
      <c r="AE53" s="116">
        <f t="shared" si="40"/>
        <v>41481.448865376027</v>
      </c>
      <c r="AF53" s="116">
        <f t="shared" si="40"/>
        <v>42821.019990799105</v>
      </c>
      <c r="AG53" s="116">
        <f t="shared" si="40"/>
        <v>44483.877235566673</v>
      </c>
      <c r="AH53" s="116">
        <f t="shared" si="40"/>
        <v>45599.159575590689</v>
      </c>
      <c r="AI53" s="116">
        <f t="shared" si="40"/>
        <v>47182.159106442457</v>
      </c>
      <c r="AJ53" s="116">
        <f t="shared" si="40"/>
        <v>48799.969617860646</v>
      </c>
      <c r="AK53" s="116">
        <f t="shared" si="40"/>
        <v>50359.619588131893</v>
      </c>
      <c r="AL53" s="117">
        <f t="shared" si="40"/>
        <v>51922.042318722073</v>
      </c>
    </row>
    <row r="54" spans="2:38" s="118" customFormat="1" x14ac:dyDescent="0.25">
      <c r="B54" s="114"/>
      <c r="C54" s="442" t="s">
        <v>145</v>
      </c>
      <c r="D54" s="114"/>
      <c r="E54" s="119">
        <f>($E$5/$E$6)*$E$7</f>
        <v>7246.3768115942039</v>
      </c>
      <c r="F54" s="120">
        <f t="shared" ref="F54:AL54" si="41">($E$5/$E$6)*$E$7</f>
        <v>7246.3768115942039</v>
      </c>
      <c r="G54" s="119">
        <f t="shared" si="41"/>
        <v>7246.3768115942039</v>
      </c>
      <c r="H54" s="119">
        <f t="shared" si="41"/>
        <v>7246.3768115942039</v>
      </c>
      <c r="I54" s="119">
        <f t="shared" si="41"/>
        <v>7246.3768115942039</v>
      </c>
      <c r="J54" s="119">
        <f t="shared" si="41"/>
        <v>7246.3768115942039</v>
      </c>
      <c r="K54" s="119">
        <f t="shared" si="41"/>
        <v>7246.3768115942039</v>
      </c>
      <c r="L54" s="119">
        <f t="shared" si="41"/>
        <v>7246.3768115942039</v>
      </c>
      <c r="M54" s="119">
        <f t="shared" si="41"/>
        <v>7246.3768115942039</v>
      </c>
      <c r="N54" s="119">
        <f t="shared" si="41"/>
        <v>7246.3768115942039</v>
      </c>
      <c r="O54" s="119">
        <f t="shared" si="41"/>
        <v>7246.3768115942039</v>
      </c>
      <c r="P54" s="119">
        <f t="shared" si="41"/>
        <v>7246.3768115942039</v>
      </c>
      <c r="Q54" s="119">
        <f t="shared" si="41"/>
        <v>7246.3768115942039</v>
      </c>
      <c r="R54" s="119">
        <f t="shared" si="41"/>
        <v>7246.3768115942039</v>
      </c>
      <c r="S54" s="119">
        <f t="shared" si="41"/>
        <v>7246.3768115942039</v>
      </c>
      <c r="T54" s="119">
        <f t="shared" si="41"/>
        <v>7246.3768115942039</v>
      </c>
      <c r="U54" s="119">
        <f t="shared" si="41"/>
        <v>7246.3768115942039</v>
      </c>
      <c r="V54" s="119">
        <f t="shared" si="41"/>
        <v>7246.3768115942039</v>
      </c>
      <c r="W54" s="119">
        <f t="shared" si="41"/>
        <v>7246.3768115942039</v>
      </c>
      <c r="X54" s="119">
        <f t="shared" si="41"/>
        <v>7246.3768115942039</v>
      </c>
      <c r="Y54" s="119">
        <f t="shared" si="41"/>
        <v>7246.3768115942039</v>
      </c>
      <c r="Z54" s="119">
        <f t="shared" si="41"/>
        <v>7246.3768115942039</v>
      </c>
      <c r="AA54" s="119">
        <f t="shared" si="41"/>
        <v>7246.3768115942039</v>
      </c>
      <c r="AB54" s="119">
        <f t="shared" si="41"/>
        <v>7246.3768115942039</v>
      </c>
      <c r="AC54" s="119">
        <f t="shared" si="41"/>
        <v>7246.3768115942039</v>
      </c>
      <c r="AD54" s="119">
        <f t="shared" si="41"/>
        <v>7246.3768115942039</v>
      </c>
      <c r="AE54" s="119">
        <f t="shared" si="41"/>
        <v>7246.3768115942039</v>
      </c>
      <c r="AF54" s="119">
        <f t="shared" si="41"/>
        <v>7246.3768115942039</v>
      </c>
      <c r="AG54" s="119">
        <f t="shared" si="41"/>
        <v>7246.3768115942039</v>
      </c>
      <c r="AH54" s="119">
        <f t="shared" si="41"/>
        <v>7246.3768115942039</v>
      </c>
      <c r="AI54" s="119">
        <f t="shared" si="41"/>
        <v>7246.3768115942039</v>
      </c>
      <c r="AJ54" s="119">
        <f t="shared" si="41"/>
        <v>7246.3768115942039</v>
      </c>
      <c r="AK54" s="119">
        <f t="shared" si="41"/>
        <v>7246.3768115942039</v>
      </c>
      <c r="AL54" s="120">
        <f t="shared" si="41"/>
        <v>7246.3768115942039</v>
      </c>
    </row>
    <row r="55" spans="2:38" s="118" customFormat="1" x14ac:dyDescent="0.25">
      <c r="B55" s="114"/>
      <c r="C55" s="442" t="s">
        <v>146</v>
      </c>
      <c r="D55" s="114"/>
      <c r="E55" s="119">
        <f>(E54/$AJ$7)*$AH$7</f>
        <v>144.92753623188409</v>
      </c>
      <c r="F55" s="120">
        <f t="shared" ref="F55:AL55" si="42">(F54/$AJ$7)*$AH$7</f>
        <v>144.92753623188409</v>
      </c>
      <c r="G55" s="119">
        <f t="shared" si="42"/>
        <v>144.92753623188409</v>
      </c>
      <c r="H55" s="119">
        <f t="shared" si="42"/>
        <v>144.92753623188409</v>
      </c>
      <c r="I55" s="119">
        <f t="shared" si="42"/>
        <v>144.92753623188409</v>
      </c>
      <c r="J55" s="119">
        <f t="shared" si="42"/>
        <v>144.92753623188409</v>
      </c>
      <c r="K55" s="119">
        <f t="shared" si="42"/>
        <v>144.92753623188409</v>
      </c>
      <c r="L55" s="119">
        <f t="shared" si="42"/>
        <v>144.92753623188409</v>
      </c>
      <c r="M55" s="119">
        <f t="shared" si="42"/>
        <v>144.92753623188409</v>
      </c>
      <c r="N55" s="119">
        <f t="shared" si="42"/>
        <v>144.92753623188409</v>
      </c>
      <c r="O55" s="119">
        <f t="shared" si="42"/>
        <v>144.92753623188409</v>
      </c>
      <c r="P55" s="119">
        <f t="shared" si="42"/>
        <v>144.92753623188409</v>
      </c>
      <c r="Q55" s="119">
        <f t="shared" si="42"/>
        <v>144.92753623188409</v>
      </c>
      <c r="R55" s="119">
        <f t="shared" si="42"/>
        <v>144.92753623188409</v>
      </c>
      <c r="S55" s="119">
        <f t="shared" si="42"/>
        <v>144.92753623188409</v>
      </c>
      <c r="T55" s="119">
        <f t="shared" si="42"/>
        <v>144.92753623188409</v>
      </c>
      <c r="U55" s="119">
        <f t="shared" si="42"/>
        <v>144.92753623188409</v>
      </c>
      <c r="V55" s="119">
        <f t="shared" si="42"/>
        <v>144.92753623188409</v>
      </c>
      <c r="W55" s="119">
        <f t="shared" si="42"/>
        <v>144.92753623188409</v>
      </c>
      <c r="X55" s="119">
        <f t="shared" si="42"/>
        <v>144.92753623188409</v>
      </c>
      <c r="Y55" s="119">
        <f t="shared" si="42"/>
        <v>144.92753623188409</v>
      </c>
      <c r="Z55" s="119">
        <f t="shared" si="42"/>
        <v>144.92753623188409</v>
      </c>
      <c r="AA55" s="119">
        <f t="shared" si="42"/>
        <v>144.92753623188409</v>
      </c>
      <c r="AB55" s="119">
        <f t="shared" si="42"/>
        <v>144.92753623188409</v>
      </c>
      <c r="AC55" s="119">
        <f t="shared" si="42"/>
        <v>144.92753623188409</v>
      </c>
      <c r="AD55" s="119">
        <f t="shared" si="42"/>
        <v>144.92753623188409</v>
      </c>
      <c r="AE55" s="119">
        <f t="shared" si="42"/>
        <v>144.92753623188409</v>
      </c>
      <c r="AF55" s="119">
        <f t="shared" si="42"/>
        <v>144.92753623188409</v>
      </c>
      <c r="AG55" s="119">
        <f t="shared" si="42"/>
        <v>144.92753623188409</v>
      </c>
      <c r="AH55" s="119">
        <f t="shared" si="42"/>
        <v>144.92753623188409</v>
      </c>
      <c r="AI55" s="119">
        <f t="shared" si="42"/>
        <v>144.92753623188409</v>
      </c>
      <c r="AJ55" s="119">
        <f t="shared" si="42"/>
        <v>144.92753623188409</v>
      </c>
      <c r="AK55" s="119">
        <f t="shared" si="42"/>
        <v>144.92753623188409</v>
      </c>
      <c r="AL55" s="120">
        <f t="shared" si="42"/>
        <v>144.92753623188409</v>
      </c>
    </row>
    <row r="56" spans="2:38" s="118" customFormat="1" x14ac:dyDescent="0.25">
      <c r="B56" s="114"/>
      <c r="C56" s="442" t="s">
        <v>147</v>
      </c>
      <c r="D56" s="114"/>
      <c r="E56" s="121">
        <f>E55*$AH$4</f>
        <v>289.85507246376818</v>
      </c>
      <c r="F56" s="122">
        <f>F55*$AH$4</f>
        <v>289.85507246376818</v>
      </c>
      <c r="G56" s="121">
        <f>G55*$AH$4</f>
        <v>289.85507246376818</v>
      </c>
      <c r="H56" s="121">
        <f>G56*(1+$E$2)</f>
        <v>296.81159420289862</v>
      </c>
      <c r="I56" s="121">
        <f t="shared" ref="I56:AL56" si="43">H56*(1+$E$2)</f>
        <v>303.93507246376817</v>
      </c>
      <c r="J56" s="121">
        <f t="shared" si="43"/>
        <v>311.2295142028986</v>
      </c>
      <c r="K56" s="121">
        <f t="shared" si="43"/>
        <v>318.69902254376819</v>
      </c>
      <c r="L56" s="121">
        <f t="shared" si="43"/>
        <v>326.34779908481863</v>
      </c>
      <c r="M56" s="121">
        <f t="shared" si="43"/>
        <v>334.18014626285429</v>
      </c>
      <c r="N56" s="121">
        <f t="shared" si="43"/>
        <v>342.20046977316281</v>
      </c>
      <c r="O56" s="121">
        <f t="shared" si="43"/>
        <v>350.41328104771873</v>
      </c>
      <c r="P56" s="121">
        <f t="shared" si="43"/>
        <v>358.82319979286399</v>
      </c>
      <c r="Q56" s="121">
        <f t="shared" si="43"/>
        <v>367.43495658789271</v>
      </c>
      <c r="R56" s="121">
        <f t="shared" si="43"/>
        <v>376.25339554600214</v>
      </c>
      <c r="S56" s="121">
        <f t="shared" si="43"/>
        <v>385.28347703910617</v>
      </c>
      <c r="T56" s="121">
        <f t="shared" si="43"/>
        <v>394.53028048804475</v>
      </c>
      <c r="U56" s="121">
        <f t="shared" si="43"/>
        <v>403.99900721975786</v>
      </c>
      <c r="V56" s="121">
        <f t="shared" si="43"/>
        <v>413.69498339303203</v>
      </c>
      <c r="W56" s="121">
        <f t="shared" si="43"/>
        <v>423.62366299446484</v>
      </c>
      <c r="X56" s="121">
        <f t="shared" si="43"/>
        <v>433.79063090633201</v>
      </c>
      <c r="Y56" s="121">
        <f t="shared" si="43"/>
        <v>444.20160604808399</v>
      </c>
      <c r="Z56" s="121">
        <f t="shared" si="43"/>
        <v>454.86244459323802</v>
      </c>
      <c r="AA56" s="121">
        <f t="shared" si="43"/>
        <v>465.77914326347576</v>
      </c>
      <c r="AB56" s="121">
        <f t="shared" si="43"/>
        <v>476.95784270179917</v>
      </c>
      <c r="AC56" s="121">
        <f t="shared" si="43"/>
        <v>488.40483092664238</v>
      </c>
      <c r="AD56" s="121">
        <f t="shared" si="43"/>
        <v>500.1265468688818</v>
      </c>
      <c r="AE56" s="121">
        <f t="shared" si="43"/>
        <v>512.12958399373497</v>
      </c>
      <c r="AF56" s="121">
        <f t="shared" si="43"/>
        <v>524.42069400958462</v>
      </c>
      <c r="AG56" s="121">
        <f t="shared" si="43"/>
        <v>537.00679066581472</v>
      </c>
      <c r="AH56" s="121">
        <f t="shared" si="43"/>
        <v>549.89495364179425</v>
      </c>
      <c r="AI56" s="121">
        <f t="shared" si="43"/>
        <v>563.09243252919737</v>
      </c>
      <c r="AJ56" s="121">
        <f t="shared" si="43"/>
        <v>576.60665090989812</v>
      </c>
      <c r="AK56" s="121">
        <f t="shared" si="43"/>
        <v>590.44521053173571</v>
      </c>
      <c r="AL56" s="122">
        <f t="shared" si="43"/>
        <v>604.61589558449737</v>
      </c>
    </row>
    <row r="57" spans="2:38" s="118" customFormat="1" x14ac:dyDescent="0.25">
      <c r="B57" s="114"/>
      <c r="C57" s="442" t="s">
        <v>148</v>
      </c>
      <c r="D57" s="114"/>
      <c r="E57" s="121">
        <f>E53+E56</f>
        <v>17836.425846013277</v>
      </c>
      <c r="F57" s="122">
        <f t="shared" ref="F57:AL57" si="44">F53+F56</f>
        <v>21639.505845593878</v>
      </c>
      <c r="G57" s="121">
        <f t="shared" si="44"/>
        <v>19407.864204009573</v>
      </c>
      <c r="H57" s="121">
        <f t="shared" si="44"/>
        <v>19187.422975914764</v>
      </c>
      <c r="I57" s="121">
        <f t="shared" si="44"/>
        <v>19800.556220457431</v>
      </c>
      <c r="J57" s="121">
        <f t="shared" si="44"/>
        <v>20663.453191791323</v>
      </c>
      <c r="K57" s="121">
        <f t="shared" si="44"/>
        <v>21325.376339154795</v>
      </c>
      <c r="L57" s="121">
        <f t="shared" si="44"/>
        <v>22253.622181640676</v>
      </c>
      <c r="M57" s="121">
        <f t="shared" si="44"/>
        <v>22930.273504696881</v>
      </c>
      <c r="N57" s="121">
        <f t="shared" si="44"/>
        <v>23946.841521430419</v>
      </c>
      <c r="O57" s="121">
        <f t="shared" si="44"/>
        <v>24615.041485075595</v>
      </c>
      <c r="P57" s="121">
        <f t="shared" si="44"/>
        <v>25638.82108495725</v>
      </c>
      <c r="Q57" s="121">
        <f t="shared" si="44"/>
        <v>26535.869767275712</v>
      </c>
      <c r="R57" s="121">
        <f t="shared" si="44"/>
        <v>27771.598625493585</v>
      </c>
      <c r="S57" s="121">
        <f t="shared" si="44"/>
        <v>28758.570742005963</v>
      </c>
      <c r="T57" s="121">
        <f t="shared" si="44"/>
        <v>29645.947598093928</v>
      </c>
      <c r="U57" s="121">
        <f t="shared" si="44"/>
        <v>30834.542348648967</v>
      </c>
      <c r="V57" s="121">
        <f t="shared" si="44"/>
        <v>31795.386554347835</v>
      </c>
      <c r="W57" s="121">
        <f t="shared" si="44"/>
        <v>32816.3724507523</v>
      </c>
      <c r="X57" s="121">
        <f t="shared" si="44"/>
        <v>33917.675098788801</v>
      </c>
      <c r="Y57" s="121">
        <f t="shared" si="44"/>
        <v>34942.754714067043</v>
      </c>
      <c r="Z57" s="121">
        <f t="shared" si="44"/>
        <v>36063.987340462139</v>
      </c>
      <c r="AA57" s="121">
        <f t="shared" si="44"/>
        <v>37225.321556548915</v>
      </c>
      <c r="AB57" s="121">
        <f t="shared" si="44"/>
        <v>38089.398374451477</v>
      </c>
      <c r="AC57" s="121">
        <f t="shared" si="44"/>
        <v>39237.286394701063</v>
      </c>
      <c r="AD57" s="121">
        <f t="shared" si="44"/>
        <v>40767.532189521837</v>
      </c>
      <c r="AE57" s="121">
        <f t="shared" si="44"/>
        <v>41993.578449369765</v>
      </c>
      <c r="AF57" s="121">
        <f t="shared" si="44"/>
        <v>43345.440684808687</v>
      </c>
      <c r="AG57" s="121">
        <f t="shared" si="44"/>
        <v>45020.884026232488</v>
      </c>
      <c r="AH57" s="121">
        <f t="shared" si="44"/>
        <v>46149.054529232482</v>
      </c>
      <c r="AI57" s="121">
        <f t="shared" si="44"/>
        <v>47745.251538971657</v>
      </c>
      <c r="AJ57" s="121">
        <f t="shared" si="44"/>
        <v>49376.576268770543</v>
      </c>
      <c r="AK57" s="121">
        <f t="shared" si="44"/>
        <v>50950.064798663625</v>
      </c>
      <c r="AL57" s="122">
        <f t="shared" si="44"/>
        <v>52526.658214306568</v>
      </c>
    </row>
    <row r="58" spans="2:38" s="118" customFormat="1" x14ac:dyDescent="0.25">
      <c r="B58" s="114"/>
      <c r="C58" s="442" t="s">
        <v>149</v>
      </c>
      <c r="D58" s="114"/>
      <c r="E58" s="121">
        <f>$E$5*$E$7*$P$10</f>
        <v>28500</v>
      </c>
      <c r="F58" s="122">
        <f>$E$5*$E$7*$P$10</f>
        <v>28500</v>
      </c>
      <c r="G58" s="121">
        <f>$E$5*$E$7*$P$10</f>
        <v>28500</v>
      </c>
      <c r="H58" s="121">
        <f>G58*(1+$E$2)</f>
        <v>29184</v>
      </c>
      <c r="I58" s="121">
        <f t="shared" ref="I58:AL58" si="45">H58*(1+$E$2)</f>
        <v>29884.416000000001</v>
      </c>
      <c r="J58" s="121">
        <f t="shared" si="45"/>
        <v>30601.641984000002</v>
      </c>
      <c r="K58" s="121">
        <f t="shared" si="45"/>
        <v>31336.081391616004</v>
      </c>
      <c r="L58" s="121">
        <f t="shared" si="45"/>
        <v>32088.14734501479</v>
      </c>
      <c r="M58" s="121">
        <f t="shared" si="45"/>
        <v>32858.262881295144</v>
      </c>
      <c r="N58" s="121">
        <f t="shared" si="45"/>
        <v>33646.86119044623</v>
      </c>
      <c r="O58" s="121">
        <f t="shared" si="45"/>
        <v>34454.38585901694</v>
      </c>
      <c r="P58" s="121">
        <f t="shared" si="45"/>
        <v>35281.291119633344</v>
      </c>
      <c r="Q58" s="121">
        <f t="shared" si="45"/>
        <v>36128.042106504545</v>
      </c>
      <c r="R58" s="121">
        <f t="shared" si="45"/>
        <v>36995.115117060654</v>
      </c>
      <c r="S58" s="121">
        <f t="shared" si="45"/>
        <v>37882.997879870112</v>
      </c>
      <c r="T58" s="121">
        <f t="shared" si="45"/>
        <v>38792.189828986993</v>
      </c>
      <c r="U58" s="121">
        <f t="shared" si="45"/>
        <v>39723.202384882679</v>
      </c>
      <c r="V58" s="121">
        <f t="shared" si="45"/>
        <v>40676.559242119867</v>
      </c>
      <c r="W58" s="121">
        <f t="shared" si="45"/>
        <v>41652.796663930741</v>
      </c>
      <c r="X58" s="121">
        <f t="shared" si="45"/>
        <v>42652.463783865081</v>
      </c>
      <c r="Y58" s="121">
        <f t="shared" si="45"/>
        <v>43676.122914677842</v>
      </c>
      <c r="Z58" s="121">
        <f t="shared" si="45"/>
        <v>44724.349864630109</v>
      </c>
      <c r="AA58" s="121">
        <f t="shared" si="45"/>
        <v>45797.734261381229</v>
      </c>
      <c r="AB58" s="121">
        <f t="shared" si="45"/>
        <v>46896.879883654379</v>
      </c>
      <c r="AC58" s="121">
        <f t="shared" si="45"/>
        <v>48022.405000862083</v>
      </c>
      <c r="AD58" s="121">
        <f t="shared" si="45"/>
        <v>49174.942720882776</v>
      </c>
      <c r="AE58" s="121">
        <f t="shared" si="45"/>
        <v>50355.141346183962</v>
      </c>
      <c r="AF58" s="121">
        <f t="shared" si="45"/>
        <v>51563.664738492378</v>
      </c>
      <c r="AG58" s="121">
        <f t="shared" si="45"/>
        <v>52801.192692216195</v>
      </c>
      <c r="AH58" s="121">
        <f t="shared" si="45"/>
        <v>54068.421316829386</v>
      </c>
      <c r="AI58" s="121">
        <f t="shared" si="45"/>
        <v>55366.063428433292</v>
      </c>
      <c r="AJ58" s="121">
        <f t="shared" si="45"/>
        <v>56694.848950715692</v>
      </c>
      <c r="AK58" s="121">
        <f t="shared" si="45"/>
        <v>58055.525325532872</v>
      </c>
      <c r="AL58" s="122">
        <f t="shared" si="45"/>
        <v>59448.857933345658</v>
      </c>
    </row>
    <row r="59" spans="2:38" s="118" customFormat="1" x14ac:dyDescent="0.25">
      <c r="B59" s="114"/>
      <c r="C59" s="442" t="s">
        <v>150</v>
      </c>
      <c r="D59" s="114"/>
      <c r="E59" s="121">
        <f>E57+E58</f>
        <v>46336.425846013277</v>
      </c>
      <c r="F59" s="122">
        <f t="shared" ref="F59:AL59" si="46">F57+F58</f>
        <v>50139.505845593878</v>
      </c>
      <c r="G59" s="121">
        <f t="shared" si="46"/>
        <v>47907.864204009573</v>
      </c>
      <c r="H59" s="121">
        <f t="shared" si="46"/>
        <v>48371.422975914764</v>
      </c>
      <c r="I59" s="121">
        <f t="shared" si="46"/>
        <v>49684.972220457435</v>
      </c>
      <c r="J59" s="121">
        <f t="shared" si="46"/>
        <v>51265.095175791328</v>
      </c>
      <c r="K59" s="121">
        <f t="shared" si="46"/>
        <v>52661.457730770795</v>
      </c>
      <c r="L59" s="121">
        <f t="shared" si="46"/>
        <v>54341.769526655466</v>
      </c>
      <c r="M59" s="121">
        <f t="shared" si="46"/>
        <v>55788.536385992025</v>
      </c>
      <c r="N59" s="121">
        <f t="shared" si="46"/>
        <v>57593.702711876649</v>
      </c>
      <c r="O59" s="121">
        <f t="shared" si="46"/>
        <v>59069.427344092532</v>
      </c>
      <c r="P59" s="121">
        <f t="shared" si="46"/>
        <v>60920.112204590594</v>
      </c>
      <c r="Q59" s="121">
        <f t="shared" si="46"/>
        <v>62663.911873780256</v>
      </c>
      <c r="R59" s="121">
        <f t="shared" si="46"/>
        <v>64766.713742554239</v>
      </c>
      <c r="S59" s="121">
        <f t="shared" si="46"/>
        <v>66641.568621876067</v>
      </c>
      <c r="T59" s="121">
        <f t="shared" si="46"/>
        <v>68438.137427080917</v>
      </c>
      <c r="U59" s="121">
        <f t="shared" si="46"/>
        <v>70557.744733531639</v>
      </c>
      <c r="V59" s="121">
        <f t="shared" si="46"/>
        <v>72471.945796467699</v>
      </c>
      <c r="W59" s="121">
        <f t="shared" si="46"/>
        <v>74469.169114683042</v>
      </c>
      <c r="X59" s="121">
        <f t="shared" si="46"/>
        <v>76570.138882653875</v>
      </c>
      <c r="Y59" s="121">
        <f t="shared" si="46"/>
        <v>78618.877628744885</v>
      </c>
      <c r="Z59" s="121">
        <f t="shared" si="46"/>
        <v>80788.337205092248</v>
      </c>
      <c r="AA59" s="121">
        <f t="shared" si="46"/>
        <v>83023.055817930144</v>
      </c>
      <c r="AB59" s="121">
        <f t="shared" si="46"/>
        <v>84986.278258105856</v>
      </c>
      <c r="AC59" s="121">
        <f t="shared" si="46"/>
        <v>87259.691395563146</v>
      </c>
      <c r="AD59" s="121">
        <f t="shared" si="46"/>
        <v>89942.47491040462</v>
      </c>
      <c r="AE59" s="121">
        <f t="shared" si="46"/>
        <v>92348.719795553727</v>
      </c>
      <c r="AF59" s="121">
        <f t="shared" si="46"/>
        <v>94909.105423301065</v>
      </c>
      <c r="AG59" s="121">
        <f t="shared" si="46"/>
        <v>97822.07671844869</v>
      </c>
      <c r="AH59" s="121">
        <f t="shared" si="46"/>
        <v>100217.47584606186</v>
      </c>
      <c r="AI59" s="121">
        <f t="shared" si="46"/>
        <v>103111.31496740495</v>
      </c>
      <c r="AJ59" s="121">
        <f t="shared" si="46"/>
        <v>106071.42521948623</v>
      </c>
      <c r="AK59" s="121">
        <f t="shared" si="46"/>
        <v>109005.59012419649</v>
      </c>
      <c r="AL59" s="122">
        <f t="shared" si="46"/>
        <v>111975.51614765223</v>
      </c>
    </row>
    <row r="60" spans="2:38" s="118" customFormat="1" x14ac:dyDescent="0.25">
      <c r="B60" s="114"/>
      <c r="C60" s="442" t="s">
        <v>154</v>
      </c>
      <c r="D60" s="114"/>
      <c r="E60" s="121">
        <f>E59-E23</f>
        <v>384.05797101448843</v>
      </c>
      <c r="F60" s="122">
        <f t="shared" ref="F60:AL60" si="47">F59-F23</f>
        <v>384.05797101448843</v>
      </c>
      <c r="G60" s="121">
        <f t="shared" si="47"/>
        <v>384.05797101449571</v>
      </c>
      <c r="H60" s="121">
        <f t="shared" si="47"/>
        <v>346.31884057971183</v>
      </c>
      <c r="I60" s="121">
        <f t="shared" si="47"/>
        <v>307.67397101450479</v>
      </c>
      <c r="J60" s="121">
        <f t="shared" si="47"/>
        <v>268.10162457972183</v>
      </c>
      <c r="K60" s="121">
        <f t="shared" si="47"/>
        <v>227.57954183049151</v>
      </c>
      <c r="L60" s="121">
        <f t="shared" si="47"/>
        <v>186.08492909529014</v>
      </c>
      <c r="M60" s="121">
        <f t="shared" si="47"/>
        <v>143.59444565446029</v>
      </c>
      <c r="N60" s="121">
        <f t="shared" si="47"/>
        <v>100.08419061102177</v>
      </c>
      <c r="O60" s="121">
        <f t="shared" si="47"/>
        <v>55.529689446557313</v>
      </c>
      <c r="P60" s="121">
        <f t="shared" si="47"/>
        <v>9.9058802541403566</v>
      </c>
      <c r="Q60" s="121">
        <f t="shared" si="47"/>
        <v>-36.812900358891056</v>
      </c>
      <c r="R60" s="121">
        <f t="shared" si="47"/>
        <v>-84.652931706637901</v>
      </c>
      <c r="S60" s="121">
        <f t="shared" si="47"/>
        <v>-133.6411238067376</v>
      </c>
      <c r="T60" s="121">
        <f t="shared" si="47"/>
        <v>-183.80503251722257</v>
      </c>
      <c r="U60" s="121">
        <f t="shared" si="47"/>
        <v>-235.17287503676198</v>
      </c>
      <c r="V60" s="121">
        <f t="shared" si="47"/>
        <v>-287.77354577677033</v>
      </c>
      <c r="W60" s="121">
        <f t="shared" si="47"/>
        <v>-341.63663261455076</v>
      </c>
      <c r="X60" s="121">
        <f t="shared" si="47"/>
        <v>-396.79243353643687</v>
      </c>
      <c r="Y60" s="121">
        <f t="shared" si="47"/>
        <v>-453.27197368042835</v>
      </c>
      <c r="Z60" s="121">
        <f t="shared" si="47"/>
        <v>-511.10702278790995</v>
      </c>
      <c r="AA60" s="121">
        <f t="shared" si="47"/>
        <v>-570.3301130739419</v>
      </c>
      <c r="AB60" s="121">
        <f t="shared" si="47"/>
        <v>-630.97455752686074</v>
      </c>
      <c r="AC60" s="121">
        <f t="shared" si="47"/>
        <v>-693.07446864663507</v>
      </c>
      <c r="AD60" s="121">
        <f t="shared" si="47"/>
        <v>-756.66477763326839</v>
      </c>
      <c r="AE60" s="121">
        <f t="shared" si="47"/>
        <v>-821.78125403560989</v>
      </c>
      <c r="AF60" s="121">
        <f t="shared" si="47"/>
        <v>-888.4605258715892</v>
      </c>
      <c r="AG60" s="121">
        <f t="shared" si="47"/>
        <v>-956.74010023163282</v>
      </c>
      <c r="AH60" s="121">
        <f t="shared" si="47"/>
        <v>-1026.658384376351</v>
      </c>
      <c r="AI60" s="121">
        <f t="shared" si="47"/>
        <v>-1098.2547073405003</v>
      </c>
      <c r="AJ60" s="121">
        <f t="shared" si="47"/>
        <v>-1171.5693420557946</v>
      </c>
      <c r="AK60" s="121">
        <f t="shared" si="47"/>
        <v>-1246.6435280042788</v>
      </c>
      <c r="AL60" s="122">
        <f t="shared" si="47"/>
        <v>-1323.5194944154937</v>
      </c>
    </row>
    <row r="61" spans="2:38" s="118" customFormat="1" x14ac:dyDescent="0.25">
      <c r="B61" s="114"/>
      <c r="C61" s="442" t="s">
        <v>155</v>
      </c>
      <c r="D61" s="114"/>
      <c r="E61" s="129">
        <f>(E54*$X$4)/$V$3</f>
        <v>38.391400326326909</v>
      </c>
      <c r="F61" s="130">
        <f t="shared" ref="F61:AL61" si="48">(F54*$X$4)/$V$3</f>
        <v>38.391400326326909</v>
      </c>
      <c r="G61" s="129">
        <f t="shared" si="48"/>
        <v>38.391400326326909</v>
      </c>
      <c r="H61" s="129">
        <f t="shared" si="48"/>
        <v>38.391400326326909</v>
      </c>
      <c r="I61" s="129">
        <f t="shared" si="48"/>
        <v>38.391400326326909</v>
      </c>
      <c r="J61" s="129">
        <f t="shared" si="48"/>
        <v>38.391400326326909</v>
      </c>
      <c r="K61" s="129">
        <f t="shared" si="48"/>
        <v>38.391400326326909</v>
      </c>
      <c r="L61" s="129">
        <f t="shared" si="48"/>
        <v>38.391400326326909</v>
      </c>
      <c r="M61" s="129">
        <f t="shared" si="48"/>
        <v>38.391400326326909</v>
      </c>
      <c r="N61" s="129">
        <f t="shared" si="48"/>
        <v>38.391400326326909</v>
      </c>
      <c r="O61" s="129">
        <f t="shared" si="48"/>
        <v>38.391400326326909</v>
      </c>
      <c r="P61" s="129">
        <f t="shared" si="48"/>
        <v>38.391400326326909</v>
      </c>
      <c r="Q61" s="129">
        <f t="shared" si="48"/>
        <v>38.391400326326909</v>
      </c>
      <c r="R61" s="129">
        <f t="shared" si="48"/>
        <v>38.391400326326909</v>
      </c>
      <c r="S61" s="129">
        <f t="shared" si="48"/>
        <v>38.391400326326909</v>
      </c>
      <c r="T61" s="129">
        <f t="shared" si="48"/>
        <v>38.391400326326909</v>
      </c>
      <c r="U61" s="129">
        <f t="shared" si="48"/>
        <v>38.391400326326909</v>
      </c>
      <c r="V61" s="129">
        <f t="shared" si="48"/>
        <v>38.391400326326909</v>
      </c>
      <c r="W61" s="129">
        <f t="shared" si="48"/>
        <v>38.391400326326909</v>
      </c>
      <c r="X61" s="129">
        <f t="shared" si="48"/>
        <v>38.391400326326909</v>
      </c>
      <c r="Y61" s="129">
        <f t="shared" si="48"/>
        <v>38.391400326326909</v>
      </c>
      <c r="Z61" s="129">
        <f t="shared" si="48"/>
        <v>38.391400326326909</v>
      </c>
      <c r="AA61" s="129">
        <f t="shared" si="48"/>
        <v>38.391400326326909</v>
      </c>
      <c r="AB61" s="129">
        <f t="shared" si="48"/>
        <v>38.391400326326909</v>
      </c>
      <c r="AC61" s="129">
        <f t="shared" si="48"/>
        <v>38.391400326326909</v>
      </c>
      <c r="AD61" s="129">
        <f t="shared" si="48"/>
        <v>38.391400326326909</v>
      </c>
      <c r="AE61" s="129">
        <f t="shared" si="48"/>
        <v>38.391400326326909</v>
      </c>
      <c r="AF61" s="129">
        <f t="shared" si="48"/>
        <v>38.391400326326909</v>
      </c>
      <c r="AG61" s="129">
        <f t="shared" si="48"/>
        <v>38.391400326326909</v>
      </c>
      <c r="AH61" s="129">
        <f t="shared" si="48"/>
        <v>38.391400326326909</v>
      </c>
      <c r="AI61" s="129">
        <f t="shared" si="48"/>
        <v>38.391400326326909</v>
      </c>
      <c r="AJ61" s="129">
        <f t="shared" si="48"/>
        <v>38.391400326326909</v>
      </c>
      <c r="AK61" s="129">
        <f t="shared" si="48"/>
        <v>38.391400326326909</v>
      </c>
      <c r="AL61" s="130">
        <f t="shared" si="48"/>
        <v>38.391400326326909</v>
      </c>
    </row>
    <row r="62" spans="2:38" s="118" customFormat="1" x14ac:dyDescent="0.25">
      <c r="B62" s="114"/>
      <c r="C62" s="442" t="s">
        <v>156</v>
      </c>
      <c r="D62" s="114"/>
      <c r="E62" s="129">
        <f t="shared" ref="E62:AL62" si="49">E24-E61</f>
        <v>57.915793985434938</v>
      </c>
      <c r="F62" s="130">
        <f t="shared" si="49"/>
        <v>57.915793985434938</v>
      </c>
      <c r="G62" s="129">
        <f t="shared" si="49"/>
        <v>57.915793985434938</v>
      </c>
      <c r="H62" s="129">
        <f t="shared" si="49"/>
        <v>57.915793985434938</v>
      </c>
      <c r="I62" s="129">
        <f t="shared" si="49"/>
        <v>57.915793985434938</v>
      </c>
      <c r="J62" s="129">
        <f t="shared" si="49"/>
        <v>57.915793985434938</v>
      </c>
      <c r="K62" s="129">
        <f t="shared" si="49"/>
        <v>57.915793985434938</v>
      </c>
      <c r="L62" s="129">
        <f t="shared" si="49"/>
        <v>57.915793985434938</v>
      </c>
      <c r="M62" s="129">
        <f t="shared" si="49"/>
        <v>57.915793985434938</v>
      </c>
      <c r="N62" s="129">
        <f t="shared" si="49"/>
        <v>57.915793985434938</v>
      </c>
      <c r="O62" s="129">
        <f t="shared" si="49"/>
        <v>57.915793985434938</v>
      </c>
      <c r="P62" s="129">
        <f t="shared" si="49"/>
        <v>57.915793985434938</v>
      </c>
      <c r="Q62" s="129">
        <f t="shared" si="49"/>
        <v>57.915793985434938</v>
      </c>
      <c r="R62" s="129">
        <f t="shared" si="49"/>
        <v>57.915793985434938</v>
      </c>
      <c r="S62" s="129">
        <f t="shared" si="49"/>
        <v>57.915793985434938</v>
      </c>
      <c r="T62" s="129">
        <f t="shared" si="49"/>
        <v>57.915793985434938</v>
      </c>
      <c r="U62" s="129">
        <f t="shared" si="49"/>
        <v>57.915793985434938</v>
      </c>
      <c r="V62" s="129">
        <f t="shared" si="49"/>
        <v>57.915793985434938</v>
      </c>
      <c r="W62" s="129">
        <f t="shared" si="49"/>
        <v>57.915793985434938</v>
      </c>
      <c r="X62" s="129">
        <f t="shared" si="49"/>
        <v>57.915793985434938</v>
      </c>
      <c r="Y62" s="129">
        <f t="shared" si="49"/>
        <v>57.915793985434938</v>
      </c>
      <c r="Z62" s="129">
        <f t="shared" si="49"/>
        <v>57.915793985434938</v>
      </c>
      <c r="AA62" s="129">
        <f t="shared" si="49"/>
        <v>57.915793985434938</v>
      </c>
      <c r="AB62" s="129">
        <f t="shared" si="49"/>
        <v>57.915793985434938</v>
      </c>
      <c r="AC62" s="129">
        <f t="shared" si="49"/>
        <v>57.915793985434938</v>
      </c>
      <c r="AD62" s="129">
        <f t="shared" si="49"/>
        <v>57.915793985434938</v>
      </c>
      <c r="AE62" s="129">
        <f t="shared" si="49"/>
        <v>57.915793985434938</v>
      </c>
      <c r="AF62" s="129">
        <f t="shared" si="49"/>
        <v>57.915793985434938</v>
      </c>
      <c r="AG62" s="129">
        <f t="shared" si="49"/>
        <v>57.915793985434938</v>
      </c>
      <c r="AH62" s="129">
        <f t="shared" si="49"/>
        <v>57.915793985434938</v>
      </c>
      <c r="AI62" s="129">
        <f t="shared" si="49"/>
        <v>57.915793985434938</v>
      </c>
      <c r="AJ62" s="129">
        <f t="shared" si="49"/>
        <v>57.915793985434938</v>
      </c>
      <c r="AK62" s="129">
        <f t="shared" si="49"/>
        <v>57.915793985434938</v>
      </c>
      <c r="AL62" s="130">
        <f t="shared" si="49"/>
        <v>57.915793985434938</v>
      </c>
    </row>
    <row r="63" spans="2:38" s="118" customFormat="1" ht="15.75" thickBot="1" x14ac:dyDescent="0.3">
      <c r="B63" s="123"/>
      <c r="C63" s="443" t="s">
        <v>157</v>
      </c>
      <c r="D63" s="123"/>
      <c r="E63" s="127">
        <f>E60/E62</f>
        <v>6.6313166855844878</v>
      </c>
      <c r="F63" s="128">
        <f t="shared" ref="F63:AL63" si="50">F60/F62</f>
        <v>6.6313166855844878</v>
      </c>
      <c r="G63" s="127">
        <f t="shared" si="50"/>
        <v>6.6313166855846131</v>
      </c>
      <c r="H63" s="127">
        <f t="shared" si="50"/>
        <v>5.979695981838848</v>
      </c>
      <c r="I63" s="127">
        <f t="shared" si="50"/>
        <v>5.3124363812033852</v>
      </c>
      <c r="J63" s="127">
        <f t="shared" si="50"/>
        <v>4.6291625501524827</v>
      </c>
      <c r="K63" s="127">
        <f t="shared" si="50"/>
        <v>3.9294901471561414</v>
      </c>
      <c r="L63" s="127">
        <f t="shared" si="50"/>
        <v>3.2130256064880687</v>
      </c>
      <c r="M63" s="127">
        <f t="shared" si="50"/>
        <v>2.4793659168442446</v>
      </c>
      <c r="N63" s="127">
        <f t="shared" si="50"/>
        <v>1.7280983946484725</v>
      </c>
      <c r="O63" s="127">
        <f t="shared" si="50"/>
        <v>0.95880045192028795</v>
      </c>
      <c r="P63" s="127">
        <f t="shared" si="50"/>
        <v>0.17103935856653463</v>
      </c>
      <c r="Q63" s="127">
        <f t="shared" si="50"/>
        <v>-0.63562800102764749</v>
      </c>
      <c r="R63" s="127">
        <f t="shared" si="50"/>
        <v>-1.4616553772521361</v>
      </c>
      <c r="S63" s="127">
        <f t="shared" si="50"/>
        <v>-2.307507410506132</v>
      </c>
      <c r="T63" s="127">
        <f t="shared" si="50"/>
        <v>-3.1736598925579287</v>
      </c>
      <c r="U63" s="127">
        <f t="shared" si="50"/>
        <v>-4.060600034179016</v>
      </c>
      <c r="V63" s="127">
        <f t="shared" si="50"/>
        <v>-4.9688267391990104</v>
      </c>
      <c r="W63" s="127">
        <f t="shared" si="50"/>
        <v>-5.898850885139689</v>
      </c>
      <c r="X63" s="127">
        <f t="shared" si="50"/>
        <v>-6.8511956105829261</v>
      </c>
      <c r="Y63" s="127">
        <f t="shared" si="50"/>
        <v>-7.8263966094364568</v>
      </c>
      <c r="Z63" s="127">
        <f t="shared" si="50"/>
        <v>-8.8250024322630658</v>
      </c>
      <c r="AA63" s="127">
        <f t="shared" si="50"/>
        <v>-9.8475747948370085</v>
      </c>
      <c r="AB63" s="127">
        <f t="shared" si="50"/>
        <v>-10.894688894113107</v>
      </c>
      <c r="AC63" s="127">
        <f t="shared" si="50"/>
        <v>-11.966933731771583</v>
      </c>
      <c r="AD63" s="127">
        <f t="shared" si="50"/>
        <v>-13.06491244553359</v>
      </c>
      <c r="AE63" s="127">
        <f t="shared" si="50"/>
        <v>-14.189242648426388</v>
      </c>
      <c r="AF63" s="127">
        <f t="shared" si="50"/>
        <v>-15.340556776188293</v>
      </c>
      <c r="AG63" s="127">
        <f t="shared" si="50"/>
        <v>-16.519502443016499</v>
      </c>
      <c r="AH63" s="127">
        <f t="shared" si="50"/>
        <v>-17.726742805849163</v>
      </c>
      <c r="AI63" s="127">
        <f t="shared" si="50"/>
        <v>-18.96295693738908</v>
      </c>
      <c r="AJ63" s="127">
        <f t="shared" si="50"/>
        <v>-20.228840208086051</v>
      </c>
      <c r="AK63" s="127">
        <f t="shared" si="50"/>
        <v>-21.525104677280144</v>
      </c>
      <c r="AL63" s="128">
        <f t="shared" si="50"/>
        <v>-22.852479493734325</v>
      </c>
    </row>
    <row r="64" spans="2:38" x14ac:dyDescent="0.25">
      <c r="B64" s="87" t="s">
        <v>162</v>
      </c>
      <c r="C64" s="450" t="s">
        <v>497</v>
      </c>
      <c r="D64" s="451" t="s">
        <v>139</v>
      </c>
      <c r="E64" s="424">
        <v>16.526171000000001</v>
      </c>
      <c r="F64" s="425">
        <v>16.231621000000001</v>
      </c>
      <c r="G64" s="452">
        <v>13.698598</v>
      </c>
      <c r="H64" s="452">
        <v>13.609958000000001</v>
      </c>
      <c r="I64" s="452">
        <v>13.28656</v>
      </c>
      <c r="J64" s="452">
        <v>13.358461</v>
      </c>
      <c r="K64" s="452">
        <v>13.695582999999999</v>
      </c>
      <c r="L64" s="452">
        <v>13.866628</v>
      </c>
      <c r="M64" s="452">
        <v>14.191694</v>
      </c>
      <c r="N64" s="452">
        <v>14.47123</v>
      </c>
      <c r="O64" s="452">
        <v>14.670904</v>
      </c>
      <c r="P64" s="452">
        <v>14.774322</v>
      </c>
      <c r="Q64" s="452">
        <v>14.786587000000001</v>
      </c>
      <c r="R64" s="452">
        <v>15.679444</v>
      </c>
      <c r="S64" s="452">
        <v>15.67318</v>
      </c>
      <c r="T64" s="452">
        <v>15.790754</v>
      </c>
      <c r="U64" s="452">
        <v>16.136109999999999</v>
      </c>
      <c r="V64" s="452">
        <v>16.360399000000001</v>
      </c>
      <c r="W64" s="452">
        <v>16.561295000000001</v>
      </c>
      <c r="X64" s="452">
        <v>16.794564999999999</v>
      </c>
      <c r="Y64" s="452">
        <v>17.135159000000002</v>
      </c>
      <c r="Z64" s="452">
        <v>17.465788</v>
      </c>
      <c r="AA64" s="452">
        <v>17.792345000000001</v>
      </c>
      <c r="AB64" s="452">
        <v>18.113161000000002</v>
      </c>
      <c r="AC64" s="452">
        <v>18.444412</v>
      </c>
      <c r="AD64" s="452">
        <v>18.844269000000001</v>
      </c>
      <c r="AE64" s="452">
        <v>19.247548999999999</v>
      </c>
      <c r="AF64" s="452">
        <v>19.680775000000001</v>
      </c>
      <c r="AG64" s="452">
        <v>20.133883000000001</v>
      </c>
      <c r="AH64" s="452">
        <v>20.658138000000001</v>
      </c>
      <c r="AI64" s="452">
        <v>21.229890999999999</v>
      </c>
      <c r="AJ64" s="452">
        <v>21.791283</v>
      </c>
      <c r="AK64" s="452">
        <v>22.376007000000001</v>
      </c>
      <c r="AL64" s="453">
        <v>23.017862000000001</v>
      </c>
    </row>
    <row r="65" spans="2:38" ht="15.75" thickBot="1" x14ac:dyDescent="0.3">
      <c r="B65" s="105"/>
      <c r="C65" s="103" t="s">
        <v>163</v>
      </c>
      <c r="D65" s="429" t="s">
        <v>498</v>
      </c>
      <c r="E65" s="454">
        <f>E64/$E$4</f>
        <v>2.1064588080747404</v>
      </c>
      <c r="F65" s="455">
        <f t="shared" ref="F65:AL65" si="51">F64/$E$4</f>
        <v>2.0689148759734439</v>
      </c>
      <c r="G65" s="456">
        <f t="shared" si="51"/>
        <v>1.7460506983362947</v>
      </c>
      <c r="H65" s="456">
        <f t="shared" si="51"/>
        <v>1.7347524666559044</v>
      </c>
      <c r="I65" s="456">
        <f t="shared" si="51"/>
        <v>1.693531510778481</v>
      </c>
      <c r="J65" s="456">
        <f t="shared" si="51"/>
        <v>1.7026961560407974</v>
      </c>
      <c r="K65" s="456">
        <f t="shared" si="51"/>
        <v>1.7456664004062812</v>
      </c>
      <c r="L65" s="456">
        <f t="shared" si="51"/>
        <v>1.7674681381970343</v>
      </c>
      <c r="M65" s="456">
        <f t="shared" si="51"/>
        <v>1.8089017006904649</v>
      </c>
      <c r="N65" s="456">
        <f t="shared" si="51"/>
        <v>1.8445319183236952</v>
      </c>
      <c r="O65" s="456">
        <f t="shared" si="51"/>
        <v>1.8699827657125743</v>
      </c>
      <c r="P65" s="456">
        <f t="shared" si="51"/>
        <v>1.8831646308290293</v>
      </c>
      <c r="Q65" s="456">
        <f t="shared" si="51"/>
        <v>1.8847279522590834</v>
      </c>
      <c r="R65" s="456">
        <f t="shared" si="51"/>
        <v>1.9985332911970133</v>
      </c>
      <c r="S65" s="456">
        <f t="shared" si="51"/>
        <v>1.9977348692289858</v>
      </c>
      <c r="T65" s="456">
        <f t="shared" si="51"/>
        <v>2.0127210864175034</v>
      </c>
      <c r="U65" s="456">
        <f t="shared" si="51"/>
        <v>2.0567408528910232</v>
      </c>
      <c r="V65" s="456">
        <f t="shared" si="51"/>
        <v>2.0853291774100104</v>
      </c>
      <c r="W65" s="456">
        <f t="shared" si="51"/>
        <v>2.110935783362895</v>
      </c>
      <c r="X65" s="456">
        <f t="shared" si="51"/>
        <v>2.1406688441039212</v>
      </c>
      <c r="Y65" s="456">
        <f t="shared" si="51"/>
        <v>2.184081636533421</v>
      </c>
      <c r="Z65" s="456">
        <f t="shared" si="51"/>
        <v>2.2262242701328758</v>
      </c>
      <c r="AA65" s="456">
        <f t="shared" si="51"/>
        <v>2.2678478784683134</v>
      </c>
      <c r="AB65" s="456">
        <f t="shared" si="51"/>
        <v>2.3087397274617256</v>
      </c>
      <c r="AC65" s="456">
        <f t="shared" si="51"/>
        <v>2.3509616424251831</v>
      </c>
      <c r="AD65" s="456">
        <f t="shared" si="51"/>
        <v>2.4019282153609436</v>
      </c>
      <c r="AE65" s="456">
        <f t="shared" si="51"/>
        <v>2.4533310907227182</v>
      </c>
      <c r="AF65" s="456">
        <f t="shared" si="51"/>
        <v>2.5085509431366253</v>
      </c>
      <c r="AG65" s="456">
        <f t="shared" si="51"/>
        <v>2.5663049950346197</v>
      </c>
      <c r="AH65" s="456">
        <f t="shared" si="51"/>
        <v>2.633127585846927</v>
      </c>
      <c r="AI65" s="456">
        <f t="shared" si="51"/>
        <v>2.7060043667354434</v>
      </c>
      <c r="AJ65" s="456">
        <f t="shared" si="51"/>
        <v>2.7775605138419146</v>
      </c>
      <c r="AK65" s="456">
        <f t="shared" si="51"/>
        <v>2.8520906043324885</v>
      </c>
      <c r="AL65" s="457">
        <f t="shared" si="51"/>
        <v>2.9339027263453135</v>
      </c>
    </row>
    <row r="66" spans="2:38" x14ac:dyDescent="0.25">
      <c r="B66" s="87" t="s">
        <v>162</v>
      </c>
      <c r="C66" s="458" t="s">
        <v>164</v>
      </c>
      <c r="D66" s="459">
        <v>0.46</v>
      </c>
      <c r="E66" s="460">
        <f>E65-$D$66</f>
        <v>1.6464588080747404</v>
      </c>
      <c r="F66" s="461">
        <f t="shared" ref="F66:AL66" si="52">F65-$D$66</f>
        <v>1.608914875973444</v>
      </c>
      <c r="G66" s="462">
        <f t="shared" si="52"/>
        <v>1.2860506983362947</v>
      </c>
      <c r="H66" s="462">
        <f t="shared" si="52"/>
        <v>1.2747524666559045</v>
      </c>
      <c r="I66" s="462">
        <f t="shared" si="52"/>
        <v>1.233531510778481</v>
      </c>
      <c r="J66" s="462">
        <f t="shared" si="52"/>
        <v>1.2426961560407974</v>
      </c>
      <c r="K66" s="462">
        <f t="shared" si="52"/>
        <v>1.2856664004062812</v>
      </c>
      <c r="L66" s="462">
        <f t="shared" si="52"/>
        <v>1.3074681381970343</v>
      </c>
      <c r="M66" s="462">
        <f t="shared" si="52"/>
        <v>1.3489017006904649</v>
      </c>
      <c r="N66" s="462">
        <f t="shared" si="52"/>
        <v>1.3845319183236953</v>
      </c>
      <c r="O66" s="462">
        <f t="shared" si="52"/>
        <v>1.4099827657125743</v>
      </c>
      <c r="P66" s="462">
        <f t="shared" si="52"/>
        <v>1.4231646308290293</v>
      </c>
      <c r="Q66" s="462">
        <f t="shared" si="52"/>
        <v>1.4247279522590834</v>
      </c>
      <c r="R66" s="462">
        <f t="shared" si="52"/>
        <v>1.5385332911970133</v>
      </c>
      <c r="S66" s="462">
        <f t="shared" si="52"/>
        <v>1.5377348692289858</v>
      </c>
      <c r="T66" s="462">
        <f t="shared" si="52"/>
        <v>1.5527210864175034</v>
      </c>
      <c r="U66" s="462">
        <f t="shared" si="52"/>
        <v>1.5967408528910232</v>
      </c>
      <c r="V66" s="462">
        <f t="shared" si="52"/>
        <v>1.6253291774100105</v>
      </c>
      <c r="W66" s="462">
        <f t="shared" si="52"/>
        <v>1.650935783362895</v>
      </c>
      <c r="X66" s="462">
        <f t="shared" si="52"/>
        <v>1.6806688441039213</v>
      </c>
      <c r="Y66" s="462">
        <f t="shared" si="52"/>
        <v>1.7240816365334211</v>
      </c>
      <c r="Z66" s="462">
        <f t="shared" si="52"/>
        <v>1.7662242701328759</v>
      </c>
      <c r="AA66" s="462">
        <f t="shared" si="52"/>
        <v>1.8078478784683134</v>
      </c>
      <c r="AB66" s="462">
        <f t="shared" si="52"/>
        <v>1.8487397274617257</v>
      </c>
      <c r="AC66" s="462">
        <f t="shared" si="52"/>
        <v>1.8909616424251832</v>
      </c>
      <c r="AD66" s="462">
        <f t="shared" si="52"/>
        <v>1.9419282153609436</v>
      </c>
      <c r="AE66" s="462">
        <f t="shared" si="52"/>
        <v>1.9933310907227182</v>
      </c>
      <c r="AF66" s="462">
        <f t="shared" si="52"/>
        <v>2.0485509431366253</v>
      </c>
      <c r="AG66" s="462">
        <f t="shared" si="52"/>
        <v>2.1063049950346198</v>
      </c>
      <c r="AH66" s="462">
        <f t="shared" si="52"/>
        <v>2.173127585846927</v>
      </c>
      <c r="AI66" s="462">
        <f t="shared" si="52"/>
        <v>2.2460043667354435</v>
      </c>
      <c r="AJ66" s="462">
        <f t="shared" si="52"/>
        <v>2.3175605138419146</v>
      </c>
      <c r="AK66" s="462">
        <f t="shared" si="52"/>
        <v>2.3920906043324885</v>
      </c>
      <c r="AL66" s="463">
        <f t="shared" si="52"/>
        <v>2.4739027263453135</v>
      </c>
    </row>
    <row r="67" spans="2:38" x14ac:dyDescent="0.25">
      <c r="B67" s="132"/>
      <c r="C67" s="464" t="s">
        <v>165</v>
      </c>
      <c r="D67" s="132"/>
      <c r="E67" s="465">
        <f>E66/$J$5</f>
        <v>0.44188373807695663</v>
      </c>
      <c r="F67" s="466">
        <f t="shared" ref="F67:AL67" si="53">F66/$J$5</f>
        <v>0.43180753515121956</v>
      </c>
      <c r="G67" s="133">
        <f t="shared" si="53"/>
        <v>0.34515585033180213</v>
      </c>
      <c r="H67" s="133">
        <f t="shared" si="53"/>
        <v>0.34212358203325399</v>
      </c>
      <c r="I67" s="133">
        <f t="shared" si="53"/>
        <v>0.33106052355836851</v>
      </c>
      <c r="J67" s="133">
        <f t="shared" si="53"/>
        <v>0.33352017070338097</v>
      </c>
      <c r="K67" s="133">
        <f t="shared" si="53"/>
        <v>0.34505271079073568</v>
      </c>
      <c r="L67" s="133">
        <f t="shared" si="53"/>
        <v>0.35090395550108278</v>
      </c>
      <c r="M67" s="133">
        <f t="shared" si="53"/>
        <v>0.36202407425938404</v>
      </c>
      <c r="N67" s="133">
        <f t="shared" si="53"/>
        <v>0.37158666621677278</v>
      </c>
      <c r="O67" s="133">
        <f t="shared" si="53"/>
        <v>0.37841727474840964</v>
      </c>
      <c r="P67" s="133">
        <f t="shared" si="53"/>
        <v>0.38195508073779638</v>
      </c>
      <c r="Q67" s="133">
        <f t="shared" si="53"/>
        <v>0.38237465170667834</v>
      </c>
      <c r="R67" s="133">
        <f t="shared" si="53"/>
        <v>0.41291822093317587</v>
      </c>
      <c r="S67" s="133">
        <f t="shared" si="53"/>
        <v>0.4127039369911395</v>
      </c>
      <c r="T67" s="133">
        <f t="shared" si="53"/>
        <v>0.41672600279589461</v>
      </c>
      <c r="U67" s="133">
        <f t="shared" si="53"/>
        <v>0.42854021816720966</v>
      </c>
      <c r="V67" s="133">
        <f t="shared" si="53"/>
        <v>0.43621287638486594</v>
      </c>
      <c r="W67" s="133">
        <f t="shared" si="53"/>
        <v>0.44308528807377751</v>
      </c>
      <c r="X67" s="133">
        <f t="shared" si="53"/>
        <v>0.45106517555124026</v>
      </c>
      <c r="Y67" s="133">
        <f t="shared" si="53"/>
        <v>0.46271648860263581</v>
      </c>
      <c r="Z67" s="133">
        <f t="shared" si="53"/>
        <v>0.47402691093206545</v>
      </c>
      <c r="AA67" s="133">
        <f t="shared" si="53"/>
        <v>0.4851980350156504</v>
      </c>
      <c r="AB67" s="133">
        <f t="shared" si="53"/>
        <v>0.49617276636117169</v>
      </c>
      <c r="AC67" s="133">
        <f t="shared" si="53"/>
        <v>0.50750446656607173</v>
      </c>
      <c r="AD67" s="133">
        <f t="shared" si="53"/>
        <v>0.52118309591007617</v>
      </c>
      <c r="AE67" s="133">
        <f t="shared" si="53"/>
        <v>0.53497882198677349</v>
      </c>
      <c r="AF67" s="133">
        <f t="shared" si="53"/>
        <v>0.54979896487832136</v>
      </c>
      <c r="AG67" s="133">
        <f t="shared" si="53"/>
        <v>0.56529924719125602</v>
      </c>
      <c r="AH67" s="133">
        <f t="shared" si="53"/>
        <v>0.58323338321173568</v>
      </c>
      <c r="AI67" s="133">
        <f t="shared" si="53"/>
        <v>0.60279236895744592</v>
      </c>
      <c r="AJ67" s="133">
        <f t="shared" si="53"/>
        <v>0.6219969172951999</v>
      </c>
      <c r="AK67" s="133">
        <f t="shared" si="53"/>
        <v>0.64199962542471511</v>
      </c>
      <c r="AL67" s="467">
        <f t="shared" si="53"/>
        <v>0.66395671667882805</v>
      </c>
    </row>
    <row r="68" spans="2:38" x14ac:dyDescent="0.25">
      <c r="B68" s="134"/>
      <c r="C68" s="468" t="s">
        <v>144</v>
      </c>
      <c r="D68" s="134"/>
      <c r="E68" s="135">
        <f>($E$5*$E$7)*E67</f>
        <v>13256.512142308698</v>
      </c>
      <c r="F68" s="136">
        <f t="shared" ref="F68:AL68" si="54">($E$5*$E$7)*F67</f>
        <v>12954.226054536586</v>
      </c>
      <c r="G68" s="135">
        <f t="shared" si="54"/>
        <v>10354.675509954064</v>
      </c>
      <c r="H68" s="135">
        <f t="shared" si="54"/>
        <v>10263.707460997619</v>
      </c>
      <c r="I68" s="135">
        <f t="shared" si="54"/>
        <v>9931.8157067510547</v>
      </c>
      <c r="J68" s="135">
        <f t="shared" si="54"/>
        <v>10005.605121101429</v>
      </c>
      <c r="K68" s="135">
        <f t="shared" si="54"/>
        <v>10351.58132372207</v>
      </c>
      <c r="L68" s="135">
        <f t="shared" si="54"/>
        <v>10527.118665032483</v>
      </c>
      <c r="M68" s="135">
        <f t="shared" si="54"/>
        <v>10860.722227781522</v>
      </c>
      <c r="N68" s="135">
        <f t="shared" si="54"/>
        <v>11147.599986503183</v>
      </c>
      <c r="O68" s="135">
        <f t="shared" si="54"/>
        <v>11352.51824245229</v>
      </c>
      <c r="P68" s="135">
        <f t="shared" si="54"/>
        <v>11458.652422133891</v>
      </c>
      <c r="Q68" s="135">
        <f t="shared" si="54"/>
        <v>11471.23955120035</v>
      </c>
      <c r="R68" s="135">
        <f t="shared" si="54"/>
        <v>12387.546627995276</v>
      </c>
      <c r="S68" s="135">
        <f t="shared" si="54"/>
        <v>12381.118109734185</v>
      </c>
      <c r="T68" s="135">
        <f t="shared" si="54"/>
        <v>12501.780083876838</v>
      </c>
      <c r="U68" s="135">
        <f t="shared" si="54"/>
        <v>12856.20654501629</v>
      </c>
      <c r="V68" s="135">
        <f t="shared" si="54"/>
        <v>13086.386291545978</v>
      </c>
      <c r="W68" s="135">
        <f t="shared" si="54"/>
        <v>13292.558642213326</v>
      </c>
      <c r="X68" s="135">
        <f t="shared" si="54"/>
        <v>13531.955266537208</v>
      </c>
      <c r="Y68" s="135">
        <f t="shared" si="54"/>
        <v>13881.494658079075</v>
      </c>
      <c r="Z68" s="135">
        <f t="shared" si="54"/>
        <v>14220.807327961964</v>
      </c>
      <c r="AA68" s="135">
        <f t="shared" si="54"/>
        <v>14555.941050469512</v>
      </c>
      <c r="AB68" s="135">
        <f t="shared" si="54"/>
        <v>14885.18299083515</v>
      </c>
      <c r="AC68" s="135">
        <f t="shared" si="54"/>
        <v>15225.133996982151</v>
      </c>
      <c r="AD68" s="135">
        <f t="shared" si="54"/>
        <v>15635.492877302286</v>
      </c>
      <c r="AE68" s="135">
        <f t="shared" si="54"/>
        <v>16049.364659603205</v>
      </c>
      <c r="AF68" s="135">
        <f t="shared" si="54"/>
        <v>16493.96894634964</v>
      </c>
      <c r="AG68" s="135">
        <f t="shared" si="54"/>
        <v>16958.977415737681</v>
      </c>
      <c r="AH68" s="135">
        <f t="shared" si="54"/>
        <v>17497.00149635207</v>
      </c>
      <c r="AI68" s="135">
        <f t="shared" si="54"/>
        <v>18083.771068723378</v>
      </c>
      <c r="AJ68" s="135">
        <f t="shared" si="54"/>
        <v>18659.907518855998</v>
      </c>
      <c r="AK68" s="135">
        <f t="shared" si="54"/>
        <v>19259.988762741454</v>
      </c>
      <c r="AL68" s="136">
        <f t="shared" si="54"/>
        <v>19918.701500364841</v>
      </c>
    </row>
    <row r="69" spans="2:38" x14ac:dyDescent="0.25">
      <c r="B69" s="134"/>
      <c r="C69" s="442" t="s">
        <v>149</v>
      </c>
      <c r="D69" s="134"/>
      <c r="E69" s="135">
        <f>$E$5*$E$7*$M$10</f>
        <v>30449.999999999996</v>
      </c>
      <c r="F69" s="136">
        <f t="shared" ref="F69:G69" si="55">$E$5*$E$7*$M$10</f>
        <v>30449.999999999996</v>
      </c>
      <c r="G69" s="135">
        <f t="shared" si="55"/>
        <v>30449.999999999996</v>
      </c>
      <c r="H69" s="135">
        <f>G69*(1+$E$2)</f>
        <v>31180.799999999996</v>
      </c>
      <c r="I69" s="135">
        <f t="shared" ref="I69:AL69" si="56">H69*(1+$E$2)</f>
        <v>31929.139199999998</v>
      </c>
      <c r="J69" s="135">
        <f t="shared" si="56"/>
        <v>32695.438540799998</v>
      </c>
      <c r="K69" s="135">
        <f t="shared" si="56"/>
        <v>33480.129065779198</v>
      </c>
      <c r="L69" s="135">
        <f t="shared" si="56"/>
        <v>34283.652163357896</v>
      </c>
      <c r="M69" s="135">
        <f t="shared" si="56"/>
        <v>35106.459815278489</v>
      </c>
      <c r="N69" s="135">
        <f t="shared" si="56"/>
        <v>35949.014850845175</v>
      </c>
      <c r="O69" s="135">
        <f t="shared" si="56"/>
        <v>36811.791207265458</v>
      </c>
      <c r="P69" s="135">
        <f t="shared" si="56"/>
        <v>37695.274196239829</v>
      </c>
      <c r="Q69" s="135">
        <f t="shared" si="56"/>
        <v>38599.960776949585</v>
      </c>
      <c r="R69" s="135">
        <f t="shared" si="56"/>
        <v>39526.359835596377</v>
      </c>
      <c r="S69" s="135">
        <f t="shared" si="56"/>
        <v>40474.992471650694</v>
      </c>
      <c r="T69" s="135">
        <f t="shared" si="56"/>
        <v>41446.392290970311</v>
      </c>
      <c r="U69" s="135">
        <f t="shared" si="56"/>
        <v>42441.105705953596</v>
      </c>
      <c r="V69" s="135">
        <f t="shared" si="56"/>
        <v>43459.692242896483</v>
      </c>
      <c r="W69" s="135">
        <f t="shared" si="56"/>
        <v>44502.724856725996</v>
      </c>
      <c r="X69" s="135">
        <f t="shared" si="56"/>
        <v>45570.790253287421</v>
      </c>
      <c r="Y69" s="135">
        <f t="shared" si="56"/>
        <v>46664.489219366318</v>
      </c>
      <c r="Z69" s="135">
        <f t="shared" si="56"/>
        <v>47784.436960631108</v>
      </c>
      <c r="AA69" s="135">
        <f t="shared" si="56"/>
        <v>48931.263447686259</v>
      </c>
      <c r="AB69" s="135">
        <f t="shared" si="56"/>
        <v>50105.613770430733</v>
      </c>
      <c r="AC69" s="135">
        <f t="shared" si="56"/>
        <v>51308.148500921074</v>
      </c>
      <c r="AD69" s="135">
        <f t="shared" si="56"/>
        <v>52539.544064943184</v>
      </c>
      <c r="AE69" s="135">
        <f t="shared" si="56"/>
        <v>53800.493122501823</v>
      </c>
      <c r="AF69" s="135">
        <f t="shared" si="56"/>
        <v>55091.704957441871</v>
      </c>
      <c r="AG69" s="135">
        <f t="shared" si="56"/>
        <v>56413.905876420475</v>
      </c>
      <c r="AH69" s="135">
        <f t="shared" si="56"/>
        <v>57767.839617454571</v>
      </c>
      <c r="AI69" s="135">
        <f t="shared" si="56"/>
        <v>59154.267768273479</v>
      </c>
      <c r="AJ69" s="135">
        <f t="shared" si="56"/>
        <v>60573.970194712041</v>
      </c>
      <c r="AK69" s="135">
        <f t="shared" si="56"/>
        <v>62027.745479385128</v>
      </c>
      <c r="AL69" s="135">
        <f t="shared" si="56"/>
        <v>63516.411370890375</v>
      </c>
    </row>
    <row r="70" spans="2:38" x14ac:dyDescent="0.25">
      <c r="B70" s="134"/>
      <c r="C70" s="442" t="s">
        <v>150</v>
      </c>
      <c r="D70" s="134"/>
      <c r="E70" s="135">
        <f>E68+E69</f>
        <v>43706.512142308697</v>
      </c>
      <c r="F70" s="136">
        <f t="shared" ref="F70:AL70" si="57">F68+F69</f>
        <v>43404.226054536586</v>
      </c>
      <c r="G70" s="135">
        <f t="shared" si="57"/>
        <v>40804.675509954061</v>
      </c>
      <c r="H70" s="135">
        <f t="shared" si="57"/>
        <v>41444.507460997615</v>
      </c>
      <c r="I70" s="135">
        <f t="shared" si="57"/>
        <v>41860.954906751052</v>
      </c>
      <c r="J70" s="135">
        <f t="shared" si="57"/>
        <v>42701.043661901429</v>
      </c>
      <c r="K70" s="135">
        <f t="shared" si="57"/>
        <v>43831.71038950127</v>
      </c>
      <c r="L70" s="135">
        <f t="shared" si="57"/>
        <v>44810.770828390378</v>
      </c>
      <c r="M70" s="135">
        <f t="shared" si="57"/>
        <v>45967.182043060013</v>
      </c>
      <c r="N70" s="135">
        <f t="shared" si="57"/>
        <v>47096.614837348359</v>
      </c>
      <c r="O70" s="135">
        <f t="shared" si="57"/>
        <v>48164.309449717752</v>
      </c>
      <c r="P70" s="135">
        <f t="shared" si="57"/>
        <v>49153.92661837372</v>
      </c>
      <c r="Q70" s="135">
        <f t="shared" si="57"/>
        <v>50071.200328149935</v>
      </c>
      <c r="R70" s="135">
        <f t="shared" si="57"/>
        <v>51913.906463591651</v>
      </c>
      <c r="S70" s="135">
        <f t="shared" si="57"/>
        <v>52856.110581384877</v>
      </c>
      <c r="T70" s="135">
        <f t="shared" si="57"/>
        <v>53948.172374847149</v>
      </c>
      <c r="U70" s="135">
        <f t="shared" si="57"/>
        <v>55297.312250969888</v>
      </c>
      <c r="V70" s="135">
        <f t="shared" si="57"/>
        <v>56546.078534442458</v>
      </c>
      <c r="W70" s="135">
        <f t="shared" si="57"/>
        <v>57795.283498939323</v>
      </c>
      <c r="X70" s="135">
        <f t="shared" si="57"/>
        <v>59102.745519824632</v>
      </c>
      <c r="Y70" s="135">
        <f t="shared" si="57"/>
        <v>60545.983877445397</v>
      </c>
      <c r="Z70" s="135">
        <f t="shared" si="57"/>
        <v>62005.244288593072</v>
      </c>
      <c r="AA70" s="135">
        <f t="shared" si="57"/>
        <v>63487.20449815577</v>
      </c>
      <c r="AB70" s="135">
        <f t="shared" si="57"/>
        <v>64990.796761265883</v>
      </c>
      <c r="AC70" s="135">
        <f t="shared" si="57"/>
        <v>66533.28249790323</v>
      </c>
      <c r="AD70" s="135">
        <f t="shared" si="57"/>
        <v>68175.036942245468</v>
      </c>
      <c r="AE70" s="135">
        <f t="shared" si="57"/>
        <v>69849.857782105028</v>
      </c>
      <c r="AF70" s="135">
        <f t="shared" si="57"/>
        <v>71585.67390379151</v>
      </c>
      <c r="AG70" s="135">
        <f t="shared" si="57"/>
        <v>73372.883292158163</v>
      </c>
      <c r="AH70" s="135">
        <f t="shared" si="57"/>
        <v>75264.841113806644</v>
      </c>
      <c r="AI70" s="135">
        <f t="shared" si="57"/>
        <v>77238.038836996857</v>
      </c>
      <c r="AJ70" s="135">
        <f t="shared" si="57"/>
        <v>79233.877713568043</v>
      </c>
      <c r="AK70" s="135">
        <f t="shared" si="57"/>
        <v>81287.734242126578</v>
      </c>
      <c r="AL70" s="136">
        <f t="shared" si="57"/>
        <v>83435.112871255216</v>
      </c>
    </row>
    <row r="71" spans="2:38" x14ac:dyDescent="0.25">
      <c r="B71" s="134"/>
      <c r="C71" s="468" t="s">
        <v>154</v>
      </c>
      <c r="D71" s="134"/>
      <c r="E71" s="135">
        <f>E70-E23</f>
        <v>-2245.8557326900918</v>
      </c>
      <c r="F71" s="136">
        <f t="shared" ref="F71:AL71" si="58">F70-F23</f>
        <v>-6351.2218200428033</v>
      </c>
      <c r="G71" s="135">
        <f t="shared" si="58"/>
        <v>-6719.1307230410166</v>
      </c>
      <c r="H71" s="135">
        <f t="shared" si="58"/>
        <v>-6580.5966743374374</v>
      </c>
      <c r="I71" s="135">
        <f t="shared" si="58"/>
        <v>-7516.3433426918782</v>
      </c>
      <c r="J71" s="135">
        <f t="shared" si="58"/>
        <v>-8295.9498893101772</v>
      </c>
      <c r="K71" s="135">
        <f t="shared" si="58"/>
        <v>-8602.1677994390338</v>
      </c>
      <c r="L71" s="135">
        <f t="shared" si="58"/>
        <v>-9344.9137691697979</v>
      </c>
      <c r="M71" s="135">
        <f t="shared" si="58"/>
        <v>-9677.7598972775522</v>
      </c>
      <c r="N71" s="135">
        <f t="shared" si="58"/>
        <v>-10397.003683917268</v>
      </c>
      <c r="O71" s="135">
        <f t="shared" si="58"/>
        <v>-10849.588204928223</v>
      </c>
      <c r="P71" s="135">
        <f t="shared" si="58"/>
        <v>-11756.279705962734</v>
      </c>
      <c r="Q71" s="135">
        <f t="shared" si="58"/>
        <v>-12629.524445989213</v>
      </c>
      <c r="R71" s="135">
        <f t="shared" si="58"/>
        <v>-12937.460210669225</v>
      </c>
      <c r="S71" s="135">
        <f t="shared" si="58"/>
        <v>-13919.099164297928</v>
      </c>
      <c r="T71" s="135">
        <f t="shared" si="58"/>
        <v>-14673.770084750991</v>
      </c>
      <c r="U71" s="135">
        <f t="shared" si="58"/>
        <v>-15495.605357598513</v>
      </c>
      <c r="V71" s="135">
        <f t="shared" si="58"/>
        <v>-16213.64080780201</v>
      </c>
      <c r="W71" s="135">
        <f t="shared" si="58"/>
        <v>-17015.522248358269</v>
      </c>
      <c r="X71" s="135">
        <f t="shared" si="58"/>
        <v>-17864.18579636568</v>
      </c>
      <c r="Y71" s="135">
        <f t="shared" si="58"/>
        <v>-18526.165724979917</v>
      </c>
      <c r="Z71" s="135">
        <f t="shared" si="58"/>
        <v>-19294.199939287086</v>
      </c>
      <c r="AA71" s="135">
        <f t="shared" si="58"/>
        <v>-20106.181432848316</v>
      </c>
      <c r="AB71" s="135">
        <f t="shared" si="58"/>
        <v>-20626.456054366834</v>
      </c>
      <c r="AC71" s="135">
        <f t="shared" si="58"/>
        <v>-21419.483366306551</v>
      </c>
      <c r="AD71" s="135">
        <f t="shared" si="58"/>
        <v>-22524.102745792421</v>
      </c>
      <c r="AE71" s="135">
        <f t="shared" si="58"/>
        <v>-23320.643267484309</v>
      </c>
      <c r="AF71" s="135">
        <f t="shared" si="58"/>
        <v>-24211.892045381144</v>
      </c>
      <c r="AG71" s="135">
        <f t="shared" si="58"/>
        <v>-25405.93352652216</v>
      </c>
      <c r="AH71" s="135">
        <f t="shared" si="58"/>
        <v>-25979.293116631568</v>
      </c>
      <c r="AI71" s="135">
        <f t="shared" si="58"/>
        <v>-26971.530837748593</v>
      </c>
      <c r="AJ71" s="135">
        <f t="shared" si="58"/>
        <v>-28009.116847973986</v>
      </c>
      <c r="AK71" s="135">
        <f t="shared" si="58"/>
        <v>-28964.49941007419</v>
      </c>
      <c r="AL71" s="136">
        <f t="shared" si="58"/>
        <v>-29863.922770812511</v>
      </c>
    </row>
    <row r="72" spans="2:38" x14ac:dyDescent="0.25">
      <c r="B72" s="134"/>
      <c r="C72" s="468" t="s">
        <v>166</v>
      </c>
      <c r="D72" s="134"/>
      <c r="E72" s="69">
        <f>($E$5/$J$5)*$E$7</f>
        <v>8051.5297906602254</v>
      </c>
      <c r="F72" s="469">
        <f t="shared" ref="F72:AL72" si="59">($E$5/$J$5)*$E$7</f>
        <v>8051.5297906602254</v>
      </c>
      <c r="G72" s="69">
        <f t="shared" si="59"/>
        <v>8051.5297906602254</v>
      </c>
      <c r="H72" s="69">
        <f t="shared" si="59"/>
        <v>8051.5297906602254</v>
      </c>
      <c r="I72" s="69">
        <f t="shared" si="59"/>
        <v>8051.5297906602254</v>
      </c>
      <c r="J72" s="69">
        <f t="shared" si="59"/>
        <v>8051.5297906602254</v>
      </c>
      <c r="K72" s="69">
        <f t="shared" si="59"/>
        <v>8051.5297906602254</v>
      </c>
      <c r="L72" s="69">
        <f t="shared" si="59"/>
        <v>8051.5297906602254</v>
      </c>
      <c r="M72" s="69">
        <f t="shared" si="59"/>
        <v>8051.5297906602254</v>
      </c>
      <c r="N72" s="69">
        <f t="shared" si="59"/>
        <v>8051.5297906602254</v>
      </c>
      <c r="O72" s="69">
        <f t="shared" si="59"/>
        <v>8051.5297906602254</v>
      </c>
      <c r="P72" s="69">
        <f t="shared" si="59"/>
        <v>8051.5297906602254</v>
      </c>
      <c r="Q72" s="69">
        <f t="shared" si="59"/>
        <v>8051.5297906602254</v>
      </c>
      <c r="R72" s="69">
        <f t="shared" si="59"/>
        <v>8051.5297906602254</v>
      </c>
      <c r="S72" s="69">
        <f t="shared" si="59"/>
        <v>8051.5297906602254</v>
      </c>
      <c r="T72" s="69">
        <f t="shared" si="59"/>
        <v>8051.5297906602254</v>
      </c>
      <c r="U72" s="69">
        <f t="shared" si="59"/>
        <v>8051.5297906602254</v>
      </c>
      <c r="V72" s="69">
        <f t="shared" si="59"/>
        <v>8051.5297906602254</v>
      </c>
      <c r="W72" s="69">
        <f t="shared" si="59"/>
        <v>8051.5297906602254</v>
      </c>
      <c r="X72" s="69">
        <f t="shared" si="59"/>
        <v>8051.5297906602254</v>
      </c>
      <c r="Y72" s="69">
        <f t="shared" si="59"/>
        <v>8051.5297906602254</v>
      </c>
      <c r="Z72" s="69">
        <f t="shared" si="59"/>
        <v>8051.5297906602254</v>
      </c>
      <c r="AA72" s="69">
        <f t="shared" si="59"/>
        <v>8051.5297906602254</v>
      </c>
      <c r="AB72" s="69">
        <f t="shared" si="59"/>
        <v>8051.5297906602254</v>
      </c>
      <c r="AC72" s="69">
        <f t="shared" si="59"/>
        <v>8051.5297906602254</v>
      </c>
      <c r="AD72" s="69">
        <f t="shared" si="59"/>
        <v>8051.5297906602254</v>
      </c>
      <c r="AE72" s="69">
        <f t="shared" si="59"/>
        <v>8051.5297906602254</v>
      </c>
      <c r="AF72" s="69">
        <f t="shared" si="59"/>
        <v>8051.5297906602254</v>
      </c>
      <c r="AG72" s="69">
        <f t="shared" si="59"/>
        <v>8051.5297906602254</v>
      </c>
      <c r="AH72" s="69">
        <f t="shared" si="59"/>
        <v>8051.5297906602254</v>
      </c>
      <c r="AI72" s="69">
        <f t="shared" si="59"/>
        <v>8051.5297906602254</v>
      </c>
      <c r="AJ72" s="69">
        <f t="shared" si="59"/>
        <v>8051.5297906602254</v>
      </c>
      <c r="AK72" s="69">
        <f t="shared" si="59"/>
        <v>8051.5297906602254</v>
      </c>
      <c r="AL72" s="469">
        <f t="shared" si="59"/>
        <v>8051.5297906602254</v>
      </c>
    </row>
    <row r="73" spans="2:38" x14ac:dyDescent="0.25">
      <c r="B73" s="134"/>
      <c r="C73" s="468" t="s">
        <v>155</v>
      </c>
      <c r="D73" s="134"/>
      <c r="E73" s="137">
        <f>(E72*$X$5)/$V$3</f>
        <v>86.55595393207264</v>
      </c>
      <c r="F73" s="138">
        <f t="shared" ref="F73:AL73" si="60">(F72*$X$5)/$V$3</f>
        <v>86.55595393207264</v>
      </c>
      <c r="G73" s="137">
        <f t="shared" si="60"/>
        <v>86.55595393207264</v>
      </c>
      <c r="H73" s="137">
        <f t="shared" si="60"/>
        <v>86.55595393207264</v>
      </c>
      <c r="I73" s="137">
        <f t="shared" si="60"/>
        <v>86.55595393207264</v>
      </c>
      <c r="J73" s="137">
        <f t="shared" si="60"/>
        <v>86.55595393207264</v>
      </c>
      <c r="K73" s="137">
        <f t="shared" si="60"/>
        <v>86.55595393207264</v>
      </c>
      <c r="L73" s="137">
        <f t="shared" si="60"/>
        <v>86.55595393207264</v>
      </c>
      <c r="M73" s="137">
        <f t="shared" si="60"/>
        <v>86.55595393207264</v>
      </c>
      <c r="N73" s="137">
        <f t="shared" si="60"/>
        <v>86.55595393207264</v>
      </c>
      <c r="O73" s="137">
        <f t="shared" si="60"/>
        <v>86.55595393207264</v>
      </c>
      <c r="P73" s="137">
        <f t="shared" si="60"/>
        <v>86.55595393207264</v>
      </c>
      <c r="Q73" s="137">
        <f t="shared" si="60"/>
        <v>86.55595393207264</v>
      </c>
      <c r="R73" s="137">
        <f t="shared" si="60"/>
        <v>86.55595393207264</v>
      </c>
      <c r="S73" s="137">
        <f t="shared" si="60"/>
        <v>86.55595393207264</v>
      </c>
      <c r="T73" s="137">
        <f t="shared" si="60"/>
        <v>86.55595393207264</v>
      </c>
      <c r="U73" s="137">
        <f t="shared" si="60"/>
        <v>86.55595393207264</v>
      </c>
      <c r="V73" s="137">
        <f t="shared" si="60"/>
        <v>86.55595393207264</v>
      </c>
      <c r="W73" s="137">
        <f t="shared" si="60"/>
        <v>86.55595393207264</v>
      </c>
      <c r="X73" s="137">
        <f t="shared" si="60"/>
        <v>86.55595393207264</v>
      </c>
      <c r="Y73" s="137">
        <f t="shared" si="60"/>
        <v>86.55595393207264</v>
      </c>
      <c r="Z73" s="137">
        <f t="shared" si="60"/>
        <v>86.55595393207264</v>
      </c>
      <c r="AA73" s="137">
        <f t="shared" si="60"/>
        <v>86.55595393207264</v>
      </c>
      <c r="AB73" s="137">
        <f t="shared" si="60"/>
        <v>86.55595393207264</v>
      </c>
      <c r="AC73" s="137">
        <f t="shared" si="60"/>
        <v>86.55595393207264</v>
      </c>
      <c r="AD73" s="137">
        <f t="shared" si="60"/>
        <v>86.55595393207264</v>
      </c>
      <c r="AE73" s="137">
        <f t="shared" si="60"/>
        <v>86.55595393207264</v>
      </c>
      <c r="AF73" s="137">
        <f t="shared" si="60"/>
        <v>86.55595393207264</v>
      </c>
      <c r="AG73" s="137">
        <f t="shared" si="60"/>
        <v>86.55595393207264</v>
      </c>
      <c r="AH73" s="137">
        <f t="shared" si="60"/>
        <v>86.55595393207264</v>
      </c>
      <c r="AI73" s="137">
        <f t="shared" si="60"/>
        <v>86.55595393207264</v>
      </c>
      <c r="AJ73" s="137">
        <f t="shared" si="60"/>
        <v>86.55595393207264</v>
      </c>
      <c r="AK73" s="137">
        <f t="shared" si="60"/>
        <v>86.55595393207264</v>
      </c>
      <c r="AL73" s="138">
        <f t="shared" si="60"/>
        <v>86.55595393207264</v>
      </c>
    </row>
    <row r="74" spans="2:38" x14ac:dyDescent="0.25">
      <c r="B74" s="134"/>
      <c r="C74" s="468" t="s">
        <v>156</v>
      </c>
      <c r="D74" s="134"/>
      <c r="E74" s="139">
        <f t="shared" ref="E74:AL74" si="61">E24-E73</f>
        <v>9.7512403796892073</v>
      </c>
      <c r="F74" s="140">
        <f t="shared" si="61"/>
        <v>9.7512403796892073</v>
      </c>
      <c r="G74" s="139">
        <f t="shared" si="61"/>
        <v>9.7512403796892073</v>
      </c>
      <c r="H74" s="139">
        <f t="shared" si="61"/>
        <v>9.7512403796892073</v>
      </c>
      <c r="I74" s="139">
        <f t="shared" si="61"/>
        <v>9.7512403796892073</v>
      </c>
      <c r="J74" s="139">
        <f t="shared" si="61"/>
        <v>9.7512403796892073</v>
      </c>
      <c r="K74" s="139">
        <f t="shared" si="61"/>
        <v>9.7512403796892073</v>
      </c>
      <c r="L74" s="139">
        <f t="shared" si="61"/>
        <v>9.7512403796892073</v>
      </c>
      <c r="M74" s="139">
        <f t="shared" si="61"/>
        <v>9.7512403796892073</v>
      </c>
      <c r="N74" s="139">
        <f t="shared" si="61"/>
        <v>9.7512403796892073</v>
      </c>
      <c r="O74" s="139">
        <f t="shared" si="61"/>
        <v>9.7512403796892073</v>
      </c>
      <c r="P74" s="139">
        <f t="shared" si="61"/>
        <v>9.7512403796892073</v>
      </c>
      <c r="Q74" s="139">
        <f t="shared" si="61"/>
        <v>9.7512403796892073</v>
      </c>
      <c r="R74" s="139">
        <f t="shared" si="61"/>
        <v>9.7512403796892073</v>
      </c>
      <c r="S74" s="139">
        <f t="shared" si="61"/>
        <v>9.7512403796892073</v>
      </c>
      <c r="T74" s="139">
        <f t="shared" si="61"/>
        <v>9.7512403796892073</v>
      </c>
      <c r="U74" s="139">
        <f t="shared" si="61"/>
        <v>9.7512403796892073</v>
      </c>
      <c r="V74" s="139">
        <f t="shared" si="61"/>
        <v>9.7512403796892073</v>
      </c>
      <c r="W74" s="139">
        <f t="shared" si="61"/>
        <v>9.7512403796892073</v>
      </c>
      <c r="X74" s="139">
        <f t="shared" si="61"/>
        <v>9.7512403796892073</v>
      </c>
      <c r="Y74" s="139">
        <f t="shared" si="61"/>
        <v>9.7512403796892073</v>
      </c>
      <c r="Z74" s="139">
        <f t="shared" si="61"/>
        <v>9.7512403796892073</v>
      </c>
      <c r="AA74" s="139">
        <f t="shared" si="61"/>
        <v>9.7512403796892073</v>
      </c>
      <c r="AB74" s="139">
        <f t="shared" si="61"/>
        <v>9.7512403796892073</v>
      </c>
      <c r="AC74" s="139">
        <f t="shared" si="61"/>
        <v>9.7512403796892073</v>
      </c>
      <c r="AD74" s="139">
        <f t="shared" si="61"/>
        <v>9.7512403796892073</v>
      </c>
      <c r="AE74" s="139">
        <f t="shared" si="61"/>
        <v>9.7512403796892073</v>
      </c>
      <c r="AF74" s="139">
        <f t="shared" si="61"/>
        <v>9.7512403796892073</v>
      </c>
      <c r="AG74" s="139">
        <f t="shared" si="61"/>
        <v>9.7512403796892073</v>
      </c>
      <c r="AH74" s="139">
        <f t="shared" si="61"/>
        <v>9.7512403796892073</v>
      </c>
      <c r="AI74" s="139">
        <f t="shared" si="61"/>
        <v>9.7512403796892073</v>
      </c>
      <c r="AJ74" s="139">
        <f t="shared" si="61"/>
        <v>9.7512403796892073</v>
      </c>
      <c r="AK74" s="139">
        <f t="shared" si="61"/>
        <v>9.7512403796892073</v>
      </c>
      <c r="AL74" s="140">
        <f t="shared" si="61"/>
        <v>9.7512403796892073</v>
      </c>
    </row>
    <row r="75" spans="2:38" ht="15.75" thickBot="1" x14ac:dyDescent="0.3">
      <c r="B75" s="141"/>
      <c r="C75" s="470" t="s">
        <v>391</v>
      </c>
      <c r="D75" s="141"/>
      <c r="E75" s="142">
        <f>E71/E74</f>
        <v>-230.31487741477173</v>
      </c>
      <c r="F75" s="143">
        <f t="shared" ref="F75:AL75" si="62">F71/F74</f>
        <v>-651.32450567742342</v>
      </c>
      <c r="G75" s="142">
        <f t="shared" si="62"/>
        <v>-689.05395225783263</v>
      </c>
      <c r="H75" s="142">
        <f t="shared" si="62"/>
        <v>-674.84713924642017</v>
      </c>
      <c r="I75" s="142">
        <f t="shared" si="62"/>
        <v>-770.80894840287385</v>
      </c>
      <c r="J75" s="142">
        <f t="shared" si="62"/>
        <v>-850.75842316324758</v>
      </c>
      <c r="K75" s="142">
        <f t="shared" si="62"/>
        <v>-882.16139326812527</v>
      </c>
      <c r="L75" s="142">
        <f t="shared" si="62"/>
        <v>-958.33077693728637</v>
      </c>
      <c r="M75" s="142">
        <f t="shared" si="62"/>
        <v>-992.46449892008536</v>
      </c>
      <c r="N75" s="142">
        <f t="shared" si="62"/>
        <v>-1066.2237088907291</v>
      </c>
      <c r="O75" s="142">
        <f t="shared" si="62"/>
        <v>-1112.6367295310201</v>
      </c>
      <c r="P75" s="142">
        <f t="shared" si="62"/>
        <v>-1205.618900591335</v>
      </c>
      <c r="Q75" s="142">
        <f t="shared" si="62"/>
        <v>-1295.1710709844835</v>
      </c>
      <c r="R75" s="142">
        <f t="shared" si="62"/>
        <v>-1326.7502088879455</v>
      </c>
      <c r="S75" s="142">
        <f t="shared" si="62"/>
        <v>-1427.4183203697783</v>
      </c>
      <c r="T75" s="142">
        <f t="shared" si="62"/>
        <v>-1504.810620330403</v>
      </c>
      <c r="U75" s="142">
        <f t="shared" si="62"/>
        <v>-1589.0906955667101</v>
      </c>
      <c r="V75" s="142">
        <f t="shared" si="62"/>
        <v>-1662.7259893595992</v>
      </c>
      <c r="W75" s="142">
        <f t="shared" si="62"/>
        <v>-1744.9597780196032</v>
      </c>
      <c r="X75" s="142">
        <f t="shared" si="62"/>
        <v>-1831.9911212090385</v>
      </c>
      <c r="Y75" s="142">
        <f t="shared" si="62"/>
        <v>-1899.8778620582407</v>
      </c>
      <c r="Z75" s="142">
        <f t="shared" si="62"/>
        <v>-1978.6405819176446</v>
      </c>
      <c r="AA75" s="142">
        <f t="shared" si="62"/>
        <v>-2061.9101416807798</v>
      </c>
      <c r="AB75" s="142">
        <f t="shared" si="62"/>
        <v>-2115.2648536210368</v>
      </c>
      <c r="AC75" s="142">
        <f t="shared" si="62"/>
        <v>-2196.5906420398628</v>
      </c>
      <c r="AD75" s="142">
        <f t="shared" si="62"/>
        <v>-2309.8705260827865</v>
      </c>
      <c r="AE75" s="142">
        <f t="shared" si="62"/>
        <v>-2391.5565978722789</v>
      </c>
      <c r="AF75" s="142">
        <f t="shared" si="62"/>
        <v>-2482.9551013645332</v>
      </c>
      <c r="AG75" s="142">
        <f t="shared" si="62"/>
        <v>-2605.4053163780072</v>
      </c>
      <c r="AH75" s="142">
        <f t="shared" si="62"/>
        <v>-2664.2039479145301</v>
      </c>
      <c r="AI75" s="142">
        <f t="shared" si="62"/>
        <v>-2765.9589741964942</v>
      </c>
      <c r="AJ75" s="142">
        <f t="shared" si="62"/>
        <v>-2872.3645154224673</v>
      </c>
      <c r="AK75" s="142">
        <f t="shared" si="62"/>
        <v>-2970.3400062215828</v>
      </c>
      <c r="AL75" s="143">
        <f t="shared" si="62"/>
        <v>-3062.5768218180606</v>
      </c>
    </row>
    <row r="76" spans="2:38" x14ac:dyDescent="0.25">
      <c r="B76" s="471" t="s">
        <v>167</v>
      </c>
      <c r="C76" s="468" t="s">
        <v>168</v>
      </c>
      <c r="D76" s="134"/>
      <c r="E76" s="465">
        <f>$N$4/($E$5*$E$7*$N$6)</f>
        <v>1.9047619047619047</v>
      </c>
      <c r="F76" s="466">
        <f t="shared" ref="F76:AL76" si="63">$N$4/($E$5*$E$7*$N$6)</f>
        <v>1.9047619047619047</v>
      </c>
      <c r="G76" s="133">
        <f t="shared" si="63"/>
        <v>1.9047619047619047</v>
      </c>
      <c r="H76" s="133">
        <f t="shared" si="63"/>
        <v>1.9047619047619047</v>
      </c>
      <c r="I76" s="133">
        <f t="shared" si="63"/>
        <v>1.9047619047619047</v>
      </c>
      <c r="J76" s="133">
        <f t="shared" si="63"/>
        <v>1.9047619047619047</v>
      </c>
      <c r="K76" s="133">
        <f t="shared" si="63"/>
        <v>1.9047619047619047</v>
      </c>
      <c r="L76" s="133">
        <f t="shared" si="63"/>
        <v>1.9047619047619047</v>
      </c>
      <c r="M76" s="133">
        <f t="shared" si="63"/>
        <v>1.9047619047619047</v>
      </c>
      <c r="N76" s="133">
        <f t="shared" si="63"/>
        <v>1.9047619047619047</v>
      </c>
      <c r="O76" s="133">
        <f t="shared" si="63"/>
        <v>1.9047619047619047</v>
      </c>
      <c r="P76" s="133">
        <f t="shared" si="63"/>
        <v>1.9047619047619047</v>
      </c>
      <c r="Q76" s="133">
        <f t="shared" si="63"/>
        <v>1.9047619047619047</v>
      </c>
      <c r="R76" s="133">
        <f t="shared" si="63"/>
        <v>1.9047619047619047</v>
      </c>
      <c r="S76" s="133">
        <f t="shared" si="63"/>
        <v>1.9047619047619047</v>
      </c>
      <c r="T76" s="133">
        <f t="shared" si="63"/>
        <v>1.9047619047619047</v>
      </c>
      <c r="U76" s="133">
        <f t="shared" si="63"/>
        <v>1.9047619047619047</v>
      </c>
      <c r="V76" s="133">
        <f t="shared" si="63"/>
        <v>1.9047619047619047</v>
      </c>
      <c r="W76" s="133">
        <f t="shared" si="63"/>
        <v>1.9047619047619047</v>
      </c>
      <c r="X76" s="133">
        <f t="shared" si="63"/>
        <v>1.9047619047619047</v>
      </c>
      <c r="Y76" s="133">
        <f t="shared" si="63"/>
        <v>1.9047619047619047</v>
      </c>
      <c r="Z76" s="133">
        <f t="shared" si="63"/>
        <v>1.9047619047619047</v>
      </c>
      <c r="AA76" s="133">
        <f t="shared" si="63"/>
        <v>1.9047619047619047</v>
      </c>
      <c r="AB76" s="133">
        <f t="shared" si="63"/>
        <v>1.9047619047619047</v>
      </c>
      <c r="AC76" s="133">
        <f t="shared" si="63"/>
        <v>1.9047619047619047</v>
      </c>
      <c r="AD76" s="133">
        <f t="shared" si="63"/>
        <v>1.9047619047619047</v>
      </c>
      <c r="AE76" s="133">
        <f t="shared" si="63"/>
        <v>1.9047619047619047</v>
      </c>
      <c r="AF76" s="133">
        <f t="shared" si="63"/>
        <v>1.9047619047619047</v>
      </c>
      <c r="AG76" s="133">
        <f t="shared" si="63"/>
        <v>1.9047619047619047</v>
      </c>
      <c r="AH76" s="133">
        <f t="shared" si="63"/>
        <v>1.9047619047619047</v>
      </c>
      <c r="AI76" s="133">
        <f t="shared" si="63"/>
        <v>1.9047619047619047</v>
      </c>
      <c r="AJ76" s="133">
        <f t="shared" si="63"/>
        <v>1.9047619047619047</v>
      </c>
      <c r="AK76" s="133">
        <f t="shared" si="63"/>
        <v>1.9047619047619047</v>
      </c>
      <c r="AL76" s="467">
        <f t="shared" si="63"/>
        <v>1.9047619047619047</v>
      </c>
    </row>
    <row r="77" spans="2:38" x14ac:dyDescent="0.25">
      <c r="B77" s="134"/>
      <c r="C77" s="468" t="s">
        <v>169</v>
      </c>
      <c r="D77" s="134"/>
      <c r="E77" s="465">
        <f>E67+E76</f>
        <v>2.3466456428388613</v>
      </c>
      <c r="F77" s="466">
        <f t="shared" ref="F77:AL77" si="64">F67+F76</f>
        <v>2.336569439913124</v>
      </c>
      <c r="G77" s="133">
        <f t="shared" si="64"/>
        <v>2.2499177550937066</v>
      </c>
      <c r="H77" s="133">
        <f t="shared" si="64"/>
        <v>2.2468854867951586</v>
      </c>
      <c r="I77" s="133">
        <f t="shared" si="64"/>
        <v>2.2358224283202732</v>
      </c>
      <c r="J77" s="133">
        <f t="shared" si="64"/>
        <v>2.2382820754652855</v>
      </c>
      <c r="K77" s="133">
        <f t="shared" si="64"/>
        <v>2.2498146155526402</v>
      </c>
      <c r="L77" s="133">
        <f t="shared" si="64"/>
        <v>2.2556658602629875</v>
      </c>
      <c r="M77" s="133">
        <f t="shared" si="64"/>
        <v>2.2667859790212885</v>
      </c>
      <c r="N77" s="133">
        <f t="shared" si="64"/>
        <v>2.2763485709786773</v>
      </c>
      <c r="O77" s="133">
        <f t="shared" si="64"/>
        <v>2.2831791795103142</v>
      </c>
      <c r="P77" s="133">
        <f t="shared" si="64"/>
        <v>2.2867169854997011</v>
      </c>
      <c r="Q77" s="133">
        <f t="shared" si="64"/>
        <v>2.287136556468583</v>
      </c>
      <c r="R77" s="133">
        <f t="shared" si="64"/>
        <v>2.3176801256950803</v>
      </c>
      <c r="S77" s="133">
        <f t="shared" si="64"/>
        <v>2.317465841753044</v>
      </c>
      <c r="T77" s="133">
        <f t="shared" si="64"/>
        <v>2.3214879075577994</v>
      </c>
      <c r="U77" s="133">
        <f t="shared" si="64"/>
        <v>2.3333021229291142</v>
      </c>
      <c r="V77" s="133">
        <f t="shared" si="64"/>
        <v>2.3409747811467705</v>
      </c>
      <c r="W77" s="133">
        <f t="shared" si="64"/>
        <v>2.3478471928356823</v>
      </c>
      <c r="X77" s="133">
        <f t="shared" si="64"/>
        <v>2.3558270803131451</v>
      </c>
      <c r="Y77" s="133">
        <f t="shared" si="64"/>
        <v>2.3674783933645402</v>
      </c>
      <c r="Z77" s="133">
        <f t="shared" si="64"/>
        <v>2.3787888156939703</v>
      </c>
      <c r="AA77" s="133">
        <f t="shared" si="64"/>
        <v>2.3899599397775551</v>
      </c>
      <c r="AB77" s="133">
        <f t="shared" si="64"/>
        <v>2.4009346711230766</v>
      </c>
      <c r="AC77" s="133">
        <f t="shared" si="64"/>
        <v>2.4122663713279762</v>
      </c>
      <c r="AD77" s="133">
        <f t="shared" si="64"/>
        <v>2.4259450006719807</v>
      </c>
      <c r="AE77" s="133">
        <f t="shared" si="64"/>
        <v>2.4397407267486781</v>
      </c>
      <c r="AF77" s="133">
        <f t="shared" si="64"/>
        <v>2.4545608696402259</v>
      </c>
      <c r="AG77" s="133">
        <f t="shared" si="64"/>
        <v>2.4700611519531606</v>
      </c>
      <c r="AH77" s="133">
        <f t="shared" si="64"/>
        <v>2.4879952879736402</v>
      </c>
      <c r="AI77" s="133">
        <f t="shared" si="64"/>
        <v>2.5075542737193506</v>
      </c>
      <c r="AJ77" s="133">
        <f t="shared" si="64"/>
        <v>2.5267588220571047</v>
      </c>
      <c r="AK77" s="133">
        <f t="shared" si="64"/>
        <v>2.54676153018662</v>
      </c>
      <c r="AL77" s="467">
        <f t="shared" si="64"/>
        <v>2.5687186214407327</v>
      </c>
    </row>
    <row r="78" spans="2:38" x14ac:dyDescent="0.25">
      <c r="B78" s="134"/>
      <c r="C78" s="442" t="s">
        <v>149</v>
      </c>
      <c r="D78" s="134"/>
      <c r="E78" s="135">
        <f>$E$10*$M$10</f>
        <v>2537.4999999999995</v>
      </c>
      <c r="F78" s="136">
        <f>$E$10*$M$10</f>
        <v>2537.4999999999995</v>
      </c>
      <c r="G78" s="135">
        <f>$E$10*$M$10</f>
        <v>2537.4999999999995</v>
      </c>
      <c r="H78" s="135">
        <f>G78*(1+$E$2)</f>
        <v>2598.3999999999996</v>
      </c>
      <c r="I78" s="135">
        <f t="shared" ref="I78:AL78" si="65">H78*(1+$E$2)</f>
        <v>2660.7615999999998</v>
      </c>
      <c r="J78" s="135">
        <f t="shared" si="65"/>
        <v>2724.6198783999998</v>
      </c>
      <c r="K78" s="135">
        <f t="shared" si="65"/>
        <v>2790.0107554816</v>
      </c>
      <c r="L78" s="135">
        <f t="shared" si="65"/>
        <v>2856.9710136131584</v>
      </c>
      <c r="M78" s="135">
        <f t="shared" si="65"/>
        <v>2925.5383179398741</v>
      </c>
      <c r="N78" s="135">
        <f t="shared" si="65"/>
        <v>2995.7512375704309</v>
      </c>
      <c r="O78" s="135">
        <f t="shared" si="65"/>
        <v>3067.6492672721215</v>
      </c>
      <c r="P78" s="135">
        <f t="shared" si="65"/>
        <v>3141.2728496866525</v>
      </c>
      <c r="Q78" s="135">
        <f t="shared" si="65"/>
        <v>3216.6633980791321</v>
      </c>
      <c r="R78" s="135">
        <f t="shared" si="65"/>
        <v>3293.8633196330316</v>
      </c>
      <c r="S78" s="135">
        <f t="shared" si="65"/>
        <v>3372.9160393042243</v>
      </c>
      <c r="T78" s="135">
        <f t="shared" si="65"/>
        <v>3453.8660242475257</v>
      </c>
      <c r="U78" s="135">
        <f t="shared" si="65"/>
        <v>3536.7588088294665</v>
      </c>
      <c r="V78" s="135">
        <f t="shared" si="65"/>
        <v>3621.6410202413736</v>
      </c>
      <c r="W78" s="135">
        <f t="shared" si="65"/>
        <v>3708.5604047271668</v>
      </c>
      <c r="X78" s="135">
        <f t="shared" si="65"/>
        <v>3797.5658544406188</v>
      </c>
      <c r="Y78" s="135">
        <f t="shared" si="65"/>
        <v>3888.7074349471936</v>
      </c>
      <c r="Z78" s="135">
        <f t="shared" si="65"/>
        <v>3982.0364133859262</v>
      </c>
      <c r="AA78" s="135">
        <f t="shared" si="65"/>
        <v>4077.6052873071885</v>
      </c>
      <c r="AB78" s="135">
        <f t="shared" si="65"/>
        <v>4175.4678142025614</v>
      </c>
      <c r="AC78" s="135">
        <f t="shared" si="65"/>
        <v>4275.6790417434231</v>
      </c>
      <c r="AD78" s="135">
        <f t="shared" si="65"/>
        <v>4378.2953387452653</v>
      </c>
      <c r="AE78" s="135">
        <f t="shared" si="65"/>
        <v>4483.3744268751516</v>
      </c>
      <c r="AF78" s="135">
        <f t="shared" si="65"/>
        <v>4590.9754131201553</v>
      </c>
      <c r="AG78" s="135">
        <f t="shared" si="65"/>
        <v>4701.1588230350389</v>
      </c>
      <c r="AH78" s="135">
        <f t="shared" si="65"/>
        <v>4813.9866347878797</v>
      </c>
      <c r="AI78" s="135">
        <f t="shared" si="65"/>
        <v>4929.522314022789</v>
      </c>
      <c r="AJ78" s="135">
        <f t="shared" si="65"/>
        <v>5047.8308495593365</v>
      </c>
      <c r="AK78" s="135">
        <f t="shared" si="65"/>
        <v>5168.978789948761</v>
      </c>
      <c r="AL78" s="136">
        <f t="shared" si="65"/>
        <v>5293.034280907531</v>
      </c>
    </row>
    <row r="79" spans="2:38" x14ac:dyDescent="0.25">
      <c r="B79" s="134"/>
      <c r="C79" s="468" t="s">
        <v>170</v>
      </c>
      <c r="D79" s="134"/>
      <c r="E79" s="135">
        <f>(E77*$E$5*$E$7)+E78</f>
        <v>72936.869285165842</v>
      </c>
      <c r="F79" s="136">
        <f t="shared" ref="F79:AL79" si="66">(F77*$E$5*$E$7)+F78</f>
        <v>72634.583197393717</v>
      </c>
      <c r="G79" s="135">
        <f t="shared" si="66"/>
        <v>70035.032652811205</v>
      </c>
      <c r="H79" s="135">
        <f t="shared" si="66"/>
        <v>70004.964603854751</v>
      </c>
      <c r="I79" s="135">
        <f t="shared" si="66"/>
        <v>69735.43444960819</v>
      </c>
      <c r="J79" s="135">
        <f t="shared" si="66"/>
        <v>69873.082142358558</v>
      </c>
      <c r="K79" s="135">
        <f t="shared" si="66"/>
        <v>70284.449222060808</v>
      </c>
      <c r="L79" s="135">
        <f t="shared" si="66"/>
        <v>70526.946821502788</v>
      </c>
      <c r="M79" s="135">
        <f t="shared" si="66"/>
        <v>70929.117688578539</v>
      </c>
      <c r="N79" s="135">
        <f t="shared" si="66"/>
        <v>71286.208366930747</v>
      </c>
      <c r="O79" s="135">
        <f t="shared" si="66"/>
        <v>71563.024652581546</v>
      </c>
      <c r="P79" s="135">
        <f t="shared" si="66"/>
        <v>71742.782414677684</v>
      </c>
      <c r="Q79" s="135">
        <f t="shared" si="66"/>
        <v>71830.760092136625</v>
      </c>
      <c r="R79" s="135">
        <f t="shared" si="66"/>
        <v>72824.267090485446</v>
      </c>
      <c r="S79" s="135">
        <f t="shared" si="66"/>
        <v>72896.891291895547</v>
      </c>
      <c r="T79" s="135">
        <f t="shared" si="66"/>
        <v>73098.503250981521</v>
      </c>
      <c r="U79" s="135">
        <f t="shared" si="66"/>
        <v>73535.822496702895</v>
      </c>
      <c r="V79" s="135">
        <f t="shared" si="66"/>
        <v>73850.884454644489</v>
      </c>
      <c r="W79" s="135">
        <f t="shared" si="66"/>
        <v>74143.976189797628</v>
      </c>
      <c r="X79" s="135">
        <f t="shared" si="66"/>
        <v>74472.378263834966</v>
      </c>
      <c r="Y79" s="135">
        <f t="shared" si="66"/>
        <v>74913.059235883396</v>
      </c>
      <c r="Z79" s="135">
        <f t="shared" si="66"/>
        <v>75345.700884205027</v>
      </c>
      <c r="AA79" s="135">
        <f t="shared" si="66"/>
        <v>75776.403480633846</v>
      </c>
      <c r="AB79" s="135">
        <f t="shared" si="66"/>
        <v>76203.507947894861</v>
      </c>
      <c r="AC79" s="135">
        <f t="shared" si="66"/>
        <v>76643.670181582711</v>
      </c>
      <c r="AD79" s="135">
        <f t="shared" si="66"/>
        <v>77156.645358904672</v>
      </c>
      <c r="AE79" s="135">
        <f t="shared" si="66"/>
        <v>77675.596229335497</v>
      </c>
      <c r="AF79" s="135">
        <f t="shared" si="66"/>
        <v>78227.80150232694</v>
      </c>
      <c r="AG79" s="135">
        <f t="shared" si="66"/>
        <v>78802.993381629843</v>
      </c>
      <c r="AH79" s="135">
        <f t="shared" si="66"/>
        <v>79453.845273997096</v>
      </c>
      <c r="AI79" s="135">
        <f t="shared" si="66"/>
        <v>80156.150525603312</v>
      </c>
      <c r="AJ79" s="135">
        <f t="shared" si="66"/>
        <v>80850.595511272477</v>
      </c>
      <c r="AK79" s="135">
        <f t="shared" si="66"/>
        <v>81571.824695547359</v>
      </c>
      <c r="AL79" s="136">
        <f t="shared" si="66"/>
        <v>82354.592924129523</v>
      </c>
    </row>
    <row r="80" spans="2:38" x14ac:dyDescent="0.25">
      <c r="B80" s="134"/>
      <c r="C80" s="442" t="s">
        <v>154</v>
      </c>
      <c r="D80" s="134"/>
      <c r="E80" s="135">
        <f>E79-E23</f>
        <v>26984.501410167053</v>
      </c>
      <c r="F80" s="136">
        <f t="shared" ref="F80:AL80" si="67">F79-F23</f>
        <v>22879.135322814327</v>
      </c>
      <c r="G80" s="135">
        <f t="shared" si="67"/>
        <v>22511.226419816128</v>
      </c>
      <c r="H80" s="135">
        <f t="shared" si="67"/>
        <v>21979.860468519699</v>
      </c>
      <c r="I80" s="135">
        <f t="shared" si="67"/>
        <v>20358.13620016526</v>
      </c>
      <c r="J80" s="135">
        <f t="shared" si="67"/>
        <v>18876.088591146952</v>
      </c>
      <c r="K80" s="135">
        <f t="shared" si="67"/>
        <v>17850.571033120505</v>
      </c>
      <c r="L80" s="135">
        <f t="shared" si="67"/>
        <v>16371.262223942613</v>
      </c>
      <c r="M80" s="135">
        <f t="shared" si="67"/>
        <v>15284.175748240974</v>
      </c>
      <c r="N80" s="135">
        <f t="shared" si="67"/>
        <v>13792.589845665119</v>
      </c>
      <c r="O80" s="135">
        <f t="shared" si="67"/>
        <v>12549.126997935571</v>
      </c>
      <c r="P80" s="135">
        <f t="shared" si="67"/>
        <v>10832.57609034123</v>
      </c>
      <c r="Q80" s="135">
        <f t="shared" si="67"/>
        <v>9130.0353179974773</v>
      </c>
      <c r="R80" s="135">
        <f t="shared" si="67"/>
        <v>7972.9004162245692</v>
      </c>
      <c r="S80" s="135">
        <f t="shared" si="67"/>
        <v>6121.6815462127415</v>
      </c>
      <c r="T80" s="135">
        <f t="shared" si="67"/>
        <v>4476.560791383381</v>
      </c>
      <c r="U80" s="135">
        <f t="shared" si="67"/>
        <v>2742.9048881344934</v>
      </c>
      <c r="V80" s="135">
        <f t="shared" si="67"/>
        <v>1091.16511240002</v>
      </c>
      <c r="W80" s="135">
        <f t="shared" si="67"/>
        <v>-666.82955749996472</v>
      </c>
      <c r="X80" s="135">
        <f t="shared" si="67"/>
        <v>-2494.5530523553462</v>
      </c>
      <c r="Y80" s="135">
        <f t="shared" si="67"/>
        <v>-4159.0903665419173</v>
      </c>
      <c r="Z80" s="135">
        <f t="shared" si="67"/>
        <v>-5953.7433436751307</v>
      </c>
      <c r="AA80" s="135">
        <f t="shared" si="67"/>
        <v>-7816.9824503702403</v>
      </c>
      <c r="AB80" s="135">
        <f t="shared" si="67"/>
        <v>-9413.7448677378561</v>
      </c>
      <c r="AC80" s="135">
        <f t="shared" si="67"/>
        <v>-11309.09568262707</v>
      </c>
      <c r="AD80" s="135">
        <f t="shared" si="67"/>
        <v>-13542.494329133217</v>
      </c>
      <c r="AE80" s="135">
        <f t="shared" si="67"/>
        <v>-15494.90482025384</v>
      </c>
      <c r="AF80" s="135">
        <f t="shared" si="67"/>
        <v>-17569.764446845715</v>
      </c>
      <c r="AG80" s="135">
        <f t="shared" si="67"/>
        <v>-19975.82343705048</v>
      </c>
      <c r="AH80" s="135">
        <f t="shared" si="67"/>
        <v>-21790.288956441116</v>
      </c>
      <c r="AI80" s="135">
        <f t="shared" si="67"/>
        <v>-24053.419149142137</v>
      </c>
      <c r="AJ80" s="135">
        <f t="shared" si="67"/>
        <v>-26392.399050269552</v>
      </c>
      <c r="AK80" s="135">
        <f t="shared" si="67"/>
        <v>-28680.408956653409</v>
      </c>
      <c r="AL80" s="136">
        <f t="shared" si="67"/>
        <v>-30944.442717938204</v>
      </c>
    </row>
    <row r="81" spans="2:38" ht="15.75" thickBot="1" x14ac:dyDescent="0.3">
      <c r="B81" s="134"/>
      <c r="C81" s="443" t="s">
        <v>157</v>
      </c>
      <c r="D81" s="134"/>
      <c r="E81" s="139">
        <f>E80/$E$74</f>
        <v>2767.2891200972635</v>
      </c>
      <c r="F81" s="140">
        <f t="shared" ref="F81:AL81" si="68">F80/$E$74</f>
        <v>2346.2794918346103</v>
      </c>
      <c r="G81" s="139">
        <f t="shared" si="68"/>
        <v>2308.5500452542028</v>
      </c>
      <c r="H81" s="139">
        <f t="shared" si="68"/>
        <v>2254.0579057307827</v>
      </c>
      <c r="I81" s="139">
        <f t="shared" si="68"/>
        <v>2087.748369178662</v>
      </c>
      <c r="J81" s="139">
        <f t="shared" si="68"/>
        <v>1935.7628215651241</v>
      </c>
      <c r="K81" s="139">
        <f t="shared" si="68"/>
        <v>1830.594912858608</v>
      </c>
      <c r="L81" s="139">
        <f t="shared" si="68"/>
        <v>1678.8902320613697</v>
      </c>
      <c r="M81" s="139">
        <f t="shared" si="68"/>
        <v>1567.4083658194172</v>
      </c>
      <c r="N81" s="139">
        <f t="shared" si="68"/>
        <v>1414.4446561274001</v>
      </c>
      <c r="O81" s="139">
        <f t="shared" si="68"/>
        <v>1286.926227772424</v>
      </c>
      <c r="P81" s="139">
        <f t="shared" si="68"/>
        <v>1110.8921192122727</v>
      </c>
      <c r="Q81" s="139">
        <f t="shared" si="68"/>
        <v>936.29476481929066</v>
      </c>
      <c r="R81" s="139">
        <f t="shared" si="68"/>
        <v>817.6293584999986</v>
      </c>
      <c r="S81" s="139">
        <f t="shared" si="68"/>
        <v>627.78490816035571</v>
      </c>
      <c r="T81" s="139">
        <f t="shared" si="68"/>
        <v>459.07603720933588</v>
      </c>
      <c r="U81" s="139">
        <f t="shared" si="68"/>
        <v>281.28779327886036</v>
      </c>
      <c r="V81" s="139">
        <f t="shared" si="68"/>
        <v>111.90013474314513</v>
      </c>
      <c r="W81" s="139">
        <f t="shared" si="68"/>
        <v>-68.3840754135135</v>
      </c>
      <c r="X81" s="139">
        <f t="shared" si="68"/>
        <v>-255.81905021552271</v>
      </c>
      <c r="Y81" s="139">
        <f t="shared" si="68"/>
        <v>-426.51910983600186</v>
      </c>
      <c r="Z81" s="139">
        <f t="shared" si="68"/>
        <v>-610.56266811719081</v>
      </c>
      <c r="AA81" s="139">
        <f t="shared" si="68"/>
        <v>-801.63980642423508</v>
      </c>
      <c r="AB81" s="139">
        <f t="shared" si="68"/>
        <v>-965.38947879345505</v>
      </c>
      <c r="AC81" s="139">
        <f t="shared" si="68"/>
        <v>-1159.7597066915414</v>
      </c>
      <c r="AD81" s="139">
        <f t="shared" si="68"/>
        <v>-1388.7970967612271</v>
      </c>
      <c r="AE81" s="139">
        <f t="shared" si="68"/>
        <v>-1589.0188547221205</v>
      </c>
      <c r="AF81" s="139">
        <f t="shared" si="68"/>
        <v>-1801.7979008538912</v>
      </c>
      <c r="AG81" s="139">
        <f t="shared" si="68"/>
        <v>-2048.5417915302332</v>
      </c>
      <c r="AH81" s="139">
        <f t="shared" si="68"/>
        <v>-2234.6171469455271</v>
      </c>
      <c r="AI81" s="139">
        <f t="shared" si="68"/>
        <v>-2466.7035384793548</v>
      </c>
      <c r="AJ81" s="139">
        <f t="shared" si="68"/>
        <v>-2706.5683977232375</v>
      </c>
      <c r="AK81" s="139">
        <f t="shared" si="68"/>
        <v>-2941.2062301726905</v>
      </c>
      <c r="AL81" s="140">
        <f t="shared" si="68"/>
        <v>-3173.3852836191154</v>
      </c>
    </row>
    <row r="82" spans="2:38" x14ac:dyDescent="0.25">
      <c r="B82" s="87" t="s">
        <v>171</v>
      </c>
      <c r="C82" s="472" t="s">
        <v>172</v>
      </c>
      <c r="D82" s="445">
        <v>1.3</v>
      </c>
      <c r="E82" s="446">
        <f>E65-$D$82</f>
        <v>0.80645880807474035</v>
      </c>
      <c r="F82" s="473">
        <v>0.67</v>
      </c>
      <c r="G82" s="474">
        <f>G65-$D$82</f>
        <v>0.44605069833629463</v>
      </c>
      <c r="H82" s="474">
        <f t="shared" ref="H82:AL82" si="69">H65-$D$82</f>
        <v>0.43475246665590439</v>
      </c>
      <c r="I82" s="474">
        <f t="shared" si="69"/>
        <v>0.39353151077848092</v>
      </c>
      <c r="J82" s="474">
        <f t="shared" si="69"/>
        <v>0.40269615604079734</v>
      </c>
      <c r="K82" s="474">
        <f t="shared" si="69"/>
        <v>0.44566640040628114</v>
      </c>
      <c r="L82" s="474">
        <f t="shared" si="69"/>
        <v>0.46746813819703426</v>
      </c>
      <c r="M82" s="474">
        <f t="shared" si="69"/>
        <v>0.50890170069046481</v>
      </c>
      <c r="N82" s="474">
        <f t="shared" si="69"/>
        <v>0.54453191832369519</v>
      </c>
      <c r="O82" s="474">
        <f t="shared" si="69"/>
        <v>0.56998276571257422</v>
      </c>
      <c r="P82" s="474">
        <f t="shared" si="69"/>
        <v>0.58316463082902925</v>
      </c>
      <c r="Q82" s="474">
        <f t="shared" si="69"/>
        <v>0.58472795225908336</v>
      </c>
      <c r="R82" s="474">
        <f t="shared" si="69"/>
        <v>0.69853329119701324</v>
      </c>
      <c r="S82" s="474">
        <f t="shared" si="69"/>
        <v>0.69773486922898575</v>
      </c>
      <c r="T82" s="474">
        <f t="shared" si="69"/>
        <v>0.71272108641750331</v>
      </c>
      <c r="U82" s="474">
        <f t="shared" si="69"/>
        <v>0.75674085289102311</v>
      </c>
      <c r="V82" s="474">
        <f t="shared" si="69"/>
        <v>0.7853291774100104</v>
      </c>
      <c r="W82" s="474">
        <f t="shared" si="69"/>
        <v>0.81093578336289496</v>
      </c>
      <c r="X82" s="474">
        <f t="shared" si="69"/>
        <v>0.84066884410392118</v>
      </c>
      <c r="Y82" s="474">
        <f t="shared" si="69"/>
        <v>0.88408163653342098</v>
      </c>
      <c r="Z82" s="474">
        <f t="shared" si="69"/>
        <v>0.92622427013287578</v>
      </c>
      <c r="AA82" s="474">
        <f t="shared" si="69"/>
        <v>0.96784787846831333</v>
      </c>
      <c r="AB82" s="474">
        <f t="shared" si="69"/>
        <v>1.0087397274617256</v>
      </c>
      <c r="AC82" s="474">
        <f t="shared" si="69"/>
        <v>1.0509616424251831</v>
      </c>
      <c r="AD82" s="474">
        <f t="shared" si="69"/>
        <v>1.1019282153609435</v>
      </c>
      <c r="AE82" s="474">
        <f t="shared" si="69"/>
        <v>1.1533310907227181</v>
      </c>
      <c r="AF82" s="474">
        <f t="shared" si="69"/>
        <v>1.2085509431366253</v>
      </c>
      <c r="AG82" s="474">
        <f t="shared" si="69"/>
        <v>1.2663049950346197</v>
      </c>
      <c r="AH82" s="474">
        <f t="shared" si="69"/>
        <v>1.3331275858469269</v>
      </c>
      <c r="AI82" s="474">
        <f t="shared" si="69"/>
        <v>1.4060043667354434</v>
      </c>
      <c r="AJ82" s="474">
        <f t="shared" si="69"/>
        <v>1.4775605138419146</v>
      </c>
      <c r="AK82" s="474">
        <f t="shared" si="69"/>
        <v>1.5520906043324885</v>
      </c>
      <c r="AL82" s="475">
        <f t="shared" si="69"/>
        <v>1.6339027263453134</v>
      </c>
    </row>
    <row r="83" spans="2:38" x14ac:dyDescent="0.25">
      <c r="B83" s="108"/>
      <c r="C83" s="442" t="s">
        <v>173</v>
      </c>
      <c r="D83" s="108"/>
      <c r="E83" s="476">
        <f>E82/$J$5</f>
        <v>0.21644090393847029</v>
      </c>
      <c r="F83" s="477">
        <f t="shared" ref="F83:AL83" si="70">F82/$J$5</f>
        <v>0.17981749865807839</v>
      </c>
      <c r="G83" s="112">
        <f t="shared" si="70"/>
        <v>0.11971301619331579</v>
      </c>
      <c r="H83" s="112">
        <f t="shared" si="70"/>
        <v>0.11668074789476768</v>
      </c>
      <c r="I83" s="112">
        <f t="shared" si="70"/>
        <v>0.10561768941988216</v>
      </c>
      <c r="J83" s="112">
        <f t="shared" si="70"/>
        <v>0.10807733656489461</v>
      </c>
      <c r="K83" s="112">
        <f t="shared" si="70"/>
        <v>0.11960987665224937</v>
      </c>
      <c r="L83" s="112">
        <f t="shared" si="70"/>
        <v>0.12546112136259641</v>
      </c>
      <c r="M83" s="112">
        <f t="shared" si="70"/>
        <v>0.1365812401208977</v>
      </c>
      <c r="N83" s="112">
        <f t="shared" si="70"/>
        <v>0.14614383207828641</v>
      </c>
      <c r="O83" s="112">
        <f t="shared" si="70"/>
        <v>0.1529744406099233</v>
      </c>
      <c r="P83" s="112">
        <f t="shared" si="70"/>
        <v>0.15651224659931004</v>
      </c>
      <c r="Q83" s="112">
        <f t="shared" si="70"/>
        <v>0.15693181756819199</v>
      </c>
      <c r="R83" s="112">
        <f t="shared" si="70"/>
        <v>0.18747538679468956</v>
      </c>
      <c r="S83" s="112">
        <f t="shared" si="70"/>
        <v>0.18726110285265318</v>
      </c>
      <c r="T83" s="112">
        <f t="shared" si="70"/>
        <v>0.1912831686574083</v>
      </c>
      <c r="U83" s="112">
        <f t="shared" si="70"/>
        <v>0.20309738402872332</v>
      </c>
      <c r="V83" s="112">
        <f t="shared" si="70"/>
        <v>0.2107700422463796</v>
      </c>
      <c r="W83" s="112">
        <f t="shared" si="70"/>
        <v>0.21764245393529119</v>
      </c>
      <c r="X83" s="112">
        <f t="shared" si="70"/>
        <v>0.22562234141275395</v>
      </c>
      <c r="Y83" s="112">
        <f t="shared" si="70"/>
        <v>0.2372736544641495</v>
      </c>
      <c r="Z83" s="112">
        <f t="shared" si="70"/>
        <v>0.24858407679357911</v>
      </c>
      <c r="AA83" s="112">
        <f t="shared" si="70"/>
        <v>0.25975520087716408</v>
      </c>
      <c r="AB83" s="112">
        <f t="shared" si="70"/>
        <v>0.27072993222268532</v>
      </c>
      <c r="AC83" s="112">
        <f t="shared" si="70"/>
        <v>0.28206163242758536</v>
      </c>
      <c r="AD83" s="112">
        <f t="shared" si="70"/>
        <v>0.2957402617715898</v>
      </c>
      <c r="AE83" s="112">
        <f t="shared" si="70"/>
        <v>0.30953598784828718</v>
      </c>
      <c r="AF83" s="112">
        <f t="shared" si="70"/>
        <v>0.32435613073983499</v>
      </c>
      <c r="AG83" s="112">
        <f t="shared" si="70"/>
        <v>0.33985641305276965</v>
      </c>
      <c r="AH83" s="112">
        <f t="shared" si="70"/>
        <v>0.35779054907324931</v>
      </c>
      <c r="AI83" s="112">
        <f t="shared" si="70"/>
        <v>0.37734953481895955</v>
      </c>
      <c r="AJ83" s="112">
        <f t="shared" si="70"/>
        <v>0.39655408315671353</v>
      </c>
      <c r="AK83" s="112">
        <f t="shared" si="70"/>
        <v>0.4165567912862288</v>
      </c>
      <c r="AL83" s="113">
        <f t="shared" si="70"/>
        <v>0.43851388254034179</v>
      </c>
    </row>
    <row r="84" spans="2:38" x14ac:dyDescent="0.25">
      <c r="B84" s="108"/>
      <c r="C84" s="442" t="s">
        <v>144</v>
      </c>
      <c r="D84" s="108"/>
      <c r="E84" s="145">
        <f>($E$5*$E$7)*E83</f>
        <v>6493.2271181541091</v>
      </c>
      <c r="F84" s="146">
        <f t="shared" ref="F84:AL84" si="71">($E$5*$E$7)*F83</f>
        <v>5394.5249597423517</v>
      </c>
      <c r="G84" s="145">
        <f t="shared" si="71"/>
        <v>3591.3904857994735</v>
      </c>
      <c r="H84" s="145">
        <f t="shared" si="71"/>
        <v>3500.4224368430305</v>
      </c>
      <c r="I84" s="145">
        <f t="shared" si="71"/>
        <v>3168.5306825964649</v>
      </c>
      <c r="J84" s="145">
        <f t="shared" si="71"/>
        <v>3242.3200969468385</v>
      </c>
      <c r="K84" s="145">
        <f t="shared" si="71"/>
        <v>3588.2962995674811</v>
      </c>
      <c r="L84" s="145">
        <f t="shared" si="71"/>
        <v>3763.8336408778923</v>
      </c>
      <c r="M84" s="145">
        <f t="shared" si="71"/>
        <v>4097.4372036269315</v>
      </c>
      <c r="N84" s="145">
        <f t="shared" si="71"/>
        <v>4384.3149623485924</v>
      </c>
      <c r="O84" s="145">
        <f t="shared" si="71"/>
        <v>4589.2332182976988</v>
      </c>
      <c r="P84" s="145">
        <f t="shared" si="71"/>
        <v>4695.3673979793011</v>
      </c>
      <c r="Q84" s="145">
        <f t="shared" si="71"/>
        <v>4707.9545270457602</v>
      </c>
      <c r="R84" s="145">
        <f t="shared" si="71"/>
        <v>5624.2616038406868</v>
      </c>
      <c r="S84" s="145">
        <f t="shared" si="71"/>
        <v>5617.8330855795957</v>
      </c>
      <c r="T84" s="145">
        <f t="shared" si="71"/>
        <v>5738.4950597222487</v>
      </c>
      <c r="U84" s="145">
        <f t="shared" si="71"/>
        <v>6092.9215208616997</v>
      </c>
      <c r="V84" s="145">
        <f t="shared" si="71"/>
        <v>6323.1012673913883</v>
      </c>
      <c r="W84" s="145">
        <f t="shared" si="71"/>
        <v>6529.2736180587353</v>
      </c>
      <c r="X84" s="145">
        <f t="shared" si="71"/>
        <v>6768.6702423826182</v>
      </c>
      <c r="Y84" s="145">
        <f t="shared" si="71"/>
        <v>7118.2096339244845</v>
      </c>
      <c r="Z84" s="145">
        <f t="shared" si="71"/>
        <v>7457.5223038073727</v>
      </c>
      <c r="AA84" s="145">
        <f t="shared" si="71"/>
        <v>7792.6560263149222</v>
      </c>
      <c r="AB84" s="145">
        <f t="shared" si="71"/>
        <v>8121.8979666805599</v>
      </c>
      <c r="AC84" s="145">
        <f t="shared" si="71"/>
        <v>8461.8489728275617</v>
      </c>
      <c r="AD84" s="145">
        <f t="shared" si="71"/>
        <v>8872.2078531476945</v>
      </c>
      <c r="AE84" s="145">
        <f t="shared" si="71"/>
        <v>9286.0796354486156</v>
      </c>
      <c r="AF84" s="145">
        <f t="shared" si="71"/>
        <v>9730.6839221950504</v>
      </c>
      <c r="AG84" s="145">
        <f t="shared" si="71"/>
        <v>10195.69239158309</v>
      </c>
      <c r="AH84" s="145">
        <f t="shared" si="71"/>
        <v>10733.716472197479</v>
      </c>
      <c r="AI84" s="145">
        <f t="shared" si="71"/>
        <v>11320.486044568786</v>
      </c>
      <c r="AJ84" s="145">
        <f t="shared" si="71"/>
        <v>11896.622494701405</v>
      </c>
      <c r="AK84" s="145">
        <f t="shared" si="71"/>
        <v>12496.703738586864</v>
      </c>
      <c r="AL84" s="146">
        <f t="shared" si="71"/>
        <v>13155.416476210254</v>
      </c>
    </row>
    <row r="85" spans="2:38" x14ac:dyDescent="0.25">
      <c r="B85" s="108"/>
      <c r="C85" s="442" t="s">
        <v>149</v>
      </c>
      <c r="D85" s="108"/>
      <c r="E85" s="145">
        <f>$M$10*$E$5*$E$7</f>
        <v>30449.999999999996</v>
      </c>
      <c r="F85" s="146">
        <f>$M$10*$E$5*$E$7</f>
        <v>30449.999999999996</v>
      </c>
      <c r="G85" s="145">
        <f>$M$10*$E$5*$E$7</f>
        <v>30449.999999999996</v>
      </c>
      <c r="H85" s="145">
        <f>G85*(1+$E$2)</f>
        <v>31180.799999999996</v>
      </c>
      <c r="I85" s="145">
        <f t="shared" ref="I85:AL85" si="72">H85*(1+$E$2)</f>
        <v>31929.139199999998</v>
      </c>
      <c r="J85" s="145">
        <f t="shared" si="72"/>
        <v>32695.438540799998</v>
      </c>
      <c r="K85" s="145">
        <f t="shared" si="72"/>
        <v>33480.129065779198</v>
      </c>
      <c r="L85" s="145">
        <f t="shared" si="72"/>
        <v>34283.652163357896</v>
      </c>
      <c r="M85" s="145">
        <f t="shared" si="72"/>
        <v>35106.459815278489</v>
      </c>
      <c r="N85" s="145">
        <f t="shared" si="72"/>
        <v>35949.014850845175</v>
      </c>
      <c r="O85" s="145">
        <f t="shared" si="72"/>
        <v>36811.791207265458</v>
      </c>
      <c r="P85" s="145">
        <f t="shared" si="72"/>
        <v>37695.274196239829</v>
      </c>
      <c r="Q85" s="145">
        <f t="shared" si="72"/>
        <v>38599.960776949585</v>
      </c>
      <c r="R85" s="145">
        <f t="shared" si="72"/>
        <v>39526.359835596377</v>
      </c>
      <c r="S85" s="145">
        <f t="shared" si="72"/>
        <v>40474.992471650694</v>
      </c>
      <c r="T85" s="145">
        <f t="shared" si="72"/>
        <v>41446.392290970311</v>
      </c>
      <c r="U85" s="145">
        <f t="shared" si="72"/>
        <v>42441.105705953596</v>
      </c>
      <c r="V85" s="145">
        <f t="shared" si="72"/>
        <v>43459.692242896483</v>
      </c>
      <c r="W85" s="145">
        <f t="shared" si="72"/>
        <v>44502.724856725996</v>
      </c>
      <c r="X85" s="145">
        <f t="shared" si="72"/>
        <v>45570.790253287421</v>
      </c>
      <c r="Y85" s="145">
        <f t="shared" si="72"/>
        <v>46664.489219366318</v>
      </c>
      <c r="Z85" s="145">
        <f t="shared" si="72"/>
        <v>47784.436960631108</v>
      </c>
      <c r="AA85" s="145">
        <f t="shared" si="72"/>
        <v>48931.263447686259</v>
      </c>
      <c r="AB85" s="145">
        <f t="shared" si="72"/>
        <v>50105.613770430733</v>
      </c>
      <c r="AC85" s="145">
        <f t="shared" si="72"/>
        <v>51308.148500921074</v>
      </c>
      <c r="AD85" s="145">
        <f t="shared" si="72"/>
        <v>52539.544064943184</v>
      </c>
      <c r="AE85" s="145">
        <f t="shared" si="72"/>
        <v>53800.493122501823</v>
      </c>
      <c r="AF85" s="145">
        <f t="shared" si="72"/>
        <v>55091.704957441871</v>
      </c>
      <c r="AG85" s="145">
        <f t="shared" si="72"/>
        <v>56413.905876420475</v>
      </c>
      <c r="AH85" s="145">
        <f t="shared" si="72"/>
        <v>57767.839617454571</v>
      </c>
      <c r="AI85" s="145">
        <f t="shared" si="72"/>
        <v>59154.267768273479</v>
      </c>
      <c r="AJ85" s="145">
        <f t="shared" si="72"/>
        <v>60573.970194712041</v>
      </c>
      <c r="AK85" s="145">
        <f t="shared" si="72"/>
        <v>62027.745479385128</v>
      </c>
      <c r="AL85" s="146">
        <f t="shared" si="72"/>
        <v>63516.411370890375</v>
      </c>
    </row>
    <row r="86" spans="2:38" x14ac:dyDescent="0.25">
      <c r="B86" s="108"/>
      <c r="C86" s="468" t="s">
        <v>174</v>
      </c>
      <c r="D86" s="108"/>
      <c r="E86" s="145">
        <f>E84+E85</f>
        <v>36943.227118154107</v>
      </c>
      <c r="F86" s="146">
        <f t="shared" ref="F86:AL86" si="73">F84+F85</f>
        <v>35844.524959742346</v>
      </c>
      <c r="G86" s="145">
        <f t="shared" si="73"/>
        <v>34041.390485799471</v>
      </c>
      <c r="H86" s="145">
        <f t="shared" si="73"/>
        <v>34681.222436843025</v>
      </c>
      <c r="I86" s="145">
        <f t="shared" si="73"/>
        <v>35097.669882596463</v>
      </c>
      <c r="J86" s="145">
        <f t="shared" si="73"/>
        <v>35937.75863774684</v>
      </c>
      <c r="K86" s="145">
        <f t="shared" si="73"/>
        <v>37068.42536534668</v>
      </c>
      <c r="L86" s="145">
        <f t="shared" si="73"/>
        <v>38047.485804235788</v>
      </c>
      <c r="M86" s="145">
        <f t="shared" si="73"/>
        <v>39203.897018905423</v>
      </c>
      <c r="N86" s="145">
        <f t="shared" si="73"/>
        <v>40333.32981319377</v>
      </c>
      <c r="O86" s="145">
        <f t="shared" si="73"/>
        <v>41401.024425563155</v>
      </c>
      <c r="P86" s="145">
        <f t="shared" si="73"/>
        <v>42390.641594219131</v>
      </c>
      <c r="Q86" s="145">
        <f t="shared" si="73"/>
        <v>43307.915303995345</v>
      </c>
      <c r="R86" s="145">
        <f t="shared" si="73"/>
        <v>45150.621439437062</v>
      </c>
      <c r="S86" s="145">
        <f t="shared" si="73"/>
        <v>46092.825557230288</v>
      </c>
      <c r="T86" s="145">
        <f t="shared" si="73"/>
        <v>47184.887350692559</v>
      </c>
      <c r="U86" s="145">
        <f t="shared" si="73"/>
        <v>48534.027226815298</v>
      </c>
      <c r="V86" s="145">
        <f t="shared" si="73"/>
        <v>49782.793510287869</v>
      </c>
      <c r="W86" s="145">
        <f t="shared" si="73"/>
        <v>51031.998474784734</v>
      </c>
      <c r="X86" s="145">
        <f t="shared" si="73"/>
        <v>52339.460495670042</v>
      </c>
      <c r="Y86" s="145">
        <f t="shared" si="73"/>
        <v>53782.6988532908</v>
      </c>
      <c r="Z86" s="145">
        <f t="shared" si="73"/>
        <v>55241.959264438483</v>
      </c>
      <c r="AA86" s="145">
        <f t="shared" si="73"/>
        <v>56723.919474001181</v>
      </c>
      <c r="AB86" s="145">
        <f t="shared" si="73"/>
        <v>58227.511737111294</v>
      </c>
      <c r="AC86" s="145">
        <f t="shared" si="73"/>
        <v>59769.997473748634</v>
      </c>
      <c r="AD86" s="145">
        <f t="shared" si="73"/>
        <v>61411.751918090878</v>
      </c>
      <c r="AE86" s="145">
        <f t="shared" si="73"/>
        <v>63086.572757950438</v>
      </c>
      <c r="AF86" s="145">
        <f t="shared" si="73"/>
        <v>64822.388879636921</v>
      </c>
      <c r="AG86" s="145">
        <f t="shared" si="73"/>
        <v>66609.598268003567</v>
      </c>
      <c r="AH86" s="145">
        <f t="shared" si="73"/>
        <v>68501.556089652047</v>
      </c>
      <c r="AI86" s="145">
        <f t="shared" si="73"/>
        <v>70474.75381284226</v>
      </c>
      <c r="AJ86" s="145">
        <f t="shared" si="73"/>
        <v>72470.592689413446</v>
      </c>
      <c r="AK86" s="145">
        <f t="shared" si="73"/>
        <v>74524.449217971996</v>
      </c>
      <c r="AL86" s="146">
        <f t="shared" si="73"/>
        <v>76671.827847100634</v>
      </c>
    </row>
    <row r="87" spans="2:38" x14ac:dyDescent="0.25">
      <c r="B87" s="108"/>
      <c r="C87" s="442" t="s">
        <v>154</v>
      </c>
      <c r="D87" s="108"/>
      <c r="E87" s="145">
        <f>E86-E23</f>
        <v>-9009.1407568446812</v>
      </c>
      <c r="F87" s="146">
        <f t="shared" ref="F87:AL87" si="74">F86-F23</f>
        <v>-13910.922914837043</v>
      </c>
      <c r="G87" s="145">
        <f t="shared" si="74"/>
        <v>-13482.415747195606</v>
      </c>
      <c r="H87" s="145">
        <f t="shared" si="74"/>
        <v>-13343.881698492027</v>
      </c>
      <c r="I87" s="145">
        <f t="shared" si="74"/>
        <v>-14279.628366846468</v>
      </c>
      <c r="J87" s="145">
        <f t="shared" si="74"/>
        <v>-15059.234913464767</v>
      </c>
      <c r="K87" s="145">
        <f t="shared" si="74"/>
        <v>-15365.452823593623</v>
      </c>
      <c r="L87" s="145">
        <f t="shared" si="74"/>
        <v>-16108.198793324387</v>
      </c>
      <c r="M87" s="145">
        <f t="shared" si="74"/>
        <v>-16441.044921432142</v>
      </c>
      <c r="N87" s="145">
        <f t="shared" si="74"/>
        <v>-17160.288708071857</v>
      </c>
      <c r="O87" s="145">
        <f t="shared" si="74"/>
        <v>-17612.873229082819</v>
      </c>
      <c r="P87" s="145">
        <f t="shared" si="74"/>
        <v>-18519.564730117323</v>
      </c>
      <c r="Q87" s="145">
        <f t="shared" si="74"/>
        <v>-19392.809470143802</v>
      </c>
      <c r="R87" s="145">
        <f t="shared" si="74"/>
        <v>-19700.745234823815</v>
      </c>
      <c r="S87" s="145">
        <f t="shared" si="74"/>
        <v>-20682.384188452517</v>
      </c>
      <c r="T87" s="145">
        <f t="shared" si="74"/>
        <v>-21437.055108905581</v>
      </c>
      <c r="U87" s="145">
        <f t="shared" si="74"/>
        <v>-22258.890381753103</v>
      </c>
      <c r="V87" s="145">
        <f t="shared" si="74"/>
        <v>-22976.9258319566</v>
      </c>
      <c r="W87" s="145">
        <f t="shared" si="74"/>
        <v>-23778.807272512859</v>
      </c>
      <c r="X87" s="145">
        <f t="shared" si="74"/>
        <v>-24627.47082052027</v>
      </c>
      <c r="Y87" s="145">
        <f t="shared" si="74"/>
        <v>-25289.450749134514</v>
      </c>
      <c r="Z87" s="145">
        <f t="shared" si="74"/>
        <v>-26057.484963441675</v>
      </c>
      <c r="AA87" s="145">
        <f t="shared" si="74"/>
        <v>-26869.466457002905</v>
      </c>
      <c r="AB87" s="145">
        <f t="shared" si="74"/>
        <v>-27389.741078521423</v>
      </c>
      <c r="AC87" s="145">
        <f t="shared" si="74"/>
        <v>-28182.768390461148</v>
      </c>
      <c r="AD87" s="145">
        <f t="shared" si="74"/>
        <v>-29287.38776994701</v>
      </c>
      <c r="AE87" s="145">
        <f t="shared" si="74"/>
        <v>-30083.928291638898</v>
      </c>
      <c r="AF87" s="145">
        <f t="shared" si="74"/>
        <v>-30975.177069535734</v>
      </c>
      <c r="AG87" s="145">
        <f t="shared" si="74"/>
        <v>-32169.218550676756</v>
      </c>
      <c r="AH87" s="145">
        <f t="shared" si="74"/>
        <v>-32742.578140786165</v>
      </c>
      <c r="AI87" s="145">
        <f t="shared" si="74"/>
        <v>-33734.815861903189</v>
      </c>
      <c r="AJ87" s="145">
        <f t="shared" si="74"/>
        <v>-34772.401872128583</v>
      </c>
      <c r="AK87" s="145">
        <f t="shared" si="74"/>
        <v>-35727.784434228772</v>
      </c>
      <c r="AL87" s="146">
        <f t="shared" si="74"/>
        <v>-36627.207794967093</v>
      </c>
    </row>
    <row r="88" spans="2:38" x14ac:dyDescent="0.25">
      <c r="B88" s="108"/>
      <c r="C88" s="442" t="s">
        <v>166</v>
      </c>
      <c r="D88" s="108"/>
      <c r="E88" s="147">
        <f>($E$5/$J$5)*$E$7</f>
        <v>8051.5297906602254</v>
      </c>
      <c r="F88" s="478">
        <f t="shared" ref="F88:AL88" si="75">($E$5/$J$5)*$E$7</f>
        <v>8051.5297906602254</v>
      </c>
      <c r="G88" s="147">
        <f t="shared" si="75"/>
        <v>8051.5297906602254</v>
      </c>
      <c r="H88" s="147">
        <f t="shared" si="75"/>
        <v>8051.5297906602254</v>
      </c>
      <c r="I88" s="147">
        <f t="shared" si="75"/>
        <v>8051.5297906602254</v>
      </c>
      <c r="J88" s="147">
        <f t="shared" si="75"/>
        <v>8051.5297906602254</v>
      </c>
      <c r="K88" s="147">
        <f t="shared" si="75"/>
        <v>8051.5297906602254</v>
      </c>
      <c r="L88" s="147">
        <f t="shared" si="75"/>
        <v>8051.5297906602254</v>
      </c>
      <c r="M88" s="147">
        <f t="shared" si="75"/>
        <v>8051.5297906602254</v>
      </c>
      <c r="N88" s="147">
        <f t="shared" si="75"/>
        <v>8051.5297906602254</v>
      </c>
      <c r="O88" s="147">
        <f t="shared" si="75"/>
        <v>8051.5297906602254</v>
      </c>
      <c r="P88" s="147">
        <f t="shared" si="75"/>
        <v>8051.5297906602254</v>
      </c>
      <c r="Q88" s="147">
        <f t="shared" si="75"/>
        <v>8051.5297906602254</v>
      </c>
      <c r="R88" s="147">
        <f t="shared" si="75"/>
        <v>8051.5297906602254</v>
      </c>
      <c r="S88" s="147">
        <f t="shared" si="75"/>
        <v>8051.5297906602254</v>
      </c>
      <c r="T88" s="147">
        <f t="shared" si="75"/>
        <v>8051.5297906602254</v>
      </c>
      <c r="U88" s="147">
        <f t="shared" si="75"/>
        <v>8051.5297906602254</v>
      </c>
      <c r="V88" s="147">
        <f t="shared" si="75"/>
        <v>8051.5297906602254</v>
      </c>
      <c r="W88" s="147">
        <f t="shared" si="75"/>
        <v>8051.5297906602254</v>
      </c>
      <c r="X88" s="147">
        <f t="shared" si="75"/>
        <v>8051.5297906602254</v>
      </c>
      <c r="Y88" s="147">
        <f t="shared" si="75"/>
        <v>8051.5297906602254</v>
      </c>
      <c r="Z88" s="147">
        <f t="shared" si="75"/>
        <v>8051.5297906602254</v>
      </c>
      <c r="AA88" s="147">
        <f t="shared" si="75"/>
        <v>8051.5297906602254</v>
      </c>
      <c r="AB88" s="147">
        <f t="shared" si="75"/>
        <v>8051.5297906602254</v>
      </c>
      <c r="AC88" s="147">
        <f t="shared" si="75"/>
        <v>8051.5297906602254</v>
      </c>
      <c r="AD88" s="147">
        <f t="shared" si="75"/>
        <v>8051.5297906602254</v>
      </c>
      <c r="AE88" s="147">
        <f t="shared" si="75"/>
        <v>8051.5297906602254</v>
      </c>
      <c r="AF88" s="147">
        <f t="shared" si="75"/>
        <v>8051.5297906602254</v>
      </c>
      <c r="AG88" s="147">
        <f t="shared" si="75"/>
        <v>8051.5297906602254</v>
      </c>
      <c r="AH88" s="147">
        <f t="shared" si="75"/>
        <v>8051.5297906602254</v>
      </c>
      <c r="AI88" s="147">
        <f t="shared" si="75"/>
        <v>8051.5297906602254</v>
      </c>
      <c r="AJ88" s="147">
        <f t="shared" si="75"/>
        <v>8051.5297906602254</v>
      </c>
      <c r="AK88" s="147">
        <f t="shared" si="75"/>
        <v>8051.5297906602254</v>
      </c>
      <c r="AL88" s="478">
        <f t="shared" si="75"/>
        <v>8051.5297906602254</v>
      </c>
    </row>
    <row r="89" spans="2:38" x14ac:dyDescent="0.25">
      <c r="B89" s="108"/>
      <c r="C89" s="442" t="s">
        <v>155</v>
      </c>
      <c r="D89" s="108"/>
      <c r="E89" s="148">
        <f>(E88*$X$7)/$V$3</f>
        <v>37.533319226006</v>
      </c>
      <c r="F89" s="149">
        <f t="shared" ref="F89:AL89" si="76">(F88*$X$7)/$V$3</f>
        <v>37.533319226006</v>
      </c>
      <c r="G89" s="148">
        <f t="shared" si="76"/>
        <v>37.533319226006</v>
      </c>
      <c r="H89" s="148">
        <f t="shared" si="76"/>
        <v>37.533319226006</v>
      </c>
      <c r="I89" s="148">
        <f t="shared" si="76"/>
        <v>37.533319226006</v>
      </c>
      <c r="J89" s="148">
        <f t="shared" si="76"/>
        <v>37.533319226006</v>
      </c>
      <c r="K89" s="148">
        <f t="shared" si="76"/>
        <v>37.533319226006</v>
      </c>
      <c r="L89" s="148">
        <f t="shared" si="76"/>
        <v>37.533319226006</v>
      </c>
      <c r="M89" s="148">
        <f t="shared" si="76"/>
        <v>37.533319226006</v>
      </c>
      <c r="N89" s="148">
        <f t="shared" si="76"/>
        <v>37.533319226006</v>
      </c>
      <c r="O89" s="148">
        <f t="shared" si="76"/>
        <v>37.533319226006</v>
      </c>
      <c r="P89" s="148">
        <f t="shared" si="76"/>
        <v>37.533319226006</v>
      </c>
      <c r="Q89" s="148">
        <f t="shared" si="76"/>
        <v>37.533319226006</v>
      </c>
      <c r="R89" s="148">
        <f t="shared" si="76"/>
        <v>37.533319226006</v>
      </c>
      <c r="S89" s="148">
        <f t="shared" si="76"/>
        <v>37.533319226006</v>
      </c>
      <c r="T89" s="148">
        <f t="shared" si="76"/>
        <v>37.533319226006</v>
      </c>
      <c r="U89" s="148">
        <f t="shared" si="76"/>
        <v>37.533319226006</v>
      </c>
      <c r="V89" s="148">
        <f t="shared" si="76"/>
        <v>37.533319226006</v>
      </c>
      <c r="W89" s="148">
        <f t="shared" si="76"/>
        <v>37.533319226006</v>
      </c>
      <c r="X89" s="148">
        <f t="shared" si="76"/>
        <v>37.533319226006</v>
      </c>
      <c r="Y89" s="148">
        <f t="shared" si="76"/>
        <v>37.533319226006</v>
      </c>
      <c r="Z89" s="148">
        <f t="shared" si="76"/>
        <v>37.533319226006</v>
      </c>
      <c r="AA89" s="148">
        <f t="shared" si="76"/>
        <v>37.533319226006</v>
      </c>
      <c r="AB89" s="148">
        <f t="shared" si="76"/>
        <v>37.533319226006</v>
      </c>
      <c r="AC89" s="148">
        <f t="shared" si="76"/>
        <v>37.533319226006</v>
      </c>
      <c r="AD89" s="148">
        <f t="shared" si="76"/>
        <v>37.533319226006</v>
      </c>
      <c r="AE89" s="148">
        <f t="shared" si="76"/>
        <v>37.533319226006</v>
      </c>
      <c r="AF89" s="148">
        <f t="shared" si="76"/>
        <v>37.533319226006</v>
      </c>
      <c r="AG89" s="148">
        <f t="shared" si="76"/>
        <v>37.533319226006</v>
      </c>
      <c r="AH89" s="148">
        <f t="shared" si="76"/>
        <v>37.533319226006</v>
      </c>
      <c r="AI89" s="148">
        <f t="shared" si="76"/>
        <v>37.533319226006</v>
      </c>
      <c r="AJ89" s="148">
        <f t="shared" si="76"/>
        <v>37.533319226006</v>
      </c>
      <c r="AK89" s="148">
        <f t="shared" si="76"/>
        <v>37.533319226006</v>
      </c>
      <c r="AL89" s="149">
        <f t="shared" si="76"/>
        <v>37.533319226006</v>
      </c>
    </row>
    <row r="90" spans="2:38" x14ac:dyDescent="0.25">
      <c r="B90" s="108"/>
      <c r="C90" s="442" t="s">
        <v>156</v>
      </c>
      <c r="D90" s="108"/>
      <c r="E90" s="148">
        <f t="shared" ref="E90:AL90" si="77">E24-E89</f>
        <v>58.773875085755847</v>
      </c>
      <c r="F90" s="149">
        <f t="shared" si="77"/>
        <v>58.773875085755847</v>
      </c>
      <c r="G90" s="148">
        <f t="shared" si="77"/>
        <v>58.773875085755847</v>
      </c>
      <c r="H90" s="148">
        <f t="shared" si="77"/>
        <v>58.773875085755847</v>
      </c>
      <c r="I90" s="148">
        <f t="shared" si="77"/>
        <v>58.773875085755847</v>
      </c>
      <c r="J90" s="148">
        <f t="shared" si="77"/>
        <v>58.773875085755847</v>
      </c>
      <c r="K90" s="148">
        <f t="shared" si="77"/>
        <v>58.773875085755847</v>
      </c>
      <c r="L90" s="148">
        <f t="shared" si="77"/>
        <v>58.773875085755847</v>
      </c>
      <c r="M90" s="148">
        <f t="shared" si="77"/>
        <v>58.773875085755847</v>
      </c>
      <c r="N90" s="148">
        <f t="shared" si="77"/>
        <v>58.773875085755847</v>
      </c>
      <c r="O90" s="148">
        <f t="shared" si="77"/>
        <v>58.773875085755847</v>
      </c>
      <c r="P90" s="148">
        <f t="shared" si="77"/>
        <v>58.773875085755847</v>
      </c>
      <c r="Q90" s="148">
        <f t="shared" si="77"/>
        <v>58.773875085755847</v>
      </c>
      <c r="R90" s="148">
        <f t="shared" si="77"/>
        <v>58.773875085755847</v>
      </c>
      <c r="S90" s="148">
        <f t="shared" si="77"/>
        <v>58.773875085755847</v>
      </c>
      <c r="T90" s="148">
        <f t="shared" si="77"/>
        <v>58.773875085755847</v>
      </c>
      <c r="U90" s="148">
        <f t="shared" si="77"/>
        <v>58.773875085755847</v>
      </c>
      <c r="V90" s="148">
        <f t="shared" si="77"/>
        <v>58.773875085755847</v>
      </c>
      <c r="W90" s="148">
        <f t="shared" si="77"/>
        <v>58.773875085755847</v>
      </c>
      <c r="X90" s="148">
        <f t="shared" si="77"/>
        <v>58.773875085755847</v>
      </c>
      <c r="Y90" s="148">
        <f t="shared" si="77"/>
        <v>58.773875085755847</v>
      </c>
      <c r="Z90" s="148">
        <f t="shared" si="77"/>
        <v>58.773875085755847</v>
      </c>
      <c r="AA90" s="148">
        <f t="shared" si="77"/>
        <v>58.773875085755847</v>
      </c>
      <c r="AB90" s="148">
        <f t="shared" si="77"/>
        <v>58.773875085755847</v>
      </c>
      <c r="AC90" s="148">
        <f t="shared" si="77"/>
        <v>58.773875085755847</v>
      </c>
      <c r="AD90" s="148">
        <f t="shared" si="77"/>
        <v>58.773875085755847</v>
      </c>
      <c r="AE90" s="148">
        <f t="shared" si="77"/>
        <v>58.773875085755847</v>
      </c>
      <c r="AF90" s="148">
        <f t="shared" si="77"/>
        <v>58.773875085755847</v>
      </c>
      <c r="AG90" s="148">
        <f t="shared" si="77"/>
        <v>58.773875085755847</v>
      </c>
      <c r="AH90" s="148">
        <f t="shared" si="77"/>
        <v>58.773875085755847</v>
      </c>
      <c r="AI90" s="148">
        <f t="shared" si="77"/>
        <v>58.773875085755847</v>
      </c>
      <c r="AJ90" s="148">
        <f t="shared" si="77"/>
        <v>58.773875085755847</v>
      </c>
      <c r="AK90" s="148">
        <f t="shared" si="77"/>
        <v>58.773875085755847</v>
      </c>
      <c r="AL90" s="149">
        <f t="shared" si="77"/>
        <v>58.773875085755847</v>
      </c>
    </row>
    <row r="91" spans="2:38" ht="15.75" thickBot="1" x14ac:dyDescent="0.3">
      <c r="B91" s="105"/>
      <c r="C91" s="443" t="s">
        <v>391</v>
      </c>
      <c r="D91" s="105"/>
      <c r="E91" s="150">
        <f>E87/E90</f>
        <v>-153.28478416132361</v>
      </c>
      <c r="F91" s="151">
        <f t="shared" ref="F91:AL91" si="78">F87/F90</f>
        <v>-236.68548133911332</v>
      </c>
      <c r="G91" s="150">
        <f t="shared" si="78"/>
        <v>-229.39470517340686</v>
      </c>
      <c r="H91" s="150">
        <f t="shared" si="78"/>
        <v>-227.03763668844741</v>
      </c>
      <c r="I91" s="150">
        <f t="shared" si="78"/>
        <v>-242.95876945345756</v>
      </c>
      <c r="J91" s="150">
        <f t="shared" si="78"/>
        <v>-256.22327762959515</v>
      </c>
      <c r="K91" s="150">
        <f t="shared" si="78"/>
        <v>-261.43338007191431</v>
      </c>
      <c r="L91" s="150">
        <f t="shared" si="78"/>
        <v>-274.07072904111254</v>
      </c>
      <c r="M91" s="150">
        <f t="shared" si="78"/>
        <v>-279.73389362949649</v>
      </c>
      <c r="N91" s="150">
        <f t="shared" si="78"/>
        <v>-291.97136794253578</v>
      </c>
      <c r="O91" s="150">
        <f t="shared" si="78"/>
        <v>-299.67180491985954</v>
      </c>
      <c r="P91" s="150">
        <f t="shared" si="78"/>
        <v>-315.09858254361785</v>
      </c>
      <c r="Q91" s="150">
        <f t="shared" si="78"/>
        <v>-329.95628486037583</v>
      </c>
      <c r="R91" s="150">
        <f t="shared" si="78"/>
        <v>-335.19561550227598</v>
      </c>
      <c r="S91" s="150">
        <f t="shared" si="78"/>
        <v>-351.89757623221612</v>
      </c>
      <c r="T91" s="150">
        <f t="shared" si="78"/>
        <v>-364.73782063250349</v>
      </c>
      <c r="U91" s="150">
        <f t="shared" si="78"/>
        <v>-378.72082365295086</v>
      </c>
      <c r="V91" s="150">
        <f t="shared" si="78"/>
        <v>-390.93773889217618</v>
      </c>
      <c r="W91" s="150">
        <f t="shared" si="78"/>
        <v>-404.58124018226891</v>
      </c>
      <c r="X91" s="150">
        <f t="shared" si="78"/>
        <v>-419.02070919412398</v>
      </c>
      <c r="Y91" s="150">
        <f t="shared" si="78"/>
        <v>-430.28387548439093</v>
      </c>
      <c r="Z91" s="150">
        <f t="shared" si="78"/>
        <v>-443.35148780681368</v>
      </c>
      <c r="AA91" s="150">
        <f t="shared" si="78"/>
        <v>-457.16683505721164</v>
      </c>
      <c r="AB91" s="150">
        <f t="shared" si="78"/>
        <v>-466.01897592353015</v>
      </c>
      <c r="AC91" s="150">
        <f t="shared" si="78"/>
        <v>-479.51182986216588</v>
      </c>
      <c r="AD91" s="150">
        <f t="shared" si="78"/>
        <v>-498.30622410406556</v>
      </c>
      <c r="AE91" s="150">
        <f t="shared" si="78"/>
        <v>-511.85885306599249</v>
      </c>
      <c r="AF91" s="150">
        <f t="shared" si="78"/>
        <v>-527.02288260456601</v>
      </c>
      <c r="AG91" s="150">
        <f t="shared" si="78"/>
        <v>-547.33873687483185</v>
      </c>
      <c r="AH91" s="150">
        <f t="shared" si="78"/>
        <v>-557.09408462538988</v>
      </c>
      <c r="AI91" s="150">
        <f t="shared" si="78"/>
        <v>-573.97637662450131</v>
      </c>
      <c r="AJ91" s="150">
        <f t="shared" si="78"/>
        <v>-591.63024084072777</v>
      </c>
      <c r="AK91" s="150">
        <f t="shared" si="78"/>
        <v>-607.8854658145143</v>
      </c>
      <c r="AL91" s="151">
        <f t="shared" si="78"/>
        <v>-623.18858066658061</v>
      </c>
    </row>
    <row r="92" spans="2:38" x14ac:dyDescent="0.25">
      <c r="B92" s="87" t="s">
        <v>175</v>
      </c>
      <c r="C92" s="479" t="s">
        <v>168</v>
      </c>
      <c r="D92" s="131"/>
      <c r="E92" s="460">
        <f>$N$4/($E$5*$E$7*$N$6)</f>
        <v>1.9047619047619047</v>
      </c>
      <c r="F92" s="461">
        <f t="shared" ref="F92:AL92" si="79">$N$4/($E$5*$E$7*$N$6)</f>
        <v>1.9047619047619047</v>
      </c>
      <c r="G92" s="480">
        <f t="shared" si="79"/>
        <v>1.9047619047619047</v>
      </c>
      <c r="H92" s="480">
        <f t="shared" si="79"/>
        <v>1.9047619047619047</v>
      </c>
      <c r="I92" s="480">
        <f t="shared" si="79"/>
        <v>1.9047619047619047</v>
      </c>
      <c r="J92" s="480">
        <f t="shared" si="79"/>
        <v>1.9047619047619047</v>
      </c>
      <c r="K92" s="480">
        <f t="shared" si="79"/>
        <v>1.9047619047619047</v>
      </c>
      <c r="L92" s="480">
        <f t="shared" si="79"/>
        <v>1.9047619047619047</v>
      </c>
      <c r="M92" s="480">
        <f t="shared" si="79"/>
        <v>1.9047619047619047</v>
      </c>
      <c r="N92" s="480">
        <f t="shared" si="79"/>
        <v>1.9047619047619047</v>
      </c>
      <c r="O92" s="480">
        <f t="shared" si="79"/>
        <v>1.9047619047619047</v>
      </c>
      <c r="P92" s="480">
        <f t="shared" si="79"/>
        <v>1.9047619047619047</v>
      </c>
      <c r="Q92" s="480">
        <f t="shared" si="79"/>
        <v>1.9047619047619047</v>
      </c>
      <c r="R92" s="480">
        <f t="shared" si="79"/>
        <v>1.9047619047619047</v>
      </c>
      <c r="S92" s="480">
        <f t="shared" si="79"/>
        <v>1.9047619047619047</v>
      </c>
      <c r="T92" s="480">
        <f t="shared" si="79"/>
        <v>1.9047619047619047</v>
      </c>
      <c r="U92" s="480">
        <f t="shared" si="79"/>
        <v>1.9047619047619047</v>
      </c>
      <c r="V92" s="480">
        <f t="shared" si="79"/>
        <v>1.9047619047619047</v>
      </c>
      <c r="W92" s="480">
        <f t="shared" si="79"/>
        <v>1.9047619047619047</v>
      </c>
      <c r="X92" s="480">
        <f t="shared" si="79"/>
        <v>1.9047619047619047</v>
      </c>
      <c r="Y92" s="480">
        <f t="shared" si="79"/>
        <v>1.9047619047619047</v>
      </c>
      <c r="Z92" s="480">
        <f t="shared" si="79"/>
        <v>1.9047619047619047</v>
      </c>
      <c r="AA92" s="480">
        <f t="shared" si="79"/>
        <v>1.9047619047619047</v>
      </c>
      <c r="AB92" s="480">
        <f t="shared" si="79"/>
        <v>1.9047619047619047</v>
      </c>
      <c r="AC92" s="480">
        <f t="shared" si="79"/>
        <v>1.9047619047619047</v>
      </c>
      <c r="AD92" s="480">
        <f t="shared" si="79"/>
        <v>1.9047619047619047</v>
      </c>
      <c r="AE92" s="480">
        <f t="shared" si="79"/>
        <v>1.9047619047619047</v>
      </c>
      <c r="AF92" s="480">
        <f t="shared" si="79"/>
        <v>1.9047619047619047</v>
      </c>
      <c r="AG92" s="480">
        <f t="shared" si="79"/>
        <v>1.9047619047619047</v>
      </c>
      <c r="AH92" s="480">
        <f t="shared" si="79"/>
        <v>1.9047619047619047</v>
      </c>
      <c r="AI92" s="480">
        <f t="shared" si="79"/>
        <v>1.9047619047619047</v>
      </c>
      <c r="AJ92" s="480">
        <f t="shared" si="79"/>
        <v>1.9047619047619047</v>
      </c>
      <c r="AK92" s="480">
        <f t="shared" si="79"/>
        <v>1.9047619047619047</v>
      </c>
      <c r="AL92" s="481">
        <f t="shared" si="79"/>
        <v>1.9047619047619047</v>
      </c>
    </row>
    <row r="93" spans="2:38" x14ac:dyDescent="0.25">
      <c r="B93" s="134"/>
      <c r="C93" s="468" t="s">
        <v>499</v>
      </c>
      <c r="D93" s="134"/>
      <c r="E93" s="465">
        <f>E83+E92</f>
        <v>2.1212028087003749</v>
      </c>
      <c r="F93" s="466">
        <f t="shared" ref="F93:AL93" si="80">F83+F92</f>
        <v>2.0845794034199829</v>
      </c>
      <c r="G93" s="133">
        <f t="shared" si="80"/>
        <v>2.0244749209552206</v>
      </c>
      <c r="H93" s="133">
        <f t="shared" si="80"/>
        <v>2.0214426526566722</v>
      </c>
      <c r="I93" s="133">
        <f t="shared" si="80"/>
        <v>2.0103795941817868</v>
      </c>
      <c r="J93" s="133">
        <f t="shared" si="80"/>
        <v>2.0128392413267995</v>
      </c>
      <c r="K93" s="133">
        <f t="shared" si="80"/>
        <v>2.0243717814141542</v>
      </c>
      <c r="L93" s="133">
        <f t="shared" si="80"/>
        <v>2.0302230261245011</v>
      </c>
      <c r="M93" s="133">
        <f t="shared" si="80"/>
        <v>2.0413431448828026</v>
      </c>
      <c r="N93" s="133">
        <f t="shared" si="80"/>
        <v>2.0509057368401908</v>
      </c>
      <c r="O93" s="133">
        <f t="shared" si="80"/>
        <v>2.0577363453718278</v>
      </c>
      <c r="P93" s="133">
        <f t="shared" si="80"/>
        <v>2.0612741513612147</v>
      </c>
      <c r="Q93" s="133">
        <f t="shared" si="80"/>
        <v>2.0616937223300966</v>
      </c>
      <c r="R93" s="133">
        <f t="shared" si="80"/>
        <v>2.0922372915565943</v>
      </c>
      <c r="S93" s="133">
        <f t="shared" si="80"/>
        <v>2.0920230076145581</v>
      </c>
      <c r="T93" s="133">
        <f t="shared" si="80"/>
        <v>2.096045073419313</v>
      </c>
      <c r="U93" s="133">
        <f t="shared" si="80"/>
        <v>2.1078592887906278</v>
      </c>
      <c r="V93" s="133">
        <f t="shared" si="80"/>
        <v>2.1155319470082841</v>
      </c>
      <c r="W93" s="133">
        <f t="shared" si="80"/>
        <v>2.1224043586971959</v>
      </c>
      <c r="X93" s="133">
        <f t="shared" si="80"/>
        <v>2.1303842461746587</v>
      </c>
      <c r="Y93" s="133">
        <f t="shared" si="80"/>
        <v>2.1420355592260543</v>
      </c>
      <c r="Z93" s="133">
        <f t="shared" si="80"/>
        <v>2.1533459815554838</v>
      </c>
      <c r="AA93" s="133">
        <f t="shared" si="80"/>
        <v>2.1645171056390686</v>
      </c>
      <c r="AB93" s="133">
        <f t="shared" si="80"/>
        <v>2.1754918369845901</v>
      </c>
      <c r="AC93" s="133">
        <f t="shared" si="80"/>
        <v>2.1868235371894902</v>
      </c>
      <c r="AD93" s="133">
        <f t="shared" si="80"/>
        <v>2.2005021665334943</v>
      </c>
      <c r="AE93" s="133">
        <f t="shared" si="80"/>
        <v>2.2142978926101917</v>
      </c>
      <c r="AF93" s="133">
        <f t="shared" si="80"/>
        <v>2.2291180355017395</v>
      </c>
      <c r="AG93" s="133">
        <f t="shared" si="80"/>
        <v>2.2446183178146741</v>
      </c>
      <c r="AH93" s="133">
        <f t="shared" si="80"/>
        <v>2.2625524538351538</v>
      </c>
      <c r="AI93" s="133">
        <f t="shared" si="80"/>
        <v>2.2821114395808642</v>
      </c>
      <c r="AJ93" s="133">
        <f t="shared" si="80"/>
        <v>2.3013159879186182</v>
      </c>
      <c r="AK93" s="133">
        <f t="shared" si="80"/>
        <v>2.3213186960481336</v>
      </c>
      <c r="AL93" s="467">
        <f t="shared" si="80"/>
        <v>2.3432757873022463</v>
      </c>
    </row>
    <row r="94" spans="2:38" x14ac:dyDescent="0.25">
      <c r="B94" s="134"/>
      <c r="C94" s="468" t="s">
        <v>176</v>
      </c>
      <c r="D94" s="134"/>
      <c r="E94" s="135">
        <f>E93*($E$5*$E$7)</f>
        <v>63636.084261011245</v>
      </c>
      <c r="F94" s="136">
        <f t="shared" ref="F94:AL94" si="81">F93*($E$5*$E$7)</f>
        <v>62537.382102599491</v>
      </c>
      <c r="G94" s="135">
        <f t="shared" si="81"/>
        <v>60734.247628656616</v>
      </c>
      <c r="H94" s="135">
        <f t="shared" si="81"/>
        <v>60643.279579700167</v>
      </c>
      <c r="I94" s="135">
        <f t="shared" si="81"/>
        <v>60311.387825453603</v>
      </c>
      <c r="J94" s="135">
        <f t="shared" si="81"/>
        <v>60385.177239803983</v>
      </c>
      <c r="K94" s="135">
        <f t="shared" si="81"/>
        <v>60731.153442424627</v>
      </c>
      <c r="L94" s="135">
        <f t="shared" si="81"/>
        <v>60906.69078373503</v>
      </c>
      <c r="M94" s="135">
        <f t="shared" si="81"/>
        <v>61240.294346484079</v>
      </c>
      <c r="N94" s="135">
        <f t="shared" si="81"/>
        <v>61527.172105205726</v>
      </c>
      <c r="O94" s="135">
        <f t="shared" si="81"/>
        <v>61732.090361154835</v>
      </c>
      <c r="P94" s="135">
        <f t="shared" si="81"/>
        <v>61838.22454083644</v>
      </c>
      <c r="Q94" s="135">
        <f t="shared" si="81"/>
        <v>61850.811669902898</v>
      </c>
      <c r="R94" s="135">
        <f t="shared" si="81"/>
        <v>62767.11874669783</v>
      </c>
      <c r="S94" s="135">
        <f t="shared" si="81"/>
        <v>62760.690228436739</v>
      </c>
      <c r="T94" s="135">
        <f t="shared" si="81"/>
        <v>62881.352202579394</v>
      </c>
      <c r="U94" s="135">
        <f t="shared" si="81"/>
        <v>63235.778663718833</v>
      </c>
      <c r="V94" s="135">
        <f t="shared" si="81"/>
        <v>63465.958410248524</v>
      </c>
      <c r="W94" s="135">
        <f t="shared" si="81"/>
        <v>63672.130760915876</v>
      </c>
      <c r="X94" s="135">
        <f t="shared" si="81"/>
        <v>63911.527385239759</v>
      </c>
      <c r="Y94" s="135">
        <f t="shared" si="81"/>
        <v>64261.066776781627</v>
      </c>
      <c r="Z94" s="135">
        <f t="shared" si="81"/>
        <v>64600.379446664512</v>
      </c>
      <c r="AA94" s="135">
        <f t="shared" si="81"/>
        <v>64935.51316917206</v>
      </c>
      <c r="AB94" s="135">
        <f t="shared" si="81"/>
        <v>65264.755109537706</v>
      </c>
      <c r="AC94" s="135">
        <f t="shared" si="81"/>
        <v>65604.706115684705</v>
      </c>
      <c r="AD94" s="135">
        <f t="shared" si="81"/>
        <v>66015.064996004832</v>
      </c>
      <c r="AE94" s="135">
        <f t="shared" si="81"/>
        <v>66428.936778305753</v>
      </c>
      <c r="AF94" s="135">
        <f t="shared" si="81"/>
        <v>66873.541065052181</v>
      </c>
      <c r="AG94" s="135">
        <f t="shared" si="81"/>
        <v>67338.54953444023</v>
      </c>
      <c r="AH94" s="135">
        <f t="shared" si="81"/>
        <v>67876.573615054614</v>
      </c>
      <c r="AI94" s="135">
        <f t="shared" si="81"/>
        <v>68463.343187425926</v>
      </c>
      <c r="AJ94" s="135">
        <f t="shared" si="81"/>
        <v>69039.479637558543</v>
      </c>
      <c r="AK94" s="135">
        <f t="shared" si="81"/>
        <v>69639.560881444006</v>
      </c>
      <c r="AL94" s="136">
        <f t="shared" si="81"/>
        <v>70298.27361906739</v>
      </c>
    </row>
    <row r="95" spans="2:38" x14ac:dyDescent="0.25">
      <c r="B95" s="134"/>
      <c r="C95" s="442" t="s">
        <v>149</v>
      </c>
      <c r="D95" s="134"/>
      <c r="E95" s="135">
        <f>$M$10*$E$5*$E$7</f>
        <v>30449.999999999996</v>
      </c>
      <c r="F95" s="136">
        <f>$M$10*$E$5*$E$7</f>
        <v>30449.999999999996</v>
      </c>
      <c r="G95" s="135">
        <f>$M$10*$E$5*$E$7</f>
        <v>30449.999999999996</v>
      </c>
      <c r="H95" s="135">
        <f>G95*(1+$E$2)</f>
        <v>31180.799999999996</v>
      </c>
      <c r="I95" s="135">
        <f t="shared" ref="I95:AL95" si="82">H95*(1+$E$2)</f>
        <v>31929.139199999998</v>
      </c>
      <c r="J95" s="135">
        <f t="shared" si="82"/>
        <v>32695.438540799998</v>
      </c>
      <c r="K95" s="135">
        <f t="shared" si="82"/>
        <v>33480.129065779198</v>
      </c>
      <c r="L95" s="135">
        <f t="shared" si="82"/>
        <v>34283.652163357896</v>
      </c>
      <c r="M95" s="135">
        <f t="shared" si="82"/>
        <v>35106.459815278489</v>
      </c>
      <c r="N95" s="135">
        <f t="shared" si="82"/>
        <v>35949.014850845175</v>
      </c>
      <c r="O95" s="135">
        <f t="shared" si="82"/>
        <v>36811.791207265458</v>
      </c>
      <c r="P95" s="135">
        <f t="shared" si="82"/>
        <v>37695.274196239829</v>
      </c>
      <c r="Q95" s="135">
        <f t="shared" si="82"/>
        <v>38599.960776949585</v>
      </c>
      <c r="R95" s="135">
        <f t="shared" si="82"/>
        <v>39526.359835596377</v>
      </c>
      <c r="S95" s="135">
        <f t="shared" si="82"/>
        <v>40474.992471650694</v>
      </c>
      <c r="T95" s="135">
        <f t="shared" si="82"/>
        <v>41446.392290970311</v>
      </c>
      <c r="U95" s="135">
        <f t="shared" si="82"/>
        <v>42441.105705953596</v>
      </c>
      <c r="V95" s="135">
        <f t="shared" si="82"/>
        <v>43459.692242896483</v>
      </c>
      <c r="W95" s="135">
        <f t="shared" si="82"/>
        <v>44502.724856725996</v>
      </c>
      <c r="X95" s="135">
        <f t="shared" si="82"/>
        <v>45570.790253287421</v>
      </c>
      <c r="Y95" s="135">
        <f t="shared" si="82"/>
        <v>46664.489219366318</v>
      </c>
      <c r="Z95" s="135">
        <f t="shared" si="82"/>
        <v>47784.436960631108</v>
      </c>
      <c r="AA95" s="135">
        <f t="shared" si="82"/>
        <v>48931.263447686259</v>
      </c>
      <c r="AB95" s="135">
        <f t="shared" si="82"/>
        <v>50105.613770430733</v>
      </c>
      <c r="AC95" s="135">
        <f t="shared" si="82"/>
        <v>51308.148500921074</v>
      </c>
      <c r="AD95" s="135">
        <f t="shared" si="82"/>
        <v>52539.544064943184</v>
      </c>
      <c r="AE95" s="135">
        <f t="shared" si="82"/>
        <v>53800.493122501823</v>
      </c>
      <c r="AF95" s="135">
        <f t="shared" si="82"/>
        <v>55091.704957441871</v>
      </c>
      <c r="AG95" s="135">
        <f t="shared" si="82"/>
        <v>56413.905876420475</v>
      </c>
      <c r="AH95" s="135">
        <f t="shared" si="82"/>
        <v>57767.839617454571</v>
      </c>
      <c r="AI95" s="135">
        <f t="shared" si="82"/>
        <v>59154.267768273479</v>
      </c>
      <c r="AJ95" s="135">
        <f t="shared" si="82"/>
        <v>60573.970194712041</v>
      </c>
      <c r="AK95" s="135">
        <f t="shared" si="82"/>
        <v>62027.745479385128</v>
      </c>
      <c r="AL95" s="136">
        <f t="shared" si="82"/>
        <v>63516.411370890375</v>
      </c>
    </row>
    <row r="96" spans="2:38" x14ac:dyDescent="0.25">
      <c r="B96" s="134"/>
      <c r="C96" s="468" t="s">
        <v>170</v>
      </c>
      <c r="D96" s="134"/>
      <c r="E96" s="135">
        <f>E94+E95</f>
        <v>94086.084261011245</v>
      </c>
      <c r="F96" s="136">
        <f t="shared" ref="F96:AL96" si="83">F94+F95</f>
        <v>92987.382102599484</v>
      </c>
      <c r="G96" s="135">
        <f t="shared" si="83"/>
        <v>91184.247628656609</v>
      </c>
      <c r="H96" s="135">
        <f t="shared" si="83"/>
        <v>91824.079579700163</v>
      </c>
      <c r="I96" s="135">
        <f t="shared" si="83"/>
        <v>92240.527025453601</v>
      </c>
      <c r="J96" s="135">
        <f t="shared" si="83"/>
        <v>93080.615780603985</v>
      </c>
      <c r="K96" s="135">
        <f t="shared" si="83"/>
        <v>94211.282508203818</v>
      </c>
      <c r="L96" s="135">
        <f t="shared" si="83"/>
        <v>95190.342947092926</v>
      </c>
      <c r="M96" s="135">
        <f t="shared" si="83"/>
        <v>96346.754161762568</v>
      </c>
      <c r="N96" s="135">
        <f t="shared" si="83"/>
        <v>97476.186956050893</v>
      </c>
      <c r="O96" s="135">
        <f t="shared" si="83"/>
        <v>98543.8815684203</v>
      </c>
      <c r="P96" s="135">
        <f t="shared" si="83"/>
        <v>99533.498737076268</v>
      </c>
      <c r="Q96" s="135">
        <f t="shared" si="83"/>
        <v>100450.77244685248</v>
      </c>
      <c r="R96" s="135">
        <f t="shared" si="83"/>
        <v>102293.47858229421</v>
      </c>
      <c r="S96" s="135">
        <f t="shared" si="83"/>
        <v>103235.68270008743</v>
      </c>
      <c r="T96" s="135">
        <f t="shared" si="83"/>
        <v>104327.7444935497</v>
      </c>
      <c r="U96" s="135">
        <f t="shared" si="83"/>
        <v>105676.88436967242</v>
      </c>
      <c r="V96" s="135">
        <f t="shared" si="83"/>
        <v>106925.65065314501</v>
      </c>
      <c r="W96" s="135">
        <f t="shared" si="83"/>
        <v>108174.85561764188</v>
      </c>
      <c r="X96" s="135">
        <f t="shared" si="83"/>
        <v>109482.31763852718</v>
      </c>
      <c r="Y96" s="135">
        <f t="shared" si="83"/>
        <v>110925.55599614794</v>
      </c>
      <c r="Z96" s="135">
        <f t="shared" si="83"/>
        <v>112384.81640729561</v>
      </c>
      <c r="AA96" s="135">
        <f t="shared" si="83"/>
        <v>113866.77661685832</v>
      </c>
      <c r="AB96" s="135">
        <f t="shared" si="83"/>
        <v>115370.36887996845</v>
      </c>
      <c r="AC96" s="135">
        <f t="shared" si="83"/>
        <v>116912.85461660578</v>
      </c>
      <c r="AD96" s="135">
        <f t="shared" si="83"/>
        <v>118554.60906094802</v>
      </c>
      <c r="AE96" s="135">
        <f t="shared" si="83"/>
        <v>120229.42990080758</v>
      </c>
      <c r="AF96" s="135">
        <f t="shared" si="83"/>
        <v>121965.24602249404</v>
      </c>
      <c r="AG96" s="135">
        <f t="shared" si="83"/>
        <v>123752.45541086071</v>
      </c>
      <c r="AH96" s="135">
        <f t="shared" si="83"/>
        <v>125644.41323250919</v>
      </c>
      <c r="AI96" s="135">
        <f t="shared" si="83"/>
        <v>127617.61095569941</v>
      </c>
      <c r="AJ96" s="135">
        <f t="shared" si="83"/>
        <v>129613.44983227059</v>
      </c>
      <c r="AK96" s="135">
        <f t="shared" si="83"/>
        <v>131667.30636082913</v>
      </c>
      <c r="AL96" s="136">
        <f t="shared" si="83"/>
        <v>133814.68498995778</v>
      </c>
    </row>
    <row r="97" spans="2:39" x14ac:dyDescent="0.25">
      <c r="B97" s="134"/>
      <c r="C97" s="442" t="s">
        <v>154</v>
      </c>
      <c r="D97" s="134"/>
      <c r="E97" s="135">
        <f>E96-E23</f>
        <v>48133.716386012456</v>
      </c>
      <c r="F97" s="136">
        <f t="shared" ref="F97:AL97" si="84">F96-F23</f>
        <v>43231.934228020094</v>
      </c>
      <c r="G97" s="135">
        <f t="shared" si="84"/>
        <v>43660.441395661532</v>
      </c>
      <c r="H97" s="135">
        <f t="shared" si="84"/>
        <v>43798.975444365111</v>
      </c>
      <c r="I97" s="135">
        <f t="shared" si="84"/>
        <v>42863.22877601067</v>
      </c>
      <c r="J97" s="135">
        <f t="shared" si="84"/>
        <v>42083.622229392378</v>
      </c>
      <c r="K97" s="135">
        <f t="shared" si="84"/>
        <v>41777.404319263514</v>
      </c>
      <c r="L97" s="135">
        <f t="shared" si="84"/>
        <v>41034.65834953275</v>
      </c>
      <c r="M97" s="135">
        <f t="shared" si="84"/>
        <v>40701.812221425003</v>
      </c>
      <c r="N97" s="135">
        <f t="shared" si="84"/>
        <v>39982.568434785266</v>
      </c>
      <c r="O97" s="135">
        <f t="shared" si="84"/>
        <v>39529.983913774326</v>
      </c>
      <c r="P97" s="135">
        <f t="shared" si="84"/>
        <v>38623.292412739815</v>
      </c>
      <c r="Q97" s="135">
        <f t="shared" si="84"/>
        <v>37750.047672713335</v>
      </c>
      <c r="R97" s="135">
        <f t="shared" si="84"/>
        <v>37442.11190803333</v>
      </c>
      <c r="S97" s="135">
        <f t="shared" si="84"/>
        <v>36460.472954404628</v>
      </c>
      <c r="T97" s="135">
        <f t="shared" si="84"/>
        <v>35705.802033951564</v>
      </c>
      <c r="U97" s="135">
        <f t="shared" si="84"/>
        <v>34883.96676110402</v>
      </c>
      <c r="V97" s="135">
        <f t="shared" si="84"/>
        <v>34165.931310900545</v>
      </c>
      <c r="W97" s="135">
        <f t="shared" si="84"/>
        <v>33364.049870344286</v>
      </c>
      <c r="X97" s="135">
        <f t="shared" si="84"/>
        <v>32515.386322336868</v>
      </c>
      <c r="Y97" s="135">
        <f t="shared" si="84"/>
        <v>31853.406393722631</v>
      </c>
      <c r="Z97" s="135">
        <f t="shared" si="84"/>
        <v>31085.372179415455</v>
      </c>
      <c r="AA97" s="135">
        <f t="shared" si="84"/>
        <v>30273.390685854232</v>
      </c>
      <c r="AB97" s="135">
        <f t="shared" si="84"/>
        <v>29753.116064335729</v>
      </c>
      <c r="AC97" s="135">
        <f t="shared" si="84"/>
        <v>28960.088752395997</v>
      </c>
      <c r="AD97" s="135">
        <f t="shared" si="84"/>
        <v>27855.469372910127</v>
      </c>
      <c r="AE97" s="135">
        <f t="shared" si="84"/>
        <v>27058.928851218239</v>
      </c>
      <c r="AF97" s="135">
        <f t="shared" si="84"/>
        <v>26167.68007332139</v>
      </c>
      <c r="AG97" s="135">
        <f t="shared" si="84"/>
        <v>24973.638592180389</v>
      </c>
      <c r="AH97" s="135">
        <f t="shared" si="84"/>
        <v>24400.27900207098</v>
      </c>
      <c r="AI97" s="135">
        <f t="shared" si="84"/>
        <v>23408.041280953956</v>
      </c>
      <c r="AJ97" s="135">
        <f t="shared" si="84"/>
        <v>22370.455270728562</v>
      </c>
      <c r="AK97" s="135">
        <f t="shared" si="84"/>
        <v>21415.072708628359</v>
      </c>
      <c r="AL97" s="136">
        <f t="shared" si="84"/>
        <v>20515.649347890052</v>
      </c>
    </row>
    <row r="98" spans="2:39" ht="15.75" thickBot="1" x14ac:dyDescent="0.3">
      <c r="B98" s="141"/>
      <c r="C98" s="443" t="s">
        <v>157</v>
      </c>
      <c r="D98" s="141"/>
      <c r="E98" s="150">
        <f>E97/E90</f>
        <v>818.96448576483112</v>
      </c>
      <c r="F98" s="151">
        <f t="shared" ref="F98:AL98" si="85">F97/F90</f>
        <v>735.56378858704136</v>
      </c>
      <c r="G98" s="150">
        <f t="shared" si="85"/>
        <v>742.85456475274782</v>
      </c>
      <c r="H98" s="150">
        <f t="shared" si="85"/>
        <v>745.21163323770736</v>
      </c>
      <c r="I98" s="150">
        <f t="shared" si="85"/>
        <v>729.2905004726972</v>
      </c>
      <c r="J98" s="150">
        <f t="shared" si="85"/>
        <v>716.02599229655971</v>
      </c>
      <c r="K98" s="150">
        <f t="shared" si="85"/>
        <v>710.81588985424048</v>
      </c>
      <c r="L98" s="150">
        <f t="shared" si="85"/>
        <v>698.17854088504214</v>
      </c>
      <c r="M98" s="150">
        <f t="shared" si="85"/>
        <v>692.51537629665836</v>
      </c>
      <c r="N98" s="150">
        <f t="shared" si="85"/>
        <v>680.27790198361868</v>
      </c>
      <c r="O98" s="150">
        <f t="shared" si="85"/>
        <v>672.57746500629537</v>
      </c>
      <c r="P98" s="150">
        <f t="shared" si="85"/>
        <v>657.15068738253694</v>
      </c>
      <c r="Q98" s="150">
        <f t="shared" si="85"/>
        <v>642.29298506577891</v>
      </c>
      <c r="R98" s="150">
        <f t="shared" si="85"/>
        <v>637.05365442387892</v>
      </c>
      <c r="S98" s="150">
        <f t="shared" si="85"/>
        <v>620.35169369393873</v>
      </c>
      <c r="T98" s="150">
        <f t="shared" si="85"/>
        <v>607.51144929365137</v>
      </c>
      <c r="U98" s="150">
        <f t="shared" si="85"/>
        <v>593.5284462732036</v>
      </c>
      <c r="V98" s="150">
        <f t="shared" si="85"/>
        <v>581.31153103397867</v>
      </c>
      <c r="W98" s="150">
        <f t="shared" si="85"/>
        <v>567.66802974388588</v>
      </c>
      <c r="X98" s="150">
        <f t="shared" si="85"/>
        <v>553.2285607320307</v>
      </c>
      <c r="Y98" s="150">
        <f t="shared" si="85"/>
        <v>541.96539444176392</v>
      </c>
      <c r="Z98" s="150">
        <f t="shared" si="85"/>
        <v>528.89778211934095</v>
      </c>
      <c r="AA98" s="150">
        <f t="shared" si="85"/>
        <v>515.0824348689431</v>
      </c>
      <c r="AB98" s="150">
        <f t="shared" si="85"/>
        <v>506.23029400262482</v>
      </c>
      <c r="AC98" s="150">
        <f t="shared" si="85"/>
        <v>492.73744006398897</v>
      </c>
      <c r="AD98" s="150">
        <f t="shared" si="85"/>
        <v>473.94304582208918</v>
      </c>
      <c r="AE98" s="150">
        <f t="shared" si="85"/>
        <v>460.39041686016225</v>
      </c>
      <c r="AF98" s="150">
        <f t="shared" si="85"/>
        <v>445.22638732158845</v>
      </c>
      <c r="AG98" s="150">
        <f t="shared" si="85"/>
        <v>424.910533051323</v>
      </c>
      <c r="AH98" s="150">
        <f t="shared" si="85"/>
        <v>415.15518530076491</v>
      </c>
      <c r="AI98" s="150">
        <f t="shared" si="85"/>
        <v>398.2728933016536</v>
      </c>
      <c r="AJ98" s="150">
        <f t="shared" si="85"/>
        <v>380.61902908542709</v>
      </c>
      <c r="AK98" s="150">
        <f t="shared" si="85"/>
        <v>364.36380411164026</v>
      </c>
      <c r="AL98" s="151">
        <f t="shared" si="85"/>
        <v>349.06068925957419</v>
      </c>
    </row>
    <row r="99" spans="2:39" x14ac:dyDescent="0.25">
      <c r="B99" s="87" t="s">
        <v>177</v>
      </c>
      <c r="C99" s="450" t="s">
        <v>500</v>
      </c>
      <c r="D99" s="451" t="s">
        <v>139</v>
      </c>
      <c r="E99" s="424"/>
      <c r="F99" s="425">
        <v>45.071682000000003</v>
      </c>
      <c r="G99" s="452">
        <v>33.252597999999999</v>
      </c>
      <c r="H99" s="452">
        <v>34.740051000000001</v>
      </c>
      <c r="I99" s="452">
        <v>35.656936999999999</v>
      </c>
      <c r="J99" s="452">
        <v>36.969535999999998</v>
      </c>
      <c r="K99" s="452">
        <v>38.461060000000003</v>
      </c>
      <c r="L99" s="452">
        <v>39.889266999999997</v>
      </c>
      <c r="M99" s="452">
        <v>41.661911000000003</v>
      </c>
      <c r="N99" s="452">
        <v>43.369644000000001</v>
      </c>
      <c r="O99" s="452">
        <v>44.733212000000002</v>
      </c>
      <c r="P99" s="452">
        <v>45.747687999999997</v>
      </c>
      <c r="Q99" s="452">
        <v>46.676856999999998</v>
      </c>
      <c r="R99" s="452">
        <v>47.572341999999999</v>
      </c>
      <c r="S99" s="452">
        <v>48.575695000000003</v>
      </c>
      <c r="T99" s="452">
        <v>49.627586000000001</v>
      </c>
      <c r="U99" s="452">
        <v>51.003799000000001</v>
      </c>
      <c r="V99" s="452">
        <v>52.227412999999999</v>
      </c>
      <c r="W99" s="452">
        <v>52.873469999999998</v>
      </c>
      <c r="X99" s="452">
        <v>53.636631000000001</v>
      </c>
      <c r="Y99" s="452">
        <v>54.585723999999999</v>
      </c>
      <c r="Z99" s="452">
        <v>55.632477000000002</v>
      </c>
      <c r="AA99" s="452">
        <v>56.568375000000003</v>
      </c>
      <c r="AB99" s="452">
        <v>57.481597999999998</v>
      </c>
      <c r="AC99" s="452">
        <v>58.470314000000002</v>
      </c>
      <c r="AD99" s="452">
        <v>59.526611000000003</v>
      </c>
      <c r="AE99" s="452">
        <v>60.421332999999997</v>
      </c>
      <c r="AF99" s="452">
        <v>61.528331999999999</v>
      </c>
      <c r="AG99" s="452">
        <v>62.742671999999999</v>
      </c>
      <c r="AH99" s="452">
        <v>63.992901000000003</v>
      </c>
      <c r="AI99" s="452">
        <v>65.289978000000005</v>
      </c>
      <c r="AJ99" s="452">
        <v>66.594391000000002</v>
      </c>
      <c r="AK99" s="452">
        <v>67.759308000000004</v>
      </c>
      <c r="AL99" s="453">
        <v>68.945312000000001</v>
      </c>
    </row>
    <row r="100" spans="2:39" x14ac:dyDescent="0.25">
      <c r="B100" s="108"/>
      <c r="C100" s="442" t="s">
        <v>178</v>
      </c>
      <c r="D100" s="108" t="s">
        <v>179</v>
      </c>
      <c r="E100" s="482"/>
      <c r="F100" s="483">
        <v>0.15</v>
      </c>
      <c r="G100" s="484">
        <f t="shared" ref="G100:AL100" si="86">G99/(1000000/3412)</f>
        <v>0.113457864376</v>
      </c>
      <c r="H100" s="484">
        <f t="shared" si="86"/>
        <v>0.11853305401200001</v>
      </c>
      <c r="I100" s="484">
        <f t="shared" si="86"/>
        <v>0.12166146904399999</v>
      </c>
      <c r="J100" s="484">
        <f t="shared" si="86"/>
        <v>0.126140056832</v>
      </c>
      <c r="K100" s="484">
        <f t="shared" si="86"/>
        <v>0.13122913672</v>
      </c>
      <c r="L100" s="484">
        <f t="shared" si="86"/>
        <v>0.13610217900399998</v>
      </c>
      <c r="M100" s="484">
        <f t="shared" si="86"/>
        <v>0.142150440332</v>
      </c>
      <c r="N100" s="484">
        <f t="shared" si="86"/>
        <v>0.14797722532800001</v>
      </c>
      <c r="O100" s="484">
        <f t="shared" si="86"/>
        <v>0.15262971934400002</v>
      </c>
      <c r="P100" s="484">
        <f t="shared" si="86"/>
        <v>0.15609111145599999</v>
      </c>
      <c r="Q100" s="484">
        <f t="shared" si="86"/>
        <v>0.15926143608400001</v>
      </c>
      <c r="R100" s="484">
        <f t="shared" si="86"/>
        <v>0.16231683090400001</v>
      </c>
      <c r="S100" s="484">
        <f t="shared" si="86"/>
        <v>0.16574027134000002</v>
      </c>
      <c r="T100" s="484">
        <f t="shared" si="86"/>
        <v>0.169329323432</v>
      </c>
      <c r="U100" s="484">
        <f t="shared" si="86"/>
        <v>0.17402496218800001</v>
      </c>
      <c r="V100" s="484">
        <f t="shared" si="86"/>
        <v>0.178199933156</v>
      </c>
      <c r="W100" s="484">
        <f t="shared" si="86"/>
        <v>0.18040427964</v>
      </c>
      <c r="X100" s="484">
        <f t="shared" si="86"/>
        <v>0.183008184972</v>
      </c>
      <c r="Y100" s="484">
        <f t="shared" si="86"/>
        <v>0.186246490288</v>
      </c>
      <c r="Z100" s="484">
        <f t="shared" si="86"/>
        <v>0.18981801152400002</v>
      </c>
      <c r="AA100" s="484">
        <f t="shared" si="86"/>
        <v>0.19301129550000001</v>
      </c>
      <c r="AB100" s="484">
        <f t="shared" si="86"/>
        <v>0.196127212376</v>
      </c>
      <c r="AC100" s="484">
        <f t="shared" si="86"/>
        <v>0.19950071136800002</v>
      </c>
      <c r="AD100" s="484">
        <f t="shared" si="86"/>
        <v>0.20310479673200002</v>
      </c>
      <c r="AE100" s="484">
        <f t="shared" si="86"/>
        <v>0.206157588196</v>
      </c>
      <c r="AF100" s="484">
        <f t="shared" si="86"/>
        <v>0.20993466878399999</v>
      </c>
      <c r="AG100" s="484">
        <f t="shared" si="86"/>
        <v>0.214077996864</v>
      </c>
      <c r="AH100" s="484">
        <f t="shared" si="86"/>
        <v>0.21834377821200002</v>
      </c>
      <c r="AI100" s="484">
        <f t="shared" si="86"/>
        <v>0.22276940493600003</v>
      </c>
      <c r="AJ100" s="484">
        <f t="shared" si="86"/>
        <v>0.22722006209200002</v>
      </c>
      <c r="AK100" s="484">
        <f t="shared" si="86"/>
        <v>0.23119475889600002</v>
      </c>
      <c r="AL100" s="485">
        <f t="shared" si="86"/>
        <v>0.235241404544</v>
      </c>
      <c r="AM100" s="152"/>
    </row>
    <row r="101" spans="2:39" x14ac:dyDescent="0.25">
      <c r="B101" s="108"/>
      <c r="C101" s="442"/>
      <c r="D101" s="108" t="s">
        <v>687</v>
      </c>
      <c r="E101" s="482"/>
      <c r="F101" s="483"/>
      <c r="G101" s="484"/>
      <c r="H101" s="545">
        <v>0</v>
      </c>
      <c r="I101" s="545">
        <f>1-(H100/I100)</f>
        <v>2.57140987741038E-2</v>
      </c>
      <c r="J101" s="545">
        <f t="shared" ref="J101:AL101" si="87">1-(I100/J100)</f>
        <v>3.5504881640927355E-2</v>
      </c>
      <c r="K101" s="545">
        <f t="shared" si="87"/>
        <v>3.8780106424523897E-2</v>
      </c>
      <c r="L101" s="545">
        <f t="shared" si="87"/>
        <v>3.5804292919195402E-2</v>
      </c>
      <c r="M101" s="545">
        <f t="shared" si="87"/>
        <v>4.2548312294172108E-2</v>
      </c>
      <c r="N101" s="545">
        <f t="shared" si="87"/>
        <v>3.9376228220826537E-2</v>
      </c>
      <c r="O101" s="545">
        <f t="shared" si="87"/>
        <v>3.0482228729741156E-2</v>
      </c>
      <c r="P101" s="545">
        <f t="shared" si="87"/>
        <v>2.2175459446168944E-2</v>
      </c>
      <c r="Q101" s="545">
        <f t="shared" si="87"/>
        <v>1.9906417435090029E-2</v>
      </c>
      <c r="R101" s="545">
        <f t="shared" si="87"/>
        <v>1.8823647572364655E-2</v>
      </c>
      <c r="S101" s="545">
        <f t="shared" si="87"/>
        <v>2.0655453308491056E-2</v>
      </c>
      <c r="T101" s="545">
        <f t="shared" si="87"/>
        <v>2.119569144467337E-2</v>
      </c>
      <c r="U101" s="545">
        <f t="shared" si="87"/>
        <v>2.6982558691363456E-2</v>
      </c>
      <c r="V101" s="545">
        <f t="shared" si="87"/>
        <v>2.3428577632210068E-2</v>
      </c>
      <c r="W101" s="545">
        <f t="shared" si="87"/>
        <v>1.2218925672932035E-2</v>
      </c>
      <c r="X101" s="545">
        <f t="shared" si="87"/>
        <v>1.4228354498999063E-2</v>
      </c>
      <c r="Y101" s="545">
        <f t="shared" si="87"/>
        <v>1.7387201825884047E-2</v>
      </c>
      <c r="Z101" s="545">
        <f t="shared" si="87"/>
        <v>1.8815502318906385E-2</v>
      </c>
      <c r="AA101" s="545">
        <f t="shared" si="87"/>
        <v>1.6544544544544459E-2</v>
      </c>
      <c r="AB101" s="545">
        <f t="shared" si="87"/>
        <v>1.5887223594584055E-2</v>
      </c>
      <c r="AC101" s="545">
        <f t="shared" si="87"/>
        <v>1.6909709087589375E-2</v>
      </c>
      <c r="AD101" s="545">
        <f t="shared" si="87"/>
        <v>1.7744954437268423E-2</v>
      </c>
      <c r="AE101" s="545">
        <f t="shared" si="87"/>
        <v>1.4808048011784036E-2</v>
      </c>
      <c r="AF101" s="545">
        <f t="shared" si="87"/>
        <v>1.7991695273000374E-2</v>
      </c>
      <c r="AG101" s="545">
        <f t="shared" si="87"/>
        <v>1.9354292083703428E-2</v>
      </c>
      <c r="AH101" s="545">
        <f t="shared" si="87"/>
        <v>1.9536995205140073E-2</v>
      </c>
      <c r="AI101" s="545">
        <f t="shared" si="87"/>
        <v>1.9866402773179082E-2</v>
      </c>
      <c r="AJ101" s="545">
        <f t="shared" si="87"/>
        <v>1.9587430418877116E-2</v>
      </c>
      <c r="AK101" s="545">
        <f t="shared" si="87"/>
        <v>1.7191984900436164E-2</v>
      </c>
      <c r="AL101" s="545">
        <f t="shared" si="87"/>
        <v>1.7202097801805483E-2</v>
      </c>
      <c r="AM101" s="152"/>
    </row>
    <row r="102" spans="2:39" x14ac:dyDescent="0.25">
      <c r="B102" s="108"/>
      <c r="C102" s="442" t="s">
        <v>180</v>
      </c>
      <c r="D102" s="486">
        <f>((($B$4*$B$3)+(($B$11-$B$3)*$B$5))/$E$10)</f>
        <v>0.18460799999999999</v>
      </c>
      <c r="E102" s="144"/>
      <c r="F102" s="477">
        <f>D102</f>
        <v>0.18460799999999999</v>
      </c>
      <c r="G102" s="112">
        <f>D102</f>
        <v>0.18460799999999999</v>
      </c>
      <c r="H102" s="112">
        <f>D102</f>
        <v>0.18460799999999999</v>
      </c>
      <c r="I102" s="112">
        <f>H102*(1+I101)</f>
        <v>0.18935502834648976</v>
      </c>
      <c r="J102" s="112">
        <f t="shared" ref="J102:AL102" si="88">I102*(1+J101)</f>
        <v>0.19607805621604632</v>
      </c>
      <c r="K102" s="112">
        <f t="shared" si="88"/>
        <v>0.20368198410361837</v>
      </c>
      <c r="L102" s="112">
        <f t="shared" si="88"/>
        <v>0.21097467352482721</v>
      </c>
      <c r="M102" s="112">
        <f t="shared" si="88"/>
        <v>0.21995128982012258</v>
      </c>
      <c r="N102" s="112">
        <f t="shared" si="88"/>
        <v>0.22861214200554489</v>
      </c>
      <c r="O102" s="112">
        <f t="shared" si="88"/>
        <v>0.23558074960855394</v>
      </c>
      <c r="P102" s="112">
        <f t="shared" si="88"/>
        <v>0.24080486096779649</v>
      </c>
      <c r="Q102" s="112">
        <f t="shared" si="88"/>
        <v>0.24559842305062027</v>
      </c>
      <c r="R102" s="112">
        <f t="shared" si="88"/>
        <v>0.25022148121045368</v>
      </c>
      <c r="S102" s="112">
        <f t="shared" si="88"/>
        <v>0.2553899193323777</v>
      </c>
      <c r="T102" s="112">
        <f t="shared" si="88"/>
        <v>0.26080308526062679</v>
      </c>
      <c r="U102" s="112">
        <f t="shared" si="88"/>
        <v>0.26784021981556033</v>
      </c>
      <c r="V102" s="112">
        <f t="shared" si="88"/>
        <v>0.27411533519853742</v>
      </c>
      <c r="W102" s="112">
        <f t="shared" si="88"/>
        <v>0.27746473010513917</v>
      </c>
      <c r="X102" s="112">
        <f t="shared" si="88"/>
        <v>0.28141259664604423</v>
      </c>
      <c r="Y102" s="112">
        <f t="shared" si="88"/>
        <v>0.28630557426027509</v>
      </c>
      <c r="Z102" s="112">
        <f t="shared" si="88"/>
        <v>0.29169255745668515</v>
      </c>
      <c r="AA102" s="112">
        <f t="shared" si="88"/>
        <v>0.29651847796683939</v>
      </c>
      <c r="AB102" s="112">
        <f t="shared" si="88"/>
        <v>0.30122933332622426</v>
      </c>
      <c r="AC102" s="112">
        <f t="shared" si="88"/>
        <v>0.30632303372141922</v>
      </c>
      <c r="AD102" s="112">
        <f t="shared" si="88"/>
        <v>0.31175872199789162</v>
      </c>
      <c r="AE102" s="112">
        <f t="shared" si="88"/>
        <v>0.31637526012132883</v>
      </c>
      <c r="AF102" s="112">
        <f t="shared" si="88"/>
        <v>0.322067387393348</v>
      </c>
      <c r="AG102" s="112">
        <f t="shared" si="88"/>
        <v>0.32830077367959409</v>
      </c>
      <c r="AH102" s="112">
        <f t="shared" si="88"/>
        <v>0.33471478432081608</v>
      </c>
      <c r="AI102" s="112">
        <f t="shared" si="88"/>
        <v>0.34136436304027123</v>
      </c>
      <c r="AJ102" s="112">
        <f t="shared" si="88"/>
        <v>0.34805081374880681</v>
      </c>
      <c r="AK102" s="112">
        <f t="shared" si="88"/>
        <v>0.35403449808336085</v>
      </c>
      <c r="AL102" s="112">
        <f t="shared" si="88"/>
        <v>0.36012463414460394</v>
      </c>
    </row>
    <row r="103" spans="2:39" x14ac:dyDescent="0.25">
      <c r="B103" s="108"/>
      <c r="C103" s="442" t="s">
        <v>181</v>
      </c>
      <c r="D103" s="487">
        <f>IF(B10&lt;B7,((((B10*B8)+B6)/E10)),(((($B$7*$B$8)+(($B$10-$B$7)*$B$9))+$B$6)/$E$10))</f>
        <v>0.27500930000000001</v>
      </c>
      <c r="E103" s="63"/>
      <c r="F103" s="477">
        <f>D103</f>
        <v>0.27500930000000001</v>
      </c>
      <c r="G103" s="112">
        <f>D103</f>
        <v>0.27500930000000001</v>
      </c>
      <c r="H103" s="112">
        <f>D103</f>
        <v>0.27500930000000001</v>
      </c>
      <c r="I103" s="112">
        <f>H103*(1+I101)</f>
        <v>0.28208091630399718</v>
      </c>
      <c r="J103" s="112">
        <f t="shared" ref="J103:AL103" si="89">I103*(1+J101)</f>
        <v>0.29209616585053494</v>
      </c>
      <c r="K103" s="112">
        <f t="shared" si="89"/>
        <v>0.30342368624841409</v>
      </c>
      <c r="L103" s="112">
        <f t="shared" si="89"/>
        <v>0.31428755678947434</v>
      </c>
      <c r="M103" s="112">
        <f t="shared" si="89"/>
        <v>0.32765996190592522</v>
      </c>
      <c r="N103" s="112">
        <f t="shared" si="89"/>
        <v>0.34056197534476024</v>
      </c>
      <c r="O103" s="112">
        <f t="shared" si="89"/>
        <v>0.35094306337387166</v>
      </c>
      <c r="P103" s="112">
        <f t="shared" si="89"/>
        <v>0.35872538704363327</v>
      </c>
      <c r="Q103" s="112">
        <f t="shared" si="89"/>
        <v>0.36586632434268807</v>
      </c>
      <c r="R103" s="112">
        <f t="shared" si="89"/>
        <v>0.37275326309071127</v>
      </c>
      <c r="S103" s="112">
        <f t="shared" si="89"/>
        <v>0.38045265071206913</v>
      </c>
      <c r="T103" s="112">
        <f t="shared" si="89"/>
        <v>0.38851660770587026</v>
      </c>
      <c r="U103" s="112">
        <f t="shared" si="89"/>
        <v>0.39899977987586333</v>
      </c>
      <c r="V103" s="112">
        <f t="shared" si="89"/>
        <v>0.40834777719391974</v>
      </c>
      <c r="W103" s="112">
        <f t="shared" si="89"/>
        <v>0.41333734833215918</v>
      </c>
      <c r="X103" s="112">
        <f t="shared" si="89"/>
        <v>0.41921845865190543</v>
      </c>
      <c r="Y103" s="112">
        <f t="shared" si="89"/>
        <v>0.42650749460162213</v>
      </c>
      <c r="Z103" s="112">
        <f t="shared" si="89"/>
        <v>0.43453244735532998</v>
      </c>
      <c r="AA103" s="112">
        <f t="shared" si="89"/>
        <v>0.44172158878665013</v>
      </c>
      <c r="AB103" s="112">
        <f t="shared" si="89"/>
        <v>0.44873931843425852</v>
      </c>
      <c r="AC103" s="112">
        <f t="shared" si="89"/>
        <v>0.45632736976514499</v>
      </c>
      <c r="AD103" s="112">
        <f t="shared" si="89"/>
        <v>0.46442487815010597</v>
      </c>
      <c r="AE103" s="112">
        <f t="shared" si="89"/>
        <v>0.47130210404361966</v>
      </c>
      <c r="AF103" s="112">
        <f t="shared" si="89"/>
        <v>0.47978162788109641</v>
      </c>
      <c r="AG103" s="112">
        <f t="shared" si="89"/>
        <v>0.48906746164350179</v>
      </c>
      <c r="AH103" s="112">
        <f t="shared" si="89"/>
        <v>0.49862237029662093</v>
      </c>
      <c r="AI103" s="112">
        <f t="shared" si="89"/>
        <v>0.50852820313665092</v>
      </c>
      <c r="AJ103" s="112">
        <f t="shared" si="89"/>
        <v>0.51848896393162658</v>
      </c>
      <c r="AK103" s="112">
        <f t="shared" si="89"/>
        <v>0.527402818370582</v>
      </c>
      <c r="AL103" s="112">
        <f t="shared" si="89"/>
        <v>0.5364752532331406</v>
      </c>
    </row>
    <row r="104" spans="2:39" x14ac:dyDescent="0.25">
      <c r="B104" s="108"/>
      <c r="C104" s="442" t="s">
        <v>182</v>
      </c>
      <c r="D104" s="108"/>
      <c r="E104" s="63"/>
      <c r="F104" s="477">
        <f>F102+F103</f>
        <v>0.45961730000000001</v>
      </c>
      <c r="G104" s="529">
        <f t="shared" ref="G104:AL104" si="90">G102+G103</f>
        <v>0.45961730000000001</v>
      </c>
      <c r="H104" s="530">
        <f t="shared" si="90"/>
        <v>0.45961730000000001</v>
      </c>
      <c r="I104" s="112">
        <f t="shared" si="90"/>
        <v>0.47143594465048694</v>
      </c>
      <c r="J104" s="112">
        <f t="shared" si="90"/>
        <v>0.48817422206658123</v>
      </c>
      <c r="K104" s="112">
        <f t="shared" si="90"/>
        <v>0.50710567035203247</v>
      </c>
      <c r="L104" s="112">
        <f t="shared" si="90"/>
        <v>0.52526223031430153</v>
      </c>
      <c r="M104" s="112">
        <f t="shared" si="90"/>
        <v>0.54761125172604785</v>
      </c>
      <c r="N104" s="112">
        <f t="shared" si="90"/>
        <v>0.5691741173503051</v>
      </c>
      <c r="O104" s="112">
        <f t="shared" si="90"/>
        <v>0.58652381298242562</v>
      </c>
      <c r="P104" s="112">
        <f t="shared" si="90"/>
        <v>0.59953024801142973</v>
      </c>
      <c r="Q104" s="112">
        <f t="shared" si="90"/>
        <v>0.61146474739330836</v>
      </c>
      <c r="R104" s="112">
        <f t="shared" si="90"/>
        <v>0.62297474430116495</v>
      </c>
      <c r="S104" s="112">
        <f t="shared" si="90"/>
        <v>0.63584257004444678</v>
      </c>
      <c r="T104" s="112">
        <f t="shared" si="90"/>
        <v>0.64931969296649705</v>
      </c>
      <c r="U104" s="112">
        <f t="shared" si="90"/>
        <v>0.6668399996914236</v>
      </c>
      <c r="V104" s="112">
        <f t="shared" si="90"/>
        <v>0.68246311239245716</v>
      </c>
      <c r="W104" s="112">
        <f t="shared" si="90"/>
        <v>0.69080207843729835</v>
      </c>
      <c r="X104" s="112">
        <f t="shared" si="90"/>
        <v>0.70063105529794967</v>
      </c>
      <c r="Y104" s="112">
        <f t="shared" si="90"/>
        <v>0.71281306886189721</v>
      </c>
      <c r="Z104" s="112">
        <f t="shared" si="90"/>
        <v>0.72622500481201513</v>
      </c>
      <c r="AA104" s="112">
        <f t="shared" si="90"/>
        <v>0.73824006675348952</v>
      </c>
      <c r="AB104" s="112">
        <f t="shared" si="90"/>
        <v>0.74996865176048277</v>
      </c>
      <c r="AC104" s="112">
        <f t="shared" si="90"/>
        <v>0.76265040348656421</v>
      </c>
      <c r="AD104" s="112">
        <f t="shared" si="90"/>
        <v>0.77618360014799759</v>
      </c>
      <c r="AE104" s="112">
        <f t="shared" si="90"/>
        <v>0.78767736416494849</v>
      </c>
      <c r="AF104" s="112">
        <f t="shared" si="90"/>
        <v>0.80184901527444441</v>
      </c>
      <c r="AG104" s="112">
        <f t="shared" si="90"/>
        <v>0.81736823532309588</v>
      </c>
      <c r="AH104" s="112">
        <f t="shared" si="90"/>
        <v>0.83333715461743707</v>
      </c>
      <c r="AI104" s="112">
        <f t="shared" si="90"/>
        <v>0.8498925661769221</v>
      </c>
      <c r="AJ104" s="112">
        <f t="shared" si="90"/>
        <v>0.86653977768043333</v>
      </c>
      <c r="AK104" s="112">
        <f t="shared" si="90"/>
        <v>0.88143731645394285</v>
      </c>
      <c r="AL104" s="113">
        <f t="shared" si="90"/>
        <v>0.89659988737774454</v>
      </c>
    </row>
    <row r="105" spans="2:39" x14ac:dyDescent="0.25">
      <c r="B105" s="108"/>
      <c r="C105" s="442" t="s">
        <v>144</v>
      </c>
      <c r="D105" s="108"/>
      <c r="E105" s="63"/>
      <c r="F105" s="146">
        <f>$E$5*$E$7*F104</f>
        <v>13788.519</v>
      </c>
      <c r="G105" s="145">
        <f t="shared" ref="G105:AL105" si="91">$E$5*$E$7*G104</f>
        <v>13788.519</v>
      </c>
      <c r="H105" s="145">
        <f t="shared" si="91"/>
        <v>13788.519</v>
      </c>
      <c r="I105" s="145">
        <f t="shared" si="91"/>
        <v>14143.078339514608</v>
      </c>
      <c r="J105" s="145">
        <f t="shared" si="91"/>
        <v>14645.226661997436</v>
      </c>
      <c r="K105" s="145">
        <f t="shared" si="91"/>
        <v>15213.170110560974</v>
      </c>
      <c r="L105" s="145">
        <f t="shared" si="91"/>
        <v>15757.866909429045</v>
      </c>
      <c r="M105" s="145">
        <f t="shared" si="91"/>
        <v>16428.337551781435</v>
      </c>
      <c r="N105" s="145">
        <f t="shared" si="91"/>
        <v>17075.223520509153</v>
      </c>
      <c r="O105" s="145">
        <f t="shared" si="91"/>
        <v>17595.714389472767</v>
      </c>
      <c r="P105" s="145">
        <f t="shared" si="91"/>
        <v>17985.907440342893</v>
      </c>
      <c r="Q105" s="145">
        <f t="shared" si="91"/>
        <v>18343.942421799249</v>
      </c>
      <c r="R105" s="145">
        <f t="shared" si="91"/>
        <v>18689.242329034947</v>
      </c>
      <c r="S105" s="145">
        <f t="shared" si="91"/>
        <v>19075.277101333402</v>
      </c>
      <c r="T105" s="145">
        <f t="shared" si="91"/>
        <v>19479.590788994912</v>
      </c>
      <c r="U105" s="145">
        <f t="shared" si="91"/>
        <v>20005.199990742709</v>
      </c>
      <c r="V105" s="145">
        <f t="shared" si="91"/>
        <v>20473.893371773716</v>
      </c>
      <c r="W105" s="145">
        <f t="shared" si="91"/>
        <v>20724.062353118952</v>
      </c>
      <c r="X105" s="145">
        <f t="shared" si="91"/>
        <v>21018.931658938491</v>
      </c>
      <c r="Y105" s="145">
        <f t="shared" si="91"/>
        <v>21384.392065856915</v>
      </c>
      <c r="Z105" s="145">
        <f t="shared" si="91"/>
        <v>21786.750144360452</v>
      </c>
      <c r="AA105" s="145">
        <f t="shared" si="91"/>
        <v>22147.202002604685</v>
      </c>
      <c r="AB105" s="145">
        <f t="shared" si="91"/>
        <v>22499.059552814484</v>
      </c>
      <c r="AC105" s="145">
        <f t="shared" si="91"/>
        <v>22879.512104596928</v>
      </c>
      <c r="AD105" s="145">
        <f t="shared" si="91"/>
        <v>23285.508004439929</v>
      </c>
      <c r="AE105" s="145">
        <f t="shared" si="91"/>
        <v>23630.320924948453</v>
      </c>
      <c r="AF105" s="145">
        <f t="shared" si="91"/>
        <v>24055.470458233332</v>
      </c>
      <c r="AG105" s="145">
        <f t="shared" si="91"/>
        <v>24521.047059692875</v>
      </c>
      <c r="AH105" s="145">
        <f t="shared" si="91"/>
        <v>25000.114638523111</v>
      </c>
      <c r="AI105" s="145">
        <f t="shared" si="91"/>
        <v>25496.776985307664</v>
      </c>
      <c r="AJ105" s="145">
        <f t="shared" si="91"/>
        <v>25996.193330413</v>
      </c>
      <c r="AK105" s="145">
        <f t="shared" si="91"/>
        <v>26443.119493618287</v>
      </c>
      <c r="AL105" s="146">
        <f t="shared" si="91"/>
        <v>26897.996621332335</v>
      </c>
    </row>
    <row r="106" spans="2:39" x14ac:dyDescent="0.25">
      <c r="B106" s="108"/>
      <c r="C106" s="442" t="s">
        <v>149</v>
      </c>
      <c r="D106" s="108"/>
      <c r="E106" s="63"/>
      <c r="F106" s="146">
        <f>$M$9*$E$5*$E$7</f>
        <v>27900</v>
      </c>
      <c r="G106" s="145">
        <f>$M$9*$E$5*$E$7</f>
        <v>27900</v>
      </c>
      <c r="H106" s="145">
        <f>G106*(1+$E$2)</f>
        <v>28569.600000000002</v>
      </c>
      <c r="I106" s="145">
        <f t="shared" ref="I106:AL106" si="92">H106*(1+$E$2)</f>
        <v>29255.270400000001</v>
      </c>
      <c r="J106" s="145">
        <f t="shared" si="92"/>
        <v>29957.396889600001</v>
      </c>
      <c r="K106" s="145">
        <f t="shared" si="92"/>
        <v>30676.374414950402</v>
      </c>
      <c r="L106" s="145">
        <f t="shared" si="92"/>
        <v>31412.607400909212</v>
      </c>
      <c r="M106" s="145">
        <f t="shared" si="92"/>
        <v>32166.509978531034</v>
      </c>
      <c r="N106" s="145">
        <f t="shared" si="92"/>
        <v>32938.506218015777</v>
      </c>
      <c r="O106" s="145">
        <f t="shared" si="92"/>
        <v>33729.030367248153</v>
      </c>
      <c r="P106" s="145">
        <f t="shared" si="92"/>
        <v>34538.527096062113</v>
      </c>
      <c r="Q106" s="145">
        <f t="shared" si="92"/>
        <v>35367.451746367602</v>
      </c>
      <c r="R106" s="145">
        <f t="shared" si="92"/>
        <v>36216.270588280422</v>
      </c>
      <c r="S106" s="145">
        <f t="shared" si="92"/>
        <v>37085.461082399153</v>
      </c>
      <c r="T106" s="145">
        <f t="shared" si="92"/>
        <v>37975.512148376736</v>
      </c>
      <c r="U106" s="145">
        <f t="shared" si="92"/>
        <v>38886.924439937779</v>
      </c>
      <c r="V106" s="145">
        <f t="shared" si="92"/>
        <v>39820.210626496286</v>
      </c>
      <c r="W106" s="145">
        <f t="shared" si="92"/>
        <v>40775.895681532194</v>
      </c>
      <c r="X106" s="145">
        <f t="shared" si="92"/>
        <v>41754.517177888971</v>
      </c>
      <c r="Y106" s="145">
        <f t="shared" si="92"/>
        <v>42756.625590158306</v>
      </c>
      <c r="Z106" s="145">
        <f t="shared" si="92"/>
        <v>43782.784604322107</v>
      </c>
      <c r="AA106" s="145">
        <f t="shared" si="92"/>
        <v>44833.571434825841</v>
      </c>
      <c r="AB106" s="145">
        <f t="shared" si="92"/>
        <v>45909.577149261662</v>
      </c>
      <c r="AC106" s="145">
        <f t="shared" si="92"/>
        <v>47011.407000843945</v>
      </c>
      <c r="AD106" s="145">
        <f t="shared" si="92"/>
        <v>48139.6807688642</v>
      </c>
      <c r="AE106" s="145">
        <f t="shared" si="92"/>
        <v>49295.033107316944</v>
      </c>
      <c r="AF106" s="145">
        <f t="shared" si="92"/>
        <v>50478.113901892553</v>
      </c>
      <c r="AG106" s="145">
        <f t="shared" si="92"/>
        <v>51689.588635537977</v>
      </c>
      <c r="AH106" s="145">
        <f t="shared" si="92"/>
        <v>52930.138762790892</v>
      </c>
      <c r="AI106" s="145">
        <f t="shared" si="92"/>
        <v>54200.462093097871</v>
      </c>
      <c r="AJ106" s="145">
        <f t="shared" si="92"/>
        <v>55501.273183332218</v>
      </c>
      <c r="AK106" s="145">
        <f t="shared" si="92"/>
        <v>56833.30373973219</v>
      </c>
      <c r="AL106" s="146">
        <f t="shared" si="92"/>
        <v>58197.30302948576</v>
      </c>
    </row>
    <row r="107" spans="2:39" x14ac:dyDescent="0.25">
      <c r="B107" s="108"/>
      <c r="C107" s="442" t="s">
        <v>150</v>
      </c>
      <c r="D107" s="108"/>
      <c r="E107" s="63"/>
      <c r="F107" s="146">
        <f>F105+F106</f>
        <v>41688.519</v>
      </c>
      <c r="G107" s="145">
        <f t="shared" ref="G107:AL107" si="93">G105+G106</f>
        <v>41688.519</v>
      </c>
      <c r="H107" s="145">
        <f t="shared" si="93"/>
        <v>42358.119000000006</v>
      </c>
      <c r="I107" s="145">
        <f t="shared" si="93"/>
        <v>43398.348739514608</v>
      </c>
      <c r="J107" s="145">
        <f t="shared" si="93"/>
        <v>44602.62355159744</v>
      </c>
      <c r="K107" s="145">
        <f t="shared" si="93"/>
        <v>45889.544525511374</v>
      </c>
      <c r="L107" s="145">
        <f t="shared" si="93"/>
        <v>47170.474310338257</v>
      </c>
      <c r="M107" s="145">
        <f t="shared" si="93"/>
        <v>48594.847530312472</v>
      </c>
      <c r="N107" s="145">
        <f t="shared" si="93"/>
        <v>50013.729738524926</v>
      </c>
      <c r="O107" s="145">
        <f t="shared" si="93"/>
        <v>51324.744756720916</v>
      </c>
      <c r="P107" s="145">
        <f t="shared" si="93"/>
        <v>52524.43453640501</v>
      </c>
      <c r="Q107" s="145">
        <f t="shared" si="93"/>
        <v>53711.394168166851</v>
      </c>
      <c r="R107" s="145">
        <f t="shared" si="93"/>
        <v>54905.512917315369</v>
      </c>
      <c r="S107" s="145">
        <f t="shared" si="93"/>
        <v>56160.738183732552</v>
      </c>
      <c r="T107" s="145">
        <f t="shared" si="93"/>
        <v>57455.102937371645</v>
      </c>
      <c r="U107" s="145">
        <f t="shared" si="93"/>
        <v>58892.124430680487</v>
      </c>
      <c r="V107" s="145">
        <f t="shared" si="93"/>
        <v>60294.103998270002</v>
      </c>
      <c r="W107" s="145">
        <f t="shared" si="93"/>
        <v>61499.95803465115</v>
      </c>
      <c r="X107" s="145">
        <f t="shared" si="93"/>
        <v>62773.448836827461</v>
      </c>
      <c r="Y107" s="145">
        <f t="shared" si="93"/>
        <v>64141.017656015218</v>
      </c>
      <c r="Z107" s="145">
        <f t="shared" si="93"/>
        <v>65569.534748682563</v>
      </c>
      <c r="AA107" s="145">
        <f t="shared" si="93"/>
        <v>66980.773437430529</v>
      </c>
      <c r="AB107" s="145">
        <f t="shared" si="93"/>
        <v>68408.636702076154</v>
      </c>
      <c r="AC107" s="145">
        <f t="shared" si="93"/>
        <v>69890.919105440873</v>
      </c>
      <c r="AD107" s="145">
        <f t="shared" si="93"/>
        <v>71425.188773304137</v>
      </c>
      <c r="AE107" s="145">
        <f t="shared" si="93"/>
        <v>72925.354032265401</v>
      </c>
      <c r="AF107" s="145">
        <f t="shared" si="93"/>
        <v>74533.584360125882</v>
      </c>
      <c r="AG107" s="145">
        <f t="shared" si="93"/>
        <v>76210.635695230856</v>
      </c>
      <c r="AH107" s="145">
        <f t="shared" si="93"/>
        <v>77930.253401313996</v>
      </c>
      <c r="AI107" s="145">
        <f t="shared" si="93"/>
        <v>79697.239078405531</v>
      </c>
      <c r="AJ107" s="145">
        <f t="shared" si="93"/>
        <v>81497.466513745225</v>
      </c>
      <c r="AK107" s="145">
        <f t="shared" si="93"/>
        <v>83276.423233350477</v>
      </c>
      <c r="AL107" s="146">
        <f t="shared" si="93"/>
        <v>85095.299650818095</v>
      </c>
    </row>
    <row r="108" spans="2:39" x14ac:dyDescent="0.25">
      <c r="B108" s="108"/>
      <c r="C108" s="442" t="s">
        <v>154</v>
      </c>
      <c r="D108" s="108"/>
      <c r="E108" s="63"/>
      <c r="F108" s="146">
        <f>F107-E23</f>
        <v>-4263.8488749987882</v>
      </c>
      <c r="G108" s="145">
        <f t="shared" ref="G108:AL108" si="94">G107-F23</f>
        <v>-8066.9288745793892</v>
      </c>
      <c r="H108" s="145">
        <f t="shared" si="94"/>
        <v>-5165.6872329950711</v>
      </c>
      <c r="I108" s="145">
        <f t="shared" si="94"/>
        <v>-4626.7553958204444</v>
      </c>
      <c r="J108" s="145">
        <f t="shared" si="94"/>
        <v>-4774.6746978454903</v>
      </c>
      <c r="K108" s="145">
        <f t="shared" si="94"/>
        <v>-5107.4490257002326</v>
      </c>
      <c r="L108" s="145">
        <f t="shared" si="94"/>
        <v>-5263.4038786020465</v>
      </c>
      <c r="M108" s="145">
        <f t="shared" si="94"/>
        <v>-5560.8370672477031</v>
      </c>
      <c r="N108" s="145">
        <f t="shared" si="94"/>
        <v>-5631.2122018126393</v>
      </c>
      <c r="O108" s="145">
        <f t="shared" si="94"/>
        <v>-6168.8737645447109</v>
      </c>
      <c r="P108" s="145">
        <f t="shared" si="94"/>
        <v>-6489.4631182409648</v>
      </c>
      <c r="Q108" s="145">
        <f t="shared" si="94"/>
        <v>-7198.8121561696025</v>
      </c>
      <c r="R108" s="145">
        <f t="shared" si="94"/>
        <v>-7795.2118568237784</v>
      </c>
      <c r="S108" s="145">
        <f t="shared" si="94"/>
        <v>-8690.6284905283246</v>
      </c>
      <c r="T108" s="145">
        <f t="shared" si="94"/>
        <v>-9320.1068083111604</v>
      </c>
      <c r="U108" s="145">
        <f t="shared" si="94"/>
        <v>-9729.8180289176526</v>
      </c>
      <c r="V108" s="145">
        <f t="shared" si="94"/>
        <v>-10498.813610298399</v>
      </c>
      <c r="W108" s="145">
        <f t="shared" si="94"/>
        <v>-11259.761307593319</v>
      </c>
      <c r="X108" s="145">
        <f t="shared" si="94"/>
        <v>-12037.356910470131</v>
      </c>
      <c r="Y108" s="145">
        <f t="shared" si="94"/>
        <v>-12825.913660175094</v>
      </c>
      <c r="Z108" s="145">
        <f t="shared" si="94"/>
        <v>-13502.614853742751</v>
      </c>
      <c r="AA108" s="145">
        <f t="shared" si="94"/>
        <v>-14318.670790449629</v>
      </c>
      <c r="AB108" s="145">
        <f t="shared" si="94"/>
        <v>-15184.749228927933</v>
      </c>
      <c r="AC108" s="145">
        <f t="shared" si="94"/>
        <v>-15726.333710191844</v>
      </c>
      <c r="AD108" s="145">
        <f t="shared" si="94"/>
        <v>-16527.577090905645</v>
      </c>
      <c r="AE108" s="145">
        <f t="shared" si="94"/>
        <v>-17773.785655772488</v>
      </c>
      <c r="AF108" s="145">
        <f t="shared" si="94"/>
        <v>-18636.916689463455</v>
      </c>
      <c r="AG108" s="145">
        <f t="shared" si="94"/>
        <v>-19586.930253941799</v>
      </c>
      <c r="AH108" s="145">
        <f t="shared" si="94"/>
        <v>-20848.563417366327</v>
      </c>
      <c r="AI108" s="145">
        <f t="shared" si="94"/>
        <v>-21546.895152032681</v>
      </c>
      <c r="AJ108" s="145">
        <f t="shared" si="94"/>
        <v>-22712.103161000225</v>
      </c>
      <c r="AK108" s="145">
        <f t="shared" si="94"/>
        <v>-23966.571328191552</v>
      </c>
      <c r="AL108" s="146">
        <f t="shared" si="94"/>
        <v>-25156.934001382673</v>
      </c>
    </row>
    <row r="109" spans="2:39" x14ac:dyDescent="0.25">
      <c r="B109" s="108"/>
      <c r="C109" s="442" t="s">
        <v>501</v>
      </c>
      <c r="D109" s="108"/>
      <c r="E109" s="63"/>
      <c r="F109" s="149">
        <f>(($B$10*$T$9)*12)/$V$3</f>
        <v>40.312342299424046</v>
      </c>
      <c r="G109" s="149">
        <f t="shared" ref="G109:AL109" si="95">(($B$10*$T$9)*12)/$V$3</f>
        <v>40.312342299424046</v>
      </c>
      <c r="H109" s="149">
        <f t="shared" si="95"/>
        <v>40.312342299424046</v>
      </c>
      <c r="I109" s="149">
        <f t="shared" si="95"/>
        <v>40.312342299424046</v>
      </c>
      <c r="J109" s="149">
        <f t="shared" si="95"/>
        <v>40.312342299424046</v>
      </c>
      <c r="K109" s="149">
        <f t="shared" si="95"/>
        <v>40.312342299424046</v>
      </c>
      <c r="L109" s="149">
        <f t="shared" si="95"/>
        <v>40.312342299424046</v>
      </c>
      <c r="M109" s="149">
        <f t="shared" si="95"/>
        <v>40.312342299424046</v>
      </c>
      <c r="N109" s="149">
        <f t="shared" si="95"/>
        <v>40.312342299424046</v>
      </c>
      <c r="O109" s="149">
        <f t="shared" si="95"/>
        <v>40.312342299424046</v>
      </c>
      <c r="P109" s="149">
        <f t="shared" si="95"/>
        <v>40.312342299424046</v>
      </c>
      <c r="Q109" s="149">
        <f t="shared" si="95"/>
        <v>40.312342299424046</v>
      </c>
      <c r="R109" s="149">
        <f t="shared" si="95"/>
        <v>40.312342299424046</v>
      </c>
      <c r="S109" s="149">
        <f t="shared" si="95"/>
        <v>40.312342299424046</v>
      </c>
      <c r="T109" s="149">
        <f t="shared" si="95"/>
        <v>40.312342299424046</v>
      </c>
      <c r="U109" s="149">
        <f t="shared" si="95"/>
        <v>40.312342299424046</v>
      </c>
      <c r="V109" s="149">
        <f t="shared" si="95"/>
        <v>40.312342299424046</v>
      </c>
      <c r="W109" s="149">
        <f t="shared" si="95"/>
        <v>40.312342299424046</v>
      </c>
      <c r="X109" s="149">
        <f t="shared" si="95"/>
        <v>40.312342299424046</v>
      </c>
      <c r="Y109" s="149">
        <f t="shared" si="95"/>
        <v>40.312342299424046</v>
      </c>
      <c r="Z109" s="149">
        <f t="shared" si="95"/>
        <v>40.312342299424046</v>
      </c>
      <c r="AA109" s="149">
        <f t="shared" si="95"/>
        <v>40.312342299424046</v>
      </c>
      <c r="AB109" s="149">
        <f t="shared" si="95"/>
        <v>40.312342299424046</v>
      </c>
      <c r="AC109" s="149">
        <f t="shared" si="95"/>
        <v>40.312342299424046</v>
      </c>
      <c r="AD109" s="149">
        <f t="shared" si="95"/>
        <v>40.312342299424046</v>
      </c>
      <c r="AE109" s="149">
        <f t="shared" si="95"/>
        <v>40.312342299424046</v>
      </c>
      <c r="AF109" s="149">
        <f t="shared" si="95"/>
        <v>40.312342299424046</v>
      </c>
      <c r="AG109" s="149">
        <f t="shared" si="95"/>
        <v>40.312342299424046</v>
      </c>
      <c r="AH109" s="149">
        <f t="shared" si="95"/>
        <v>40.312342299424046</v>
      </c>
      <c r="AI109" s="149">
        <f t="shared" si="95"/>
        <v>40.312342299424046</v>
      </c>
      <c r="AJ109" s="149">
        <f t="shared" si="95"/>
        <v>40.312342299424046</v>
      </c>
      <c r="AK109" s="149">
        <f t="shared" si="95"/>
        <v>40.312342299424046</v>
      </c>
      <c r="AL109" s="149">
        <f t="shared" si="95"/>
        <v>40.312342299424046</v>
      </c>
    </row>
    <row r="110" spans="2:39" x14ac:dyDescent="0.25">
      <c r="B110" s="108"/>
      <c r="C110" s="442" t="s">
        <v>502</v>
      </c>
      <c r="D110" s="108"/>
      <c r="E110" s="63"/>
      <c r="F110" s="149">
        <f>E24-F109</f>
        <v>55.994852012337802</v>
      </c>
      <c r="G110" s="148">
        <f t="shared" ref="G110:AL110" si="96">F24-G109</f>
        <v>55.994852012337802</v>
      </c>
      <c r="H110" s="148">
        <f t="shared" si="96"/>
        <v>55.994852012337802</v>
      </c>
      <c r="I110" s="148">
        <f t="shared" si="96"/>
        <v>55.994852012337802</v>
      </c>
      <c r="J110" s="148">
        <f t="shared" si="96"/>
        <v>55.994852012337802</v>
      </c>
      <c r="K110" s="148">
        <f t="shared" si="96"/>
        <v>55.994852012337802</v>
      </c>
      <c r="L110" s="148">
        <f t="shared" si="96"/>
        <v>55.994852012337802</v>
      </c>
      <c r="M110" s="148">
        <f t="shared" si="96"/>
        <v>55.994852012337802</v>
      </c>
      <c r="N110" s="148">
        <f t="shared" si="96"/>
        <v>55.994852012337802</v>
      </c>
      <c r="O110" s="148">
        <f t="shared" si="96"/>
        <v>55.994852012337802</v>
      </c>
      <c r="P110" s="148">
        <f t="shared" si="96"/>
        <v>55.994852012337802</v>
      </c>
      <c r="Q110" s="148">
        <f t="shared" si="96"/>
        <v>55.994852012337802</v>
      </c>
      <c r="R110" s="148">
        <f t="shared" si="96"/>
        <v>55.994852012337802</v>
      </c>
      <c r="S110" s="148">
        <f t="shared" si="96"/>
        <v>55.994852012337802</v>
      </c>
      <c r="T110" s="148">
        <f t="shared" si="96"/>
        <v>55.994852012337802</v>
      </c>
      <c r="U110" s="148">
        <f t="shared" si="96"/>
        <v>55.994852012337802</v>
      </c>
      <c r="V110" s="148">
        <f t="shared" si="96"/>
        <v>55.994852012337802</v>
      </c>
      <c r="W110" s="148">
        <f t="shared" si="96"/>
        <v>55.994852012337802</v>
      </c>
      <c r="X110" s="148">
        <f t="shared" si="96"/>
        <v>55.994852012337802</v>
      </c>
      <c r="Y110" s="148">
        <f t="shared" si="96"/>
        <v>55.994852012337802</v>
      </c>
      <c r="Z110" s="148">
        <f t="shared" si="96"/>
        <v>55.994852012337802</v>
      </c>
      <c r="AA110" s="148">
        <f t="shared" si="96"/>
        <v>55.994852012337802</v>
      </c>
      <c r="AB110" s="148">
        <f t="shared" si="96"/>
        <v>55.994852012337802</v>
      </c>
      <c r="AC110" s="148">
        <f t="shared" si="96"/>
        <v>55.994852012337802</v>
      </c>
      <c r="AD110" s="148">
        <f t="shared" si="96"/>
        <v>55.994852012337802</v>
      </c>
      <c r="AE110" s="148">
        <f t="shared" si="96"/>
        <v>55.994852012337802</v>
      </c>
      <c r="AF110" s="148">
        <f t="shared" si="96"/>
        <v>55.994852012337802</v>
      </c>
      <c r="AG110" s="148">
        <f t="shared" si="96"/>
        <v>55.994852012337802</v>
      </c>
      <c r="AH110" s="148">
        <f t="shared" si="96"/>
        <v>55.994852012337802</v>
      </c>
      <c r="AI110" s="148">
        <f t="shared" si="96"/>
        <v>55.994852012337802</v>
      </c>
      <c r="AJ110" s="148">
        <f t="shared" si="96"/>
        <v>55.994852012337802</v>
      </c>
      <c r="AK110" s="148">
        <f t="shared" si="96"/>
        <v>55.994852012337802</v>
      </c>
      <c r="AL110" s="149">
        <f t="shared" si="96"/>
        <v>55.994852012337802</v>
      </c>
    </row>
    <row r="111" spans="2:39" ht="15.75" thickBot="1" x14ac:dyDescent="0.3">
      <c r="B111" s="108"/>
      <c r="C111" s="442" t="s">
        <v>183</v>
      </c>
      <c r="D111" s="108"/>
      <c r="E111" s="63"/>
      <c r="F111" s="149">
        <f>F108/F110</f>
        <v>-76.147158564849846</v>
      </c>
      <c r="G111" s="148">
        <f t="shared" ref="G111:AL111" si="97">G108/G110</f>
        <v>-144.06554503978217</v>
      </c>
      <c r="H111" s="148">
        <f t="shared" si="97"/>
        <v>-92.252895531483375</v>
      </c>
      <c r="I111" s="148">
        <f t="shared" si="97"/>
        <v>-82.628227944972394</v>
      </c>
      <c r="J111" s="148">
        <f t="shared" si="97"/>
        <v>-85.26988689591407</v>
      </c>
      <c r="K111" s="148">
        <f t="shared" si="97"/>
        <v>-91.212831932743867</v>
      </c>
      <c r="L111" s="148">
        <f t="shared" si="97"/>
        <v>-93.997996055821659</v>
      </c>
      <c r="M111" s="148">
        <f t="shared" si="97"/>
        <v>-99.309791300500962</v>
      </c>
      <c r="N111" s="148">
        <f t="shared" si="97"/>
        <v>-100.56660566889022</v>
      </c>
      <c r="O111" s="148">
        <f t="shared" si="97"/>
        <v>-110.1685876977668</v>
      </c>
      <c r="P111" s="148">
        <f t="shared" si="97"/>
        <v>-115.89392390591708</v>
      </c>
      <c r="Q111" s="148">
        <f t="shared" si="97"/>
        <v>-128.5620355704026</v>
      </c>
      <c r="R111" s="148">
        <f t="shared" si="97"/>
        <v>-139.21300935139888</v>
      </c>
      <c r="S111" s="148">
        <f t="shared" si="97"/>
        <v>-155.20406212723711</v>
      </c>
      <c r="T111" s="148">
        <f t="shared" si="97"/>
        <v>-166.44577980592905</v>
      </c>
      <c r="U111" s="148">
        <f t="shared" si="97"/>
        <v>-173.76272423711026</v>
      </c>
      <c r="V111" s="148">
        <f t="shared" si="97"/>
        <v>-187.49605067239236</v>
      </c>
      <c r="W111" s="148">
        <f t="shared" si="97"/>
        <v>-201.08565167941444</v>
      </c>
      <c r="X111" s="148">
        <f t="shared" si="97"/>
        <v>-214.97256404602768</v>
      </c>
      <c r="Y111" s="148">
        <f t="shared" si="97"/>
        <v>-229.05522917265782</v>
      </c>
      <c r="Z111" s="148">
        <f t="shared" si="97"/>
        <v>-241.14029001751106</v>
      </c>
      <c r="AA111" s="148">
        <f t="shared" si="97"/>
        <v>-255.71405720109198</v>
      </c>
      <c r="AB111" s="148">
        <f t="shared" si="97"/>
        <v>-271.18116546824973</v>
      </c>
      <c r="AC111" s="148">
        <f t="shared" si="97"/>
        <v>-280.85320605413392</v>
      </c>
      <c r="AD111" s="148">
        <f t="shared" si="97"/>
        <v>-295.16243899106991</v>
      </c>
      <c r="AE111" s="148">
        <f t="shared" si="97"/>
        <v>-317.4182092999593</v>
      </c>
      <c r="AF111" s="148">
        <f t="shared" si="97"/>
        <v>-332.83268049993296</v>
      </c>
      <c r="AG111" s="148">
        <f t="shared" si="97"/>
        <v>-349.79876810150427</v>
      </c>
      <c r="AH111" s="148">
        <f t="shared" si="97"/>
        <v>-372.3300029933572</v>
      </c>
      <c r="AI111" s="148">
        <f t="shared" si="97"/>
        <v>-384.80135901216556</v>
      </c>
      <c r="AJ111" s="148">
        <f t="shared" si="97"/>
        <v>-405.61055784192234</v>
      </c>
      <c r="AK111" s="148">
        <f t="shared" si="97"/>
        <v>-428.01383460948881</v>
      </c>
      <c r="AL111" s="149">
        <f t="shared" si="97"/>
        <v>-449.2722651689416</v>
      </c>
    </row>
    <row r="112" spans="2:39" x14ac:dyDescent="0.25">
      <c r="B112" s="87" t="s">
        <v>185</v>
      </c>
      <c r="C112" s="479" t="s">
        <v>186</v>
      </c>
      <c r="D112" s="106"/>
      <c r="E112" s="107"/>
      <c r="F112" s="436">
        <f t="shared" ref="F112:AL112" si="98">((($E$7*$E$11)/$J$10)/12)/$E$10</f>
        <v>0.29166666666666663</v>
      </c>
      <c r="G112" s="488">
        <f t="shared" si="98"/>
        <v>0.29166666666666663</v>
      </c>
      <c r="H112" s="488">
        <f t="shared" si="98"/>
        <v>0.29166666666666663</v>
      </c>
      <c r="I112" s="488">
        <f t="shared" si="98"/>
        <v>0.29166666666666663</v>
      </c>
      <c r="J112" s="488">
        <f t="shared" si="98"/>
        <v>0.29166666666666663</v>
      </c>
      <c r="K112" s="488">
        <f t="shared" si="98"/>
        <v>0.29166666666666663</v>
      </c>
      <c r="L112" s="488">
        <f t="shared" si="98"/>
        <v>0.29166666666666663</v>
      </c>
      <c r="M112" s="488">
        <f t="shared" si="98"/>
        <v>0.29166666666666663</v>
      </c>
      <c r="N112" s="488">
        <f t="shared" si="98"/>
        <v>0.29166666666666663</v>
      </c>
      <c r="O112" s="488">
        <f t="shared" si="98"/>
        <v>0.29166666666666663</v>
      </c>
      <c r="P112" s="488">
        <f t="shared" si="98"/>
        <v>0.29166666666666663</v>
      </c>
      <c r="Q112" s="488">
        <f t="shared" si="98"/>
        <v>0.29166666666666663</v>
      </c>
      <c r="R112" s="488">
        <f t="shared" si="98"/>
        <v>0.29166666666666663</v>
      </c>
      <c r="S112" s="488">
        <f t="shared" si="98"/>
        <v>0.29166666666666663</v>
      </c>
      <c r="T112" s="488">
        <f t="shared" si="98"/>
        <v>0.29166666666666663</v>
      </c>
      <c r="U112" s="488">
        <f t="shared" si="98"/>
        <v>0.29166666666666663</v>
      </c>
      <c r="V112" s="488">
        <f t="shared" si="98"/>
        <v>0.29166666666666663</v>
      </c>
      <c r="W112" s="488">
        <f t="shared" si="98"/>
        <v>0.29166666666666663</v>
      </c>
      <c r="X112" s="488">
        <f t="shared" si="98"/>
        <v>0.29166666666666663</v>
      </c>
      <c r="Y112" s="488">
        <f t="shared" si="98"/>
        <v>0.29166666666666663</v>
      </c>
      <c r="Z112" s="488">
        <f t="shared" si="98"/>
        <v>0.29166666666666663</v>
      </c>
      <c r="AA112" s="488">
        <f t="shared" si="98"/>
        <v>0.29166666666666663</v>
      </c>
      <c r="AB112" s="488">
        <f t="shared" si="98"/>
        <v>0.29166666666666663</v>
      </c>
      <c r="AC112" s="488">
        <f t="shared" si="98"/>
        <v>0.29166666666666663</v>
      </c>
      <c r="AD112" s="488">
        <f t="shared" si="98"/>
        <v>0.29166666666666663</v>
      </c>
      <c r="AE112" s="488">
        <f t="shared" si="98"/>
        <v>0.29166666666666663</v>
      </c>
      <c r="AF112" s="488">
        <f t="shared" si="98"/>
        <v>0.29166666666666663</v>
      </c>
      <c r="AG112" s="488">
        <f t="shared" si="98"/>
        <v>0.29166666666666663</v>
      </c>
      <c r="AH112" s="488">
        <f t="shared" si="98"/>
        <v>0.29166666666666663</v>
      </c>
      <c r="AI112" s="488">
        <f t="shared" si="98"/>
        <v>0.29166666666666663</v>
      </c>
      <c r="AJ112" s="488">
        <f t="shared" si="98"/>
        <v>0.29166666666666663</v>
      </c>
      <c r="AK112" s="488">
        <f t="shared" si="98"/>
        <v>0.29166666666666663</v>
      </c>
      <c r="AL112" s="489">
        <f t="shared" si="98"/>
        <v>0.29166666666666663</v>
      </c>
    </row>
    <row r="113" spans="2:38" x14ac:dyDescent="0.25">
      <c r="B113" s="108"/>
      <c r="C113" s="468" t="s">
        <v>187</v>
      </c>
      <c r="D113" s="108"/>
      <c r="E113" s="144"/>
      <c r="F113" s="477">
        <f t="shared" ref="F113:AL113" si="99">F112+F104</f>
        <v>0.75128396666666664</v>
      </c>
      <c r="G113" s="112">
        <f t="shared" si="99"/>
        <v>0.75128396666666664</v>
      </c>
      <c r="H113" s="112">
        <f t="shared" si="99"/>
        <v>0.75128396666666664</v>
      </c>
      <c r="I113" s="112">
        <f t="shared" si="99"/>
        <v>0.76310261131715351</v>
      </c>
      <c r="J113" s="112">
        <f t="shared" si="99"/>
        <v>0.77984088873324786</v>
      </c>
      <c r="K113" s="112">
        <f t="shared" si="99"/>
        <v>0.7987723370186991</v>
      </c>
      <c r="L113" s="112">
        <f t="shared" si="99"/>
        <v>0.81692889698096816</v>
      </c>
      <c r="M113" s="112">
        <f t="shared" si="99"/>
        <v>0.83927791839271448</v>
      </c>
      <c r="N113" s="112">
        <f t="shared" si="99"/>
        <v>0.86084078401697173</v>
      </c>
      <c r="O113" s="112">
        <f t="shared" si="99"/>
        <v>0.87819047964909225</v>
      </c>
      <c r="P113" s="112">
        <f t="shared" si="99"/>
        <v>0.89119691467809636</v>
      </c>
      <c r="Q113" s="112">
        <f t="shared" si="99"/>
        <v>0.90313141405997499</v>
      </c>
      <c r="R113" s="112">
        <f t="shared" si="99"/>
        <v>0.91464141096783158</v>
      </c>
      <c r="S113" s="112">
        <f t="shared" si="99"/>
        <v>0.92750923671111341</v>
      </c>
      <c r="T113" s="112">
        <f t="shared" si="99"/>
        <v>0.94098635963316368</v>
      </c>
      <c r="U113" s="112">
        <f t="shared" si="99"/>
        <v>0.95850666635809023</v>
      </c>
      <c r="V113" s="112">
        <f t="shared" si="99"/>
        <v>0.97412977905912379</v>
      </c>
      <c r="W113" s="112">
        <f t="shared" si="99"/>
        <v>0.98246874510396498</v>
      </c>
      <c r="X113" s="112">
        <f t="shared" si="99"/>
        <v>0.9922977219646163</v>
      </c>
      <c r="Y113" s="112">
        <f t="shared" si="99"/>
        <v>1.0044797355285637</v>
      </c>
      <c r="Z113" s="112">
        <f t="shared" si="99"/>
        <v>1.0178916714786816</v>
      </c>
      <c r="AA113" s="112">
        <f t="shared" si="99"/>
        <v>1.0299067334201562</v>
      </c>
      <c r="AB113" s="112">
        <f t="shared" si="99"/>
        <v>1.0416353184271494</v>
      </c>
      <c r="AC113" s="112">
        <f t="shared" si="99"/>
        <v>1.054317070153231</v>
      </c>
      <c r="AD113" s="112">
        <f t="shared" si="99"/>
        <v>1.0678502668146641</v>
      </c>
      <c r="AE113" s="112">
        <f t="shared" si="99"/>
        <v>1.0793440308316151</v>
      </c>
      <c r="AF113" s="112">
        <f t="shared" si="99"/>
        <v>1.0935156819411112</v>
      </c>
      <c r="AG113" s="112">
        <f t="shared" si="99"/>
        <v>1.1090349019897625</v>
      </c>
      <c r="AH113" s="112">
        <f t="shared" si="99"/>
        <v>1.1250038212841038</v>
      </c>
      <c r="AI113" s="112">
        <f t="shared" si="99"/>
        <v>1.1415592328435888</v>
      </c>
      <c r="AJ113" s="112">
        <f t="shared" si="99"/>
        <v>1.1582064443470999</v>
      </c>
      <c r="AK113" s="112">
        <f t="shared" si="99"/>
        <v>1.1731039831206096</v>
      </c>
      <c r="AL113" s="113">
        <f t="shared" si="99"/>
        <v>1.1882665540444113</v>
      </c>
    </row>
    <row r="114" spans="2:38" x14ac:dyDescent="0.25">
      <c r="B114" s="108"/>
      <c r="C114" s="468" t="s">
        <v>188</v>
      </c>
      <c r="D114" s="108"/>
      <c r="E114" s="63"/>
      <c r="F114" s="146">
        <f>($E$5*$E$7)*F113</f>
        <v>22538.519</v>
      </c>
      <c r="G114" s="145">
        <f t="shared" ref="G114:AL114" si="100">($E$5*$E$7)*G113</f>
        <v>22538.519</v>
      </c>
      <c r="H114" s="145">
        <f t="shared" si="100"/>
        <v>22538.519</v>
      </c>
      <c r="I114" s="145">
        <f t="shared" si="100"/>
        <v>22893.078339514606</v>
      </c>
      <c r="J114" s="145">
        <f t="shared" si="100"/>
        <v>23395.226661997436</v>
      </c>
      <c r="K114" s="145">
        <f t="shared" si="100"/>
        <v>23963.170110560972</v>
      </c>
      <c r="L114" s="145">
        <f t="shared" si="100"/>
        <v>24507.866909429045</v>
      </c>
      <c r="M114" s="145">
        <f t="shared" si="100"/>
        <v>25178.337551781435</v>
      </c>
      <c r="N114" s="145">
        <f t="shared" si="100"/>
        <v>25825.223520509153</v>
      </c>
      <c r="O114" s="145">
        <f t="shared" si="100"/>
        <v>26345.714389472767</v>
      </c>
      <c r="P114" s="145">
        <f t="shared" si="100"/>
        <v>26735.907440342889</v>
      </c>
      <c r="Q114" s="145">
        <f t="shared" si="100"/>
        <v>27093.942421799249</v>
      </c>
      <c r="R114" s="145">
        <f t="shared" si="100"/>
        <v>27439.242329034947</v>
      </c>
      <c r="S114" s="145">
        <f t="shared" si="100"/>
        <v>27825.277101333402</v>
      </c>
      <c r="T114" s="145">
        <f t="shared" si="100"/>
        <v>28229.590788994912</v>
      </c>
      <c r="U114" s="145">
        <f t="shared" si="100"/>
        <v>28755.199990742705</v>
      </c>
      <c r="V114" s="145">
        <f t="shared" si="100"/>
        <v>29223.893371773713</v>
      </c>
      <c r="W114" s="145">
        <f t="shared" si="100"/>
        <v>29474.062353118949</v>
      </c>
      <c r="X114" s="145">
        <f t="shared" si="100"/>
        <v>29768.931658938491</v>
      </c>
      <c r="Y114" s="145">
        <f t="shared" si="100"/>
        <v>30134.392065856911</v>
      </c>
      <c r="Z114" s="145">
        <f t="shared" si="100"/>
        <v>30536.750144360449</v>
      </c>
      <c r="AA114" s="145">
        <f t="shared" si="100"/>
        <v>30897.202002604685</v>
      </c>
      <c r="AB114" s="145">
        <f t="shared" si="100"/>
        <v>31249.05955281448</v>
      </c>
      <c r="AC114" s="145">
        <f t="shared" si="100"/>
        <v>31629.512104596928</v>
      </c>
      <c r="AD114" s="145">
        <f t="shared" si="100"/>
        <v>32035.508004439922</v>
      </c>
      <c r="AE114" s="145">
        <f t="shared" si="100"/>
        <v>32380.320924948453</v>
      </c>
      <c r="AF114" s="145">
        <f t="shared" si="100"/>
        <v>32805.470458233336</v>
      </c>
      <c r="AG114" s="145">
        <f t="shared" si="100"/>
        <v>33271.047059692879</v>
      </c>
      <c r="AH114" s="145">
        <f t="shared" si="100"/>
        <v>33750.114638523111</v>
      </c>
      <c r="AI114" s="145">
        <f t="shared" si="100"/>
        <v>34246.776985307668</v>
      </c>
      <c r="AJ114" s="145">
        <f t="shared" si="100"/>
        <v>34746.193330412993</v>
      </c>
      <c r="AK114" s="145">
        <f t="shared" si="100"/>
        <v>35193.119493618287</v>
      </c>
      <c r="AL114" s="146">
        <f t="shared" si="100"/>
        <v>35647.996621332335</v>
      </c>
    </row>
    <row r="115" spans="2:38" x14ac:dyDescent="0.25">
      <c r="B115" s="108"/>
      <c r="C115" s="442" t="s">
        <v>149</v>
      </c>
      <c r="D115" s="108"/>
      <c r="E115" s="63"/>
      <c r="F115" s="146">
        <f>$M$9*$E$5*$E$7</f>
        <v>27900</v>
      </c>
      <c r="G115" s="145">
        <f>$M$9*$E$5*$E$7</f>
        <v>27900</v>
      </c>
      <c r="H115" s="145">
        <f>G115*(1+$E$2)</f>
        <v>28569.600000000002</v>
      </c>
      <c r="I115" s="145">
        <f t="shared" ref="I115:AL115" si="101">H115*(1+$E$2)</f>
        <v>29255.270400000001</v>
      </c>
      <c r="J115" s="145">
        <f t="shared" si="101"/>
        <v>29957.396889600001</v>
      </c>
      <c r="K115" s="145">
        <f t="shared" si="101"/>
        <v>30676.374414950402</v>
      </c>
      <c r="L115" s="145">
        <f t="shared" si="101"/>
        <v>31412.607400909212</v>
      </c>
      <c r="M115" s="145">
        <f t="shared" si="101"/>
        <v>32166.509978531034</v>
      </c>
      <c r="N115" s="145">
        <f t="shared" si="101"/>
        <v>32938.506218015777</v>
      </c>
      <c r="O115" s="145">
        <f t="shared" si="101"/>
        <v>33729.030367248153</v>
      </c>
      <c r="P115" s="145">
        <f t="shared" si="101"/>
        <v>34538.527096062113</v>
      </c>
      <c r="Q115" s="145">
        <f t="shared" si="101"/>
        <v>35367.451746367602</v>
      </c>
      <c r="R115" s="145">
        <f t="shared" si="101"/>
        <v>36216.270588280422</v>
      </c>
      <c r="S115" s="145">
        <f t="shared" si="101"/>
        <v>37085.461082399153</v>
      </c>
      <c r="T115" s="145">
        <f t="shared" si="101"/>
        <v>37975.512148376736</v>
      </c>
      <c r="U115" s="145">
        <f t="shared" si="101"/>
        <v>38886.924439937779</v>
      </c>
      <c r="V115" s="145">
        <f t="shared" si="101"/>
        <v>39820.210626496286</v>
      </c>
      <c r="W115" s="145">
        <f t="shared" si="101"/>
        <v>40775.895681532194</v>
      </c>
      <c r="X115" s="145">
        <f t="shared" si="101"/>
        <v>41754.517177888971</v>
      </c>
      <c r="Y115" s="145">
        <f t="shared" si="101"/>
        <v>42756.625590158306</v>
      </c>
      <c r="Z115" s="145">
        <f t="shared" si="101"/>
        <v>43782.784604322107</v>
      </c>
      <c r="AA115" s="145">
        <f t="shared" si="101"/>
        <v>44833.571434825841</v>
      </c>
      <c r="AB115" s="145">
        <f t="shared" si="101"/>
        <v>45909.577149261662</v>
      </c>
      <c r="AC115" s="145">
        <f t="shared" si="101"/>
        <v>47011.407000843945</v>
      </c>
      <c r="AD115" s="145">
        <f t="shared" si="101"/>
        <v>48139.6807688642</v>
      </c>
      <c r="AE115" s="145">
        <f t="shared" si="101"/>
        <v>49295.033107316944</v>
      </c>
      <c r="AF115" s="145">
        <f t="shared" si="101"/>
        <v>50478.113901892553</v>
      </c>
      <c r="AG115" s="145">
        <f t="shared" si="101"/>
        <v>51689.588635537977</v>
      </c>
      <c r="AH115" s="145">
        <f t="shared" si="101"/>
        <v>52930.138762790892</v>
      </c>
      <c r="AI115" s="145">
        <f t="shared" si="101"/>
        <v>54200.462093097871</v>
      </c>
      <c r="AJ115" s="145">
        <f t="shared" si="101"/>
        <v>55501.273183332218</v>
      </c>
      <c r="AK115" s="145">
        <f t="shared" si="101"/>
        <v>56833.30373973219</v>
      </c>
      <c r="AL115" s="146">
        <f t="shared" si="101"/>
        <v>58197.30302948576</v>
      </c>
    </row>
    <row r="116" spans="2:38" x14ac:dyDescent="0.25">
      <c r="B116" s="108"/>
      <c r="C116" s="442" t="s">
        <v>150</v>
      </c>
      <c r="D116" s="108"/>
      <c r="E116" s="63"/>
      <c r="F116" s="146">
        <f>F114+F115</f>
        <v>50438.519</v>
      </c>
      <c r="G116" s="145">
        <f t="shared" ref="G116:AL116" si="102">G114+G115</f>
        <v>50438.519</v>
      </c>
      <c r="H116" s="145">
        <f t="shared" si="102"/>
        <v>51108.119000000006</v>
      </c>
      <c r="I116" s="145">
        <f t="shared" si="102"/>
        <v>52148.348739514608</v>
      </c>
      <c r="J116" s="145">
        <f t="shared" si="102"/>
        <v>53352.62355159744</v>
      </c>
      <c r="K116" s="145">
        <f t="shared" si="102"/>
        <v>54639.544525511374</v>
      </c>
      <c r="L116" s="145">
        <f t="shared" si="102"/>
        <v>55920.474310338257</v>
      </c>
      <c r="M116" s="145">
        <f t="shared" si="102"/>
        <v>57344.847530312472</v>
      </c>
      <c r="N116" s="145">
        <f t="shared" si="102"/>
        <v>58763.729738524926</v>
      </c>
      <c r="O116" s="145">
        <f t="shared" si="102"/>
        <v>60074.744756720916</v>
      </c>
      <c r="P116" s="145">
        <f t="shared" si="102"/>
        <v>61274.434536405002</v>
      </c>
      <c r="Q116" s="145">
        <f t="shared" si="102"/>
        <v>62461.394168166851</v>
      </c>
      <c r="R116" s="145">
        <f t="shared" si="102"/>
        <v>63655.512917315369</v>
      </c>
      <c r="S116" s="145">
        <f t="shared" si="102"/>
        <v>64910.738183732552</v>
      </c>
      <c r="T116" s="145">
        <f t="shared" si="102"/>
        <v>66205.102937371645</v>
      </c>
      <c r="U116" s="145">
        <f t="shared" si="102"/>
        <v>67642.124430680487</v>
      </c>
      <c r="V116" s="145">
        <f t="shared" si="102"/>
        <v>69044.103998270002</v>
      </c>
      <c r="W116" s="145">
        <f t="shared" si="102"/>
        <v>70249.95803465115</v>
      </c>
      <c r="X116" s="145">
        <f t="shared" si="102"/>
        <v>71523.448836827461</v>
      </c>
      <c r="Y116" s="145">
        <f t="shared" si="102"/>
        <v>72891.017656015218</v>
      </c>
      <c r="Z116" s="145">
        <f t="shared" si="102"/>
        <v>74319.534748682549</v>
      </c>
      <c r="AA116" s="145">
        <f t="shared" si="102"/>
        <v>75730.773437430529</v>
      </c>
      <c r="AB116" s="145">
        <f t="shared" si="102"/>
        <v>77158.636702076139</v>
      </c>
      <c r="AC116" s="145">
        <f t="shared" si="102"/>
        <v>78640.919105440873</v>
      </c>
      <c r="AD116" s="145">
        <f t="shared" si="102"/>
        <v>80175.188773304122</v>
      </c>
      <c r="AE116" s="145">
        <f t="shared" si="102"/>
        <v>81675.354032265401</v>
      </c>
      <c r="AF116" s="145">
        <f t="shared" si="102"/>
        <v>83283.584360125882</v>
      </c>
      <c r="AG116" s="145">
        <f t="shared" si="102"/>
        <v>84960.635695230856</v>
      </c>
      <c r="AH116" s="145">
        <f t="shared" si="102"/>
        <v>86680.253401313996</v>
      </c>
      <c r="AI116" s="145">
        <f t="shared" si="102"/>
        <v>88447.239078405546</v>
      </c>
      <c r="AJ116" s="145">
        <f t="shared" si="102"/>
        <v>90247.46651374521</v>
      </c>
      <c r="AK116" s="145">
        <f t="shared" si="102"/>
        <v>92026.423233350477</v>
      </c>
      <c r="AL116" s="146">
        <f t="shared" si="102"/>
        <v>93845.299650818095</v>
      </c>
    </row>
    <row r="117" spans="2:38" x14ac:dyDescent="0.25">
      <c r="B117" s="108"/>
      <c r="C117" s="442" t="s">
        <v>154</v>
      </c>
      <c r="D117" s="108"/>
      <c r="E117" s="63"/>
      <c r="F117" s="146">
        <f t="shared" ref="F117:AI117" si="103">F116-F23</f>
        <v>683.07112542061077</v>
      </c>
      <c r="G117" s="145">
        <f t="shared" si="103"/>
        <v>2914.7127670049231</v>
      </c>
      <c r="H117" s="145">
        <f t="shared" si="103"/>
        <v>3083.0148646649541</v>
      </c>
      <c r="I117" s="145">
        <f t="shared" si="103"/>
        <v>2771.0504900716769</v>
      </c>
      <c r="J117" s="145">
        <f t="shared" si="103"/>
        <v>2355.6300003858341</v>
      </c>
      <c r="K117" s="145">
        <f t="shared" si="103"/>
        <v>2205.6663365710701</v>
      </c>
      <c r="L117" s="145">
        <f t="shared" si="103"/>
        <v>1764.7897127780816</v>
      </c>
      <c r="M117" s="145">
        <f t="shared" si="103"/>
        <v>1699.9055899749073</v>
      </c>
      <c r="N117" s="145">
        <f t="shared" si="103"/>
        <v>1270.1112172592984</v>
      </c>
      <c r="O117" s="145">
        <f t="shared" si="103"/>
        <v>1060.8471020749421</v>
      </c>
      <c r="P117" s="145">
        <f t="shared" si="103"/>
        <v>364.2282120685486</v>
      </c>
      <c r="Q117" s="145">
        <f t="shared" si="103"/>
        <v>-239.33060597229633</v>
      </c>
      <c r="R117" s="145">
        <f t="shared" si="103"/>
        <v>-1195.8537569455075</v>
      </c>
      <c r="S117" s="145">
        <f t="shared" si="103"/>
        <v>-1864.4715619502531</v>
      </c>
      <c r="T117" s="145">
        <f t="shared" si="103"/>
        <v>-2416.8395222264953</v>
      </c>
      <c r="U117" s="145">
        <f t="shared" si="103"/>
        <v>-3150.7931778879138</v>
      </c>
      <c r="V117" s="145">
        <f t="shared" si="103"/>
        <v>-3715.6153439744667</v>
      </c>
      <c r="W117" s="145">
        <f t="shared" si="103"/>
        <v>-4560.8477126464422</v>
      </c>
      <c r="X117" s="145">
        <f t="shared" si="103"/>
        <v>-5443.4824793628504</v>
      </c>
      <c r="Y117" s="145">
        <f t="shared" si="103"/>
        <v>-6181.1319464100961</v>
      </c>
      <c r="Z117" s="145">
        <f t="shared" si="103"/>
        <v>-6979.9094791976095</v>
      </c>
      <c r="AA117" s="145">
        <f t="shared" si="103"/>
        <v>-7862.612493573557</v>
      </c>
      <c r="AB117" s="145">
        <f t="shared" si="103"/>
        <v>-8458.6161135565781</v>
      </c>
      <c r="AC117" s="145">
        <f t="shared" si="103"/>
        <v>-9311.8467587689083</v>
      </c>
      <c r="AD117" s="145">
        <f t="shared" si="103"/>
        <v>-10523.950914733767</v>
      </c>
      <c r="AE117" s="145">
        <f t="shared" si="103"/>
        <v>-11495.147017323936</v>
      </c>
      <c r="AF117" s="145">
        <f t="shared" si="103"/>
        <v>-12513.981589046773</v>
      </c>
      <c r="AG117" s="145">
        <f t="shared" si="103"/>
        <v>-13818.181123449467</v>
      </c>
      <c r="AH117" s="145">
        <f t="shared" si="103"/>
        <v>-14563.880829124217</v>
      </c>
      <c r="AI117" s="145">
        <f t="shared" si="103"/>
        <v>-15762.330596339903</v>
      </c>
      <c r="AJ117" s="145">
        <f>AJ114-AJ21</f>
        <v>-12818.012861954587</v>
      </c>
      <c r="AK117" s="145">
        <f>AK114-AK21</f>
        <v>-13948.034868547838</v>
      </c>
      <c r="AL117" s="146">
        <f>AL114-AL21</f>
        <v>-15073.293827739923</v>
      </c>
    </row>
    <row r="118" spans="2:38" ht="15.75" thickBot="1" x14ac:dyDescent="0.3">
      <c r="B118" s="105"/>
      <c r="C118" s="443" t="s">
        <v>157</v>
      </c>
      <c r="D118" s="105"/>
      <c r="E118" s="101"/>
      <c r="F118" s="151">
        <f t="shared" ref="F118:AL118" si="104">F117/F110</f>
        <v>12.198820085641161</v>
      </c>
      <c r="G118" s="150">
        <f t="shared" si="104"/>
        <v>52.053227435313175</v>
      </c>
      <c r="H118" s="150">
        <f t="shared" si="104"/>
        <v>55.058898342755654</v>
      </c>
      <c r="I118" s="150">
        <f t="shared" si="104"/>
        <v>49.487593778462148</v>
      </c>
      <c r="J118" s="150">
        <f t="shared" si="104"/>
        <v>42.068688740650643</v>
      </c>
      <c r="K118" s="150">
        <f t="shared" si="104"/>
        <v>39.390519972891042</v>
      </c>
      <c r="L118" s="150">
        <f t="shared" si="104"/>
        <v>31.516999319673729</v>
      </c>
      <c r="M118" s="150">
        <f t="shared" si="104"/>
        <v>30.358247747495668</v>
      </c>
      <c r="N118" s="150">
        <f t="shared" si="104"/>
        <v>22.682642628994618</v>
      </c>
      <c r="O118" s="150">
        <f t="shared" si="104"/>
        <v>18.94543987438697</v>
      </c>
      <c r="P118" s="150">
        <f t="shared" si="104"/>
        <v>6.5046731793896919</v>
      </c>
      <c r="Q118" s="150">
        <f t="shared" si="104"/>
        <v>-4.2741537368392839</v>
      </c>
      <c r="R118" s="150">
        <f t="shared" si="104"/>
        <v>-21.356494641364804</v>
      </c>
      <c r="S118" s="150">
        <f t="shared" si="104"/>
        <v>-33.297195991150026</v>
      </c>
      <c r="T118" s="150">
        <f t="shared" si="104"/>
        <v>-43.161816405800543</v>
      </c>
      <c r="U118" s="150">
        <f t="shared" si="104"/>
        <v>-56.269336638190843</v>
      </c>
      <c r="V118" s="150">
        <f t="shared" si="104"/>
        <v>-66.356374031594456</v>
      </c>
      <c r="W118" s="150">
        <f t="shared" si="104"/>
        <v>-81.451196828621207</v>
      </c>
      <c r="X118" s="150">
        <f t="shared" si="104"/>
        <v>-97.213980995314415</v>
      </c>
      <c r="Y118" s="150">
        <f t="shared" si="104"/>
        <v>-110.38750392711381</v>
      </c>
      <c r="Z118" s="150">
        <f t="shared" si="104"/>
        <v>-124.65269981711299</v>
      </c>
      <c r="AA118" s="150">
        <f t="shared" si="104"/>
        <v>-140.4167028040564</v>
      </c>
      <c r="AB118" s="150">
        <f t="shared" si="104"/>
        <v>-151.06060306566795</v>
      </c>
      <c r="AC118" s="150">
        <f t="shared" si="104"/>
        <v>-166.29826536048623</v>
      </c>
      <c r="AD118" s="150">
        <f t="shared" si="104"/>
        <v>-187.94497237737031</v>
      </c>
      <c r="AE118" s="150">
        <f t="shared" si="104"/>
        <v>-205.28935436406042</v>
      </c>
      <c r="AF118" s="150">
        <f t="shared" si="104"/>
        <v>-223.48450150898631</v>
      </c>
      <c r="AG118" s="150">
        <f t="shared" si="104"/>
        <v>-246.775920050736</v>
      </c>
      <c r="AH118" s="150">
        <f t="shared" si="104"/>
        <v>-260.093210460048</v>
      </c>
      <c r="AI118" s="150">
        <f t="shared" si="104"/>
        <v>-281.49606668961036</v>
      </c>
      <c r="AJ118" s="150">
        <f t="shared" si="104"/>
        <v>-228.91413051918218</v>
      </c>
      <c r="AK118" s="150">
        <f t="shared" si="104"/>
        <v>-249.09495011210234</v>
      </c>
      <c r="AL118" s="151">
        <f t="shared" si="104"/>
        <v>-269.19070746751328</v>
      </c>
    </row>
    <row r="119" spans="2:38" x14ac:dyDescent="0.25">
      <c r="B119" s="108"/>
      <c r="C119" s="115" t="s">
        <v>150</v>
      </c>
      <c r="D119" s="63"/>
      <c r="E119" s="63"/>
      <c r="F119" s="145">
        <f>F117+F118</f>
        <v>695.26994550625193</v>
      </c>
      <c r="G119" s="145">
        <f t="shared" ref="G119:AL119" si="105">G117+G118</f>
        <v>2966.7659944402362</v>
      </c>
      <c r="H119" s="145">
        <f t="shared" si="105"/>
        <v>3138.0737630077097</v>
      </c>
      <c r="I119" s="145">
        <f t="shared" si="105"/>
        <v>2820.5380838501392</v>
      </c>
      <c r="J119" s="145">
        <f t="shared" si="105"/>
        <v>2397.6986891264846</v>
      </c>
      <c r="K119" s="145">
        <f t="shared" si="105"/>
        <v>2245.0568565439612</v>
      </c>
      <c r="L119" s="145">
        <f t="shared" si="105"/>
        <v>1796.3067120977553</v>
      </c>
      <c r="M119" s="145">
        <f t="shared" si="105"/>
        <v>1730.263837722403</v>
      </c>
      <c r="N119" s="145">
        <f t="shared" si="105"/>
        <v>1292.7938598882931</v>
      </c>
      <c r="O119" s="145">
        <f t="shared" si="105"/>
        <v>1079.792541949329</v>
      </c>
      <c r="P119" s="145">
        <f t="shared" si="105"/>
        <v>370.73288524793827</v>
      </c>
      <c r="Q119" s="145">
        <f t="shared" si="105"/>
        <v>-243.60475970913561</v>
      </c>
      <c r="R119" s="145">
        <f t="shared" si="105"/>
        <v>-1217.2102515868723</v>
      </c>
      <c r="S119" s="145">
        <f t="shared" si="105"/>
        <v>-1897.768757941403</v>
      </c>
      <c r="T119" s="145">
        <f t="shared" si="105"/>
        <v>-2460.0013386322958</v>
      </c>
      <c r="U119" s="145">
        <f t="shared" si="105"/>
        <v>-3207.0625145261047</v>
      </c>
      <c r="V119" s="145">
        <f t="shared" si="105"/>
        <v>-3781.9717180060611</v>
      </c>
      <c r="W119" s="145">
        <f t="shared" si="105"/>
        <v>-4642.2989094750637</v>
      </c>
      <c r="X119" s="145">
        <f t="shared" si="105"/>
        <v>-5540.6964603581646</v>
      </c>
      <c r="Y119" s="145">
        <f t="shared" si="105"/>
        <v>-6291.5194503372095</v>
      </c>
      <c r="Z119" s="145">
        <f t="shared" si="105"/>
        <v>-7104.5621790147225</v>
      </c>
      <c r="AA119" s="145">
        <f t="shared" si="105"/>
        <v>-8003.0291963776135</v>
      </c>
      <c r="AB119" s="145">
        <f t="shared" si="105"/>
        <v>-8609.6767166222453</v>
      </c>
      <c r="AC119" s="145">
        <f t="shared" si="105"/>
        <v>-9478.1450241293951</v>
      </c>
      <c r="AD119" s="145">
        <f t="shared" si="105"/>
        <v>-10711.895887111137</v>
      </c>
      <c r="AE119" s="145">
        <f t="shared" si="105"/>
        <v>-11700.436371687996</v>
      </c>
      <c r="AF119" s="145">
        <f t="shared" si="105"/>
        <v>-12737.466090555759</v>
      </c>
      <c r="AG119" s="145">
        <f t="shared" si="105"/>
        <v>-14064.957043500202</v>
      </c>
      <c r="AH119" s="145">
        <f t="shared" si="105"/>
        <v>-14823.974039584265</v>
      </c>
      <c r="AI119" s="145">
        <f t="shared" si="105"/>
        <v>-16043.826663029513</v>
      </c>
      <c r="AJ119" s="145">
        <f t="shared" si="105"/>
        <v>-13046.926992473769</v>
      </c>
      <c r="AK119" s="145">
        <f t="shared" si="105"/>
        <v>-14197.129818659942</v>
      </c>
      <c r="AL119" s="146">
        <f t="shared" si="105"/>
        <v>-15342.484535207435</v>
      </c>
    </row>
    <row r="120" spans="2:38" x14ac:dyDescent="0.25">
      <c r="B120" s="108"/>
      <c r="C120" s="115" t="s">
        <v>154</v>
      </c>
      <c r="D120" s="63"/>
      <c r="E120" s="63"/>
      <c r="F120" s="145">
        <f>F119-F23</f>
        <v>-49060.177929073136</v>
      </c>
      <c r="G120" s="145">
        <f t="shared" ref="G120:AI120" si="106">G119-G23</f>
        <v>-44557.040238554844</v>
      </c>
      <c r="H120" s="145">
        <f t="shared" si="106"/>
        <v>-44887.030372327339</v>
      </c>
      <c r="I120" s="145">
        <f t="shared" si="106"/>
        <v>-46556.760165592794</v>
      </c>
      <c r="J120" s="145">
        <f t="shared" si="106"/>
        <v>-48599.294862085124</v>
      </c>
      <c r="K120" s="145">
        <f t="shared" si="106"/>
        <v>-50188.821332396343</v>
      </c>
      <c r="L120" s="145">
        <f t="shared" si="106"/>
        <v>-52359.377885462418</v>
      </c>
      <c r="M120" s="145">
        <f t="shared" si="106"/>
        <v>-53914.678102615158</v>
      </c>
      <c r="N120" s="145">
        <f t="shared" si="106"/>
        <v>-56200.824661377337</v>
      </c>
      <c r="O120" s="145">
        <f t="shared" si="106"/>
        <v>-57934.105112696649</v>
      </c>
      <c r="P120" s="145">
        <f t="shared" si="106"/>
        <v>-60539.473439088513</v>
      </c>
      <c r="Q120" s="145">
        <f t="shared" si="106"/>
        <v>-62944.329533848286</v>
      </c>
      <c r="R120" s="145">
        <f t="shared" si="106"/>
        <v>-66068.576925847752</v>
      </c>
      <c r="S120" s="145">
        <f t="shared" si="106"/>
        <v>-68672.97850362421</v>
      </c>
      <c r="T120" s="145">
        <f t="shared" si="106"/>
        <v>-71081.943798230437</v>
      </c>
      <c r="U120" s="145">
        <f t="shared" si="106"/>
        <v>-73999.980123094501</v>
      </c>
      <c r="V120" s="145">
        <f t="shared" si="106"/>
        <v>-76541.691060250523</v>
      </c>
      <c r="W120" s="145">
        <f t="shared" si="106"/>
        <v>-79453.104656772659</v>
      </c>
      <c r="X120" s="145">
        <f t="shared" si="106"/>
        <v>-82507.62777654847</v>
      </c>
      <c r="Y120" s="145">
        <f t="shared" si="106"/>
        <v>-85363.669052762518</v>
      </c>
      <c r="Z120" s="145">
        <f t="shared" si="106"/>
        <v>-88404.006406894885</v>
      </c>
      <c r="AA120" s="145">
        <f t="shared" si="106"/>
        <v>-91596.415127381697</v>
      </c>
      <c r="AB120" s="145">
        <f t="shared" si="106"/>
        <v>-94226.929532254959</v>
      </c>
      <c r="AC120" s="145">
        <f t="shared" si="106"/>
        <v>-97430.910888339175</v>
      </c>
      <c r="AD120" s="145">
        <f t="shared" si="106"/>
        <v>-101411.03557514903</v>
      </c>
      <c r="AE120" s="145">
        <f t="shared" si="106"/>
        <v>-104870.93742127734</v>
      </c>
      <c r="AF120" s="145">
        <f t="shared" si="106"/>
        <v>-108535.03203972841</v>
      </c>
      <c r="AG120" s="145">
        <f t="shared" si="106"/>
        <v>-112843.77386218053</v>
      </c>
      <c r="AH120" s="145">
        <f t="shared" si="106"/>
        <v>-116068.10827002248</v>
      </c>
      <c r="AI120" s="145">
        <f t="shared" si="106"/>
        <v>-120253.39633777496</v>
      </c>
      <c r="AJ120" s="145">
        <f t="shared" ref="AJ120:AL120" si="107">AJ117-AJ21</f>
        <v>-60382.219054322166</v>
      </c>
      <c r="AK120" s="145">
        <f t="shared" si="107"/>
        <v>-63089.189230713964</v>
      </c>
      <c r="AL120" s="146">
        <f t="shared" si="107"/>
        <v>-65794.58427681218</v>
      </c>
    </row>
    <row r="121" spans="2:38" x14ac:dyDescent="0.25">
      <c r="B121" s="108"/>
      <c r="C121" s="115" t="s">
        <v>183</v>
      </c>
      <c r="D121" s="63"/>
      <c r="E121" s="63"/>
      <c r="F121" s="153">
        <f>F120/F110</f>
        <v>-876.15514937450507</v>
      </c>
      <c r="G121" s="153">
        <f t="shared" ref="G121:AL121" si="108">G120/G110</f>
        <v>-795.73458339951014</v>
      </c>
      <c r="H121" s="153">
        <f t="shared" si="108"/>
        <v>-801.62780611398011</v>
      </c>
      <c r="I121" s="153">
        <f t="shared" si="108"/>
        <v>-831.44715080833794</v>
      </c>
      <c r="J121" s="153">
        <f t="shared" si="108"/>
        <v>-867.92433796194064</v>
      </c>
      <c r="K121" s="153">
        <f t="shared" si="108"/>
        <v>-896.31134878859632</v>
      </c>
      <c r="L121" s="153">
        <f t="shared" si="108"/>
        <v>-935.07485070101893</v>
      </c>
      <c r="M121" s="153">
        <f t="shared" si="108"/>
        <v>-962.85062224533965</v>
      </c>
      <c r="N121" s="153">
        <f t="shared" si="108"/>
        <v>-1003.678421169756</v>
      </c>
      <c r="O121" s="153">
        <f t="shared" si="108"/>
        <v>-1034.632703376581</v>
      </c>
      <c r="P121" s="153">
        <f t="shared" si="108"/>
        <v>-1081.1614150841824</v>
      </c>
      <c r="Q121" s="153">
        <f t="shared" si="108"/>
        <v>-1124.1092220402556</v>
      </c>
      <c r="R121" s="153">
        <f t="shared" si="108"/>
        <v>-1179.9044832066049</v>
      </c>
      <c r="S121" s="153">
        <f t="shared" si="108"/>
        <v>-1226.4159299589351</v>
      </c>
      <c r="T121" s="153">
        <f t="shared" si="108"/>
        <v>-1269.437122229886</v>
      </c>
      <c r="U121" s="153">
        <f t="shared" si="108"/>
        <v>-1321.5497043690639</v>
      </c>
      <c r="V121" s="153">
        <f t="shared" si="108"/>
        <v>-1366.9415724750102</v>
      </c>
      <c r="W121" s="153">
        <f t="shared" si="108"/>
        <v>-1418.9358807353597</v>
      </c>
      <c r="X121" s="153">
        <f t="shared" si="108"/>
        <v>-1473.4859511436675</v>
      </c>
      <c r="Y121" s="153">
        <f t="shared" si="108"/>
        <v>-1524.4913770636208</v>
      </c>
      <c r="Z121" s="153">
        <f t="shared" si="108"/>
        <v>-1578.7881069391185</v>
      </c>
      <c r="AA121" s="153">
        <f t="shared" si="108"/>
        <v>-1635.8006465880026</v>
      </c>
      <c r="AB121" s="153">
        <f t="shared" si="108"/>
        <v>-1682.7784366943799</v>
      </c>
      <c r="AC121" s="153">
        <f t="shared" si="108"/>
        <v>-1739.9976495494877</v>
      </c>
      <c r="AD121" s="153">
        <f t="shared" si="108"/>
        <v>-1811.0778389557008</v>
      </c>
      <c r="AE121" s="153">
        <f t="shared" si="108"/>
        <v>-1872.867480713589</v>
      </c>
      <c r="AF121" s="153">
        <f t="shared" si="108"/>
        <v>-1938.303757206359</v>
      </c>
      <c r="AG121" s="153">
        <f t="shared" si="108"/>
        <v>-2015.2526492491979</v>
      </c>
      <c r="AH121" s="153">
        <f t="shared" si="108"/>
        <v>-2072.8353428713099</v>
      </c>
      <c r="AI121" s="153">
        <f t="shared" si="108"/>
        <v>-2147.5795009026642</v>
      </c>
      <c r="AJ121" s="153">
        <f t="shared" si="108"/>
        <v>-1078.3530429014736</v>
      </c>
      <c r="AK121" s="153">
        <f t="shared" si="108"/>
        <v>-1126.6962401617386</v>
      </c>
      <c r="AL121" s="154">
        <f t="shared" si="108"/>
        <v>-1175.0113075093961</v>
      </c>
    </row>
    <row r="122" spans="2:38" ht="15.75" thickBot="1" x14ac:dyDescent="0.3">
      <c r="B122" s="105"/>
      <c r="C122" s="124" t="s">
        <v>184</v>
      </c>
      <c r="D122" s="101"/>
      <c r="E122" s="101"/>
      <c r="F122" s="150">
        <f>F120/F113</f>
        <v>-65301.776832461532</v>
      </c>
      <c r="G122" s="150">
        <f t="shared" ref="G122:AL122" si="109">G120/G113</f>
        <v>-59307.854573614415</v>
      </c>
      <c r="H122" s="150">
        <f t="shared" si="109"/>
        <v>-59747.089468026723</v>
      </c>
      <c r="I122" s="150">
        <f t="shared" si="109"/>
        <v>-61009.829445129908</v>
      </c>
      <c r="J122" s="150">
        <f t="shared" si="109"/>
        <v>-62319.50076512208</v>
      </c>
      <c r="K122" s="150">
        <f t="shared" si="109"/>
        <v>-62832.448003543512</v>
      </c>
      <c r="L122" s="150">
        <f t="shared" si="109"/>
        <v>-64092.943803262504</v>
      </c>
      <c r="M122" s="150">
        <f t="shared" si="109"/>
        <v>-64239.36210053775</v>
      </c>
      <c r="N122" s="150">
        <f t="shared" si="109"/>
        <v>-65285.968909518255</v>
      </c>
      <c r="O122" s="150">
        <f t="shared" si="109"/>
        <v>-65969.862410539892</v>
      </c>
      <c r="P122" s="150">
        <f t="shared" si="109"/>
        <v>-67930.524042439705</v>
      </c>
      <c r="Q122" s="150">
        <f t="shared" si="109"/>
        <v>-69695.648444876584</v>
      </c>
      <c r="R122" s="150">
        <f t="shared" si="109"/>
        <v>-72234.403705750665</v>
      </c>
      <c r="S122" s="150">
        <f t="shared" si="109"/>
        <v>-74040.209828135048</v>
      </c>
      <c r="T122" s="150">
        <f t="shared" si="109"/>
        <v>-75539.823792919997</v>
      </c>
      <c r="U122" s="150">
        <f t="shared" si="109"/>
        <v>-77203.406841459277</v>
      </c>
      <c r="V122" s="150">
        <f t="shared" si="109"/>
        <v>-78574.428896095691</v>
      </c>
      <c r="W122" s="150">
        <f t="shared" si="109"/>
        <v>-80870.872536881492</v>
      </c>
      <c r="X122" s="150">
        <f t="shared" si="109"/>
        <v>-83148.057231447077</v>
      </c>
      <c r="Y122" s="150">
        <f t="shared" si="109"/>
        <v>-84982.967832440743</v>
      </c>
      <c r="Z122" s="150">
        <f t="shared" si="109"/>
        <v>-86850.112722183112</v>
      </c>
      <c r="AA122" s="150">
        <f t="shared" si="109"/>
        <v>-88936.611593172711</v>
      </c>
      <c r="AB122" s="150">
        <f t="shared" si="109"/>
        <v>-90460.57469953681</v>
      </c>
      <c r="AC122" s="150">
        <f t="shared" si="109"/>
        <v>-92411.394680519486</v>
      </c>
      <c r="AD122" s="150">
        <f t="shared" si="109"/>
        <v>-94967.467562331847</v>
      </c>
      <c r="AE122" s="150">
        <f t="shared" si="109"/>
        <v>-97161.733817600471</v>
      </c>
      <c r="AF122" s="150">
        <f t="shared" si="109"/>
        <v>-99253.292689014517</v>
      </c>
      <c r="AG122" s="150">
        <f t="shared" si="109"/>
        <v>-101749.52443761972</v>
      </c>
      <c r="AH122" s="150">
        <f t="shared" si="109"/>
        <v>-103171.30135392769</v>
      </c>
      <c r="AI122" s="150">
        <f t="shared" si="109"/>
        <v>-105341.35494504955</v>
      </c>
      <c r="AJ122" s="150">
        <f t="shared" si="109"/>
        <v>-52134.245452554555</v>
      </c>
      <c r="AK122" s="150">
        <f t="shared" si="109"/>
        <v>-53779.707629061573</v>
      </c>
      <c r="AL122" s="151">
        <f t="shared" si="109"/>
        <v>-55370.223164888572</v>
      </c>
    </row>
    <row r="129" spans="4:11" ht="18.75" x14ac:dyDescent="0.3">
      <c r="D129" s="507" t="s">
        <v>609</v>
      </c>
    </row>
    <row r="130" spans="4:11" x14ac:dyDescent="0.25">
      <c r="D130" s="508" t="s">
        <v>610</v>
      </c>
      <c r="E130" s="509" t="s">
        <v>111</v>
      </c>
      <c r="F130" s="509" t="s">
        <v>611</v>
      </c>
      <c r="G130" s="509" t="s">
        <v>612</v>
      </c>
      <c r="H130" s="509" t="s">
        <v>613</v>
      </c>
      <c r="I130" s="509" t="s">
        <v>614</v>
      </c>
      <c r="J130" s="509" t="s">
        <v>615</v>
      </c>
      <c r="K130" s="509" t="s">
        <v>616</v>
      </c>
    </row>
    <row r="131" spans="4:11" x14ac:dyDescent="0.25">
      <c r="D131" s="508" t="s">
        <v>617</v>
      </c>
      <c r="E131" s="510">
        <v>420.5</v>
      </c>
      <c r="F131" s="511">
        <v>8333.3333333333339</v>
      </c>
      <c r="G131" s="512">
        <v>5.4774000000000003E-2</v>
      </c>
      <c r="H131" s="512">
        <v>5.4774000000000003E-2</v>
      </c>
      <c r="I131" s="513">
        <v>31.833333333333332</v>
      </c>
      <c r="J131" s="514">
        <v>7.6920000000000002</v>
      </c>
      <c r="K131" s="514">
        <v>7.6920000000000002</v>
      </c>
    </row>
    <row r="132" spans="4:11" x14ac:dyDescent="0.25">
      <c r="D132" s="508"/>
      <c r="E132" s="509" t="s">
        <v>111</v>
      </c>
      <c r="F132" s="509" t="s">
        <v>611</v>
      </c>
      <c r="G132" s="509" t="s">
        <v>612</v>
      </c>
      <c r="H132" s="509" t="s">
        <v>613</v>
      </c>
      <c r="I132" s="509" t="s">
        <v>614</v>
      </c>
      <c r="J132" s="509" t="s">
        <v>615</v>
      </c>
      <c r="K132" s="509" t="s">
        <v>616</v>
      </c>
    </row>
    <row r="133" spans="4:11" x14ac:dyDescent="0.25">
      <c r="D133" s="508" t="s">
        <v>618</v>
      </c>
      <c r="E133" s="514">
        <v>80.333076923076916</v>
      </c>
      <c r="F133" s="515">
        <v>8333.3333333333339</v>
      </c>
      <c r="G133" s="512">
        <v>5.774615384615385E-2</v>
      </c>
      <c r="H133" s="512">
        <v>5.0480769230769225E-2</v>
      </c>
      <c r="I133" s="513">
        <v>31.833333333333332</v>
      </c>
      <c r="J133" s="514">
        <v>3.4239230769230771</v>
      </c>
      <c r="K133" s="514">
        <v>6.7307692307692308</v>
      </c>
    </row>
    <row r="134" spans="4:11" x14ac:dyDescent="0.25">
      <c r="D134" s="516"/>
      <c r="E134" s="517" t="s">
        <v>617</v>
      </c>
      <c r="F134" s="517" t="s">
        <v>618</v>
      </c>
      <c r="G134" s="516"/>
    </row>
    <row r="135" spans="4:11" x14ac:dyDescent="0.25">
      <c r="D135" s="518" t="s">
        <v>68</v>
      </c>
      <c r="E135" s="516">
        <v>60</v>
      </c>
      <c r="F135" s="516">
        <v>60</v>
      </c>
      <c r="G135" s="516" t="s">
        <v>69</v>
      </c>
    </row>
    <row r="136" spans="4:11" x14ac:dyDescent="0.25">
      <c r="D136" s="518" t="s">
        <v>649</v>
      </c>
      <c r="E136" s="519">
        <f>I133</f>
        <v>31.833333333333332</v>
      </c>
      <c r="F136" s="519">
        <f>I131</f>
        <v>31.833333333333332</v>
      </c>
      <c r="G136" s="516" t="s">
        <v>72</v>
      </c>
    </row>
    <row r="137" spans="4:11" x14ac:dyDescent="0.25">
      <c r="D137" s="518" t="s">
        <v>645</v>
      </c>
      <c r="E137" s="520">
        <f>J131</f>
        <v>7.6920000000000002</v>
      </c>
      <c r="F137" s="520">
        <f>J133</f>
        <v>3.4239230769230771</v>
      </c>
      <c r="G137" s="521"/>
    </row>
    <row r="138" spans="4:11" x14ac:dyDescent="0.25">
      <c r="D138" s="518" t="s">
        <v>646</v>
      </c>
      <c r="E138" s="520">
        <f>K131</f>
        <v>7.6920000000000002</v>
      </c>
      <c r="F138" s="520">
        <f>K133</f>
        <v>6.7307692307692308</v>
      </c>
      <c r="G138" s="516"/>
    </row>
    <row r="139" spans="4:11" x14ac:dyDescent="0.25">
      <c r="D139" s="518" t="s">
        <v>111</v>
      </c>
      <c r="E139" s="520">
        <f>E131</f>
        <v>420.5</v>
      </c>
      <c r="F139" s="520">
        <f>E133</f>
        <v>80.333076923076916</v>
      </c>
      <c r="G139" s="516"/>
    </row>
    <row r="140" spans="4:11" x14ac:dyDescent="0.25">
      <c r="D140" s="518" t="s">
        <v>650</v>
      </c>
      <c r="E140" s="521">
        <v>8333</v>
      </c>
      <c r="F140" s="521">
        <v>8333</v>
      </c>
      <c r="G140" s="516" t="s">
        <v>119</v>
      </c>
    </row>
    <row r="141" spans="4:11" x14ac:dyDescent="0.25">
      <c r="D141" s="518" t="s">
        <v>643</v>
      </c>
      <c r="E141" s="522">
        <f>G131</f>
        <v>5.4774000000000003E-2</v>
      </c>
      <c r="F141" s="523">
        <f>G133</f>
        <v>5.774615384615385E-2</v>
      </c>
      <c r="G141" s="516"/>
    </row>
    <row r="142" spans="4:11" x14ac:dyDescent="0.25">
      <c r="D142" s="518" t="s">
        <v>644</v>
      </c>
      <c r="E142" s="522">
        <f>H131</f>
        <v>5.4774000000000003E-2</v>
      </c>
      <c r="F142" s="523">
        <f>H133</f>
        <v>5.0480769230769225E-2</v>
      </c>
      <c r="G142" s="516"/>
    </row>
    <row r="143" spans="4:11" x14ac:dyDescent="0.25">
      <c r="D143" s="72"/>
      <c r="E143" s="98"/>
    </row>
    <row r="144" spans="4:11" x14ac:dyDescent="0.25">
      <c r="D144" s="72"/>
      <c r="E144" s="98"/>
    </row>
  </sheetData>
  <mergeCells count="1">
    <mergeCell ref="AN2:AQ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76"/>
  <sheetViews>
    <sheetView workbookViewId="0">
      <selection activeCell="V15" sqref="V15:Y27"/>
    </sheetView>
  </sheetViews>
  <sheetFormatPr defaultRowHeight="15" x14ac:dyDescent="0.25"/>
  <cols>
    <col min="2" max="2" width="12.5703125" customWidth="1"/>
    <col min="13" max="13" width="14" customWidth="1"/>
    <col min="17" max="17" width="14.85546875" customWidth="1"/>
    <col min="20" max="20" width="13.5703125" customWidth="1"/>
  </cols>
  <sheetData>
    <row r="1" spans="1:25" s="51" customFormat="1" x14ac:dyDescent="0.25">
      <c r="B1" s="70" t="s">
        <v>503</v>
      </c>
      <c r="C1" s="51" t="s">
        <v>504</v>
      </c>
      <c r="D1" s="72" t="s">
        <v>505</v>
      </c>
      <c r="E1" s="77">
        <v>2.82</v>
      </c>
      <c r="G1" s="490"/>
      <c r="H1" s="490"/>
      <c r="I1" s="491" t="s">
        <v>506</v>
      </c>
      <c r="J1" s="492" t="s">
        <v>507</v>
      </c>
      <c r="K1" s="492"/>
      <c r="L1" s="492"/>
      <c r="M1" s="492"/>
    </row>
    <row r="2" spans="1:25" s="51" customFormat="1" x14ac:dyDescent="0.25">
      <c r="B2" s="51" t="s">
        <v>508</v>
      </c>
      <c r="C2" s="51" t="s">
        <v>509</v>
      </c>
      <c r="D2" s="51" t="s">
        <v>510</v>
      </c>
      <c r="E2" s="51" t="s">
        <v>511</v>
      </c>
      <c r="I2" s="490"/>
      <c r="J2" s="492"/>
      <c r="M2" s="51" t="s">
        <v>67</v>
      </c>
      <c r="N2" s="51" t="s">
        <v>512</v>
      </c>
      <c r="O2" s="51">
        <v>134.47999999999999</v>
      </c>
      <c r="P2" s="51" t="s">
        <v>404</v>
      </c>
      <c r="Q2" s="51" t="s">
        <v>513</v>
      </c>
      <c r="R2" s="51">
        <f>O2/O4</f>
        <v>1.0979751796211625</v>
      </c>
      <c r="U2" s="72" t="s">
        <v>514</v>
      </c>
    </row>
    <row r="3" spans="1:25" s="51" customFormat="1" x14ac:dyDescent="0.25">
      <c r="A3" s="51">
        <v>2020</v>
      </c>
      <c r="B3" s="77">
        <v>2.34</v>
      </c>
      <c r="C3" s="77">
        <v>2.29</v>
      </c>
      <c r="I3" s="490"/>
      <c r="J3" s="492"/>
      <c r="U3" s="72"/>
    </row>
    <row r="4" spans="1:25" s="51" customFormat="1" x14ac:dyDescent="0.25">
      <c r="A4" s="51">
        <v>2019</v>
      </c>
      <c r="B4" s="77">
        <v>2.59</v>
      </c>
      <c r="C4" s="77">
        <v>2.39</v>
      </c>
      <c r="D4" s="77">
        <v>2.48</v>
      </c>
      <c r="E4" s="493">
        <f>AVERAGE(B4:D4)</f>
        <v>2.4866666666666668</v>
      </c>
      <c r="I4" s="490"/>
      <c r="J4" s="492"/>
      <c r="N4" s="51" t="s">
        <v>515</v>
      </c>
      <c r="O4" s="51">
        <v>122.48</v>
      </c>
      <c r="P4" s="51" t="s">
        <v>404</v>
      </c>
      <c r="U4" s="72"/>
    </row>
    <row r="5" spans="1:25" s="51" customFormat="1" x14ac:dyDescent="0.25">
      <c r="A5" s="51">
        <v>2018</v>
      </c>
      <c r="B5" s="77">
        <v>2.6</v>
      </c>
      <c r="C5" s="77">
        <v>2.5099999999999998</v>
      </c>
      <c r="D5" s="77">
        <v>2.65</v>
      </c>
      <c r="E5" s="494">
        <f>AVERAGE(B5:D5)</f>
        <v>2.5866666666666664</v>
      </c>
      <c r="I5" s="493">
        <f>E1-E4</f>
        <v>0.33333333333333304</v>
      </c>
      <c r="J5" s="492"/>
      <c r="N5" s="72" t="s">
        <v>516</v>
      </c>
      <c r="O5" s="73">
        <v>1020</v>
      </c>
      <c r="P5" s="51" t="s">
        <v>517</v>
      </c>
      <c r="Q5" s="72" t="s">
        <v>518</v>
      </c>
      <c r="R5" s="73">
        <v>100000</v>
      </c>
      <c r="S5" s="51" t="s">
        <v>517</v>
      </c>
      <c r="U5" s="51">
        <v>2018</v>
      </c>
      <c r="V5" s="77">
        <v>1.1449</v>
      </c>
      <c r="W5" s="51" t="s">
        <v>519</v>
      </c>
    </row>
    <row r="6" spans="1:25" s="51" customFormat="1" x14ac:dyDescent="0.25">
      <c r="A6" s="51">
        <v>2017</v>
      </c>
      <c r="B6" s="77">
        <v>2.14</v>
      </c>
      <c r="C6" s="77">
        <v>2.16</v>
      </c>
      <c r="D6" s="77">
        <v>2.2400000000000002</v>
      </c>
      <c r="E6" s="77"/>
      <c r="I6" s="490"/>
      <c r="J6" s="492"/>
      <c r="M6" s="72"/>
      <c r="Q6" s="72" t="s">
        <v>520</v>
      </c>
      <c r="R6" s="73">
        <v>127462</v>
      </c>
      <c r="S6" s="51" t="s">
        <v>517</v>
      </c>
      <c r="U6" s="51">
        <v>2017</v>
      </c>
      <c r="V6" s="77">
        <v>1.1440999999999999</v>
      </c>
      <c r="W6" s="51" t="s">
        <v>519</v>
      </c>
    </row>
    <row r="7" spans="1:25" s="51" customFormat="1" x14ac:dyDescent="0.25">
      <c r="A7" s="51">
        <v>2016</v>
      </c>
      <c r="B7" s="77">
        <v>1.85</v>
      </c>
      <c r="C7" s="77">
        <v>1.84</v>
      </c>
      <c r="E7" s="77"/>
      <c r="I7" s="490"/>
      <c r="J7" s="492"/>
      <c r="U7" s="51">
        <v>2016</v>
      </c>
      <c r="V7" s="77">
        <v>1.1087</v>
      </c>
      <c r="W7" s="51" t="s">
        <v>519</v>
      </c>
    </row>
    <row r="8" spans="1:25" s="51" customFormat="1" x14ac:dyDescent="0.25">
      <c r="A8" s="51">
        <v>2015</v>
      </c>
      <c r="B8" s="77">
        <v>2.23</v>
      </c>
      <c r="C8" s="77">
        <v>2.16</v>
      </c>
      <c r="E8" s="77"/>
      <c r="I8" s="490"/>
      <c r="J8" s="492"/>
      <c r="M8" s="51" t="s">
        <v>521</v>
      </c>
      <c r="U8" s="51">
        <v>2015</v>
      </c>
      <c r="V8" s="77">
        <v>1.1861999999999999</v>
      </c>
      <c r="W8" s="51" t="s">
        <v>519</v>
      </c>
    </row>
    <row r="9" spans="1:25" s="51" customFormat="1" x14ac:dyDescent="0.25">
      <c r="A9" s="51" t="s">
        <v>522</v>
      </c>
      <c r="B9" s="77">
        <f>AVERAGE(B4:B6)</f>
        <v>2.4433333333333334</v>
      </c>
      <c r="C9" s="77">
        <f>AVERAGE(C4:C6)</f>
        <v>2.3533333333333335</v>
      </c>
      <c r="D9" s="77">
        <f>AVERAGE(D4:D8)</f>
        <v>2.4566666666666666</v>
      </c>
      <c r="E9" s="77"/>
      <c r="I9" s="490"/>
      <c r="J9" s="492"/>
      <c r="M9" s="73">
        <v>30000</v>
      </c>
      <c r="N9" s="51" t="s">
        <v>523</v>
      </c>
      <c r="Q9" s="98">
        <f>M9/M12</f>
        <v>6720.4301075268813</v>
      </c>
      <c r="R9" s="51" t="s">
        <v>524</v>
      </c>
      <c r="U9" s="51" t="s">
        <v>525</v>
      </c>
    </row>
    <row r="10" spans="1:25" s="51" customFormat="1" x14ac:dyDescent="0.25">
      <c r="I10" s="490"/>
      <c r="J10" s="492"/>
      <c r="M10" s="51">
        <v>4.96</v>
      </c>
      <c r="N10" s="51" t="s">
        <v>526</v>
      </c>
      <c r="Q10" s="364">
        <f>Q9*R6</f>
        <v>856599462.36559141</v>
      </c>
      <c r="R10" s="51" t="s">
        <v>517</v>
      </c>
      <c r="U10" s="51" t="s">
        <v>527</v>
      </c>
      <c r="V10" s="77">
        <f>AVERAGE(V5:V8)</f>
        <v>1.145975</v>
      </c>
      <c r="W10" s="51" t="s">
        <v>519</v>
      </c>
    </row>
    <row r="11" spans="1:25" s="51" customFormat="1" x14ac:dyDescent="0.25">
      <c r="B11" s="70" t="s">
        <v>528</v>
      </c>
      <c r="I11" s="490"/>
      <c r="J11" s="492"/>
      <c r="M11" s="51">
        <v>0.9</v>
      </c>
      <c r="N11" s="51" t="s">
        <v>529</v>
      </c>
      <c r="Q11" s="364">
        <f>Q10/R5</f>
        <v>8565.9946236559135</v>
      </c>
      <c r="R11" s="51" t="s">
        <v>530</v>
      </c>
      <c r="V11" s="77">
        <f>V10*R2</f>
        <v>1.2582521064663617</v>
      </c>
      <c r="W11" s="51" t="s">
        <v>524</v>
      </c>
    </row>
    <row r="12" spans="1:25" s="51" customFormat="1" x14ac:dyDescent="0.25">
      <c r="B12" s="51" t="s">
        <v>508</v>
      </c>
      <c r="C12" s="51" t="s">
        <v>509</v>
      </c>
      <c r="D12" s="51" t="s">
        <v>531</v>
      </c>
      <c r="E12" s="51" t="s">
        <v>532</v>
      </c>
      <c r="I12" s="490"/>
      <c r="J12" s="492"/>
      <c r="M12" s="78">
        <f>M10*M11</f>
        <v>4.4640000000000004</v>
      </c>
      <c r="N12" s="51" t="s">
        <v>533</v>
      </c>
      <c r="Q12" s="364">
        <f>Q11/12</f>
        <v>713.8328853046595</v>
      </c>
      <c r="R12" s="51" t="s">
        <v>534</v>
      </c>
    </row>
    <row r="13" spans="1:25" s="51" customFormat="1" x14ac:dyDescent="0.25">
      <c r="A13" s="51">
        <v>2020</v>
      </c>
      <c r="B13" s="77">
        <v>2.96</v>
      </c>
      <c r="C13" s="77">
        <v>2.1800000000000002</v>
      </c>
      <c r="I13" s="490"/>
      <c r="J13" s="492"/>
      <c r="M13" s="78"/>
      <c r="Q13" s="364"/>
    </row>
    <row r="14" spans="1:25" s="51" customFormat="1" x14ac:dyDescent="0.25">
      <c r="A14" s="51">
        <v>2019</v>
      </c>
      <c r="B14" s="77">
        <v>2.94</v>
      </c>
      <c r="C14" s="77">
        <v>2.19</v>
      </c>
      <c r="E14" s="493">
        <f>AVERAGE(B14:D14)</f>
        <v>2.5649999999999999</v>
      </c>
      <c r="I14" s="490"/>
      <c r="J14" s="492"/>
      <c r="M14" s="78"/>
      <c r="Q14" s="364"/>
    </row>
    <row r="15" spans="1:25" s="51" customFormat="1" x14ac:dyDescent="0.25">
      <c r="A15" s="51">
        <v>2018</v>
      </c>
      <c r="B15" s="77">
        <v>2.84</v>
      </c>
      <c r="C15" s="77">
        <v>2.16</v>
      </c>
      <c r="D15" s="77">
        <v>2.83</v>
      </c>
      <c r="E15" s="494">
        <f>AVERAGE(B15:D15)</f>
        <v>2.61</v>
      </c>
      <c r="G15" s="77"/>
      <c r="H15" s="77"/>
      <c r="I15" s="493">
        <f>E1-E15</f>
        <v>0.20999999999999996</v>
      </c>
      <c r="J15" s="495">
        <f>E14-E4</f>
        <v>7.8333333333333144E-2</v>
      </c>
      <c r="K15" s="51" t="s">
        <v>535</v>
      </c>
      <c r="V15" s="797" t="s">
        <v>763</v>
      </c>
      <c r="W15" s="797"/>
      <c r="X15" s="797"/>
      <c r="Y15" s="797"/>
    </row>
    <row r="16" spans="1:25" s="51" customFormat="1" x14ac:dyDescent="0.25">
      <c r="A16" s="51">
        <v>2017</v>
      </c>
      <c r="B16" s="77">
        <v>2.62</v>
      </c>
      <c r="C16" s="77">
        <v>2.14</v>
      </c>
      <c r="D16" s="77">
        <v>2.64</v>
      </c>
      <c r="E16" s="77"/>
      <c r="G16" s="77"/>
      <c r="I16" s="490"/>
      <c r="J16" s="492"/>
      <c r="M16" s="51" t="s">
        <v>536</v>
      </c>
      <c r="Q16" s="51" t="s">
        <v>537</v>
      </c>
      <c r="V16" s="797"/>
      <c r="W16" s="797"/>
      <c r="X16" s="797"/>
      <c r="Y16" s="797"/>
    </row>
    <row r="17" spans="1:25" s="51" customFormat="1" x14ac:dyDescent="0.25">
      <c r="A17" s="51">
        <v>2016</v>
      </c>
      <c r="B17" s="77">
        <v>2.09</v>
      </c>
      <c r="C17" s="77">
        <v>2.1042000000000001</v>
      </c>
      <c r="D17" s="77"/>
      <c r="E17" s="77"/>
      <c r="G17" s="77"/>
      <c r="I17" s="490"/>
      <c r="J17" s="492"/>
      <c r="M17" s="98">
        <f>M9*10</f>
        <v>300000</v>
      </c>
      <c r="N17" s="51" t="s">
        <v>523</v>
      </c>
      <c r="Q17" s="73">
        <v>150000</v>
      </c>
      <c r="R17" s="51" t="s">
        <v>523</v>
      </c>
      <c r="V17" s="797"/>
      <c r="W17" s="797"/>
      <c r="X17" s="797"/>
      <c r="Y17" s="797"/>
    </row>
    <row r="18" spans="1:25" s="51" customFormat="1" x14ac:dyDescent="0.25">
      <c r="A18" s="51">
        <v>2015</v>
      </c>
      <c r="B18" s="77">
        <v>2.71</v>
      </c>
      <c r="C18" s="77">
        <v>2.1</v>
      </c>
      <c r="E18" s="77"/>
      <c r="G18" s="77"/>
      <c r="I18" s="490"/>
      <c r="J18" s="492"/>
      <c r="M18" s="364">
        <f>M17/M12</f>
        <v>67204.301075268813</v>
      </c>
      <c r="N18" s="51" t="s">
        <v>538</v>
      </c>
      <c r="Q18" s="364">
        <f>Q17/M12</f>
        <v>33602.150537634407</v>
      </c>
      <c r="R18" s="51" t="s">
        <v>538</v>
      </c>
      <c r="V18" s="797"/>
      <c r="W18" s="797"/>
      <c r="X18" s="797"/>
      <c r="Y18" s="797"/>
    </row>
    <row r="19" spans="1:25" s="51" customFormat="1" x14ac:dyDescent="0.25">
      <c r="A19" s="51" t="s">
        <v>522</v>
      </c>
      <c r="B19" s="77">
        <f>AVERAGE(B14:B18)</f>
        <v>2.6399999999999997</v>
      </c>
      <c r="C19" s="77">
        <f>AVERAGE(C14:C18)</f>
        <v>2.1388400000000001</v>
      </c>
      <c r="D19" s="77"/>
      <c r="E19" s="77"/>
      <c r="G19" s="77"/>
      <c r="I19" s="490"/>
      <c r="J19" s="492"/>
      <c r="M19" s="364">
        <f>M18*R6</f>
        <v>8565994623.6559134</v>
      </c>
      <c r="N19" s="51" t="s">
        <v>517</v>
      </c>
      <c r="Q19" s="364">
        <f>Q18*R6</f>
        <v>4282997311.8279567</v>
      </c>
      <c r="R19" s="51" t="s">
        <v>517</v>
      </c>
      <c r="V19" s="797"/>
      <c r="W19" s="797"/>
      <c r="X19" s="797"/>
      <c r="Y19" s="797"/>
    </row>
    <row r="20" spans="1:25" s="51" customFormat="1" x14ac:dyDescent="0.25">
      <c r="B20" s="51" t="s">
        <v>539</v>
      </c>
      <c r="I20" s="490"/>
      <c r="J20" s="492"/>
      <c r="M20" s="364">
        <f>M19/R5</f>
        <v>85659.946236559132</v>
      </c>
      <c r="N20" s="51" t="s">
        <v>540</v>
      </c>
      <c r="Q20" s="364">
        <f>Q19/100000</f>
        <v>42829.973118279566</v>
      </c>
      <c r="R20" s="51" t="s">
        <v>540</v>
      </c>
      <c r="V20" s="797"/>
      <c r="W20" s="797"/>
      <c r="X20" s="797"/>
      <c r="Y20" s="797"/>
    </row>
    <row r="21" spans="1:25" s="51" customFormat="1" x14ac:dyDescent="0.25">
      <c r="B21" s="70" t="s">
        <v>541</v>
      </c>
      <c r="D21" s="72" t="s">
        <v>542</v>
      </c>
      <c r="E21" s="496">
        <v>2.82</v>
      </c>
      <c r="F21" s="51" t="s">
        <v>543</v>
      </c>
      <c r="I21" s="490"/>
      <c r="J21" s="492"/>
      <c r="M21" s="364">
        <f>M20/12</f>
        <v>7138.3288530465943</v>
      </c>
      <c r="N21" s="51" t="s">
        <v>534</v>
      </c>
      <c r="Q21" s="364">
        <f>Q20/12</f>
        <v>3569.1644265232972</v>
      </c>
      <c r="R21" s="51" t="s">
        <v>534</v>
      </c>
      <c r="V21" s="797"/>
      <c r="W21" s="797"/>
      <c r="X21" s="797"/>
      <c r="Y21" s="797"/>
    </row>
    <row r="22" spans="1:25" s="51" customFormat="1" x14ac:dyDescent="0.25">
      <c r="B22" s="51" t="s">
        <v>544</v>
      </c>
      <c r="C22" s="51" t="s">
        <v>509</v>
      </c>
      <c r="D22" s="51" t="s">
        <v>545</v>
      </c>
      <c r="E22" s="51" t="s">
        <v>546</v>
      </c>
      <c r="F22" s="51" t="s">
        <v>547</v>
      </c>
      <c r="G22" s="51" t="s">
        <v>548</v>
      </c>
      <c r="I22" s="490"/>
      <c r="J22" s="492"/>
      <c r="M22" s="98">
        <f>(M19/R6)/12</f>
        <v>5600.3584229390681</v>
      </c>
      <c r="N22" s="51" t="s">
        <v>549</v>
      </c>
      <c r="Q22" s="98">
        <f>(Q19/R6)/12</f>
        <v>2800.179211469534</v>
      </c>
      <c r="R22" s="51" t="s">
        <v>549</v>
      </c>
      <c r="V22" s="797"/>
      <c r="W22" s="797"/>
      <c r="X22" s="797"/>
      <c r="Y22" s="797"/>
    </row>
    <row r="23" spans="1:25" s="51" customFormat="1" x14ac:dyDescent="0.25">
      <c r="A23" s="51">
        <v>2020</v>
      </c>
      <c r="B23" s="77">
        <v>2.2400000000000002</v>
      </c>
      <c r="C23" s="77">
        <v>1.99</v>
      </c>
      <c r="D23" s="152">
        <f>AVERAGE(2.1,2.21)</f>
        <v>2.1550000000000002</v>
      </c>
      <c r="F23" s="77">
        <v>2.2400000000000002</v>
      </c>
      <c r="G23" s="494">
        <f>AVERAGE(B23:D23)</f>
        <v>2.1283333333333334</v>
      </c>
      <c r="I23" s="490"/>
      <c r="J23" s="492"/>
      <c r="M23" s="98"/>
      <c r="Q23" s="98"/>
      <c r="V23" s="797"/>
      <c r="W23" s="797"/>
      <c r="X23" s="797"/>
      <c r="Y23" s="797"/>
    </row>
    <row r="24" spans="1:25" s="51" customFormat="1" x14ac:dyDescent="0.25">
      <c r="A24" s="51">
        <v>2019</v>
      </c>
      <c r="B24" s="77">
        <v>2.35</v>
      </c>
      <c r="C24" s="77">
        <v>2.25</v>
      </c>
      <c r="D24" s="77">
        <f>AVERAGE(2.29,2.54,2.69)</f>
        <v>2.5066666666666664</v>
      </c>
      <c r="E24" s="77">
        <v>2.2200000000000002</v>
      </c>
      <c r="F24" s="494">
        <v>2.5099999999999998</v>
      </c>
      <c r="G24" s="493">
        <f>AVERAGE(B24:D24)</f>
        <v>2.3688888888888884</v>
      </c>
      <c r="I24" s="490"/>
      <c r="J24" s="492"/>
      <c r="M24" s="98"/>
      <c r="Q24" s="98"/>
      <c r="V24" s="797"/>
      <c r="W24" s="797"/>
      <c r="X24" s="797"/>
      <c r="Y24" s="797"/>
    </row>
    <row r="25" spans="1:25" s="51" customFormat="1" x14ac:dyDescent="0.25">
      <c r="A25" s="51">
        <v>2018</v>
      </c>
      <c r="B25" s="77">
        <v>2.4300000000000002</v>
      </c>
      <c r="C25" s="77">
        <v>2.39</v>
      </c>
      <c r="D25" s="77">
        <v>2.5099999999999998</v>
      </c>
      <c r="E25" s="77"/>
      <c r="F25" s="494">
        <v>2.5099999999999998</v>
      </c>
      <c r="G25" s="77">
        <f>AVERAGE(B25:D25)</f>
        <v>2.4433333333333334</v>
      </c>
      <c r="I25" s="493">
        <f>E21-G24</f>
        <v>0.45111111111111146</v>
      </c>
      <c r="J25" s="492"/>
      <c r="V25" s="797"/>
      <c r="W25" s="797"/>
      <c r="X25" s="797"/>
      <c r="Y25" s="797"/>
    </row>
    <row r="26" spans="1:25" s="51" customFormat="1" x14ac:dyDescent="0.25">
      <c r="A26" s="51">
        <v>2017</v>
      </c>
      <c r="B26" s="77">
        <v>1.99</v>
      </c>
      <c r="C26" s="77">
        <v>1.96</v>
      </c>
      <c r="D26" s="77">
        <v>2.1</v>
      </c>
      <c r="E26" s="77"/>
      <c r="I26" s="490"/>
      <c r="J26" s="492"/>
      <c r="M26" s="51" t="s">
        <v>550</v>
      </c>
      <c r="Q26" s="51" t="s">
        <v>551</v>
      </c>
      <c r="S26" s="51" t="s">
        <v>552</v>
      </c>
      <c r="V26" s="797"/>
      <c r="W26" s="797"/>
      <c r="X26" s="797"/>
      <c r="Y26" s="797"/>
    </row>
    <row r="27" spans="1:25" s="51" customFormat="1" x14ac:dyDescent="0.25">
      <c r="A27" s="51">
        <v>2016</v>
      </c>
      <c r="B27" s="77">
        <v>1.7</v>
      </c>
      <c r="C27" s="77">
        <v>1.54</v>
      </c>
      <c r="E27" s="77"/>
      <c r="G27" s="77"/>
      <c r="I27" s="490"/>
      <c r="J27" s="492"/>
      <c r="N27" s="51" t="s">
        <v>553</v>
      </c>
      <c r="Q27" s="77">
        <v>250</v>
      </c>
      <c r="T27" s="77">
        <v>250</v>
      </c>
      <c r="V27" s="797"/>
      <c r="W27" s="797"/>
      <c r="X27" s="797"/>
      <c r="Y27" s="797"/>
    </row>
    <row r="28" spans="1:25" s="51" customFormat="1" x14ac:dyDescent="0.25">
      <c r="A28" s="51">
        <v>2015</v>
      </c>
      <c r="B28" s="77">
        <v>2.38</v>
      </c>
      <c r="C28" s="77">
        <v>1.87</v>
      </c>
      <c r="E28" s="77"/>
      <c r="I28" s="490"/>
      <c r="J28" s="492"/>
      <c r="M28" s="51" t="s">
        <v>554</v>
      </c>
      <c r="O28" s="497">
        <v>0.49925999999999998</v>
      </c>
      <c r="Q28" s="77">
        <f>O28*2000</f>
        <v>998.52</v>
      </c>
      <c r="T28" s="77">
        <f>O28*2000</f>
        <v>998.52</v>
      </c>
    </row>
    <row r="29" spans="1:25" s="51" customFormat="1" x14ac:dyDescent="0.25">
      <c r="A29" s="51" t="s">
        <v>555</v>
      </c>
      <c r="B29" s="77">
        <f>AVERAGE(B25:B28)</f>
        <v>2.125</v>
      </c>
      <c r="C29" s="77">
        <f>AVERAGE(C25:C28)</f>
        <v>1.94</v>
      </c>
      <c r="E29" s="77"/>
      <c r="I29" s="490"/>
      <c r="J29" s="492"/>
      <c r="M29" s="51" t="s">
        <v>556</v>
      </c>
      <c r="O29" s="497">
        <v>0.46017999999999998</v>
      </c>
      <c r="Q29" s="77">
        <f>(M21-2000)*O29</f>
        <v>2364.5561715949816</v>
      </c>
      <c r="T29" s="498">
        <f>(Q21-2000)*O29</f>
        <v>722.09808579749085</v>
      </c>
    </row>
    <row r="30" spans="1:25" s="51" customFormat="1" x14ac:dyDescent="0.25">
      <c r="I30" s="490"/>
      <c r="J30" s="492"/>
      <c r="M30" s="51" t="s">
        <v>557</v>
      </c>
      <c r="O30" s="497">
        <v>0.1113</v>
      </c>
      <c r="Q30" s="152">
        <f>M21*O30</f>
        <v>794.49600134408593</v>
      </c>
      <c r="T30" s="152">
        <f>Q21*O30</f>
        <v>397.24800067204296</v>
      </c>
    </row>
    <row r="31" spans="1:25" s="51" customFormat="1" x14ac:dyDescent="0.25">
      <c r="B31" s="51" t="s">
        <v>398</v>
      </c>
      <c r="F31" s="51" t="s">
        <v>558</v>
      </c>
      <c r="I31" s="490"/>
      <c r="J31" s="492"/>
      <c r="Q31" s="499">
        <f>SUM(Q27:Q30)</f>
        <v>4407.572172939068</v>
      </c>
      <c r="T31" s="77">
        <f>SUM(T27:T30)</f>
        <v>2367.8660864695339</v>
      </c>
    </row>
    <row r="32" spans="1:25" s="51" customFormat="1" x14ac:dyDescent="0.25">
      <c r="B32" s="51" t="s">
        <v>544</v>
      </c>
      <c r="C32" s="51" t="s">
        <v>509</v>
      </c>
      <c r="D32" s="51" t="s">
        <v>545</v>
      </c>
      <c r="F32" s="51" t="s">
        <v>547</v>
      </c>
      <c r="G32" s="51" t="s">
        <v>548</v>
      </c>
      <c r="I32" s="490"/>
      <c r="J32" s="492"/>
      <c r="M32" s="51" t="s">
        <v>559</v>
      </c>
      <c r="N32" s="77">
        <f>Q31/10</f>
        <v>440.75721729390682</v>
      </c>
      <c r="S32" s="77">
        <f>T31/5</f>
        <v>473.57321729390679</v>
      </c>
    </row>
    <row r="33" spans="1:20" s="51" customFormat="1" x14ac:dyDescent="0.25">
      <c r="A33" s="51">
        <v>2020</v>
      </c>
      <c r="B33" s="77">
        <v>1.79</v>
      </c>
      <c r="C33" s="77">
        <v>2.09</v>
      </c>
      <c r="F33" s="77">
        <v>2.09</v>
      </c>
      <c r="G33" s="77">
        <f>AVERAGE(B33:D33)</f>
        <v>1.94</v>
      </c>
      <c r="I33" s="490"/>
      <c r="J33" s="492"/>
      <c r="N33" s="77"/>
      <c r="S33" s="77"/>
    </row>
    <row r="34" spans="1:20" s="51" customFormat="1" x14ac:dyDescent="0.25">
      <c r="A34" s="51">
        <v>2019</v>
      </c>
      <c r="B34" s="77">
        <v>2.3199999999999998</v>
      </c>
      <c r="C34" s="77">
        <v>2.4</v>
      </c>
      <c r="D34" s="77">
        <v>2.3199999999999998</v>
      </c>
      <c r="F34" s="493">
        <v>2.4</v>
      </c>
      <c r="G34" s="77">
        <f>AVERAGE(B34:D34)</f>
        <v>2.3466666666666662</v>
      </c>
      <c r="I34" s="490"/>
      <c r="J34" s="492"/>
      <c r="N34" s="77"/>
      <c r="S34" s="77"/>
    </row>
    <row r="35" spans="1:20" s="51" customFormat="1" x14ac:dyDescent="0.25">
      <c r="A35" s="51">
        <v>2018</v>
      </c>
      <c r="B35" s="77">
        <v>2.58</v>
      </c>
      <c r="C35" s="77">
        <v>2.6</v>
      </c>
      <c r="D35" s="77">
        <v>2.59</v>
      </c>
      <c r="E35" s="77"/>
      <c r="F35" s="77">
        <v>2.6</v>
      </c>
      <c r="G35" s="494">
        <f>AVERAGE(B35:D35)</f>
        <v>2.59</v>
      </c>
      <c r="I35" s="493">
        <f>E21-F34</f>
        <v>0.41999999999999993</v>
      </c>
      <c r="J35" s="495">
        <f>I25-I35</f>
        <v>3.1111111111111533E-2</v>
      </c>
      <c r="K35" s="51" t="s">
        <v>535</v>
      </c>
      <c r="M35" s="51" t="s">
        <v>560</v>
      </c>
      <c r="N35" s="152">
        <f>Q31/M21</f>
        <v>0.61745154414649073</v>
      </c>
      <c r="O35" s="51" t="s">
        <v>561</v>
      </c>
      <c r="S35" s="77">
        <f>T31/Q21</f>
        <v>0.66342308829298147</v>
      </c>
      <c r="T35" s="51" t="s">
        <v>561</v>
      </c>
    </row>
    <row r="36" spans="1:20" s="51" customFormat="1" x14ac:dyDescent="0.25">
      <c r="A36" s="51">
        <v>2017</v>
      </c>
      <c r="B36" s="77">
        <v>1.81</v>
      </c>
      <c r="C36" s="77">
        <v>2.23</v>
      </c>
      <c r="D36" s="77">
        <v>2.06</v>
      </c>
      <c r="E36" s="77"/>
      <c r="I36" s="490"/>
      <c r="J36" s="492"/>
      <c r="M36" s="51" t="s">
        <v>562</v>
      </c>
      <c r="N36" s="77">
        <f>Q31/M22</f>
        <v>0.78701608719999994</v>
      </c>
      <c r="O36" s="51" t="s">
        <v>524</v>
      </c>
      <c r="S36" s="152">
        <f>T31/Q22</f>
        <v>0.84561233679999992</v>
      </c>
      <c r="T36" s="51" t="s">
        <v>524</v>
      </c>
    </row>
    <row r="37" spans="1:20" s="51" customFormat="1" x14ac:dyDescent="0.25">
      <c r="A37" s="51">
        <v>2016</v>
      </c>
      <c r="B37" s="77">
        <v>1.59</v>
      </c>
      <c r="C37" s="77">
        <v>1.91</v>
      </c>
      <c r="D37" s="77">
        <v>0.37</v>
      </c>
      <c r="E37" s="77"/>
      <c r="I37" s="490"/>
      <c r="J37" s="492"/>
      <c r="P37" s="72" t="s">
        <v>563</v>
      </c>
      <c r="Q37" s="274">
        <f>AVERAGE(N35,S35)</f>
        <v>0.6404373162197361</v>
      </c>
    </row>
    <row r="38" spans="1:20" s="51" customFormat="1" x14ac:dyDescent="0.25">
      <c r="A38" s="51">
        <v>2015</v>
      </c>
      <c r="B38" s="77">
        <v>2.0299999999999998</v>
      </c>
      <c r="C38" s="77">
        <v>2.23</v>
      </c>
      <c r="G38" s="77"/>
      <c r="I38" s="490"/>
      <c r="J38" s="492"/>
      <c r="M38" s="98">
        <f>(M19/116089)/12</f>
        <v>6149.0139918912164</v>
      </c>
      <c r="N38" s="51" t="s">
        <v>564</v>
      </c>
      <c r="P38" s="72" t="s">
        <v>565</v>
      </c>
      <c r="Q38" s="152">
        <f>AVERAGE(0.2,0.35)</f>
        <v>0.27500000000000002</v>
      </c>
      <c r="S38" s="51" t="s">
        <v>566</v>
      </c>
    </row>
    <row r="39" spans="1:20" s="51" customFormat="1" x14ac:dyDescent="0.25">
      <c r="E39" s="77"/>
      <c r="I39" s="490"/>
      <c r="J39" s="492"/>
      <c r="M39" s="364">
        <f>M38/30</f>
        <v>204.96713306304054</v>
      </c>
      <c r="N39" s="51" t="s">
        <v>567</v>
      </c>
      <c r="P39" s="72" t="s">
        <v>568</v>
      </c>
      <c r="Q39" s="152">
        <f>AVERAGE(0.28,0.13)</f>
        <v>0.20500000000000002</v>
      </c>
      <c r="S39" s="51" t="s">
        <v>566</v>
      </c>
    </row>
    <row r="40" spans="1:20" s="51" customFormat="1" x14ac:dyDescent="0.25">
      <c r="B40" s="51" t="s">
        <v>158</v>
      </c>
      <c r="F40" s="51" t="s">
        <v>543</v>
      </c>
      <c r="I40" s="490"/>
      <c r="J40" s="492"/>
      <c r="P40" s="72" t="s">
        <v>569</v>
      </c>
      <c r="Q40" s="500">
        <f>SUM(Q37:Q39)</f>
        <v>1.1204373162197361</v>
      </c>
    </row>
    <row r="41" spans="1:20" s="51" customFormat="1" x14ac:dyDescent="0.25">
      <c r="B41" s="51" t="s">
        <v>544</v>
      </c>
      <c r="C41" s="51" t="s">
        <v>509</v>
      </c>
      <c r="D41" s="51" t="s">
        <v>545</v>
      </c>
      <c r="F41" s="51" t="s">
        <v>547</v>
      </c>
      <c r="G41" s="51" t="s">
        <v>548</v>
      </c>
      <c r="I41" s="490"/>
      <c r="J41" s="492"/>
      <c r="Q41" s="274">
        <f>Q40+R46</f>
        <v>1.2880185178854113</v>
      </c>
      <c r="R41" s="51" t="s">
        <v>570</v>
      </c>
    </row>
    <row r="42" spans="1:20" s="51" customFormat="1" x14ac:dyDescent="0.25">
      <c r="A42" s="51">
        <v>2020</v>
      </c>
      <c r="I42" s="490"/>
      <c r="J42" s="492"/>
      <c r="Q42" s="274"/>
    </row>
    <row r="43" spans="1:20" s="51" customFormat="1" x14ac:dyDescent="0.25">
      <c r="A43" s="51">
        <v>2019</v>
      </c>
      <c r="B43" s="77">
        <v>2.09</v>
      </c>
      <c r="D43" s="77">
        <v>2.4900000000000002</v>
      </c>
      <c r="E43" s="77"/>
      <c r="F43" s="493">
        <v>2.4900000000000002</v>
      </c>
      <c r="G43" s="494">
        <f>AVERAGE(B43:D43)</f>
        <v>2.29</v>
      </c>
      <c r="I43" s="490"/>
      <c r="J43" s="492"/>
    </row>
    <row r="44" spans="1:20" s="51" customFormat="1" x14ac:dyDescent="0.25">
      <c r="A44" s="51">
        <v>2018</v>
      </c>
      <c r="B44" s="77">
        <v>2.65</v>
      </c>
      <c r="C44" s="77">
        <v>2.58</v>
      </c>
      <c r="D44" s="77">
        <v>2.65</v>
      </c>
      <c r="E44" s="77"/>
      <c r="F44" s="77">
        <v>2.65</v>
      </c>
      <c r="G44" s="494">
        <f>AVERAGE(B44:D44)</f>
        <v>2.6266666666666669</v>
      </c>
      <c r="I44" s="493">
        <f>E21-F43</f>
        <v>0.32999999999999963</v>
      </c>
      <c r="J44" s="495">
        <f>I25-I44</f>
        <v>0.12111111111111184</v>
      </c>
      <c r="K44" s="51" t="s">
        <v>535</v>
      </c>
      <c r="M44" s="72"/>
      <c r="N44" s="72"/>
      <c r="O44" s="75"/>
      <c r="Q44" s="51" t="s">
        <v>571</v>
      </c>
    </row>
    <row r="45" spans="1:20" s="51" customFormat="1" x14ac:dyDescent="0.25">
      <c r="A45" s="51">
        <v>2017</v>
      </c>
      <c r="D45" s="77">
        <v>2.41</v>
      </c>
      <c r="E45" s="77"/>
      <c r="I45" s="490"/>
      <c r="J45" s="492"/>
      <c r="M45" s="72"/>
      <c r="N45" s="79"/>
      <c r="O45" s="75"/>
      <c r="Q45" s="72" t="s">
        <v>105</v>
      </c>
      <c r="R45" s="91">
        <v>0.184</v>
      </c>
    </row>
    <row r="46" spans="1:20" s="51" customFormat="1" x14ac:dyDescent="0.25">
      <c r="A46" s="51">
        <v>2016</v>
      </c>
      <c r="I46" s="490"/>
      <c r="J46" s="492"/>
      <c r="M46" s="72"/>
      <c r="N46" s="72"/>
      <c r="O46" s="75"/>
      <c r="Q46" s="72" t="s">
        <v>572</v>
      </c>
      <c r="R46" s="91">
        <f>R45/R2</f>
        <v>0.16758120166567519</v>
      </c>
    </row>
    <row r="47" spans="1:20" s="51" customFormat="1" x14ac:dyDescent="0.25">
      <c r="A47" s="51">
        <v>2015</v>
      </c>
      <c r="I47" s="490"/>
      <c r="J47" s="492"/>
    </row>
    <row r="48" spans="1:20" s="51" customFormat="1" x14ac:dyDescent="0.25">
      <c r="I48" s="490"/>
      <c r="J48" s="492"/>
      <c r="M48" s="51" t="s">
        <v>66</v>
      </c>
    </row>
    <row r="49" spans="1:18" s="51" customFormat="1" x14ac:dyDescent="0.25">
      <c r="B49" s="70" t="s">
        <v>160</v>
      </c>
      <c r="C49" s="51" t="s">
        <v>573</v>
      </c>
      <c r="F49" s="51" t="s">
        <v>543</v>
      </c>
      <c r="I49" s="490"/>
      <c r="J49" s="492"/>
      <c r="M49" s="72"/>
      <c r="N49" s="72" t="s">
        <v>77</v>
      </c>
      <c r="O49" s="75">
        <v>500000</v>
      </c>
      <c r="Q49" s="75">
        <f>O49/14</f>
        <v>35714.285714285717</v>
      </c>
      <c r="R49" s="51" t="s">
        <v>574</v>
      </c>
    </row>
    <row r="50" spans="1:18" s="51" customFormat="1" x14ac:dyDescent="0.25">
      <c r="B50" s="51" t="s">
        <v>544</v>
      </c>
      <c r="C50" s="51" t="s">
        <v>509</v>
      </c>
      <c r="D50" s="51" t="s">
        <v>545</v>
      </c>
      <c r="E50" s="51" t="s">
        <v>546</v>
      </c>
      <c r="F50" s="51" t="s">
        <v>547</v>
      </c>
      <c r="G50" s="51" t="s">
        <v>548</v>
      </c>
      <c r="I50" s="490"/>
      <c r="J50" s="492"/>
      <c r="M50" s="72"/>
      <c r="N50" s="79" t="s">
        <v>91</v>
      </c>
      <c r="O50" s="75">
        <v>800000</v>
      </c>
      <c r="Q50" s="75">
        <f>O50/14</f>
        <v>57142.857142857145</v>
      </c>
      <c r="R50" s="51" t="s">
        <v>574</v>
      </c>
    </row>
    <row r="51" spans="1:18" s="51" customFormat="1" x14ac:dyDescent="0.25">
      <c r="A51" s="51">
        <v>2020</v>
      </c>
      <c r="B51" s="77">
        <v>2.2599999999999998</v>
      </c>
      <c r="C51" s="77">
        <v>2.12</v>
      </c>
      <c r="D51" s="152">
        <f>AVERAGE(2.26,2.14)</f>
        <v>2.2000000000000002</v>
      </c>
      <c r="F51" s="494">
        <v>2.2599999999999998</v>
      </c>
      <c r="G51" s="493">
        <f>AVERAGE(B51:D51)</f>
        <v>2.1933333333333334</v>
      </c>
      <c r="I51" s="490"/>
      <c r="J51" s="492"/>
      <c r="M51" s="72"/>
      <c r="N51" s="79"/>
      <c r="O51" s="75"/>
      <c r="Q51" s="75"/>
    </row>
    <row r="52" spans="1:18" s="51" customFormat="1" x14ac:dyDescent="0.25">
      <c r="A52" s="51">
        <v>2019</v>
      </c>
      <c r="B52" s="77">
        <v>2.59</v>
      </c>
      <c r="C52" s="77">
        <v>3.16</v>
      </c>
      <c r="D52" s="77">
        <f>AVERAGE(3.26,2.94,2.44)</f>
        <v>2.8799999999999994</v>
      </c>
      <c r="E52" s="77">
        <f>AVERAGE(2.7544,2.6163,2.7491)</f>
        <v>2.7065999999999999</v>
      </c>
      <c r="F52" s="494">
        <v>2.88</v>
      </c>
      <c r="G52" s="494">
        <f>AVERAGE(B52:E52)</f>
        <v>2.8341499999999997</v>
      </c>
      <c r="I52" s="493">
        <f>G24-G51</f>
        <v>0.17555555555555502</v>
      </c>
      <c r="J52" s="495">
        <f>I25-I52</f>
        <v>0.27555555555555644</v>
      </c>
      <c r="K52" s="51" t="s">
        <v>535</v>
      </c>
      <c r="M52" s="72"/>
      <c r="N52" s="72" t="s">
        <v>104</v>
      </c>
      <c r="O52" s="75">
        <v>1200000</v>
      </c>
      <c r="Q52" s="75">
        <f>O52/14</f>
        <v>85714.28571428571</v>
      </c>
      <c r="R52" s="51" t="s">
        <v>574</v>
      </c>
    </row>
    <row r="53" spans="1:18" s="51" customFormat="1" x14ac:dyDescent="0.25">
      <c r="A53" s="51">
        <v>2018</v>
      </c>
      <c r="B53" s="77">
        <v>2.3378000000000001</v>
      </c>
      <c r="C53" s="77">
        <v>3.3921000000000001</v>
      </c>
      <c r="D53" s="77">
        <v>3.74</v>
      </c>
      <c r="E53" s="77"/>
      <c r="F53" s="77">
        <v>3.74</v>
      </c>
      <c r="G53" s="77">
        <f>AVERAGE(B53:E53)</f>
        <v>3.1566333333333336</v>
      </c>
      <c r="I53" s="490"/>
      <c r="J53" s="495"/>
    </row>
    <row r="54" spans="1:18" s="51" customFormat="1" x14ac:dyDescent="0.25">
      <c r="A54" s="51">
        <v>2017</v>
      </c>
      <c r="B54" s="77">
        <v>1.9656</v>
      </c>
      <c r="C54" s="77">
        <v>2.2200000000000002</v>
      </c>
      <c r="D54" s="77"/>
      <c r="E54" s="77"/>
      <c r="G54" s="77"/>
      <c r="I54" s="490"/>
      <c r="J54" s="492"/>
    </row>
    <row r="55" spans="1:18" s="51" customFormat="1" x14ac:dyDescent="0.25">
      <c r="A55" s="51">
        <v>2016</v>
      </c>
      <c r="C55" s="77">
        <v>1.6134999999999999</v>
      </c>
      <c r="D55" s="77"/>
      <c r="E55" s="77"/>
      <c r="I55" s="490"/>
      <c r="J55" s="492"/>
    </row>
    <row r="56" spans="1:18" s="51" customFormat="1" x14ac:dyDescent="0.25">
      <c r="A56" s="51">
        <v>2015</v>
      </c>
      <c r="C56" s="77">
        <v>1.9085000000000001</v>
      </c>
      <c r="I56" s="490"/>
      <c r="J56" s="492"/>
    </row>
    <row r="57" spans="1:18" s="51" customFormat="1" x14ac:dyDescent="0.25">
      <c r="B57" s="77"/>
      <c r="F57" s="77"/>
      <c r="I57" s="490"/>
      <c r="J57" s="492"/>
    </row>
    <row r="58" spans="1:18" s="51" customFormat="1" x14ac:dyDescent="0.25">
      <c r="B58" s="51" t="s">
        <v>162</v>
      </c>
      <c r="C58" s="72" t="s">
        <v>575</v>
      </c>
      <c r="D58" s="77">
        <v>1.75</v>
      </c>
      <c r="E58" s="51" t="s">
        <v>524</v>
      </c>
      <c r="I58" s="490"/>
      <c r="J58" s="492"/>
    </row>
    <row r="59" spans="1:18" s="51" customFormat="1" x14ac:dyDescent="0.25">
      <c r="B59" s="51" t="s">
        <v>576</v>
      </c>
      <c r="C59" s="51" t="s">
        <v>577</v>
      </c>
      <c r="I59" s="490"/>
      <c r="J59" s="492"/>
    </row>
    <row r="60" spans="1:18" s="51" customFormat="1" x14ac:dyDescent="0.25">
      <c r="A60" s="51">
        <v>2020</v>
      </c>
      <c r="I60" s="490"/>
      <c r="J60" s="492"/>
    </row>
    <row r="61" spans="1:18" s="51" customFormat="1" x14ac:dyDescent="0.25">
      <c r="A61" s="51">
        <v>2019</v>
      </c>
      <c r="B61" s="501">
        <v>1.29</v>
      </c>
      <c r="I61" s="493">
        <f>D58-B61</f>
        <v>0.45999999999999996</v>
      </c>
      <c r="J61" s="492"/>
    </row>
    <row r="62" spans="1:18" s="51" customFormat="1" x14ac:dyDescent="0.25">
      <c r="A62" s="51">
        <v>2018</v>
      </c>
      <c r="B62" s="77">
        <v>1.1449</v>
      </c>
      <c r="D62" s="494"/>
      <c r="I62" s="490"/>
      <c r="J62" s="492"/>
    </row>
    <row r="63" spans="1:18" s="51" customFormat="1" x14ac:dyDescent="0.25">
      <c r="A63" s="51">
        <v>2017</v>
      </c>
      <c r="B63" s="77">
        <v>1.1440999999999999</v>
      </c>
      <c r="I63" s="490"/>
      <c r="J63" s="492"/>
    </row>
    <row r="64" spans="1:18" s="51" customFormat="1" x14ac:dyDescent="0.25">
      <c r="A64" s="51">
        <v>2016</v>
      </c>
      <c r="B64" s="77">
        <v>1.1087</v>
      </c>
      <c r="I64" s="490"/>
      <c r="J64" s="492"/>
    </row>
    <row r="65" spans="1:10" s="51" customFormat="1" x14ac:dyDescent="0.25">
      <c r="A65" s="51">
        <v>2015</v>
      </c>
      <c r="B65" s="77">
        <v>1.1861999999999999</v>
      </c>
      <c r="I65" s="490"/>
      <c r="J65" s="492"/>
    </row>
    <row r="66" spans="1:10" s="51" customFormat="1" x14ac:dyDescent="0.25">
      <c r="I66" s="490"/>
      <c r="J66" s="492"/>
    </row>
    <row r="67" spans="1:10" s="51" customFormat="1" x14ac:dyDescent="0.25">
      <c r="B67" s="51" t="s">
        <v>171</v>
      </c>
      <c r="C67" s="51" t="s">
        <v>578</v>
      </c>
      <c r="E67" s="77">
        <v>0.45</v>
      </c>
      <c r="F67" s="51" t="s">
        <v>579</v>
      </c>
      <c r="I67" s="490"/>
      <c r="J67" s="492"/>
    </row>
    <row r="68" spans="1:10" s="51" customFormat="1" x14ac:dyDescent="0.25">
      <c r="C68" s="51" t="s">
        <v>580</v>
      </c>
      <c r="E68" s="493">
        <f>I61+E67</f>
        <v>0.90999999999999992</v>
      </c>
      <c r="I68" s="493">
        <f>E68</f>
        <v>0.90999999999999992</v>
      </c>
      <c r="J68" s="492"/>
    </row>
    <row r="69" spans="1:10" s="51" customFormat="1" x14ac:dyDescent="0.25">
      <c r="E69" s="77">
        <f>D62-E67</f>
        <v>-0.45</v>
      </c>
      <c r="F69" s="51" t="s">
        <v>524</v>
      </c>
      <c r="I69" s="490"/>
      <c r="J69" s="492"/>
    </row>
    <row r="70" spans="1:10" s="51" customFormat="1" x14ac:dyDescent="0.25">
      <c r="I70" s="490"/>
      <c r="J70" s="492"/>
    </row>
    <row r="71" spans="1:10" s="51" customFormat="1" x14ac:dyDescent="0.25">
      <c r="I71" s="490"/>
      <c r="J71" s="492"/>
    </row>
    <row r="72" spans="1:10" s="51" customFormat="1" x14ac:dyDescent="0.25">
      <c r="I72" s="490"/>
      <c r="J72" s="492"/>
    </row>
    <row r="73" spans="1:10" s="51" customFormat="1" x14ac:dyDescent="0.25">
      <c r="I73" s="490"/>
      <c r="J73" s="492"/>
    </row>
    <row r="74" spans="1:10" s="51" customFormat="1" x14ac:dyDescent="0.25">
      <c r="I74" s="490"/>
      <c r="J74" s="492"/>
    </row>
    <row r="75" spans="1:10" s="51" customFormat="1" x14ac:dyDescent="0.25">
      <c r="I75" s="490"/>
      <c r="J75" s="492"/>
    </row>
    <row r="76" spans="1:10" s="51" customFormat="1" x14ac:dyDescent="0.25">
      <c r="I76" s="490"/>
      <c r="J76" s="492"/>
    </row>
  </sheetData>
  <mergeCells count="1">
    <mergeCell ref="V15:Y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S79"/>
  <sheetViews>
    <sheetView workbookViewId="0">
      <selection activeCell="P3" sqref="P3:S13"/>
    </sheetView>
  </sheetViews>
  <sheetFormatPr defaultRowHeight="15" x14ac:dyDescent="0.25"/>
  <cols>
    <col min="1" max="1" width="15.85546875" customWidth="1"/>
    <col min="2" max="2" width="12.5703125" customWidth="1"/>
    <col min="3" max="3" width="12.140625" customWidth="1"/>
    <col min="4" max="4" width="13.42578125" customWidth="1"/>
    <col min="5" max="5" width="12" customWidth="1"/>
    <col min="6" max="7" width="12.42578125" customWidth="1"/>
    <col min="8" max="8" width="12.5703125" customWidth="1"/>
    <col min="9" max="9" width="13.5703125" customWidth="1"/>
    <col min="10" max="10" width="12.5703125" customWidth="1"/>
    <col min="11" max="11" width="13.42578125" customWidth="1"/>
    <col min="12" max="12" width="12.5703125" customWidth="1"/>
    <col min="13" max="13" width="13" customWidth="1"/>
    <col min="14" max="14" width="12.85546875" customWidth="1"/>
  </cols>
  <sheetData>
    <row r="2" spans="1:19" x14ac:dyDescent="0.25">
      <c r="B2" t="s">
        <v>582</v>
      </c>
    </row>
    <row r="3" spans="1:19" x14ac:dyDescent="0.25">
      <c r="B3">
        <v>2020</v>
      </c>
      <c r="C3">
        <v>2021</v>
      </c>
      <c r="D3">
        <v>2022</v>
      </c>
      <c r="E3">
        <v>2023</v>
      </c>
      <c r="F3">
        <v>2024</v>
      </c>
      <c r="G3">
        <v>2025</v>
      </c>
      <c r="H3">
        <v>2026</v>
      </c>
      <c r="I3">
        <v>2027</v>
      </c>
      <c r="J3">
        <v>2028</v>
      </c>
      <c r="K3">
        <v>2029</v>
      </c>
      <c r="L3">
        <v>2030</v>
      </c>
      <c r="M3">
        <v>2031</v>
      </c>
      <c r="N3" t="s">
        <v>323</v>
      </c>
      <c r="P3" s="797" t="s">
        <v>763</v>
      </c>
      <c r="Q3" s="797"/>
      <c r="R3" s="797"/>
      <c r="S3" s="797"/>
    </row>
    <row r="4" spans="1:19" x14ac:dyDescent="0.25">
      <c r="A4" t="s">
        <v>583</v>
      </c>
      <c r="B4" s="90">
        <f>'35-40 foot transit bus'!H21</f>
        <v>17305.104135335052</v>
      </c>
      <c r="C4" s="90">
        <f>'35-40 foot transit bus'!I21</f>
        <v>17920.018249442935</v>
      </c>
      <c r="D4" s="90">
        <f>'35-40 foot transit bus'!J21</f>
        <v>18784.738831211609</v>
      </c>
      <c r="E4" s="90">
        <f>'35-40 foot transit bus'!K21</f>
        <v>19448.529355660299</v>
      </c>
      <c r="F4" s="90">
        <f>'35-40 foot transit bus'!L21</f>
        <v>20378.687392281445</v>
      </c>
      <c r="G4" s="90">
        <f>'35-40 foot transit bus'!M21</f>
        <v>21057.296802132154</v>
      </c>
      <c r="H4" s="90">
        <f>'35-40 foot transit bus'!N21</f>
        <v>22075.869899743277</v>
      </c>
      <c r="I4" s="90">
        <f>'35-40 foot transit bus'!O21</f>
        <v>22746.123066207092</v>
      </c>
      <c r="J4" s="90">
        <f>'35-40 foot transit bus'!P21</f>
        <v>23772.005145775031</v>
      </c>
      <c r="K4" s="90">
        <f>'35-40 foot transit bus'!Q21</f>
        <v>24671.206767292253</v>
      </c>
      <c r="L4" s="90">
        <f>'35-40 foot transit bus'!R21</f>
        <v>25909.140235249652</v>
      </c>
      <c r="M4" s="90">
        <f>'35-40 foot transit bus'!S21</f>
        <v>26898.369872135307</v>
      </c>
      <c r="N4" s="416">
        <f t="shared" ref="N4:N14" si="0">SUM(B4:M4)</f>
        <v>260967.08975246613</v>
      </c>
      <c r="P4" s="797"/>
      <c r="Q4" s="797"/>
      <c r="R4" s="797"/>
      <c r="S4" s="797"/>
    </row>
    <row r="5" spans="1:19" x14ac:dyDescent="0.25">
      <c r="A5" t="s">
        <v>584</v>
      </c>
      <c r="B5" s="90">
        <f>'35-40 foot transit bus'!H31</f>
        <v>17485.393990407516</v>
      </c>
      <c r="C5" s="90">
        <f>'35-40 foot transit bus'!I31</f>
        <v>18099.417669732793</v>
      </c>
      <c r="D5" s="90">
        <f>'35-40 foot transit bus'!J31</f>
        <v>18963.226446284076</v>
      </c>
      <c r="E5" s="90">
        <f>'35-40 foot transit bus'!K31</f>
        <v>19626.083282190157</v>
      </c>
      <c r="F5" s="90">
        <f>'35-40 foot transit bus'!L31</f>
        <v>20555.28522174367</v>
      </c>
      <c r="G5" s="90">
        <f>'35-40 foot transit bus'!M31</f>
        <v>21232.915588197127</v>
      </c>
      <c r="H5" s="90">
        <f>'35-40 foot transit bus'!N31</f>
        <v>22250.486145369458</v>
      </c>
      <c r="I5" s="90">
        <f>'35-40 foot transit bus'!O31</f>
        <v>22919.712710423955</v>
      </c>
      <c r="J5" s="90">
        <f>'35-40 foot transit bus'!P31</f>
        <v>23944.543550148752</v>
      </c>
      <c r="K5" s="90">
        <f>'35-40 foot transit bus'!Q31</f>
        <v>24842.668702066592</v>
      </c>
      <c r="L5" s="90">
        <f>'35-40 foot transit bus'!R31</f>
        <v>26079.499865154226</v>
      </c>
      <c r="M5" s="90">
        <f>'35-40 foot transit bus'!S31</f>
        <v>27067.600741853243</v>
      </c>
      <c r="N5" s="416">
        <f t="shared" si="0"/>
        <v>263066.83391357155</v>
      </c>
      <c r="P5" s="797"/>
      <c r="Q5" s="797"/>
      <c r="R5" s="797"/>
      <c r="S5" s="797"/>
    </row>
    <row r="6" spans="1:19" x14ac:dyDescent="0.25">
      <c r="A6" t="s">
        <v>585</v>
      </c>
      <c r="B6" s="90">
        <f>'35-40 foot transit bus'!H44</f>
        <v>18137.567903450992</v>
      </c>
      <c r="C6" s="90">
        <f>'35-40 foot transit bus'!I44</f>
        <v>18751.591582776269</v>
      </c>
      <c r="D6" s="90">
        <f>'35-40 foot transit bus'!J44</f>
        <v>19615.400359327552</v>
      </c>
      <c r="E6" s="90">
        <f>'35-40 foot transit bus'!K44</f>
        <v>20278.257195233633</v>
      </c>
      <c r="F6" s="90">
        <f>'35-40 foot transit bus'!L44</f>
        <v>21207.459134787146</v>
      </c>
      <c r="G6" s="90">
        <f>'35-40 foot transit bus'!M44</f>
        <v>21885.089501240607</v>
      </c>
      <c r="H6" s="90">
        <f>'35-40 foot transit bus'!N44</f>
        <v>22902.660058412934</v>
      </c>
      <c r="I6" s="90">
        <f>'35-40 foot transit bus'!O44</f>
        <v>23571.886623467431</v>
      </c>
      <c r="J6" s="90">
        <f>'35-40 foot transit bus'!P44</f>
        <v>24596.717463192228</v>
      </c>
      <c r="K6" s="90">
        <f>'35-40 foot transit bus'!Q44</f>
        <v>25494.842615110072</v>
      </c>
      <c r="L6" s="90">
        <f>'35-40 foot transit bus'!R44</f>
        <v>26731.673778197703</v>
      </c>
      <c r="M6" s="90">
        <f>'35-40 foot transit bus'!S44</f>
        <v>27719.774654896722</v>
      </c>
      <c r="N6" s="416">
        <f t="shared" si="0"/>
        <v>270892.92087009328</v>
      </c>
      <c r="P6" s="797"/>
      <c r="Q6" s="797"/>
      <c r="R6" s="797"/>
      <c r="S6" s="797"/>
    </row>
    <row r="7" spans="1:19" x14ac:dyDescent="0.25">
      <c r="A7" t="s">
        <v>586</v>
      </c>
      <c r="B7" s="90">
        <f>'35-40 foot transit bus'!H57</f>
        <v>19187.422975914764</v>
      </c>
      <c r="C7" s="90">
        <f>'35-40 foot transit bus'!I57</f>
        <v>19800.556220457431</v>
      </c>
      <c r="D7" s="90">
        <f>'35-40 foot transit bus'!J57</f>
        <v>20663.453191791323</v>
      </c>
      <c r="E7" s="90">
        <f>'35-40 foot transit bus'!K57</f>
        <v>21325.376339154795</v>
      </c>
      <c r="F7" s="90">
        <f>'35-40 foot transit bus'!L57</f>
        <v>22253.622181640676</v>
      </c>
      <c r="G7" s="90">
        <f>'35-40 foot transit bus'!M57</f>
        <v>22930.273504696881</v>
      </c>
      <c r="H7" s="90">
        <f>'35-40 foot transit bus'!N57</f>
        <v>23946.841521430419</v>
      </c>
      <c r="I7" s="90">
        <f>'35-40 foot transit bus'!O57</f>
        <v>24615.041485075595</v>
      </c>
      <c r="J7" s="90">
        <f>'35-40 foot transit bus'!P57</f>
        <v>25638.82108495725</v>
      </c>
      <c r="K7" s="90">
        <f>'35-40 foot transit bus'!Q57</f>
        <v>26535.869767275712</v>
      </c>
      <c r="L7" s="90">
        <f>'35-40 foot transit bus'!R57</f>
        <v>27771.598625493585</v>
      </c>
      <c r="M7" s="90">
        <f>'35-40 foot transit bus'!S57</f>
        <v>28758.570742005963</v>
      </c>
      <c r="N7" s="416">
        <f t="shared" si="0"/>
        <v>283427.44763989438</v>
      </c>
      <c r="P7" s="797"/>
      <c r="Q7" s="797"/>
      <c r="R7" s="797"/>
      <c r="S7" s="797"/>
    </row>
    <row r="8" spans="1:19" s="51" customFormat="1" x14ac:dyDescent="0.25">
      <c r="A8" s="51" t="s">
        <v>590</v>
      </c>
      <c r="B8" s="90">
        <f>(('35-40 foot transit bus'!$E$5*'35-40 foot transit bus'!$E$7)/'35-40 foot transit bus'!$J$3)*'35-40 foot transit bus'!H15</f>
        <v>14853.205745823539</v>
      </c>
      <c r="C8" s="90">
        <f>(('35-40 foot transit bus'!$E$5*'35-40 foot transit bus'!$E$7)/'35-40 foot transit bus'!$J$3)*'35-40 foot transit bus'!I15</f>
        <v>15384.748210316471</v>
      </c>
      <c r="D8" s="90">
        <f>(('35-40 foot transit bus'!$E$5*'35-40 foot transit bus'!$E$7)/'35-40 foot transit bus'!$J$3)*'35-40 foot transit bus'!J15</f>
        <v>16135.213140935608</v>
      </c>
      <c r="E8" s="90">
        <f>(('35-40 foot transit bus'!$E$5*'35-40 foot transit bus'!$E$7)/'35-40 foot transit bus'!$J$3)*'35-40 foot transit bus'!K15</f>
        <v>16709.246629400346</v>
      </c>
      <c r="F8" s="90">
        <f>(('35-40 foot transit bus'!$E$5*'35-40 foot transit bus'!$E$7)/'35-40 foot transit bus'!$J$3)*'35-40 foot transit bus'!L15</f>
        <v>17516.719479614669</v>
      </c>
      <c r="G8" s="90">
        <f>(('35-40 foot transit bus'!$E$5*'35-40 foot transit bus'!$E$7)/'35-40 foot transit bus'!$J$3)*'35-40 foot transit bus'!M15</f>
        <v>18103.353072863742</v>
      </c>
      <c r="H8" s="90">
        <f>(('35-40 foot transit bus'!$E$5*'35-40 foot transit bus'!$E$7)/'35-40 foot transit bus'!$J$3)*'35-40 foot transit bus'!N15</f>
        <v>18987.969058021405</v>
      </c>
      <c r="I8" s="90">
        <f>(('35-40 foot transit bus'!$E$5*'35-40 foot transit bus'!$E$7)/'35-40 foot transit bus'!$J$3)*'35-40 foot transit bus'!O15</f>
        <v>19566.856094210889</v>
      </c>
      <c r="J8" s="90">
        <f>(('35-40 foot transit bus'!$E$5*'35-40 foot transit bus'!$E$7)/'35-40 foot transit bus'!$J$3)*'35-40 foot transit bus'!P15</f>
        <v>20457.455772156896</v>
      </c>
      <c r="K8" s="90">
        <f>(('35-40 foot transit bus'!$E$5*'35-40 foot transit bus'!$E$7)/'35-40 foot transit bus'!$J$3)*'35-40 foot transit bus'!Q15</f>
        <v>21236.720363611774</v>
      </c>
      <c r="L8" s="90">
        <f>(('35-40 foot transit bus'!$E$5*'35-40 foot transit bus'!$E$7)/'35-40 foot transit bus'!$J$3)*'35-40 foot transit bus'!R15</f>
        <v>22312.866366945545</v>
      </c>
      <c r="M8" s="90">
        <f>(('35-40 foot transit bus'!$E$5*'35-40 foot transit bus'!$E$7)/'35-40 foot transit bus'!$J$3)*'35-40 foot transit bus'!S15</f>
        <v>23170.637558678554</v>
      </c>
      <c r="N8" s="416">
        <f t="shared" si="0"/>
        <v>224434.99149257943</v>
      </c>
      <c r="P8" s="797"/>
      <c r="Q8" s="797"/>
      <c r="R8" s="797"/>
      <c r="S8" s="797"/>
    </row>
    <row r="9" spans="1:19" s="51" customFormat="1" x14ac:dyDescent="0.25">
      <c r="A9" s="51" t="s">
        <v>591</v>
      </c>
      <c r="B9" s="90">
        <f>(('35-40 foot transit bus'!$E$5*'35-40 foot transit bus'!$E$7)/'35-40 foot transit bus'!$J$3)*'35-40 foot transit bus'!H25</f>
        <v>15043.883711925237</v>
      </c>
      <c r="C9" s="90">
        <f>(('35-40 foot transit bus'!$E$5*'35-40 foot transit bus'!$E$7)/'35-40 foot transit bus'!$J$3)*'35-40 foot transit bus'!I25</f>
        <v>15575.426176418168</v>
      </c>
      <c r="D9" s="90">
        <f>(('35-40 foot transit bus'!$E$5*'35-40 foot transit bus'!$E$7)/'35-40 foot transit bus'!$J$3)*'35-40 foot transit bus'!J25</f>
        <v>16325.891107037303</v>
      </c>
      <c r="E9" s="90">
        <f>(('35-40 foot transit bus'!$E$5*'35-40 foot transit bus'!$E$7)/'35-40 foot transit bus'!$J$3)*'35-40 foot transit bus'!K25</f>
        <v>16899.924595502041</v>
      </c>
      <c r="F9" s="90">
        <f>(('35-40 foot transit bus'!$E$5*'35-40 foot transit bus'!$E$7)/'35-40 foot transit bus'!$J$3)*'35-40 foot transit bus'!L25</f>
        <v>17707.397445716368</v>
      </c>
      <c r="G9" s="90">
        <f>(('35-40 foot transit bus'!$E$5*'35-40 foot transit bus'!$E$7)/'35-40 foot transit bus'!$J$3)*'35-40 foot transit bus'!M25</f>
        <v>18294.031038965437</v>
      </c>
      <c r="H9" s="90">
        <f>(('35-40 foot transit bus'!$E$5*'35-40 foot transit bus'!$E$7)/'35-40 foot transit bus'!$J$3)*'35-40 foot transit bus'!N25</f>
        <v>19178.647024123104</v>
      </c>
      <c r="I9" s="90">
        <f>(('35-40 foot transit bus'!$E$5*'35-40 foot transit bus'!$E$7)/'35-40 foot transit bus'!$J$3)*'35-40 foot transit bus'!O25</f>
        <v>19757.534060312588</v>
      </c>
      <c r="J9" s="90">
        <f>(('35-40 foot transit bus'!$E$5*'35-40 foot transit bus'!$E$7)/'35-40 foot transit bus'!$J$3)*'35-40 foot transit bus'!P25</f>
        <v>20648.133738258592</v>
      </c>
      <c r="K9" s="90">
        <f>(('35-40 foot transit bus'!$E$5*'35-40 foot transit bus'!$E$7)/'35-40 foot transit bus'!$J$3)*'35-40 foot transit bus'!Q25</f>
        <v>21427.398329713473</v>
      </c>
      <c r="L9" s="90">
        <f>(('35-40 foot transit bus'!$E$5*'35-40 foot transit bus'!$E$7)/'35-40 foot transit bus'!$J$3)*'35-40 foot transit bus'!R25</f>
        <v>22503.544333047244</v>
      </c>
      <c r="M9" s="90">
        <f>(('35-40 foot transit bus'!$E$5*'35-40 foot transit bus'!$E$7)/'35-40 foot transit bus'!$J$3)*'35-40 foot transit bus'!S25</f>
        <v>23361.315524780253</v>
      </c>
      <c r="N9" s="416">
        <f t="shared" si="0"/>
        <v>226723.12708579979</v>
      </c>
      <c r="P9" s="797"/>
      <c r="Q9" s="797"/>
      <c r="R9" s="797"/>
      <c r="S9" s="797"/>
    </row>
    <row r="10" spans="1:19" s="51" customFormat="1" x14ac:dyDescent="0.25">
      <c r="A10" s="51" t="s">
        <v>592</v>
      </c>
      <c r="B10" s="90">
        <f>(('35-40 foot transit bus'!$E$5*'35-40 foot transit bus'!$E$7)/'35-40 foot transit bus'!$J$3)*'35-40 foot transit bus'!H38</f>
        <v>15615.917610230321</v>
      </c>
      <c r="C10" s="90">
        <f>(('35-40 foot transit bus'!$E$5*'35-40 foot transit bus'!$E$7)/'35-40 foot transit bus'!$J$3)*'35-40 foot transit bus'!I38</f>
        <v>16147.460074723253</v>
      </c>
      <c r="D10" s="90">
        <f>(('35-40 foot transit bus'!$E$5*'35-40 foot transit bus'!$E$7)/'35-40 foot transit bus'!$J$3)*'35-40 foot transit bus'!J38</f>
        <v>16897.925005342389</v>
      </c>
      <c r="E10" s="90">
        <f>(('35-40 foot transit bus'!$E$5*'35-40 foot transit bus'!$E$7)/'35-40 foot transit bus'!$J$3)*'35-40 foot transit bus'!K38</f>
        <v>17471.958493807128</v>
      </c>
      <c r="F10" s="90">
        <f>(('35-40 foot transit bus'!$E$5*'35-40 foot transit bus'!$E$7)/'35-40 foot transit bus'!$J$3)*'35-40 foot transit bus'!L38</f>
        <v>18279.43134402145</v>
      </c>
      <c r="G10" s="90">
        <f>(('35-40 foot transit bus'!$E$5*'35-40 foot transit bus'!$E$7)/'35-40 foot transit bus'!$J$3)*'35-40 foot transit bus'!M38</f>
        <v>18866.064937270523</v>
      </c>
      <c r="H10" s="90">
        <f>(('35-40 foot transit bus'!$E$5*'35-40 foot transit bus'!$E$7)/'35-40 foot transit bus'!$J$3)*'35-40 foot transit bus'!N38</f>
        <v>19750.680922428186</v>
      </c>
      <c r="I10" s="90">
        <f>(('35-40 foot transit bus'!$E$5*'35-40 foot transit bus'!$E$7)/'35-40 foot transit bus'!$J$3)*'35-40 foot transit bus'!O38</f>
        <v>20329.56795861767</v>
      </c>
      <c r="J10" s="90">
        <f>(('35-40 foot transit bus'!$E$5*'35-40 foot transit bus'!$E$7)/'35-40 foot transit bus'!$J$3)*'35-40 foot transit bus'!P38</f>
        <v>21220.167636563678</v>
      </c>
      <c r="K10" s="90">
        <f>(('35-40 foot transit bus'!$E$5*'35-40 foot transit bus'!$E$7)/'35-40 foot transit bus'!$J$3)*'35-40 foot transit bus'!Q38</f>
        <v>21999.432228018555</v>
      </c>
      <c r="L10" s="90">
        <f>(('35-40 foot transit bus'!$E$5*'35-40 foot transit bus'!$E$7)/'35-40 foot transit bus'!$J$3)*'35-40 foot transit bus'!R38</f>
        <v>23075.578231352327</v>
      </c>
      <c r="M10" s="90">
        <f>(('35-40 foot transit bus'!$E$5*'35-40 foot transit bus'!$E$7)/'35-40 foot transit bus'!$J$3)*'35-40 foot transit bus'!S38</f>
        <v>23933.349423085336</v>
      </c>
      <c r="N10" s="416">
        <f t="shared" si="0"/>
        <v>233587.53386546083</v>
      </c>
      <c r="P10" s="797"/>
      <c r="Q10" s="797"/>
      <c r="R10" s="797"/>
      <c r="S10" s="797"/>
    </row>
    <row r="11" spans="1:19" s="51" customFormat="1" x14ac:dyDescent="0.25">
      <c r="A11" s="51" t="s">
        <v>593</v>
      </c>
      <c r="B11" s="90">
        <f>(('35-40 foot transit bus'!$E$5*'35-40 foot transit bus'!$E$7)/'35-40 foot transit bus'!$J$3)*'35-40 foot transit bus'!H51</f>
        <v>16569.307440738794</v>
      </c>
      <c r="C11" s="90">
        <f>(('35-40 foot transit bus'!$E$5*'35-40 foot transit bus'!$E$7)/'35-40 foot transit bus'!$J$3)*'35-40 foot transit bus'!I51</f>
        <v>17100.849905231727</v>
      </c>
      <c r="D11" s="90">
        <f>(('35-40 foot transit bus'!$E$5*'35-40 foot transit bus'!$E$7)/'35-40 foot transit bus'!$J$3)*'35-40 foot transit bus'!J51</f>
        <v>17851.314835850862</v>
      </c>
      <c r="E11" s="90">
        <f>(('35-40 foot transit bus'!$E$5*'35-40 foot transit bus'!$E$7)/'35-40 foot transit bus'!$J$3)*'35-40 foot transit bus'!K51</f>
        <v>18425.348324315601</v>
      </c>
      <c r="F11" s="90">
        <f>(('35-40 foot transit bus'!$E$5*'35-40 foot transit bus'!$E$7)/'35-40 foot transit bus'!$J$3)*'35-40 foot transit bus'!L51</f>
        <v>19232.821174529923</v>
      </c>
      <c r="G11" s="90">
        <f>(('35-40 foot transit bus'!$E$5*'35-40 foot transit bus'!$E$7)/'35-40 foot transit bus'!$J$3)*'35-40 foot transit bus'!M51</f>
        <v>19819.454767778996</v>
      </c>
      <c r="H11" s="90">
        <f>(('35-40 foot transit bus'!$E$5*'35-40 foot transit bus'!$E$7)/'35-40 foot transit bus'!$J$3)*'35-40 foot transit bus'!N51</f>
        <v>20704.070752936659</v>
      </c>
      <c r="I11" s="90">
        <f>(('35-40 foot transit bus'!$E$5*'35-40 foot transit bus'!$E$7)/'35-40 foot transit bus'!$J$3)*'35-40 foot transit bus'!O51</f>
        <v>21282.957789126143</v>
      </c>
      <c r="J11" s="90">
        <f>(('35-40 foot transit bus'!$E$5*'35-40 foot transit bus'!$E$7)/'35-40 foot transit bus'!$J$3)*'35-40 foot transit bus'!P51</f>
        <v>22173.557467072151</v>
      </c>
      <c r="K11" s="90">
        <f>(('35-40 foot transit bus'!$E$5*'35-40 foot transit bus'!$E$7)/'35-40 foot transit bus'!$J$3)*'35-40 foot transit bus'!Q51</f>
        <v>22952.822058527028</v>
      </c>
      <c r="L11" s="90">
        <f>(('35-40 foot transit bus'!$E$5*'35-40 foot transit bus'!$E$7)/'35-40 foot transit bus'!$J$3)*'35-40 foot transit bus'!R51</f>
        <v>24028.9680618608</v>
      </c>
      <c r="M11" s="90">
        <f>(('35-40 foot transit bus'!$E$5*'35-40 foot transit bus'!$E$7)/'35-40 foot transit bus'!$J$3)*'35-40 foot transit bus'!S51</f>
        <v>24886.739253593809</v>
      </c>
      <c r="N11" s="416">
        <f t="shared" si="0"/>
        <v>245028.21183156251</v>
      </c>
      <c r="P11" s="797"/>
      <c r="Q11" s="797"/>
      <c r="R11" s="797"/>
      <c r="S11" s="797"/>
    </row>
    <row r="12" spans="1:19" x14ac:dyDescent="0.25">
      <c r="A12" t="s">
        <v>162</v>
      </c>
      <c r="B12" s="90">
        <f>'35-40 foot transit bus'!H68</f>
        <v>10263.707460997619</v>
      </c>
      <c r="C12" s="90">
        <f>'35-40 foot transit bus'!I68</f>
        <v>9931.8157067510547</v>
      </c>
      <c r="D12" s="90">
        <f>'35-40 foot transit bus'!J68</f>
        <v>10005.605121101429</v>
      </c>
      <c r="E12" s="90">
        <f>'35-40 foot transit bus'!K68</f>
        <v>10351.58132372207</v>
      </c>
      <c r="F12" s="90">
        <f>'35-40 foot transit bus'!L68</f>
        <v>10527.118665032483</v>
      </c>
      <c r="G12" s="90">
        <f>'35-40 foot transit bus'!M68</f>
        <v>10860.722227781522</v>
      </c>
      <c r="H12" s="90">
        <f>'35-40 foot transit bus'!N68</f>
        <v>11147.599986503183</v>
      </c>
      <c r="I12" s="90">
        <f>'35-40 foot transit bus'!O68</f>
        <v>11352.51824245229</v>
      </c>
      <c r="J12" s="90">
        <f>'35-40 foot transit bus'!P68</f>
        <v>11458.652422133891</v>
      </c>
      <c r="K12" s="90">
        <f>'35-40 foot transit bus'!Q68</f>
        <v>11471.23955120035</v>
      </c>
      <c r="L12" s="90">
        <f>'35-40 foot transit bus'!R68</f>
        <v>12387.546627995276</v>
      </c>
      <c r="M12" s="90">
        <f>'35-40 foot transit bus'!S68</f>
        <v>12381.118109734185</v>
      </c>
      <c r="N12" s="416">
        <f t="shared" si="0"/>
        <v>132139.22544540538</v>
      </c>
      <c r="P12" s="797"/>
      <c r="Q12" s="797"/>
      <c r="R12" s="797"/>
      <c r="S12" s="797"/>
    </row>
    <row r="13" spans="1:19" x14ac:dyDescent="0.25">
      <c r="A13" t="s">
        <v>171</v>
      </c>
      <c r="B13" s="90">
        <f>'35-40 foot transit bus'!H84</f>
        <v>3500.4224368430305</v>
      </c>
      <c r="C13" s="90">
        <f>'35-40 foot transit bus'!I84</f>
        <v>3168.5306825964649</v>
      </c>
      <c r="D13" s="90">
        <f>'35-40 foot transit bus'!J84</f>
        <v>3242.3200969468385</v>
      </c>
      <c r="E13" s="90">
        <f>'35-40 foot transit bus'!K84</f>
        <v>3588.2962995674811</v>
      </c>
      <c r="F13" s="90">
        <f>'35-40 foot transit bus'!L84</f>
        <v>3763.8336408778923</v>
      </c>
      <c r="G13" s="90">
        <f>'35-40 foot transit bus'!M84</f>
        <v>4097.4372036269315</v>
      </c>
      <c r="H13" s="90">
        <f>'35-40 foot transit bus'!N84</f>
        <v>4384.3149623485924</v>
      </c>
      <c r="I13" s="90">
        <f>'35-40 foot transit bus'!O84</f>
        <v>4589.2332182976988</v>
      </c>
      <c r="J13" s="90">
        <f>'35-40 foot transit bus'!P84</f>
        <v>4695.3673979793011</v>
      </c>
      <c r="K13" s="90">
        <f>'35-40 foot transit bus'!Q84</f>
        <v>4707.9545270457602</v>
      </c>
      <c r="L13" s="90">
        <f>'35-40 foot transit bus'!R84</f>
        <v>5624.2616038406868</v>
      </c>
      <c r="M13" s="90">
        <f>'35-40 foot transit bus'!S84</f>
        <v>5617.8330855795957</v>
      </c>
      <c r="N13" s="416">
        <f t="shared" si="0"/>
        <v>50979.805155550268</v>
      </c>
      <c r="P13" s="797"/>
      <c r="Q13" s="797"/>
      <c r="R13" s="797"/>
      <c r="S13" s="797"/>
    </row>
    <row r="14" spans="1:19" x14ac:dyDescent="0.25">
      <c r="A14" t="s">
        <v>177</v>
      </c>
      <c r="B14" s="90">
        <f>'35-40 foot transit bus'!H105</f>
        <v>13788.519</v>
      </c>
      <c r="C14" s="90">
        <f>'35-40 foot transit bus'!I105</f>
        <v>14143.078339514608</v>
      </c>
      <c r="D14" s="90">
        <f>'35-40 foot transit bus'!J105</f>
        <v>14645.226661997436</v>
      </c>
      <c r="E14" s="90">
        <f>'35-40 foot transit bus'!K105</f>
        <v>15213.170110560974</v>
      </c>
      <c r="F14" s="90">
        <f>'35-40 foot transit bus'!L105</f>
        <v>15757.866909429045</v>
      </c>
      <c r="G14" s="90">
        <f>'35-40 foot transit bus'!M105</f>
        <v>16428.337551781435</v>
      </c>
      <c r="H14" s="90">
        <f>'35-40 foot transit bus'!N105</f>
        <v>17075.223520509153</v>
      </c>
      <c r="I14" s="90">
        <f>'35-40 foot transit bus'!O105</f>
        <v>17595.714389472767</v>
      </c>
      <c r="J14" s="90">
        <f>'35-40 foot transit bus'!P105</f>
        <v>17985.907440342893</v>
      </c>
      <c r="K14" s="90">
        <f>'35-40 foot transit bus'!Q105</f>
        <v>18343.942421799249</v>
      </c>
      <c r="L14" s="90">
        <f>'35-40 foot transit bus'!R105</f>
        <v>18689.242329034947</v>
      </c>
      <c r="M14" s="90">
        <f>'35-40 foot transit bus'!S105</f>
        <v>19075.277101333402</v>
      </c>
      <c r="N14" s="416">
        <f t="shared" si="0"/>
        <v>198741.50577577591</v>
      </c>
    </row>
    <row r="16" spans="1:19" x14ac:dyDescent="0.25">
      <c r="B16" t="s">
        <v>594</v>
      </c>
      <c r="I16">
        <v>8</v>
      </c>
    </row>
    <row r="17" spans="1:14" x14ac:dyDescent="0.25">
      <c r="B17" s="51">
        <v>2020</v>
      </c>
      <c r="C17" s="51">
        <v>2021</v>
      </c>
      <c r="D17" s="51">
        <v>2022</v>
      </c>
      <c r="E17" s="51">
        <v>2023</v>
      </c>
      <c r="F17" s="51">
        <v>2024</v>
      </c>
      <c r="G17" s="51">
        <v>2025</v>
      </c>
      <c r="H17" s="51">
        <v>2026</v>
      </c>
      <c r="I17" s="51">
        <v>2027</v>
      </c>
      <c r="J17" s="51">
        <v>2028</v>
      </c>
      <c r="K17" s="51">
        <v>2029</v>
      </c>
      <c r="L17" s="51">
        <v>2030</v>
      </c>
      <c r="M17" s="51">
        <v>2031</v>
      </c>
      <c r="N17" s="51" t="s">
        <v>323</v>
      </c>
    </row>
    <row r="18" spans="1:14" x14ac:dyDescent="0.25">
      <c r="A18" s="51" t="s">
        <v>189</v>
      </c>
      <c r="B18" s="90">
        <f>'35-40 foot transit bus'!H22</f>
        <v>30720</v>
      </c>
      <c r="C18" s="90">
        <f>'35-40 foot transit bus'!I22</f>
        <v>31457.279999999999</v>
      </c>
      <c r="D18" s="90">
        <f>'35-40 foot transit bus'!J22</f>
        <v>32212.254720000001</v>
      </c>
      <c r="E18" s="90">
        <f>'35-40 foot transit bus'!K22</f>
        <v>32985.348833280004</v>
      </c>
      <c r="F18" s="90">
        <f>'35-40 foot transit bus'!L22</f>
        <v>33776.997205278727</v>
      </c>
      <c r="G18" s="90">
        <f>'35-40 foot transit bus'!M22</f>
        <v>34587.645138205415</v>
      </c>
      <c r="H18" s="90">
        <f>'35-40 foot transit bus'!N22</f>
        <v>35417.748621522347</v>
      </c>
      <c r="I18" s="90">
        <f>'35-40 foot transit bus'!O22+'All Fuel Types Calc'!B13+'All Fuel Types Calc'!B14</f>
        <v>66767.774588438886</v>
      </c>
      <c r="J18" s="90">
        <f>'35-40 foot transit bus'!P22</f>
        <v>37138.201178561423</v>
      </c>
      <c r="K18" s="90">
        <f>'35-40 foot transit bus'!Q22</f>
        <v>38029.518006846898</v>
      </c>
      <c r="L18" s="90">
        <f>'35-40 foot transit bus'!R22</f>
        <v>38942.226439011225</v>
      </c>
      <c r="M18" s="90">
        <f>'35-40 foot transit bus'!S22</f>
        <v>39876.839873547498</v>
      </c>
      <c r="N18" s="416">
        <f>SUM(B18:M18)</f>
        <v>451911.83460469241</v>
      </c>
    </row>
    <row r="19" spans="1:14" x14ac:dyDescent="0.25">
      <c r="A19" s="51" t="s">
        <v>587</v>
      </c>
      <c r="B19" s="90">
        <f>'35-40 foot transit bus'!H32</f>
        <v>30412.799999999999</v>
      </c>
      <c r="C19" s="90">
        <f>'35-40 foot transit bus'!I32</f>
        <v>31142.707200000001</v>
      </c>
      <c r="D19" s="90">
        <f>'35-40 foot transit bus'!J32</f>
        <v>31890.1321728</v>
      </c>
      <c r="E19" s="90">
        <f>'35-40 foot transit bus'!K32</f>
        <v>32655.495344947201</v>
      </c>
      <c r="F19" s="90">
        <f>'35-40 foot transit bus'!L32</f>
        <v>33439.227233225938</v>
      </c>
      <c r="G19" s="90">
        <f>'35-40 foot transit bus'!M32</f>
        <v>34241.768686823358</v>
      </c>
      <c r="H19" s="90">
        <f>'35-40 foot transit bus'!N32</f>
        <v>35063.571135307116</v>
      </c>
      <c r="I19" s="90">
        <f>'35-40 foot transit bus'!O32+'All Fuel Types Calc'!C13+'All Fuel Types Calc'!C14</f>
        <v>66405.096842554485</v>
      </c>
      <c r="J19" s="90">
        <f>'35-40 foot transit bus'!P32</f>
        <v>36766.819166775793</v>
      </c>
      <c r="K19" s="90">
        <f>'35-40 foot transit bus'!Q32</f>
        <v>37649.222826778416</v>
      </c>
      <c r="L19" s="90">
        <f>'35-40 foot transit bus'!R32</f>
        <v>38552.804174621102</v>
      </c>
      <c r="M19" s="90">
        <f>'35-40 foot transit bus'!S32</f>
        <v>39478.071474812008</v>
      </c>
      <c r="N19" s="416">
        <f t="shared" ref="N19:N28" si="1">SUM(B19:M19)</f>
        <v>447697.71625864541</v>
      </c>
    </row>
    <row r="20" spans="1:14" x14ac:dyDescent="0.25">
      <c r="A20" s="51" t="s">
        <v>588</v>
      </c>
      <c r="B20" s="90">
        <f>'35-40 foot transit bus'!H45</f>
        <v>30105.600000000002</v>
      </c>
      <c r="C20" s="90">
        <f>'35-40 foot transit bus'!I45</f>
        <v>30828.134400000003</v>
      </c>
      <c r="D20" s="90">
        <f>'35-40 foot transit bus'!J45</f>
        <v>31568.009625600003</v>
      </c>
      <c r="E20" s="90">
        <f>'35-40 foot transit bus'!K45</f>
        <v>32325.641856614406</v>
      </c>
      <c r="F20" s="90">
        <f>'35-40 foot transit bus'!L45</f>
        <v>33101.457261173149</v>
      </c>
      <c r="G20" s="90">
        <f>'35-40 foot transit bus'!M45</f>
        <v>33895.892235441308</v>
      </c>
      <c r="H20" s="90">
        <f>'35-40 foot transit bus'!N45</f>
        <v>34709.3936490919</v>
      </c>
      <c r="I20" s="90">
        <f>'35-40 foot transit bus'!O45+'All Fuel Types Calc'!D13+'All Fuel Types Calc'!D14</f>
        <v>66042.419096670114</v>
      </c>
      <c r="J20" s="90">
        <f>'35-40 foot transit bus'!P45</f>
        <v>36395.437154990192</v>
      </c>
      <c r="K20" s="90">
        <f>'35-40 foot transit bus'!Q45</f>
        <v>37268.927646709955</v>
      </c>
      <c r="L20" s="90">
        <f>'35-40 foot transit bus'!R45</f>
        <v>38163.381910230994</v>
      </c>
      <c r="M20" s="90">
        <f>'35-40 foot transit bus'!S45</f>
        <v>39079.30307607654</v>
      </c>
      <c r="N20" s="416">
        <f t="shared" si="1"/>
        <v>443483.59791259863</v>
      </c>
    </row>
    <row r="21" spans="1:14" x14ac:dyDescent="0.25">
      <c r="A21" s="51" t="s">
        <v>589</v>
      </c>
      <c r="B21" s="90">
        <f>'35-40 foot transit bus'!H58</f>
        <v>29184</v>
      </c>
      <c r="C21" s="90">
        <f>'35-40 foot transit bus'!I58</f>
        <v>29884.416000000001</v>
      </c>
      <c r="D21" s="90">
        <f>'35-40 foot transit bus'!J58</f>
        <v>30601.641984000002</v>
      </c>
      <c r="E21" s="90">
        <f>'35-40 foot transit bus'!K58</f>
        <v>31336.081391616004</v>
      </c>
      <c r="F21" s="90">
        <f>'35-40 foot transit bus'!L58</f>
        <v>32088.14734501479</v>
      </c>
      <c r="G21" s="90">
        <f>'35-40 foot transit bus'!M58</f>
        <v>32858.262881295144</v>
      </c>
      <c r="H21" s="90">
        <f>'35-40 foot transit bus'!N58</f>
        <v>33646.86119044623</v>
      </c>
      <c r="I21" s="90">
        <f>'35-40 foot transit bus'!O58+'All Fuel Types Calc'!E13+'All Fuel Types Calc'!E14</f>
        <v>64954.38585901694</v>
      </c>
      <c r="J21" s="90">
        <f>'35-40 foot transit bus'!P58</f>
        <v>35281.291119633344</v>
      </c>
      <c r="K21" s="90">
        <f>'35-40 foot transit bus'!Q58</f>
        <v>36128.042106504545</v>
      </c>
      <c r="L21" s="90">
        <f>'35-40 foot transit bus'!R58</f>
        <v>36995.115117060654</v>
      </c>
      <c r="M21" s="90">
        <f>'35-40 foot transit bus'!S58</f>
        <v>37882.997879870112</v>
      </c>
      <c r="N21" s="416">
        <f t="shared" si="1"/>
        <v>430841.24287445779</v>
      </c>
    </row>
    <row r="22" spans="1:14" s="51" customFormat="1" x14ac:dyDescent="0.25">
      <c r="A22" s="51" t="s">
        <v>595</v>
      </c>
      <c r="B22" s="90">
        <f>(('35-40 foot transit bus'!$E$5*'35-40 foot transit bus'!$E$7)*'35-40 foot transit bus'!$M$11)</f>
        <v>28800</v>
      </c>
      <c r="C22" s="90">
        <f>B22*(1+'35-40 foot transit bus'!$E$2)</f>
        <v>29491.200000000001</v>
      </c>
      <c r="D22" s="90">
        <f>C22*(1+'35-40 foot transit bus'!$E$2)</f>
        <v>30198.988800000003</v>
      </c>
      <c r="E22" s="90">
        <f>D22*(1+'35-40 foot transit bus'!$E$2)</f>
        <v>30923.764531200002</v>
      </c>
      <c r="F22" s="90">
        <f>E22*(1+'35-40 foot transit bus'!$E$2)</f>
        <v>31665.934879948803</v>
      </c>
      <c r="G22" s="90">
        <f>F22*(1+'35-40 foot transit bus'!$E$2)</f>
        <v>32425.917317067575</v>
      </c>
      <c r="H22" s="90">
        <f>G22*(1+'35-40 foot transit bus'!$E$2)</f>
        <v>33204.139332677194</v>
      </c>
      <c r="I22" s="90">
        <f>H22*(1+'35-40 foot transit bus'!$E$2)+'All Fuel Types Calc'!F13+'All Fuel Types Calc'!F14</f>
        <v>80301.038676661439</v>
      </c>
      <c r="J22" s="90">
        <f>H22*(1+'35-40 foot transit bus'!$E$2)</f>
        <v>34001.038676661447</v>
      </c>
      <c r="K22" s="90">
        <f>J22*(1+'35-40 foot transit bus'!$E$2)</f>
        <v>34817.063604901319</v>
      </c>
      <c r="L22" s="90">
        <f>K22*(1+'35-40 foot transit bus'!$E$2)</f>
        <v>35652.673131418953</v>
      </c>
      <c r="M22" s="90">
        <f>L22*(1+'35-40 foot transit bus'!$E$2)</f>
        <v>36508.337286573005</v>
      </c>
      <c r="N22" s="416">
        <f t="shared" si="1"/>
        <v>437990.09623710968</v>
      </c>
    </row>
    <row r="23" spans="1:14" s="51" customFormat="1" x14ac:dyDescent="0.25">
      <c r="A23" s="51" t="s">
        <v>596</v>
      </c>
      <c r="B23" s="90">
        <f>(('35-40 foot transit bus'!$E$5*'35-40 foot transit bus'!$E$7)*'35-40 foot transit bus'!$P$7)</f>
        <v>28500</v>
      </c>
      <c r="C23" s="90">
        <f>B23*(1+'35-40 foot transit bus'!$E$2)</f>
        <v>29184</v>
      </c>
      <c r="D23" s="90">
        <f>C23*(1+'35-40 foot transit bus'!$E$2)</f>
        <v>29884.416000000001</v>
      </c>
      <c r="E23" s="90">
        <f>D23*(1+'35-40 foot transit bus'!$E$2)</f>
        <v>30601.641984000002</v>
      </c>
      <c r="F23" s="90">
        <f>E23*(1+'35-40 foot transit bus'!$E$2)</f>
        <v>31336.081391616004</v>
      </c>
      <c r="G23" s="90">
        <f>F23*(1+'35-40 foot transit bus'!$E$2)</f>
        <v>32088.14734501479</v>
      </c>
      <c r="H23" s="90">
        <f>G23*(1+'35-40 foot transit bus'!$E$2)</f>
        <v>32858.262881295144</v>
      </c>
      <c r="I23" s="90">
        <f>H23*(1+'35-40 foot transit bus'!$E$2)+'All Fuel Types Calc'!G13+'All Fuel Types Calc'!G14</f>
        <v>79946.86119044623</v>
      </c>
      <c r="J23" s="90">
        <f>H23*(1+'35-40 foot transit bus'!$E$2)</f>
        <v>33646.86119044623</v>
      </c>
      <c r="K23" s="90">
        <f>J23*(1+'35-40 foot transit bus'!$E$2)</f>
        <v>34454.38585901694</v>
      </c>
      <c r="L23" s="90">
        <f>K23*(1+'35-40 foot transit bus'!$E$2)</f>
        <v>35281.291119633344</v>
      </c>
      <c r="M23" s="90">
        <f>L23*(1+'35-40 foot transit bus'!$E$2)</f>
        <v>36128.042106504545</v>
      </c>
      <c r="N23" s="416">
        <f t="shared" si="1"/>
        <v>433909.99106797331</v>
      </c>
    </row>
    <row r="24" spans="1:14" s="51" customFormat="1" x14ac:dyDescent="0.25">
      <c r="A24" s="51" t="s">
        <v>597</v>
      </c>
      <c r="B24" s="90">
        <f>(('35-40 foot transit bus'!$E$5*'35-40 foot transit bus'!$E$7)*'35-40 foot transit bus'!$P$6)</f>
        <v>28200</v>
      </c>
      <c r="C24" s="90">
        <f>B24*(1+'35-40 foot transit bus'!$E$2)</f>
        <v>28876.799999999999</v>
      </c>
      <c r="D24" s="90">
        <f>C24*(1+'35-40 foot transit bus'!$E$2)</f>
        <v>29569.843199999999</v>
      </c>
      <c r="E24" s="90">
        <f>D24*(1+'35-40 foot transit bus'!$E$2)</f>
        <v>30279.519436800001</v>
      </c>
      <c r="F24" s="90">
        <f>E24*(1+'35-40 foot transit bus'!$E$2)</f>
        <v>31006.227903283201</v>
      </c>
      <c r="G24" s="90">
        <f>F24*(1+'35-40 foot transit bus'!$E$2)</f>
        <v>31750.377372961997</v>
      </c>
      <c r="H24" s="90">
        <f>G24*(1+'35-40 foot transit bus'!$E$2)</f>
        <v>32512.386429913087</v>
      </c>
      <c r="I24" s="90">
        <f>H24*(1+'35-40 foot transit bus'!$E$2)+'All Fuel Types Calc'!H13+'All Fuel Types Calc'!H14</f>
        <v>79592.683704230993</v>
      </c>
      <c r="J24" s="90">
        <f>H24*(1+'35-40 foot transit bus'!$E$2)</f>
        <v>33292.683704231</v>
      </c>
      <c r="K24" s="90">
        <f>J24*(1+'35-40 foot transit bus'!$E$2)</f>
        <v>34091.708113132547</v>
      </c>
      <c r="L24" s="90">
        <f>K24*(1+'35-40 foot transit bus'!$E$2)</f>
        <v>34909.909107847729</v>
      </c>
      <c r="M24" s="90">
        <f>L24*(1+'35-40 foot transit bus'!$E$2)</f>
        <v>35747.746926436077</v>
      </c>
      <c r="N24" s="416">
        <f t="shared" si="1"/>
        <v>429829.88589883666</v>
      </c>
    </row>
    <row r="25" spans="1:14" s="51" customFormat="1" x14ac:dyDescent="0.25">
      <c r="A25" s="51" t="s">
        <v>598</v>
      </c>
      <c r="B25" s="90">
        <f>(('35-40 foot transit bus'!$E$5*'35-40 foot transit bus'!$E$7)*'35-40 foot transit bus'!$P$11)</f>
        <v>27300</v>
      </c>
      <c r="C25" s="90">
        <f>B25*(1+'35-40 foot transit bus'!$E$2)</f>
        <v>27955.200000000001</v>
      </c>
      <c r="D25" s="90">
        <f>C25*(1+'35-40 foot transit bus'!$E$2)</f>
        <v>28626.124800000001</v>
      </c>
      <c r="E25" s="90">
        <f>D25*(1+'35-40 foot transit bus'!$E$2)</f>
        <v>29313.151795200003</v>
      </c>
      <c r="F25" s="90">
        <f>E25*(1+'35-40 foot transit bus'!$E$2)</f>
        <v>30016.667438284803</v>
      </c>
      <c r="G25" s="90">
        <f>F25*(1+'35-40 foot transit bus'!$E$2)</f>
        <v>30737.067456803637</v>
      </c>
      <c r="H25" s="90">
        <f>G25*(1+'35-40 foot transit bus'!$E$2)</f>
        <v>31474.757075766924</v>
      </c>
      <c r="I25" s="90">
        <f>H25*(1+'35-40 foot transit bus'!$E$2)+'All Fuel Types Calc'!I13+'All Fuel Types Calc'!I14</f>
        <v>78530.151245585323</v>
      </c>
      <c r="J25" s="90">
        <f>H25*(1+'35-40 foot transit bus'!$E$2)</f>
        <v>32230.15124558533</v>
      </c>
      <c r="K25" s="90">
        <f>J25*(1+'35-40 foot transit bus'!$E$2)</f>
        <v>33003.674875479381</v>
      </c>
      <c r="L25" s="90">
        <f>K25*(1+'35-40 foot transit bus'!$E$2)</f>
        <v>33795.763072490889</v>
      </c>
      <c r="M25" s="90">
        <f>L25*(1+'35-40 foot transit bus'!$E$2)</f>
        <v>34606.861386230674</v>
      </c>
      <c r="N25" s="416">
        <f t="shared" si="1"/>
        <v>417589.57039142697</v>
      </c>
    </row>
    <row r="26" spans="1:14" x14ac:dyDescent="0.25">
      <c r="A26" s="51" t="s">
        <v>162</v>
      </c>
      <c r="B26" s="90">
        <f>'35-40 foot transit bus'!H69</f>
        <v>31180.799999999996</v>
      </c>
      <c r="C26" s="90">
        <f>'35-40 foot transit bus'!I69</f>
        <v>31929.139199999998</v>
      </c>
      <c r="D26" s="90">
        <f>'35-40 foot transit bus'!J69</f>
        <v>32695.438540799998</v>
      </c>
      <c r="E26" s="90">
        <f>'35-40 foot transit bus'!K69</f>
        <v>33480.129065779198</v>
      </c>
      <c r="F26" s="90">
        <f>'35-40 foot transit bus'!L69</f>
        <v>34283.652163357896</v>
      </c>
      <c r="G26" s="90">
        <f>'35-40 foot transit bus'!M69</f>
        <v>35106.459815278489</v>
      </c>
      <c r="H26" s="90">
        <f>'35-40 foot transit bus'!N69</f>
        <v>35949.014850845175</v>
      </c>
      <c r="I26" s="90">
        <f>'35-40 foot transit bus'!O69+'All Fuel Types Calc'!J13+'All Fuel Types Calc'!J14</f>
        <v>70361.791207265458</v>
      </c>
      <c r="J26" s="90">
        <f>'35-40 foot transit bus'!P69</f>
        <v>37695.274196239829</v>
      </c>
      <c r="K26" s="90">
        <f>'35-40 foot transit bus'!Q69</f>
        <v>38599.960776949585</v>
      </c>
      <c r="L26" s="90">
        <f>'35-40 foot transit bus'!R69</f>
        <v>39526.359835596377</v>
      </c>
      <c r="M26" s="90">
        <f>'35-40 foot transit bus'!S69</f>
        <v>40474.992471650694</v>
      </c>
      <c r="N26" s="416">
        <f t="shared" si="1"/>
        <v>461283.01212376275</v>
      </c>
    </row>
    <row r="27" spans="1:14" x14ac:dyDescent="0.25">
      <c r="A27" s="51" t="s">
        <v>171</v>
      </c>
      <c r="B27" s="90">
        <f>'35-40 foot transit bus'!H85</f>
        <v>31180.799999999996</v>
      </c>
      <c r="C27" s="90">
        <f>'35-40 foot transit bus'!I85</f>
        <v>31929.139199999998</v>
      </c>
      <c r="D27" s="90">
        <f>'35-40 foot transit bus'!J85</f>
        <v>32695.438540799998</v>
      </c>
      <c r="E27" s="90">
        <f>'35-40 foot transit bus'!K85</f>
        <v>33480.129065779198</v>
      </c>
      <c r="F27" s="90">
        <f>'35-40 foot transit bus'!L85</f>
        <v>34283.652163357896</v>
      </c>
      <c r="G27" s="90">
        <f>'35-40 foot transit bus'!M85</f>
        <v>35106.459815278489</v>
      </c>
      <c r="H27" s="90">
        <f>'35-40 foot transit bus'!N85</f>
        <v>35949.014850845175</v>
      </c>
      <c r="I27" s="90">
        <f>'35-40 foot transit bus'!O85+'All Fuel Types Calc'!K13+'All Fuel Types Calc'!K14</f>
        <v>70361.791207265458</v>
      </c>
      <c r="J27" s="90">
        <f>'35-40 foot transit bus'!P85</f>
        <v>37695.274196239829</v>
      </c>
      <c r="K27" s="90">
        <f>'35-40 foot transit bus'!Q85</f>
        <v>38599.960776949585</v>
      </c>
      <c r="L27" s="90">
        <f>'35-40 foot transit bus'!R85</f>
        <v>39526.359835596377</v>
      </c>
      <c r="M27" s="90">
        <f>'35-40 foot transit bus'!S85</f>
        <v>40474.992471650694</v>
      </c>
      <c r="N27" s="416">
        <f t="shared" si="1"/>
        <v>461283.01212376275</v>
      </c>
    </row>
    <row r="28" spans="1:14" x14ac:dyDescent="0.25">
      <c r="A28" s="51" t="s">
        <v>177</v>
      </c>
      <c r="B28" s="90">
        <f>'35-40 foot transit bus'!H106</f>
        <v>28569.600000000002</v>
      </c>
      <c r="C28" s="90">
        <f>'35-40 foot transit bus'!I106</f>
        <v>29255.270400000001</v>
      </c>
      <c r="D28" s="90">
        <f>'35-40 foot transit bus'!J106</f>
        <v>29957.396889600001</v>
      </c>
      <c r="E28" s="90">
        <f>'35-40 foot transit bus'!K106</f>
        <v>30676.374414950402</v>
      </c>
      <c r="F28" s="90">
        <f>'35-40 foot transit bus'!L106</f>
        <v>31412.607400909212</v>
      </c>
      <c r="G28" s="90">
        <f>'35-40 foot transit bus'!M106</f>
        <v>32166.509978531034</v>
      </c>
      <c r="H28" s="90">
        <f>'35-40 foot transit bus'!N106</f>
        <v>32938.506218015777</v>
      </c>
      <c r="I28" s="90">
        <f>'35-40 foot transit bus'!O106</f>
        <v>33729.030367248153</v>
      </c>
      <c r="J28" s="90">
        <f>'35-40 foot transit bus'!P106</f>
        <v>34538.527096062113</v>
      </c>
      <c r="K28" s="90">
        <f>'35-40 foot transit bus'!Q106</f>
        <v>35367.451746367602</v>
      </c>
      <c r="L28" s="90">
        <f>'35-40 foot transit bus'!R106</f>
        <v>36216.270588280422</v>
      </c>
      <c r="M28" s="90">
        <f>'35-40 foot transit bus'!S106</f>
        <v>37085.461082399153</v>
      </c>
      <c r="N28" s="416">
        <f t="shared" si="1"/>
        <v>391913.00618236384</v>
      </c>
    </row>
    <row r="30" spans="1:14" s="51" customFormat="1" x14ac:dyDescent="0.25">
      <c r="B30" s="51" t="s">
        <v>602</v>
      </c>
    </row>
    <row r="31" spans="1:14" x14ac:dyDescent="0.25">
      <c r="B31" t="s">
        <v>603</v>
      </c>
      <c r="D31" t="s">
        <v>604</v>
      </c>
    </row>
    <row r="32" spans="1:14" x14ac:dyDescent="0.25">
      <c r="A32" s="51" t="s">
        <v>189</v>
      </c>
      <c r="B32" s="90">
        <f>'Default Data'!B2</f>
        <v>479948</v>
      </c>
      <c r="D32" s="416">
        <f>B32*'35-40 foot transit bus'!$E$7</f>
        <v>479948</v>
      </c>
    </row>
    <row r="33" spans="1:14" x14ac:dyDescent="0.25">
      <c r="A33" s="51" t="s">
        <v>587</v>
      </c>
      <c r="B33" s="90">
        <f>'Default Data'!B3</f>
        <v>479948</v>
      </c>
      <c r="D33" s="416">
        <f>B33*'35-40 foot transit bus'!$E$7</f>
        <v>479948</v>
      </c>
    </row>
    <row r="34" spans="1:14" x14ac:dyDescent="0.25">
      <c r="A34" s="51" t="s">
        <v>588</v>
      </c>
      <c r="B34" s="90">
        <f>'Default Data'!B4</f>
        <v>479948</v>
      </c>
      <c r="D34" s="416">
        <f>B34*'35-40 foot transit bus'!$E$7</f>
        <v>479948</v>
      </c>
    </row>
    <row r="35" spans="1:14" x14ac:dyDescent="0.25">
      <c r="A35" s="51" t="s">
        <v>589</v>
      </c>
      <c r="B35" s="90">
        <f>'Default Data'!B5</f>
        <v>479948</v>
      </c>
      <c r="D35" s="416">
        <f>B35*'35-40 foot transit bus'!$E$7</f>
        <v>479948</v>
      </c>
    </row>
    <row r="36" spans="1:14" x14ac:dyDescent="0.25">
      <c r="A36" s="51" t="s">
        <v>595</v>
      </c>
      <c r="B36" s="90">
        <f>'Default Data'!B6</f>
        <v>651545</v>
      </c>
      <c r="D36" s="416">
        <f>B36*'35-40 foot transit bus'!$E$7</f>
        <v>651545</v>
      </c>
    </row>
    <row r="37" spans="1:14" x14ac:dyDescent="0.25">
      <c r="A37" s="51" t="s">
        <v>596</v>
      </c>
      <c r="B37" s="90">
        <f>'Default Data'!B7</f>
        <v>651545</v>
      </c>
      <c r="D37" s="416">
        <f>B37*'35-40 foot transit bus'!$E$7</f>
        <v>651545</v>
      </c>
    </row>
    <row r="38" spans="1:14" x14ac:dyDescent="0.25">
      <c r="A38" s="51" t="s">
        <v>597</v>
      </c>
      <c r="B38" s="90">
        <f>'Default Data'!B8</f>
        <v>651545</v>
      </c>
      <c r="D38" s="416">
        <f>B38*'35-40 foot transit bus'!$E$7</f>
        <v>651545</v>
      </c>
    </row>
    <row r="39" spans="1:14" x14ac:dyDescent="0.25">
      <c r="A39" s="51" t="s">
        <v>598</v>
      </c>
      <c r="B39" s="90">
        <f>'Default Data'!B9</f>
        <v>651545</v>
      </c>
      <c r="D39" s="416">
        <f>B39*'35-40 foot transit bus'!$E$7</f>
        <v>651545</v>
      </c>
    </row>
    <row r="40" spans="1:14" x14ac:dyDescent="0.25">
      <c r="A40" s="51" t="s">
        <v>162</v>
      </c>
      <c r="B40" s="90">
        <f>'Default Data'!B10</f>
        <v>512174</v>
      </c>
      <c r="D40" s="416">
        <f>B40*'35-40 foot transit bus'!$E$7</f>
        <v>512174</v>
      </c>
    </row>
    <row r="41" spans="1:14" x14ac:dyDescent="0.25">
      <c r="A41" s="51" t="s">
        <v>171</v>
      </c>
      <c r="B41" s="90">
        <f>'Default Data'!B11</f>
        <v>512174</v>
      </c>
      <c r="D41" s="416">
        <f>B41*'35-40 foot transit bus'!$E$7</f>
        <v>512174</v>
      </c>
    </row>
    <row r="42" spans="1:14" x14ac:dyDescent="0.25">
      <c r="A42" s="51" t="s">
        <v>177</v>
      </c>
      <c r="B42" s="90">
        <f>'Default Data'!T12</f>
        <v>942608</v>
      </c>
      <c r="D42" s="416">
        <f>B42*'35-40 foot transit bus'!$E$7</f>
        <v>942608</v>
      </c>
    </row>
    <row r="44" spans="1:14" x14ac:dyDescent="0.25">
      <c r="B44" t="s">
        <v>605</v>
      </c>
    </row>
    <row r="45" spans="1:14" x14ac:dyDescent="0.25">
      <c r="B45" s="51">
        <v>2020</v>
      </c>
      <c r="C45" s="51">
        <v>2021</v>
      </c>
      <c r="D45" s="51">
        <v>2022</v>
      </c>
      <c r="E45" s="51">
        <v>2023</v>
      </c>
      <c r="F45" s="51">
        <v>2024</v>
      </c>
      <c r="G45" s="51">
        <v>2025</v>
      </c>
      <c r="H45" s="51">
        <v>2026</v>
      </c>
      <c r="I45" s="51">
        <v>2027</v>
      </c>
      <c r="J45" s="51">
        <v>2028</v>
      </c>
      <c r="K45" s="51">
        <v>2029</v>
      </c>
      <c r="L45" s="51">
        <v>2030</v>
      </c>
      <c r="M45" s="51">
        <v>2031</v>
      </c>
      <c r="N45" s="51" t="s">
        <v>323</v>
      </c>
    </row>
    <row r="46" spans="1:14" x14ac:dyDescent="0.25">
      <c r="A46" s="51" t="s">
        <v>189</v>
      </c>
      <c r="B46" s="416">
        <f>B4+B18+D32</f>
        <v>527973.10413533507</v>
      </c>
      <c r="C46" s="416">
        <f>C4+C18</f>
        <v>49377.298249442931</v>
      </c>
      <c r="D46" s="416">
        <f t="shared" ref="D46:M46" si="2">D4+D18</f>
        <v>50996.993551211606</v>
      </c>
      <c r="E46" s="416">
        <f t="shared" si="2"/>
        <v>52433.878188940304</v>
      </c>
      <c r="F46" s="416">
        <f t="shared" si="2"/>
        <v>54155.684597560175</v>
      </c>
      <c r="G46" s="416">
        <f t="shared" si="2"/>
        <v>55644.941940337565</v>
      </c>
      <c r="H46" s="416">
        <f t="shared" si="2"/>
        <v>57493.618521265627</v>
      </c>
      <c r="I46" s="416">
        <f t="shared" si="2"/>
        <v>89513.897654645974</v>
      </c>
      <c r="J46" s="416">
        <f t="shared" si="2"/>
        <v>60910.206324336454</v>
      </c>
      <c r="K46" s="416">
        <f t="shared" si="2"/>
        <v>62700.724774139147</v>
      </c>
      <c r="L46" s="416">
        <f t="shared" si="2"/>
        <v>64851.366674260877</v>
      </c>
      <c r="M46" s="416">
        <f t="shared" si="2"/>
        <v>66775.209745682805</v>
      </c>
      <c r="N46" s="416">
        <f>SUM(B46:M46)</f>
        <v>1192826.9243571588</v>
      </c>
    </row>
    <row r="47" spans="1:14" x14ac:dyDescent="0.25">
      <c r="A47" s="51" t="s">
        <v>587</v>
      </c>
      <c r="B47" s="416">
        <f t="shared" ref="B47:B56" si="3">B5+B19+D33</f>
        <v>527846.19399040751</v>
      </c>
      <c r="C47" s="416">
        <f t="shared" ref="C47:M56" si="4">C5+C19</f>
        <v>49242.124869732797</v>
      </c>
      <c r="D47" s="416">
        <f t="shared" si="4"/>
        <v>50853.358619084072</v>
      </c>
      <c r="E47" s="416">
        <f t="shared" si="4"/>
        <v>52281.578627137358</v>
      </c>
      <c r="F47" s="416">
        <f t="shared" si="4"/>
        <v>53994.512454969605</v>
      </c>
      <c r="G47" s="416">
        <f t="shared" si="4"/>
        <v>55474.684275020481</v>
      </c>
      <c r="H47" s="416">
        <f t="shared" si="4"/>
        <v>57314.05728067657</v>
      </c>
      <c r="I47" s="416">
        <f t="shared" si="4"/>
        <v>89324.809552978433</v>
      </c>
      <c r="J47" s="416">
        <f t="shared" si="4"/>
        <v>60711.362716924545</v>
      </c>
      <c r="K47" s="416">
        <f t="shared" si="4"/>
        <v>62491.891528845008</v>
      </c>
      <c r="L47" s="416">
        <f t="shared" si="4"/>
        <v>64632.304039775328</v>
      </c>
      <c r="M47" s="416">
        <f t="shared" si="4"/>
        <v>66545.672216665247</v>
      </c>
      <c r="N47" s="416">
        <f t="shared" ref="N47:N56" si="5">SUM(B47:M47)</f>
        <v>1190712.550172217</v>
      </c>
    </row>
    <row r="48" spans="1:14" x14ac:dyDescent="0.25">
      <c r="A48" s="51" t="s">
        <v>588</v>
      </c>
      <c r="B48" s="416">
        <f t="shared" si="3"/>
        <v>528191.16790345102</v>
      </c>
      <c r="C48" s="416">
        <f t="shared" si="4"/>
        <v>49579.725982776275</v>
      </c>
      <c r="D48" s="416">
        <f t="shared" si="4"/>
        <v>51183.409984927552</v>
      </c>
      <c r="E48" s="416">
        <f t="shared" si="4"/>
        <v>52603.899051848042</v>
      </c>
      <c r="F48" s="416">
        <f t="shared" si="4"/>
        <v>54308.916395960296</v>
      </c>
      <c r="G48" s="416">
        <f t="shared" si="4"/>
        <v>55780.981736681919</v>
      </c>
      <c r="H48" s="416">
        <f t="shared" si="4"/>
        <v>57612.053707504834</v>
      </c>
      <c r="I48" s="416">
        <f t="shared" si="4"/>
        <v>89614.305720137549</v>
      </c>
      <c r="J48" s="416">
        <f t="shared" si="4"/>
        <v>60992.154618182423</v>
      </c>
      <c r="K48" s="416">
        <f t="shared" si="4"/>
        <v>62763.770261820027</v>
      </c>
      <c r="L48" s="416">
        <f t="shared" si="4"/>
        <v>64895.055688428693</v>
      </c>
      <c r="M48" s="416">
        <f t="shared" si="4"/>
        <v>66799.077730973266</v>
      </c>
      <c r="N48" s="416">
        <f t="shared" si="5"/>
        <v>1194324.5187826918</v>
      </c>
    </row>
    <row r="49" spans="1:14" x14ac:dyDescent="0.25">
      <c r="A49" s="51" t="s">
        <v>589</v>
      </c>
      <c r="B49" s="416">
        <f t="shared" si="3"/>
        <v>528319.42297591479</v>
      </c>
      <c r="C49" s="416">
        <f t="shared" si="4"/>
        <v>49684.972220457435</v>
      </c>
      <c r="D49" s="416">
        <f t="shared" si="4"/>
        <v>51265.095175791328</v>
      </c>
      <c r="E49" s="416">
        <f t="shared" si="4"/>
        <v>52661.457730770795</v>
      </c>
      <c r="F49" s="416">
        <f t="shared" si="4"/>
        <v>54341.769526655466</v>
      </c>
      <c r="G49" s="416">
        <f t="shared" si="4"/>
        <v>55788.536385992025</v>
      </c>
      <c r="H49" s="416">
        <f t="shared" si="4"/>
        <v>57593.702711876649</v>
      </c>
      <c r="I49" s="416">
        <f t="shared" si="4"/>
        <v>89569.427344092532</v>
      </c>
      <c r="J49" s="416">
        <f t="shared" si="4"/>
        <v>60920.112204590594</v>
      </c>
      <c r="K49" s="416">
        <f t="shared" si="4"/>
        <v>62663.911873780256</v>
      </c>
      <c r="L49" s="416">
        <f t="shared" si="4"/>
        <v>64766.713742554239</v>
      </c>
      <c r="M49" s="416">
        <f t="shared" si="4"/>
        <v>66641.568621876067</v>
      </c>
      <c r="N49" s="416">
        <f t="shared" si="5"/>
        <v>1194216.6905143522</v>
      </c>
    </row>
    <row r="50" spans="1:14" x14ac:dyDescent="0.25">
      <c r="A50" s="51" t="s">
        <v>595</v>
      </c>
      <c r="B50" s="416">
        <f t="shared" si="3"/>
        <v>695198.20574582356</v>
      </c>
      <c r="C50" s="416">
        <f t="shared" si="4"/>
        <v>44875.94821031647</v>
      </c>
      <c r="D50" s="416">
        <f t="shared" si="4"/>
        <v>46334.201940935614</v>
      </c>
      <c r="E50" s="416">
        <f t="shared" si="4"/>
        <v>47633.011160600348</v>
      </c>
      <c r="F50" s="416">
        <f t="shared" si="4"/>
        <v>49182.654359563472</v>
      </c>
      <c r="G50" s="416">
        <f t="shared" si="4"/>
        <v>50529.27038993132</v>
      </c>
      <c r="H50" s="416">
        <f t="shared" si="4"/>
        <v>52192.108390698602</v>
      </c>
      <c r="I50" s="416">
        <f t="shared" si="4"/>
        <v>99867.894770872328</v>
      </c>
      <c r="J50" s="416">
        <f t="shared" si="4"/>
        <v>54458.494448818339</v>
      </c>
      <c r="K50" s="416">
        <f t="shared" si="4"/>
        <v>56053.783968513089</v>
      </c>
      <c r="L50" s="416">
        <f t="shared" si="4"/>
        <v>57965.539498364495</v>
      </c>
      <c r="M50" s="416">
        <f t="shared" si="4"/>
        <v>59678.974845251563</v>
      </c>
      <c r="N50" s="416">
        <f t="shared" si="5"/>
        <v>1313970.0877296892</v>
      </c>
    </row>
    <row r="51" spans="1:14" x14ac:dyDescent="0.25">
      <c r="A51" s="51" t="s">
        <v>596</v>
      </c>
      <c r="B51" s="416">
        <f t="shared" si="3"/>
        <v>695088.88371192524</v>
      </c>
      <c r="C51" s="416">
        <f t="shared" si="4"/>
        <v>44759.426176418172</v>
      </c>
      <c r="D51" s="416">
        <f t="shared" si="4"/>
        <v>46210.307107037304</v>
      </c>
      <c r="E51" s="416">
        <f t="shared" si="4"/>
        <v>47501.566579502047</v>
      </c>
      <c r="F51" s="416">
        <f t="shared" si="4"/>
        <v>49043.478837332368</v>
      </c>
      <c r="G51" s="416">
        <f t="shared" si="4"/>
        <v>50382.178383980223</v>
      </c>
      <c r="H51" s="416">
        <f t="shared" si="4"/>
        <v>52036.909905418244</v>
      </c>
      <c r="I51" s="416">
        <f t="shared" si="4"/>
        <v>99704.395250758826</v>
      </c>
      <c r="J51" s="416">
        <f t="shared" si="4"/>
        <v>54294.994928704822</v>
      </c>
      <c r="K51" s="416">
        <f t="shared" si="4"/>
        <v>55881.784188730409</v>
      </c>
      <c r="L51" s="416">
        <f t="shared" si="4"/>
        <v>57784.835452680592</v>
      </c>
      <c r="M51" s="416">
        <f t="shared" si="4"/>
        <v>59489.357631284802</v>
      </c>
      <c r="N51" s="416">
        <f t="shared" si="5"/>
        <v>1312178.1181537728</v>
      </c>
    </row>
    <row r="52" spans="1:14" x14ac:dyDescent="0.25">
      <c r="A52" s="51" t="s">
        <v>597</v>
      </c>
      <c r="B52" s="416">
        <f t="shared" si="3"/>
        <v>695360.91761023027</v>
      </c>
      <c r="C52" s="416">
        <f t="shared" si="4"/>
        <v>45024.26007472325</v>
      </c>
      <c r="D52" s="416">
        <f t="shared" si="4"/>
        <v>46467.768205342392</v>
      </c>
      <c r="E52" s="416">
        <f t="shared" si="4"/>
        <v>47751.477930607129</v>
      </c>
      <c r="F52" s="416">
        <f t="shared" si="4"/>
        <v>49285.659247304648</v>
      </c>
      <c r="G52" s="416">
        <f t="shared" si="4"/>
        <v>50616.442310232524</v>
      </c>
      <c r="H52" s="416">
        <f t="shared" si="4"/>
        <v>52263.06735234127</v>
      </c>
      <c r="I52" s="416">
        <f t="shared" si="4"/>
        <v>99922.251662848663</v>
      </c>
      <c r="J52" s="416">
        <f t="shared" si="4"/>
        <v>54512.851340794674</v>
      </c>
      <c r="K52" s="416">
        <f t="shared" si="4"/>
        <v>56091.140341151098</v>
      </c>
      <c r="L52" s="416">
        <f t="shared" si="4"/>
        <v>57985.487339200059</v>
      </c>
      <c r="M52" s="416">
        <f t="shared" si="4"/>
        <v>59681.096349521409</v>
      </c>
      <c r="N52" s="416">
        <f t="shared" si="5"/>
        <v>1314962.4197642973</v>
      </c>
    </row>
    <row r="53" spans="1:14" x14ac:dyDescent="0.25">
      <c r="A53" s="51" t="s">
        <v>598</v>
      </c>
      <c r="B53" s="416">
        <f t="shared" si="3"/>
        <v>695414.30744073878</v>
      </c>
      <c r="C53" s="416">
        <f t="shared" si="4"/>
        <v>45056.049905231732</v>
      </c>
      <c r="D53" s="416">
        <f t="shared" si="4"/>
        <v>46477.439635850867</v>
      </c>
      <c r="E53" s="416">
        <f t="shared" si="4"/>
        <v>47738.500119515607</v>
      </c>
      <c r="F53" s="416">
        <f t="shared" si="4"/>
        <v>49249.488612814726</v>
      </c>
      <c r="G53" s="416">
        <f t="shared" si="4"/>
        <v>50556.52222458263</v>
      </c>
      <c r="H53" s="416">
        <f t="shared" si="4"/>
        <v>52178.827828703579</v>
      </c>
      <c r="I53" s="416">
        <f t="shared" si="4"/>
        <v>99813.109034711466</v>
      </c>
      <c r="J53" s="416">
        <f t="shared" si="4"/>
        <v>54403.708712657477</v>
      </c>
      <c r="K53" s="416">
        <f t="shared" si="4"/>
        <v>55956.496934006413</v>
      </c>
      <c r="L53" s="416">
        <f t="shared" si="4"/>
        <v>57824.731134351692</v>
      </c>
      <c r="M53" s="416">
        <f t="shared" si="4"/>
        <v>59493.600639824479</v>
      </c>
      <c r="N53" s="416">
        <f t="shared" si="5"/>
        <v>1314162.7822229892</v>
      </c>
    </row>
    <row r="54" spans="1:14" x14ac:dyDescent="0.25">
      <c r="A54" s="51" t="s">
        <v>162</v>
      </c>
      <c r="B54" s="416">
        <f t="shared" si="3"/>
        <v>553618.50746099767</v>
      </c>
      <c r="C54" s="416">
        <f t="shared" si="4"/>
        <v>41860.954906751052</v>
      </c>
      <c r="D54" s="416">
        <f t="shared" si="4"/>
        <v>42701.043661901429</v>
      </c>
      <c r="E54" s="416">
        <f t="shared" si="4"/>
        <v>43831.71038950127</v>
      </c>
      <c r="F54" s="416">
        <f t="shared" si="4"/>
        <v>44810.770828390378</v>
      </c>
      <c r="G54" s="416">
        <f t="shared" si="4"/>
        <v>45967.182043060013</v>
      </c>
      <c r="H54" s="416">
        <f t="shared" si="4"/>
        <v>47096.614837348359</v>
      </c>
      <c r="I54" s="416">
        <f t="shared" si="4"/>
        <v>81714.309449717752</v>
      </c>
      <c r="J54" s="416">
        <f t="shared" si="4"/>
        <v>49153.92661837372</v>
      </c>
      <c r="K54" s="416">
        <f t="shared" si="4"/>
        <v>50071.200328149935</v>
      </c>
      <c r="L54" s="416">
        <f t="shared" si="4"/>
        <v>51913.906463591651</v>
      </c>
      <c r="M54" s="416">
        <f t="shared" si="4"/>
        <v>52856.110581384877</v>
      </c>
      <c r="N54" s="416">
        <f t="shared" si="5"/>
        <v>1105596.2375691682</v>
      </c>
    </row>
    <row r="55" spans="1:14" x14ac:dyDescent="0.25">
      <c r="A55" s="51" t="s">
        <v>171</v>
      </c>
      <c r="B55" s="416">
        <f t="shared" si="3"/>
        <v>546855.22243684297</v>
      </c>
      <c r="C55" s="416">
        <f t="shared" si="4"/>
        <v>35097.669882596463</v>
      </c>
      <c r="D55" s="416">
        <f t="shared" si="4"/>
        <v>35937.75863774684</v>
      </c>
      <c r="E55" s="416">
        <f t="shared" si="4"/>
        <v>37068.42536534668</v>
      </c>
      <c r="F55" s="416">
        <f t="shared" si="4"/>
        <v>38047.485804235788</v>
      </c>
      <c r="G55" s="416">
        <f t="shared" si="4"/>
        <v>39203.897018905423</v>
      </c>
      <c r="H55" s="416">
        <f t="shared" si="4"/>
        <v>40333.32981319377</v>
      </c>
      <c r="I55" s="416">
        <f t="shared" si="4"/>
        <v>74951.024425563155</v>
      </c>
      <c r="J55" s="416">
        <f t="shared" si="4"/>
        <v>42390.641594219131</v>
      </c>
      <c r="K55" s="416">
        <f t="shared" si="4"/>
        <v>43307.915303995345</v>
      </c>
      <c r="L55" s="416">
        <f t="shared" si="4"/>
        <v>45150.621439437062</v>
      </c>
      <c r="M55" s="416">
        <f t="shared" si="4"/>
        <v>46092.825557230288</v>
      </c>
      <c r="N55" s="416">
        <f t="shared" si="5"/>
        <v>1024436.8172793129</v>
      </c>
    </row>
    <row r="56" spans="1:14" x14ac:dyDescent="0.25">
      <c r="A56" s="51" t="s">
        <v>177</v>
      </c>
      <c r="B56" s="416">
        <f t="shared" si="3"/>
        <v>984966.11899999995</v>
      </c>
      <c r="C56" s="416">
        <f t="shared" si="4"/>
        <v>43398.348739514608</v>
      </c>
      <c r="D56" s="416">
        <f t="shared" si="4"/>
        <v>44602.62355159744</v>
      </c>
      <c r="E56" s="416">
        <f t="shared" si="4"/>
        <v>45889.544525511374</v>
      </c>
      <c r="F56" s="416">
        <f t="shared" si="4"/>
        <v>47170.474310338257</v>
      </c>
      <c r="G56" s="416">
        <f t="shared" si="4"/>
        <v>48594.847530312472</v>
      </c>
      <c r="H56" s="416">
        <f t="shared" si="4"/>
        <v>50013.729738524926</v>
      </c>
      <c r="I56" s="416">
        <f t="shared" si="4"/>
        <v>51324.744756720916</v>
      </c>
      <c r="J56" s="416">
        <f t="shared" si="4"/>
        <v>52524.43453640501</v>
      </c>
      <c r="K56" s="416">
        <f t="shared" si="4"/>
        <v>53711.394168166851</v>
      </c>
      <c r="L56" s="416">
        <f t="shared" si="4"/>
        <v>54905.512917315369</v>
      </c>
      <c r="M56" s="416">
        <f t="shared" si="4"/>
        <v>56160.738183732552</v>
      </c>
      <c r="N56" s="416">
        <f t="shared" si="5"/>
        <v>1533262.5119581395</v>
      </c>
    </row>
    <row r="58" spans="1:14" s="51" customFormat="1" x14ac:dyDescent="0.25">
      <c r="B58" s="51" t="s">
        <v>607</v>
      </c>
    </row>
    <row r="59" spans="1:14" s="51" customFormat="1" x14ac:dyDescent="0.25">
      <c r="B59" s="51">
        <v>2020</v>
      </c>
      <c r="C59" s="51">
        <v>2021</v>
      </c>
      <c r="D59" s="51">
        <v>2022</v>
      </c>
      <c r="E59" s="51">
        <v>2023</v>
      </c>
      <c r="F59" s="51">
        <v>2024</v>
      </c>
      <c r="G59" s="51">
        <v>2025</v>
      </c>
      <c r="H59" s="51">
        <v>2026</v>
      </c>
      <c r="I59" s="51">
        <v>2027</v>
      </c>
      <c r="J59" s="51">
        <v>2028</v>
      </c>
      <c r="K59" s="51">
        <v>2029</v>
      </c>
      <c r="L59" s="51">
        <v>2030</v>
      </c>
      <c r="M59" s="51">
        <v>2031</v>
      </c>
    </row>
    <row r="60" spans="1:14" s="51" customFormat="1" x14ac:dyDescent="0.25">
      <c r="A60" s="51" t="s">
        <v>162</v>
      </c>
    </row>
    <row r="61" spans="1:14" s="51" customFormat="1" x14ac:dyDescent="0.25">
      <c r="A61" s="51" t="s">
        <v>177</v>
      </c>
    </row>
    <row r="62" spans="1:14" s="51" customFormat="1" x14ac:dyDescent="0.25"/>
    <row r="63" spans="1:14" s="51" customFormat="1" x14ac:dyDescent="0.25">
      <c r="B63" s="51" t="s">
        <v>608</v>
      </c>
    </row>
    <row r="64" spans="1:14" s="51" customFormat="1" x14ac:dyDescent="0.25">
      <c r="A64" s="51" t="s">
        <v>162</v>
      </c>
    </row>
    <row r="65" spans="1:13" s="51" customFormat="1" x14ac:dyDescent="0.25">
      <c r="A65" s="51" t="s">
        <v>177</v>
      </c>
    </row>
    <row r="66" spans="1:13" s="51" customFormat="1" x14ac:dyDescent="0.25"/>
    <row r="67" spans="1:13" x14ac:dyDescent="0.25">
      <c r="B67" t="s">
        <v>606</v>
      </c>
    </row>
    <row r="68" spans="1:13" x14ac:dyDescent="0.25">
      <c r="B68" s="51">
        <v>2020</v>
      </c>
      <c r="C68" s="51">
        <v>2021</v>
      </c>
      <c r="D68" s="51">
        <v>2022</v>
      </c>
      <c r="E68" s="51">
        <v>2023</v>
      </c>
      <c r="F68" s="51">
        <v>2024</v>
      </c>
      <c r="G68" s="51">
        <v>2025</v>
      </c>
      <c r="H68" s="51">
        <v>2026</v>
      </c>
      <c r="I68" s="51">
        <v>2027</v>
      </c>
      <c r="J68" s="51">
        <v>2028</v>
      </c>
      <c r="K68" s="51">
        <v>2029</v>
      </c>
      <c r="L68" s="51">
        <v>2030</v>
      </c>
      <c r="M68" s="51">
        <v>2031</v>
      </c>
    </row>
    <row r="69" spans="1:13" x14ac:dyDescent="0.25">
      <c r="A69" s="51" t="s">
        <v>189</v>
      </c>
      <c r="B69" s="416">
        <f>B46</f>
        <v>527973.10413533507</v>
      </c>
      <c r="C69" s="416">
        <f t="shared" ref="C69:C79" si="6">B46+C46</f>
        <v>577350.40238477802</v>
      </c>
      <c r="D69" s="416">
        <f t="shared" ref="D69:D79" si="7">C69+D46</f>
        <v>628347.39593598968</v>
      </c>
      <c r="E69" s="416">
        <f t="shared" ref="E69:M69" si="8">D69+E46</f>
        <v>680781.27412493003</v>
      </c>
      <c r="F69" s="416">
        <f t="shared" si="8"/>
        <v>734936.95872249024</v>
      </c>
      <c r="G69" s="416">
        <f t="shared" si="8"/>
        <v>790581.90066282777</v>
      </c>
      <c r="H69" s="416">
        <f t="shared" si="8"/>
        <v>848075.51918409346</v>
      </c>
      <c r="I69" s="416">
        <f t="shared" si="8"/>
        <v>937589.41683873942</v>
      </c>
      <c r="J69" s="416">
        <f t="shared" si="8"/>
        <v>998499.62316307588</v>
      </c>
      <c r="K69" s="416">
        <f t="shared" si="8"/>
        <v>1061200.3479372151</v>
      </c>
      <c r="L69" s="416">
        <f t="shared" si="8"/>
        <v>1126051.7146114761</v>
      </c>
      <c r="M69" s="416">
        <f t="shared" si="8"/>
        <v>1192826.9243571588</v>
      </c>
    </row>
    <row r="70" spans="1:13" x14ac:dyDescent="0.25">
      <c r="A70" s="51" t="s">
        <v>587</v>
      </c>
      <c r="B70" s="416">
        <f t="shared" ref="B70:B79" si="9">B47</f>
        <v>527846.19399040751</v>
      </c>
      <c r="C70" s="416">
        <f t="shared" si="6"/>
        <v>577088.31886014028</v>
      </c>
      <c r="D70" s="416">
        <f t="shared" si="7"/>
        <v>627941.6774792244</v>
      </c>
      <c r="E70" s="416">
        <f t="shared" ref="E70:M70" si="10">D70+E47</f>
        <v>680223.25610636175</v>
      </c>
      <c r="F70" s="416">
        <f t="shared" si="10"/>
        <v>734217.76856133132</v>
      </c>
      <c r="G70" s="416">
        <f t="shared" si="10"/>
        <v>789692.45283635182</v>
      </c>
      <c r="H70" s="416">
        <f t="shared" si="10"/>
        <v>847006.51011702837</v>
      </c>
      <c r="I70" s="416">
        <f t="shared" si="10"/>
        <v>936331.31967000687</v>
      </c>
      <c r="J70" s="416">
        <f t="shared" si="10"/>
        <v>997042.68238693138</v>
      </c>
      <c r="K70" s="416">
        <f t="shared" si="10"/>
        <v>1059534.5739157763</v>
      </c>
      <c r="L70" s="416">
        <f t="shared" si="10"/>
        <v>1124166.8779555517</v>
      </c>
      <c r="M70" s="416">
        <f t="shared" si="10"/>
        <v>1190712.550172217</v>
      </c>
    </row>
    <row r="71" spans="1:13" x14ac:dyDescent="0.25">
      <c r="A71" s="51" t="s">
        <v>588</v>
      </c>
      <c r="B71" s="416">
        <f t="shared" si="9"/>
        <v>528191.16790345102</v>
      </c>
      <c r="C71" s="416">
        <f t="shared" si="6"/>
        <v>577770.89388622728</v>
      </c>
      <c r="D71" s="416">
        <f t="shared" si="7"/>
        <v>628954.30387115479</v>
      </c>
      <c r="E71" s="416">
        <f t="shared" ref="E71:M71" si="11">D71+E48</f>
        <v>681558.20292300289</v>
      </c>
      <c r="F71" s="416">
        <f t="shared" si="11"/>
        <v>735867.11931896314</v>
      </c>
      <c r="G71" s="416">
        <f t="shared" si="11"/>
        <v>791648.10105564503</v>
      </c>
      <c r="H71" s="416">
        <f t="shared" si="11"/>
        <v>849260.15476314991</v>
      </c>
      <c r="I71" s="416">
        <f t="shared" si="11"/>
        <v>938874.46048328746</v>
      </c>
      <c r="J71" s="416">
        <f t="shared" si="11"/>
        <v>999866.61510146991</v>
      </c>
      <c r="K71" s="416">
        <f t="shared" si="11"/>
        <v>1062630.3853632899</v>
      </c>
      <c r="L71" s="416">
        <f t="shared" si="11"/>
        <v>1127525.4410517185</v>
      </c>
      <c r="M71" s="416">
        <f t="shared" si="11"/>
        <v>1194324.5187826918</v>
      </c>
    </row>
    <row r="72" spans="1:13" x14ac:dyDescent="0.25">
      <c r="A72" s="51" t="s">
        <v>589</v>
      </c>
      <c r="B72" s="416">
        <f t="shared" si="9"/>
        <v>528319.42297591479</v>
      </c>
      <c r="C72" s="416">
        <f t="shared" si="6"/>
        <v>578004.39519637218</v>
      </c>
      <c r="D72" s="416">
        <f t="shared" si="7"/>
        <v>629269.49037216348</v>
      </c>
      <c r="E72" s="416">
        <f t="shared" ref="E72:M72" si="12">D72+E49</f>
        <v>681930.94810293429</v>
      </c>
      <c r="F72" s="416">
        <f t="shared" si="12"/>
        <v>736272.71762958972</v>
      </c>
      <c r="G72" s="416">
        <f t="shared" si="12"/>
        <v>792061.2540155818</v>
      </c>
      <c r="H72" s="416">
        <f t="shared" si="12"/>
        <v>849654.9567274584</v>
      </c>
      <c r="I72" s="416">
        <f t="shared" si="12"/>
        <v>939224.38407155091</v>
      </c>
      <c r="J72" s="416">
        <f t="shared" si="12"/>
        <v>1000144.4962761415</v>
      </c>
      <c r="K72" s="416">
        <f t="shared" si="12"/>
        <v>1062808.4081499218</v>
      </c>
      <c r="L72" s="416">
        <f t="shared" si="12"/>
        <v>1127575.121892476</v>
      </c>
      <c r="M72" s="416">
        <f t="shared" si="12"/>
        <v>1194216.6905143522</v>
      </c>
    </row>
    <row r="73" spans="1:13" x14ac:dyDescent="0.25">
      <c r="A73" s="51" t="s">
        <v>595</v>
      </c>
      <c r="B73" s="416">
        <f t="shared" si="9"/>
        <v>695198.20574582356</v>
      </c>
      <c r="C73" s="416">
        <f t="shared" si="6"/>
        <v>740074.15395614004</v>
      </c>
      <c r="D73" s="416">
        <f t="shared" si="7"/>
        <v>786408.35589707561</v>
      </c>
      <c r="E73" s="416">
        <f t="shared" ref="E73:M73" si="13">D73+E50</f>
        <v>834041.36705767596</v>
      </c>
      <c r="F73" s="416">
        <f t="shared" si="13"/>
        <v>883224.02141723945</v>
      </c>
      <c r="G73" s="416">
        <f t="shared" si="13"/>
        <v>933753.29180717072</v>
      </c>
      <c r="H73" s="416">
        <f t="shared" si="13"/>
        <v>985945.40019786928</v>
      </c>
      <c r="I73" s="416">
        <f t="shared" si="13"/>
        <v>1085813.2949687417</v>
      </c>
      <c r="J73" s="416">
        <f t="shared" si="13"/>
        <v>1140271.78941756</v>
      </c>
      <c r="K73" s="416">
        <f t="shared" si="13"/>
        <v>1196325.5733860731</v>
      </c>
      <c r="L73" s="416">
        <f t="shared" si="13"/>
        <v>1254291.1128844377</v>
      </c>
      <c r="M73" s="416">
        <f t="shared" si="13"/>
        <v>1313970.0877296892</v>
      </c>
    </row>
    <row r="74" spans="1:13" x14ac:dyDescent="0.25">
      <c r="A74" s="51" t="s">
        <v>596</v>
      </c>
      <c r="B74" s="416">
        <f t="shared" si="9"/>
        <v>695088.88371192524</v>
      </c>
      <c r="C74" s="416">
        <f t="shared" si="6"/>
        <v>739848.30988834344</v>
      </c>
      <c r="D74" s="416">
        <f t="shared" si="7"/>
        <v>786058.61699538073</v>
      </c>
      <c r="E74" s="416">
        <f t="shared" ref="E74:M74" si="14">D74+E51</f>
        <v>833560.1835748828</v>
      </c>
      <c r="F74" s="416">
        <f t="shared" si="14"/>
        <v>882603.66241221514</v>
      </c>
      <c r="G74" s="416">
        <f t="shared" si="14"/>
        <v>932985.84079619532</v>
      </c>
      <c r="H74" s="416">
        <f t="shared" si="14"/>
        <v>985022.75070161361</v>
      </c>
      <c r="I74" s="416">
        <f t="shared" si="14"/>
        <v>1084727.1459523723</v>
      </c>
      <c r="J74" s="416">
        <f t="shared" si="14"/>
        <v>1139022.1408810772</v>
      </c>
      <c r="K74" s="416">
        <f t="shared" si="14"/>
        <v>1194903.9250698076</v>
      </c>
      <c r="L74" s="416">
        <f t="shared" si="14"/>
        <v>1252688.760522488</v>
      </c>
      <c r="M74" s="416">
        <f t="shared" si="14"/>
        <v>1312178.1181537728</v>
      </c>
    </row>
    <row r="75" spans="1:13" x14ac:dyDescent="0.25">
      <c r="A75" s="51" t="s">
        <v>597</v>
      </c>
      <c r="B75" s="416">
        <f t="shared" si="9"/>
        <v>695360.91761023027</v>
      </c>
      <c r="C75" s="416">
        <f t="shared" si="6"/>
        <v>740385.17768495355</v>
      </c>
      <c r="D75" s="416">
        <f t="shared" si="7"/>
        <v>786852.9458902959</v>
      </c>
      <c r="E75" s="416">
        <f t="shared" ref="E75:M75" si="15">D75+E52</f>
        <v>834604.42382090306</v>
      </c>
      <c r="F75" s="416">
        <f t="shared" si="15"/>
        <v>883890.08306820772</v>
      </c>
      <c r="G75" s="416">
        <f t="shared" si="15"/>
        <v>934506.52537844027</v>
      </c>
      <c r="H75" s="416">
        <f t="shared" si="15"/>
        <v>986769.59273078153</v>
      </c>
      <c r="I75" s="416">
        <f t="shared" si="15"/>
        <v>1086691.8443936303</v>
      </c>
      <c r="J75" s="416">
        <f t="shared" si="15"/>
        <v>1141204.695734425</v>
      </c>
      <c r="K75" s="416">
        <f t="shared" si="15"/>
        <v>1197295.836075576</v>
      </c>
      <c r="L75" s="416">
        <f t="shared" si="15"/>
        <v>1255281.323414776</v>
      </c>
      <c r="M75" s="416">
        <f t="shared" si="15"/>
        <v>1314962.4197642973</v>
      </c>
    </row>
    <row r="76" spans="1:13" x14ac:dyDescent="0.25">
      <c r="A76" s="51" t="s">
        <v>598</v>
      </c>
      <c r="B76" s="416">
        <f t="shared" si="9"/>
        <v>695414.30744073878</v>
      </c>
      <c r="C76" s="416">
        <f t="shared" si="6"/>
        <v>740470.35734597046</v>
      </c>
      <c r="D76" s="416">
        <f t="shared" si="7"/>
        <v>786947.7969818213</v>
      </c>
      <c r="E76" s="416">
        <f t="shared" ref="E76:M76" si="16">D76+E53</f>
        <v>834686.29710133688</v>
      </c>
      <c r="F76" s="416">
        <f t="shared" si="16"/>
        <v>883935.78571415157</v>
      </c>
      <c r="G76" s="416">
        <f t="shared" si="16"/>
        <v>934492.30793873419</v>
      </c>
      <c r="H76" s="416">
        <f t="shared" si="16"/>
        <v>986671.13576743775</v>
      </c>
      <c r="I76" s="416">
        <f t="shared" si="16"/>
        <v>1086484.2448021492</v>
      </c>
      <c r="J76" s="416">
        <f t="shared" si="16"/>
        <v>1140887.9535148067</v>
      </c>
      <c r="K76" s="416">
        <f t="shared" si="16"/>
        <v>1196844.4504488131</v>
      </c>
      <c r="L76" s="416">
        <f t="shared" si="16"/>
        <v>1254669.1815831647</v>
      </c>
      <c r="M76" s="416">
        <f t="shared" si="16"/>
        <v>1314162.7822229892</v>
      </c>
    </row>
    <row r="77" spans="1:13" x14ac:dyDescent="0.25">
      <c r="A77" s="51" t="s">
        <v>162</v>
      </c>
      <c r="B77" s="416">
        <f t="shared" si="9"/>
        <v>553618.50746099767</v>
      </c>
      <c r="C77" s="416">
        <f t="shared" si="6"/>
        <v>595479.46236774873</v>
      </c>
      <c r="D77" s="416">
        <f t="shared" si="7"/>
        <v>638180.5060296501</v>
      </c>
      <c r="E77" s="416">
        <f t="shared" ref="E77:M77" si="17">D77+E54</f>
        <v>682012.2164191514</v>
      </c>
      <c r="F77" s="416">
        <f t="shared" si="17"/>
        <v>726822.98724754178</v>
      </c>
      <c r="G77" s="416">
        <f t="shared" si="17"/>
        <v>772790.16929060174</v>
      </c>
      <c r="H77" s="416">
        <f t="shared" si="17"/>
        <v>819886.78412795009</v>
      </c>
      <c r="I77" s="416">
        <f t="shared" si="17"/>
        <v>901601.09357766784</v>
      </c>
      <c r="J77" s="416">
        <f t="shared" si="17"/>
        <v>950755.02019604156</v>
      </c>
      <c r="K77" s="416">
        <f t="shared" si="17"/>
        <v>1000826.2205241915</v>
      </c>
      <c r="L77" s="416">
        <f t="shared" si="17"/>
        <v>1052740.1269877832</v>
      </c>
      <c r="M77" s="416">
        <f t="shared" si="17"/>
        <v>1105596.2375691682</v>
      </c>
    </row>
    <row r="78" spans="1:13" x14ac:dyDescent="0.25">
      <c r="A78" s="51" t="s">
        <v>171</v>
      </c>
      <c r="B78" s="416">
        <f t="shared" si="9"/>
        <v>546855.22243684297</v>
      </c>
      <c r="C78" s="416">
        <f t="shared" si="6"/>
        <v>581952.89231943944</v>
      </c>
      <c r="D78" s="416">
        <f t="shared" si="7"/>
        <v>617890.65095718624</v>
      </c>
      <c r="E78" s="416">
        <f t="shared" ref="E78:M78" si="18">D78+E55</f>
        <v>654959.07632253296</v>
      </c>
      <c r="F78" s="416">
        <f t="shared" si="18"/>
        <v>693006.56212676875</v>
      </c>
      <c r="G78" s="416">
        <f t="shared" si="18"/>
        <v>732210.45914567413</v>
      </c>
      <c r="H78" s="416">
        <f t="shared" si="18"/>
        <v>772543.7889588679</v>
      </c>
      <c r="I78" s="416">
        <f t="shared" si="18"/>
        <v>847494.81338443107</v>
      </c>
      <c r="J78" s="416">
        <f t="shared" si="18"/>
        <v>889885.4549786502</v>
      </c>
      <c r="K78" s="416">
        <f t="shared" si="18"/>
        <v>933193.37028264557</v>
      </c>
      <c r="L78" s="416">
        <f t="shared" si="18"/>
        <v>978343.9917220826</v>
      </c>
      <c r="M78" s="416">
        <f t="shared" si="18"/>
        <v>1024436.8172793129</v>
      </c>
    </row>
    <row r="79" spans="1:13" x14ac:dyDescent="0.25">
      <c r="A79" s="51" t="s">
        <v>177</v>
      </c>
      <c r="B79" s="416">
        <f t="shared" si="9"/>
        <v>984966.11899999995</v>
      </c>
      <c r="C79" s="416">
        <f t="shared" si="6"/>
        <v>1028364.4677395145</v>
      </c>
      <c r="D79" s="416">
        <f t="shared" si="7"/>
        <v>1072967.0912911119</v>
      </c>
      <c r="E79" s="416">
        <f t="shared" ref="E79:M79" si="19">D79+E56</f>
        <v>1118856.6358166232</v>
      </c>
      <c r="F79" s="416">
        <f t="shared" si="19"/>
        <v>1166027.1101269615</v>
      </c>
      <c r="G79" s="416">
        <f t="shared" si="19"/>
        <v>1214621.9576572739</v>
      </c>
      <c r="H79" s="416">
        <f t="shared" si="19"/>
        <v>1264635.6873957987</v>
      </c>
      <c r="I79" s="416">
        <f t="shared" si="19"/>
        <v>1315960.4321525197</v>
      </c>
      <c r="J79" s="416">
        <f t="shared" si="19"/>
        <v>1368484.8666889246</v>
      </c>
      <c r="K79" s="416">
        <f t="shared" si="19"/>
        <v>1422196.2608570915</v>
      </c>
      <c r="L79" s="416">
        <f t="shared" si="19"/>
        <v>1477101.7737744069</v>
      </c>
      <c r="M79" s="416">
        <f t="shared" si="19"/>
        <v>1533262.5119581395</v>
      </c>
    </row>
  </sheetData>
  <mergeCells count="1">
    <mergeCell ref="P3:S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T60"/>
  <sheetViews>
    <sheetView workbookViewId="0">
      <pane xSplit="1" topLeftCell="B1" activePane="topRight" state="frozen"/>
      <selection activeCell="AC1" sqref="AC1"/>
      <selection pane="topRight" activeCell="A3" sqref="A3:XFD3"/>
    </sheetView>
  </sheetViews>
  <sheetFormatPr defaultColWidth="8.5703125" defaultRowHeight="15" x14ac:dyDescent="0.25"/>
  <cols>
    <col min="1" max="1" width="41.5703125" style="70" customWidth="1"/>
    <col min="2" max="2" width="26.5703125" style="70" customWidth="1"/>
    <col min="3" max="4" width="11.5703125" style="51" customWidth="1"/>
    <col min="5" max="5" width="15.5703125" style="51" customWidth="1"/>
    <col min="6" max="6" width="16.42578125" style="51" customWidth="1"/>
    <col min="7" max="7" width="21.5703125" style="51" customWidth="1"/>
    <col min="8" max="9" width="15.5703125" style="51" customWidth="1"/>
    <col min="10" max="10" width="20.5703125" style="51" customWidth="1"/>
    <col min="11" max="12" width="15.5703125" style="51" customWidth="1"/>
    <col min="13" max="13" width="20.5703125" style="51" customWidth="1"/>
    <col min="14" max="14" width="15.85546875" style="51" customWidth="1"/>
    <col min="15" max="15" width="19.85546875" style="51" customWidth="1"/>
    <col min="16" max="16" width="22" style="51" customWidth="1"/>
    <col min="17" max="17" width="15.85546875" style="51" customWidth="1"/>
    <col min="18" max="18" width="19.85546875" style="51" customWidth="1"/>
    <col min="19" max="19" width="22" style="51" customWidth="1"/>
    <col min="20" max="20" width="15.85546875" style="51" customWidth="1"/>
    <col min="21" max="21" width="19.85546875" style="51" customWidth="1"/>
    <col min="22" max="22" width="22" style="51" customWidth="1"/>
    <col min="23" max="23" width="15.85546875" style="51" customWidth="1"/>
    <col min="24" max="24" width="19.85546875" style="288" customWidth="1"/>
    <col min="25" max="25" width="22" style="288" customWidth="1"/>
    <col min="26" max="27" width="15.85546875" style="288" customWidth="1"/>
    <col min="28" max="28" width="20.42578125" style="288" customWidth="1"/>
    <col min="29" max="29" width="15.85546875" style="288" customWidth="1"/>
    <col min="30" max="30" width="13.140625" style="51" customWidth="1"/>
    <col min="31" max="31" width="8.5703125" style="51"/>
    <col min="32" max="32" width="11.140625" style="51" customWidth="1"/>
    <col min="33" max="34" width="8.5703125" style="51"/>
    <col min="35" max="35" width="12.140625" style="51" customWidth="1"/>
    <col min="36" max="37" width="8.5703125" style="51"/>
    <col min="38" max="38" width="14.42578125" style="51" customWidth="1"/>
    <col min="39" max="40" width="10.5703125" style="51" customWidth="1"/>
    <col min="41" max="41" width="11.85546875" style="51" customWidth="1"/>
    <col min="42" max="43" width="10.5703125" style="51" customWidth="1"/>
    <col min="44" max="16384" width="8.5703125" style="51"/>
  </cols>
  <sheetData>
    <row r="1" spans="1:46" x14ac:dyDescent="0.25">
      <c r="AD1" s="289"/>
      <c r="AE1" s="82"/>
      <c r="AF1" s="290"/>
      <c r="AG1" s="82"/>
    </row>
    <row r="2" spans="1:46" x14ac:dyDescent="0.25">
      <c r="AD2" s="291"/>
      <c r="AE2" s="290"/>
      <c r="AF2" s="290">
        <v>10.38</v>
      </c>
      <c r="AG2" s="290">
        <v>1.22</v>
      </c>
    </row>
    <row r="3" spans="1:46" x14ac:dyDescent="0.25">
      <c r="A3" s="741" t="s">
        <v>763</v>
      </c>
      <c r="AD3" s="289"/>
      <c r="AE3" s="82"/>
      <c r="AF3" s="290" t="s">
        <v>321</v>
      </c>
      <c r="AG3" s="82"/>
    </row>
    <row r="4" spans="1:46" ht="15.75" thickBot="1" x14ac:dyDescent="0.3">
      <c r="AD4" s="292"/>
      <c r="AE4" s="82"/>
      <c r="AF4" s="74" t="s">
        <v>403</v>
      </c>
      <c r="AG4" s="293">
        <v>3.6</v>
      </c>
      <c r="AH4" s="51" t="s">
        <v>404</v>
      </c>
      <c r="AL4" s="51" t="s">
        <v>324</v>
      </c>
      <c r="AM4" s="78">
        <f>AVERAGE(Z58,W58,T58,Q58,AC58)</f>
        <v>97.538186434891983</v>
      </c>
      <c r="AN4" s="51">
        <v>10.38</v>
      </c>
      <c r="AO4" s="78">
        <f>SUM(AM4:AN4)</f>
        <v>107.91818643489198</v>
      </c>
    </row>
    <row r="5" spans="1:46" s="295" customFormat="1" ht="29.25" customHeight="1" thickBot="1" x14ac:dyDescent="0.3">
      <c r="A5" s="294" t="s">
        <v>325</v>
      </c>
      <c r="B5" s="294"/>
      <c r="C5" s="827">
        <v>2010</v>
      </c>
      <c r="D5" s="828"/>
      <c r="E5" s="829"/>
      <c r="F5" s="842">
        <v>2011</v>
      </c>
      <c r="G5" s="843"/>
      <c r="H5" s="844"/>
      <c r="I5" s="827">
        <v>2012</v>
      </c>
      <c r="J5" s="828"/>
      <c r="K5" s="829"/>
      <c r="L5" s="842">
        <v>2013</v>
      </c>
      <c r="M5" s="843"/>
      <c r="N5" s="844"/>
      <c r="O5" s="827">
        <v>2014</v>
      </c>
      <c r="P5" s="828"/>
      <c r="Q5" s="829"/>
      <c r="R5" s="842">
        <v>2015</v>
      </c>
      <c r="S5" s="843"/>
      <c r="T5" s="844"/>
      <c r="U5" s="827">
        <v>2016</v>
      </c>
      <c r="V5" s="828"/>
      <c r="W5" s="829"/>
      <c r="X5" s="830">
        <v>2017</v>
      </c>
      <c r="Y5" s="831"/>
      <c r="Z5" s="832"/>
      <c r="AA5" s="833">
        <v>2018</v>
      </c>
      <c r="AB5" s="834"/>
      <c r="AC5" s="835"/>
      <c r="AD5" s="292"/>
      <c r="AE5" s="82"/>
      <c r="AF5" s="74" t="s">
        <v>407</v>
      </c>
      <c r="AG5" s="395">
        <v>3600</v>
      </c>
      <c r="AH5" s="82" t="s">
        <v>404</v>
      </c>
      <c r="AI5" s="82"/>
    </row>
    <row r="6" spans="1:46" s="295" customFormat="1" ht="15.75" x14ac:dyDescent="0.25">
      <c r="A6" s="294" t="s">
        <v>326</v>
      </c>
      <c r="B6" s="296" t="s">
        <v>327</v>
      </c>
      <c r="C6" s="297" t="s">
        <v>328</v>
      </c>
      <c r="D6" s="298" t="s">
        <v>329</v>
      </c>
      <c r="E6" s="299" t="s">
        <v>330</v>
      </c>
      <c r="F6" s="300" t="s">
        <v>328</v>
      </c>
      <c r="G6" s="301" t="s">
        <v>329</v>
      </c>
      <c r="H6" s="302" t="s">
        <v>330</v>
      </c>
      <c r="I6" s="297" t="s">
        <v>328</v>
      </c>
      <c r="J6" s="298" t="s">
        <v>329</v>
      </c>
      <c r="K6" s="299" t="s">
        <v>330</v>
      </c>
      <c r="L6" s="300" t="s">
        <v>328</v>
      </c>
      <c r="M6" s="301" t="s">
        <v>329</v>
      </c>
      <c r="N6" s="302" t="s">
        <v>330</v>
      </c>
      <c r="O6" s="297" t="s">
        <v>328</v>
      </c>
      <c r="P6" s="298" t="s">
        <v>329</v>
      </c>
      <c r="Q6" s="299" t="s">
        <v>330</v>
      </c>
      <c r="R6" s="300" t="s">
        <v>328</v>
      </c>
      <c r="S6" s="301" t="s">
        <v>329</v>
      </c>
      <c r="T6" s="302" t="s">
        <v>330</v>
      </c>
      <c r="U6" s="297" t="s">
        <v>328</v>
      </c>
      <c r="V6" s="298" t="s">
        <v>329</v>
      </c>
      <c r="W6" s="299" t="s">
        <v>330</v>
      </c>
      <c r="X6" s="303" t="s">
        <v>328</v>
      </c>
      <c r="Y6" s="304" t="s">
        <v>329</v>
      </c>
      <c r="Z6" s="305" t="s">
        <v>330</v>
      </c>
      <c r="AA6" s="306" t="s">
        <v>328</v>
      </c>
      <c r="AB6" s="306" t="s">
        <v>329</v>
      </c>
      <c r="AC6" s="306" t="s">
        <v>330</v>
      </c>
      <c r="AD6" s="292"/>
      <c r="AE6" s="307" t="s">
        <v>322</v>
      </c>
      <c r="AF6" s="307" t="s">
        <v>331</v>
      </c>
      <c r="AG6" s="293" t="s">
        <v>332</v>
      </c>
      <c r="AI6" s="82" t="s">
        <v>408</v>
      </c>
      <c r="AJ6" s="82" t="s">
        <v>124</v>
      </c>
      <c r="AL6" s="295">
        <v>2013</v>
      </c>
      <c r="AM6" s="295">
        <v>2014</v>
      </c>
      <c r="AN6" s="295">
        <v>2015</v>
      </c>
      <c r="AO6" s="295">
        <v>2016</v>
      </c>
      <c r="AP6" s="295">
        <v>2017</v>
      </c>
      <c r="AQ6" s="295">
        <v>2018</v>
      </c>
      <c r="AS6" s="295" t="s">
        <v>411</v>
      </c>
    </row>
    <row r="7" spans="1:46" s="385" customFormat="1" ht="14.45" customHeight="1" x14ac:dyDescent="0.25">
      <c r="A7" s="372"/>
      <c r="B7" s="373" t="s">
        <v>688</v>
      </c>
      <c r="C7" s="374">
        <v>778669.2300000001</v>
      </c>
      <c r="D7" s="374">
        <v>351388</v>
      </c>
      <c r="E7" s="375">
        <f>D7/C7</f>
        <v>0.45126735006595797</v>
      </c>
      <c r="F7" s="374">
        <v>866523.2699999999</v>
      </c>
      <c r="G7" s="374">
        <v>244726.10399999999</v>
      </c>
      <c r="H7" s="376">
        <f>G7/F7</f>
        <v>0.28242300290446903</v>
      </c>
      <c r="I7" s="374">
        <v>772916.97999999986</v>
      </c>
      <c r="J7" s="374">
        <v>266285.57299999997</v>
      </c>
      <c r="K7" s="375">
        <f>J7/I7</f>
        <v>0.34452027823221071</v>
      </c>
      <c r="L7" s="374">
        <v>772644</v>
      </c>
      <c r="M7" s="374">
        <v>338760.25420000002</v>
      </c>
      <c r="N7" s="376">
        <f>M7/L7</f>
        <v>0.43844287174947327</v>
      </c>
      <c r="O7" s="374">
        <v>775493</v>
      </c>
      <c r="P7" s="374">
        <v>301225.90610000002</v>
      </c>
      <c r="Q7" s="375">
        <f>P7/O7</f>
        <v>0.3884314959645026</v>
      </c>
      <c r="R7" s="374">
        <v>754250.68999999983</v>
      </c>
      <c r="S7" s="374">
        <v>281028.99518675602</v>
      </c>
      <c r="T7" s="376">
        <f>S7/R7</f>
        <v>0.37259362028128351</v>
      </c>
      <c r="U7" s="374">
        <v>775754.19</v>
      </c>
      <c r="V7" s="374">
        <v>253053.71258526287</v>
      </c>
      <c r="W7" s="375">
        <f>V7/U7</f>
        <v>0.32620347507921665</v>
      </c>
      <c r="X7" s="377">
        <v>830376.17999999982</v>
      </c>
      <c r="Y7" s="377">
        <v>196249</v>
      </c>
      <c r="Z7" s="378">
        <f>Y7/X7</f>
        <v>0.23633746334101255</v>
      </c>
      <c r="AA7" s="379">
        <v>837162.08000000019</v>
      </c>
      <c r="AB7" s="379">
        <v>203014.86674500001</v>
      </c>
      <c r="AC7" s="380">
        <v>0.24250365800730003</v>
      </c>
      <c r="AD7" s="381">
        <f>AVERAGE(W7,T7,Q7,Z7,AC7)</f>
        <v>0.31321394253466306</v>
      </c>
      <c r="AE7" s="382">
        <f>AVERAGE(W7,T7,Q7,Z7,AC7)*(1000000/3600)</f>
        <v>87.003872926295287</v>
      </c>
      <c r="AF7" s="383">
        <f>$AG$2+((AE7-3.861269)/$AM$4)*$AF$2</f>
        <v>10.068024146225259</v>
      </c>
      <c r="AG7" s="384">
        <f>AE7+AF7</f>
        <v>97.071897072520542</v>
      </c>
      <c r="AH7" s="385">
        <f>AG7*AI7</f>
        <v>1.6800783535841228</v>
      </c>
      <c r="AI7" s="385">
        <f>AA7/$AA$54</f>
        <v>1.7307566909184526E-2</v>
      </c>
      <c r="AJ7" s="385">
        <f>(AG7*$AG$3)*$AG$4</f>
        <v>0</v>
      </c>
      <c r="AK7" s="385">
        <f>AI7*AJ7</f>
        <v>0</v>
      </c>
      <c r="AL7" s="386">
        <f>N7*(1000000/3600)</f>
        <v>121.7896865970759</v>
      </c>
      <c r="AM7" s="386">
        <f>Q7*(1000000/3600)</f>
        <v>107.89763776791739</v>
      </c>
      <c r="AN7" s="386">
        <f>T7*(1000000/3600)</f>
        <v>103.49822785591208</v>
      </c>
      <c r="AO7" s="386">
        <f>W7*(1000000/3600)</f>
        <v>90.612076410893508</v>
      </c>
      <c r="AP7" s="386">
        <f>Z7*(1000000/3600)</f>
        <v>65.649295372503488</v>
      </c>
      <c r="AQ7" s="386">
        <f>AC7*(1000000/3600)</f>
        <v>67.362127224250003</v>
      </c>
      <c r="AS7" s="386">
        <f>AVERAGE(AM7:AQ7)</f>
        <v>87.003872926295301</v>
      </c>
      <c r="AT7" s="385">
        <f>AS7*AK7</f>
        <v>0</v>
      </c>
    </row>
    <row r="8" spans="1:46" s="385" customFormat="1" ht="14.45" customHeight="1" x14ac:dyDescent="0.25">
      <c r="A8" s="372" t="s">
        <v>335</v>
      </c>
      <c r="B8" s="373" t="s">
        <v>334</v>
      </c>
      <c r="C8" s="374">
        <v>12971513</v>
      </c>
      <c r="D8" s="374">
        <v>9248689</v>
      </c>
      <c r="E8" s="375">
        <f t="shared" ref="E8:E52" si="0">D8/C8</f>
        <v>0.71300001780825417</v>
      </c>
      <c r="F8" s="374">
        <v>13274864</v>
      </c>
      <c r="G8" s="374">
        <v>8880884.0160000008</v>
      </c>
      <c r="H8" s="376">
        <f t="shared" ref="H8:H52" si="1">G8/F8</f>
        <v>0.66900000000000004</v>
      </c>
      <c r="I8" s="374">
        <v>13034356.620000001</v>
      </c>
      <c r="J8" s="374">
        <v>9137083.9906200003</v>
      </c>
      <c r="K8" s="375">
        <f t="shared" ref="K8:K52" si="2">J8/I8</f>
        <v>0.70099999999999996</v>
      </c>
      <c r="L8" s="374">
        <v>13351768.380000001</v>
      </c>
      <c r="M8" s="374">
        <v>9626625.0019800011</v>
      </c>
      <c r="N8" s="376">
        <f t="shared" ref="N8:N51" si="3">M8/L8</f>
        <v>0.72100000000000009</v>
      </c>
      <c r="O8" s="374">
        <v>13217911</v>
      </c>
      <c r="P8" s="374">
        <v>9582985</v>
      </c>
      <c r="Q8" s="375">
        <f t="shared" ref="Q8:Q51" si="4">P8/O8</f>
        <v>0.72499996406391298</v>
      </c>
      <c r="R8" s="374">
        <v>13119710.220000001</v>
      </c>
      <c r="S8" s="374">
        <v>9701719.4133436065</v>
      </c>
      <c r="T8" s="376">
        <f t="shared" ref="T8:T53" si="5">S8/R8</f>
        <v>0.73947665387868655</v>
      </c>
      <c r="U8" s="374">
        <v>12868974</v>
      </c>
      <c r="V8" s="374">
        <v>8409793.8836470395</v>
      </c>
      <c r="W8" s="375">
        <f t="shared" ref="W8:W53" si="6">V8/U8</f>
        <v>0.65349373490435525</v>
      </c>
      <c r="X8" s="377">
        <v>13200281.323330883</v>
      </c>
      <c r="Y8" s="377">
        <v>8616361</v>
      </c>
      <c r="Z8" s="378">
        <f t="shared" ref="Z8:Z53" si="7">Y8/X8</f>
        <v>0.65274070975828247</v>
      </c>
      <c r="AA8" s="379">
        <v>12867233</v>
      </c>
      <c r="AB8" s="379">
        <v>8682291.2892314382</v>
      </c>
      <c r="AC8" s="380">
        <v>0.67475977851892777</v>
      </c>
      <c r="AD8" s="381">
        <f t="shared" ref="AD8:AD53" si="8">AVERAGE(W8,T8,Q8,Z8,AC8)</f>
        <v>0.68909416822483305</v>
      </c>
      <c r="AE8" s="382">
        <f t="shared" ref="AE8:AE53" si="9">AVERAGE(W8,T8,Q8,Z8,AC8)*(1000000/3600)</f>
        <v>191.41504672912029</v>
      </c>
      <c r="AF8" s="383">
        <f t="shared" ref="AF8:AF53" si="10">$AG$2+((AE8-3.861269)/$AM$4)*$AF$2</f>
        <v>21.179446489481212</v>
      </c>
      <c r="AG8" s="384">
        <f t="shared" ref="AG8:AG53" si="11">AE8+AF8</f>
        <v>212.59449321860151</v>
      </c>
      <c r="AH8" s="385">
        <f t="shared" ref="AH8:AH53" si="12">AG8*AI8</f>
        <v>56.554041607351706</v>
      </c>
      <c r="AI8" s="385">
        <f t="shared" ref="AI8:AI53" si="13">AA8/$AA$54</f>
        <v>0.26601837494068903</v>
      </c>
      <c r="AJ8" s="385">
        <f t="shared" ref="AJ8:AJ53" si="14">(AG8*$AG$3)*$AG$4</f>
        <v>0</v>
      </c>
      <c r="AK8" s="385">
        <f t="shared" ref="AK8:AK53" si="15">AI8*AJ8</f>
        <v>0</v>
      </c>
      <c r="AL8" s="386">
        <f t="shared" ref="AL8:AL53" si="16">N8*(1000000/3600)</f>
        <v>200.2777777777778</v>
      </c>
      <c r="AM8" s="386">
        <f t="shared" ref="AM8:AM53" si="17">Q8*(1000000/3600)</f>
        <v>201.3888789066425</v>
      </c>
      <c r="AN8" s="386">
        <f t="shared" ref="AN8:AN53" si="18">T8*(1000000/3600)</f>
        <v>205.41018163296849</v>
      </c>
      <c r="AO8" s="386">
        <f t="shared" ref="AO8:AO53" si="19">W8*(1000000/3600)</f>
        <v>181.52603747343201</v>
      </c>
      <c r="AP8" s="386">
        <f t="shared" ref="AP8:AP53" si="20">Z8*(1000000/3600)</f>
        <v>181.31686382174513</v>
      </c>
      <c r="AQ8" s="386">
        <f>AC8*(1000000/3600)</f>
        <v>187.43327181081327</v>
      </c>
      <c r="AS8" s="386">
        <f t="shared" ref="AS8:AS53" si="21">AVERAGE(AM8:AQ8)</f>
        <v>191.41504672912029</v>
      </c>
      <c r="AT8" s="385">
        <f t="shared" ref="AT8:AT53" si="22">AS8*AK8</f>
        <v>0</v>
      </c>
    </row>
    <row r="9" spans="1:46" s="390" customFormat="1" ht="14.45" customHeight="1" x14ac:dyDescent="0.25">
      <c r="A9" s="387" t="s">
        <v>336</v>
      </c>
      <c r="B9" s="388" t="s">
        <v>334</v>
      </c>
      <c r="C9" s="377">
        <v>18763099</v>
      </c>
      <c r="D9" s="377">
        <v>9481692.4279999994</v>
      </c>
      <c r="E9" s="389">
        <f t="shared" si="0"/>
        <v>0.50533722750170429</v>
      </c>
      <c r="F9" s="377">
        <v>20035982</v>
      </c>
      <c r="G9" s="377">
        <v>8235219.0590000004</v>
      </c>
      <c r="H9" s="378">
        <f t="shared" si="1"/>
        <v>0.41102148419777979</v>
      </c>
      <c r="I9" s="377">
        <v>19390618</v>
      </c>
      <c r="J9" s="377">
        <v>7084166</v>
      </c>
      <c r="K9" s="389">
        <f t="shared" si="2"/>
        <v>0.3653398772540411</v>
      </c>
      <c r="L9" s="377">
        <v>19246780</v>
      </c>
      <c r="M9" s="377">
        <v>6955556</v>
      </c>
      <c r="N9" s="378">
        <f t="shared" si="3"/>
        <v>0.36138803477776543</v>
      </c>
      <c r="O9" s="377">
        <v>17885893</v>
      </c>
      <c r="P9" s="377">
        <v>6840611</v>
      </c>
      <c r="Q9" s="389">
        <f t="shared" si="4"/>
        <v>0.38245845482805918</v>
      </c>
      <c r="R9" s="377">
        <v>18218774</v>
      </c>
      <c r="S9" s="377">
        <v>7378916.2063595708</v>
      </c>
      <c r="T9" s="378">
        <f t="shared" si="5"/>
        <v>0.40501716560947354</v>
      </c>
      <c r="U9" s="377">
        <v>17280893</v>
      </c>
      <c r="V9" s="377">
        <v>6394875.3424662687</v>
      </c>
      <c r="W9" s="389">
        <f t="shared" si="6"/>
        <v>0.37005468076599218</v>
      </c>
      <c r="X9" s="377">
        <v>17524383.137000006</v>
      </c>
      <c r="Y9" s="377">
        <v>6916728</v>
      </c>
      <c r="Z9" s="378">
        <f t="shared" si="7"/>
        <v>0.39469166737152683</v>
      </c>
      <c r="AA9" s="379">
        <v>15998461.039166298</v>
      </c>
      <c r="AB9" s="379">
        <v>6105329.2516976334</v>
      </c>
      <c r="AC9" s="380">
        <v>0.38161978434994459</v>
      </c>
      <c r="AD9" s="381">
        <f t="shared" si="8"/>
        <v>0.38676835058499925</v>
      </c>
      <c r="AE9" s="382">
        <f t="shared" si="9"/>
        <v>107.43565294027756</v>
      </c>
      <c r="AF9" s="383">
        <f t="shared" si="10"/>
        <v>12.242371284478679</v>
      </c>
      <c r="AG9" s="384">
        <f t="shared" si="11"/>
        <v>119.67802422475624</v>
      </c>
      <c r="AH9" s="385">
        <f t="shared" si="12"/>
        <v>39.583946378927401</v>
      </c>
      <c r="AI9" s="385">
        <f t="shared" si="13"/>
        <v>0.33075367541653633</v>
      </c>
      <c r="AJ9" s="385">
        <f t="shared" si="14"/>
        <v>0</v>
      </c>
      <c r="AK9" s="385">
        <f t="shared" si="15"/>
        <v>0</v>
      </c>
      <c r="AL9" s="386">
        <f t="shared" si="16"/>
        <v>100.38556521604595</v>
      </c>
      <c r="AM9" s="386">
        <f t="shared" si="17"/>
        <v>106.23845967446088</v>
      </c>
      <c r="AN9" s="386">
        <f t="shared" si="18"/>
        <v>112.50476822485376</v>
      </c>
      <c r="AO9" s="386">
        <f t="shared" si="19"/>
        <v>102.79296687944228</v>
      </c>
      <c r="AP9" s="386">
        <f t="shared" si="20"/>
        <v>109.63657426986856</v>
      </c>
      <c r="AQ9" s="386">
        <f>AC9*(1000000/3600)</f>
        <v>106.00549565276238</v>
      </c>
      <c r="AS9" s="386">
        <f t="shared" si="21"/>
        <v>107.43565294027758</v>
      </c>
      <c r="AT9" s="385">
        <f t="shared" si="22"/>
        <v>0</v>
      </c>
    </row>
    <row r="10" spans="1:46" ht="14.45" customHeight="1" x14ac:dyDescent="0.25">
      <c r="A10" s="327" t="s">
        <v>337</v>
      </c>
      <c r="B10" s="309" t="s">
        <v>338</v>
      </c>
      <c r="C10" s="310">
        <v>167216.02100000001</v>
      </c>
      <c r="D10" s="310">
        <v>9698.5292180000015</v>
      </c>
      <c r="E10" s="311">
        <f t="shared" si="0"/>
        <v>5.8000000000000003E-2</v>
      </c>
      <c r="F10" s="312">
        <v>174929.11799999999</v>
      </c>
      <c r="G10" s="312">
        <v>3323.6532419999999</v>
      </c>
      <c r="H10" s="313">
        <f t="shared" si="1"/>
        <v>1.9E-2</v>
      </c>
      <c r="I10" s="310">
        <v>177499.09099999999</v>
      </c>
      <c r="J10" s="310">
        <v>2593.2617195099997</v>
      </c>
      <c r="K10" s="311">
        <f t="shared" si="2"/>
        <v>1.461E-2</v>
      </c>
      <c r="L10" s="312">
        <v>182785</v>
      </c>
      <c r="M10" s="312">
        <v>3165.8361999999997</v>
      </c>
      <c r="N10" s="313">
        <f t="shared" si="3"/>
        <v>1.7319999999999999E-2</v>
      </c>
      <c r="O10" s="310">
        <v>171449.73800000001</v>
      </c>
      <c r="P10" s="310">
        <v>2909.5020538600002</v>
      </c>
      <c r="Q10" s="311">
        <f t="shared" si="4"/>
        <v>1.6969999999999999E-2</v>
      </c>
      <c r="R10" s="312">
        <v>174081</v>
      </c>
      <c r="S10" s="312">
        <v>2548.5458400000002</v>
      </c>
      <c r="T10" s="313">
        <f t="shared" si="5"/>
        <v>1.4640000000000002E-2</v>
      </c>
      <c r="U10" s="310">
        <v>171996.391</v>
      </c>
      <c r="V10" s="310">
        <v>2000.3180273299999</v>
      </c>
      <c r="W10" s="311">
        <f t="shared" si="6"/>
        <v>1.163E-2</v>
      </c>
      <c r="X10" s="314">
        <v>178618.94500000001</v>
      </c>
      <c r="Y10" s="314">
        <v>1597.3611883808398</v>
      </c>
      <c r="Z10" s="315">
        <f t="shared" si="7"/>
        <v>8.9428430359435821E-3</v>
      </c>
      <c r="AA10" s="316">
        <v>170820.18</v>
      </c>
      <c r="AB10" s="316">
        <v>2005.2522055852407</v>
      </c>
      <c r="AC10" s="317">
        <v>1.1738965534313573E-2</v>
      </c>
      <c r="AD10" s="318">
        <f>AVERAGE(W10,T10,Q10,Z10,AC10)</f>
        <v>1.2784361714051432E-2</v>
      </c>
      <c r="AE10" s="319">
        <f>AVERAGE(W10,T10,Q10,Z10,AC10)*(1000000/3600)</f>
        <v>3.5512115872365086</v>
      </c>
      <c r="AF10" s="320">
        <f t="shared" si="10"/>
        <v>1.1870037340028528</v>
      </c>
      <c r="AG10" s="321">
        <f t="shared" si="11"/>
        <v>4.7382153212393616</v>
      </c>
      <c r="AH10" s="385">
        <f t="shared" si="12"/>
        <v>1.6733255361031985E-2</v>
      </c>
      <c r="AI10" s="385">
        <f t="shared" si="13"/>
        <v>3.5315523306895884E-3</v>
      </c>
      <c r="AJ10" s="118">
        <f t="shared" si="14"/>
        <v>0</v>
      </c>
      <c r="AK10" s="385">
        <f t="shared" si="15"/>
        <v>0</v>
      </c>
      <c r="AL10" s="78">
        <f t="shared" si="16"/>
        <v>4.8111111111111109</v>
      </c>
      <c r="AM10" s="78">
        <f t="shared" si="17"/>
        <v>4.7138888888888886</v>
      </c>
      <c r="AN10" s="78">
        <f t="shared" si="18"/>
        <v>4.0666666666666673</v>
      </c>
      <c r="AO10" s="78">
        <f t="shared" si="19"/>
        <v>3.2305555555555552</v>
      </c>
      <c r="AP10" s="78">
        <f t="shared" si="20"/>
        <v>2.484123065539884</v>
      </c>
      <c r="AQ10" s="78">
        <f>AC10*(1000000/3600)</f>
        <v>3.2608237595315481</v>
      </c>
      <c r="AS10" s="386">
        <f t="shared" si="21"/>
        <v>3.5512115872365078</v>
      </c>
      <c r="AT10" s="385">
        <f t="shared" si="22"/>
        <v>0</v>
      </c>
    </row>
    <row r="11" spans="1:46" ht="14.45" customHeight="1" x14ac:dyDescent="0.25">
      <c r="A11" s="327" t="s">
        <v>339</v>
      </c>
      <c r="B11" s="309" t="s">
        <v>338</v>
      </c>
      <c r="C11" s="310">
        <v>134623.83499999999</v>
      </c>
      <c r="D11" s="310">
        <v>4439.13940533</v>
      </c>
      <c r="E11" s="311">
        <f t="shared" si="0"/>
        <v>3.2974394209836617E-2</v>
      </c>
      <c r="F11" s="312">
        <v>158496.652</v>
      </c>
      <c r="G11" s="312">
        <v>1890.4583380000001</v>
      </c>
      <c r="H11" s="313">
        <f t="shared" si="1"/>
        <v>1.192743388674229E-2</v>
      </c>
      <c r="I11" s="310">
        <v>165609.155</v>
      </c>
      <c r="J11" s="310">
        <v>2356.7665668</v>
      </c>
      <c r="K11" s="311">
        <f t="shared" si="2"/>
        <v>1.4230895428456234E-2</v>
      </c>
      <c r="L11" s="312">
        <v>173759.57338237777</v>
      </c>
      <c r="M11" s="312">
        <v>2739.4352383398596</v>
      </c>
      <c r="N11" s="313">
        <f t="shared" si="3"/>
        <v>1.5765665079709994E-2</v>
      </c>
      <c r="O11" s="310">
        <v>171312.49579450616</v>
      </c>
      <c r="P11" s="310">
        <v>2744.9143276225132</v>
      </c>
      <c r="Q11" s="311">
        <f t="shared" si="4"/>
        <v>1.6022849441847547E-2</v>
      </c>
      <c r="R11" s="312">
        <v>167952.52299999999</v>
      </c>
      <c r="S11" s="312">
        <v>2337.6169794506973</v>
      </c>
      <c r="T11" s="313">
        <f t="shared" si="5"/>
        <v>1.3918320116278917E-2</v>
      </c>
      <c r="U11" s="310">
        <v>173166.37699999998</v>
      </c>
      <c r="V11" s="310">
        <v>1907.053140355817</v>
      </c>
      <c r="W11" s="311">
        <f t="shared" si="6"/>
        <v>1.1012837326704694E-2</v>
      </c>
      <c r="X11" s="314">
        <v>180578.435</v>
      </c>
      <c r="Y11" s="314">
        <v>1524.9165621016052</v>
      </c>
      <c r="Z11" s="315">
        <f t="shared" si="7"/>
        <v>8.4446216520904348E-3</v>
      </c>
      <c r="AA11" s="316">
        <v>179666.76500000001</v>
      </c>
      <c r="AB11" s="316">
        <v>1986.9520669613976</v>
      </c>
      <c r="AC11" s="317">
        <v>1.105909636076209E-2</v>
      </c>
      <c r="AD11" s="318">
        <f t="shared" si="8"/>
        <v>1.2091544979536736E-2</v>
      </c>
      <c r="AE11" s="319">
        <f t="shared" si="9"/>
        <v>3.3587624943157599</v>
      </c>
      <c r="AF11" s="320">
        <f t="shared" si="10"/>
        <v>1.1665233287633026</v>
      </c>
      <c r="AG11" s="321">
        <f t="shared" si="11"/>
        <v>4.5252858230790629</v>
      </c>
      <c r="AH11" s="385">
        <f t="shared" si="12"/>
        <v>1.6808936403903654E-2</v>
      </c>
      <c r="AI11" s="385">
        <f t="shared" si="13"/>
        <v>3.7144474539437238E-3</v>
      </c>
      <c r="AJ11" s="118">
        <f t="shared" si="14"/>
        <v>0</v>
      </c>
      <c r="AK11" s="385">
        <f t="shared" si="15"/>
        <v>0</v>
      </c>
      <c r="AL11" s="78">
        <f t="shared" si="16"/>
        <v>4.3793514110305534</v>
      </c>
      <c r="AM11" s="78">
        <f t="shared" si="17"/>
        <v>4.4507915116243186</v>
      </c>
      <c r="AN11" s="78">
        <f t="shared" si="18"/>
        <v>3.866200032299699</v>
      </c>
      <c r="AO11" s="78">
        <f t="shared" si="19"/>
        <v>3.0591214796401927</v>
      </c>
      <c r="AP11" s="78">
        <f t="shared" si="20"/>
        <v>2.3457282366917873</v>
      </c>
      <c r="AQ11" s="78">
        <f t="shared" ref="AQ11:AQ53" si="23">AC11*(1000000/3600)</f>
        <v>3.0719712113228024</v>
      </c>
      <c r="AS11" s="386">
        <f t="shared" si="21"/>
        <v>3.3587624943157608</v>
      </c>
      <c r="AT11" s="385">
        <f t="shared" si="22"/>
        <v>0</v>
      </c>
    </row>
    <row r="12" spans="1:46" s="326" customFormat="1" ht="14.45" customHeight="1" x14ac:dyDescent="0.25">
      <c r="A12" s="322" t="s">
        <v>340</v>
      </c>
      <c r="B12" s="323" t="s">
        <v>338</v>
      </c>
      <c r="C12" s="324">
        <v>65530.595999999998</v>
      </c>
      <c r="D12" s="324">
        <v>3800.7745680000003</v>
      </c>
      <c r="E12" s="325">
        <f t="shared" si="0"/>
        <v>5.8000000000000003E-2</v>
      </c>
      <c r="F12" s="314">
        <v>67417.248999999996</v>
      </c>
      <c r="G12" s="314">
        <v>1280.927731</v>
      </c>
      <c r="H12" s="315">
        <f t="shared" si="1"/>
        <v>1.9E-2</v>
      </c>
      <c r="I12" s="324">
        <v>67839.679000000004</v>
      </c>
      <c r="J12" s="324">
        <v>991.13771019000001</v>
      </c>
      <c r="K12" s="325">
        <f t="shared" si="2"/>
        <v>1.461E-2</v>
      </c>
      <c r="L12" s="314">
        <v>67365.173999999999</v>
      </c>
      <c r="M12" s="314">
        <v>1166.7648136799999</v>
      </c>
      <c r="N12" s="315">
        <f t="shared" si="3"/>
        <v>1.7319999999999999E-2</v>
      </c>
      <c r="O12" s="324">
        <v>61450.764000000003</v>
      </c>
      <c r="P12" s="324">
        <v>1042.8194650799999</v>
      </c>
      <c r="Q12" s="325">
        <f t="shared" si="4"/>
        <v>1.6969999999999996E-2</v>
      </c>
      <c r="R12" s="314">
        <v>62970.792999999998</v>
      </c>
      <c r="S12" s="314">
        <v>921.89240952</v>
      </c>
      <c r="T12" s="315">
        <f t="shared" si="5"/>
        <v>1.464E-2</v>
      </c>
      <c r="U12" s="324">
        <v>65040.873</v>
      </c>
      <c r="V12" s="324">
        <v>756.42535298999996</v>
      </c>
      <c r="W12" s="325">
        <f t="shared" si="6"/>
        <v>1.163E-2</v>
      </c>
      <c r="X12" s="314">
        <v>68619.262870000006</v>
      </c>
      <c r="Y12" s="314">
        <v>613.65129708856159</v>
      </c>
      <c r="Z12" s="315">
        <f t="shared" si="7"/>
        <v>8.9428430359435821E-3</v>
      </c>
      <c r="AA12" s="316">
        <v>67044.736999999994</v>
      </c>
      <c r="AB12" s="316">
        <v>787.03585690011789</v>
      </c>
      <c r="AC12" s="317">
        <v>1.1738965534313573E-2</v>
      </c>
      <c r="AD12" s="318">
        <f t="shared" si="8"/>
        <v>1.2784361714051432E-2</v>
      </c>
      <c r="AE12" s="319">
        <f t="shared" si="9"/>
        <v>3.5512115872365086</v>
      </c>
      <c r="AF12" s="320">
        <f t="shared" si="10"/>
        <v>1.1870037340028528</v>
      </c>
      <c r="AG12" s="321">
        <f t="shared" si="11"/>
        <v>4.7382153212393616</v>
      </c>
      <c r="AH12" s="385">
        <f t="shared" si="12"/>
        <v>6.5675888225514645E-3</v>
      </c>
      <c r="AI12" s="385">
        <f t="shared" si="13"/>
        <v>1.3860891448119329E-3</v>
      </c>
      <c r="AJ12" s="118">
        <f t="shared" si="14"/>
        <v>0</v>
      </c>
      <c r="AK12" s="385">
        <f t="shared" si="15"/>
        <v>0</v>
      </c>
      <c r="AL12" s="78">
        <f t="shared" si="16"/>
        <v>4.8111111111111109</v>
      </c>
      <c r="AM12" s="78">
        <f t="shared" si="17"/>
        <v>4.7138888888888877</v>
      </c>
      <c r="AN12" s="78">
        <f t="shared" si="18"/>
        <v>4.0666666666666664</v>
      </c>
      <c r="AO12" s="78">
        <f t="shared" si="19"/>
        <v>3.2305555555555552</v>
      </c>
      <c r="AP12" s="78">
        <f t="shared" si="20"/>
        <v>2.484123065539884</v>
      </c>
      <c r="AQ12" s="78">
        <f t="shared" si="23"/>
        <v>3.2608237595315481</v>
      </c>
      <c r="AS12" s="386">
        <f t="shared" si="21"/>
        <v>3.5512115872365078</v>
      </c>
      <c r="AT12" s="385">
        <f t="shared" si="22"/>
        <v>0</v>
      </c>
    </row>
    <row r="13" spans="1:46" s="326" customFormat="1" ht="14.45" customHeight="1" x14ac:dyDescent="0.25">
      <c r="A13" s="322" t="s">
        <v>341</v>
      </c>
      <c r="B13" s="323" t="s">
        <v>338</v>
      </c>
      <c r="C13" s="324">
        <v>170378.05900000001</v>
      </c>
      <c r="D13" s="324">
        <v>9881.9274220000007</v>
      </c>
      <c r="E13" s="325">
        <f t="shared" si="0"/>
        <v>5.8000000000000003E-2</v>
      </c>
      <c r="F13" s="314">
        <v>176805.503</v>
      </c>
      <c r="G13" s="314">
        <v>3359.3045569999999</v>
      </c>
      <c r="H13" s="315">
        <f t="shared" si="1"/>
        <v>1.9E-2</v>
      </c>
      <c r="I13" s="324">
        <v>175747.61300000001</v>
      </c>
      <c r="J13" s="324">
        <v>2567.6726259300003</v>
      </c>
      <c r="K13" s="325">
        <f t="shared" si="2"/>
        <v>1.4610000000000001E-2</v>
      </c>
      <c r="L13" s="314">
        <v>179631.709</v>
      </c>
      <c r="M13" s="314">
        <v>3111.2211998799999</v>
      </c>
      <c r="N13" s="315">
        <f t="shared" si="3"/>
        <v>1.7319999999999999E-2</v>
      </c>
      <c r="O13" s="324">
        <v>176123.26800000001</v>
      </c>
      <c r="P13" s="324">
        <v>2988.81185796</v>
      </c>
      <c r="Q13" s="325">
        <f t="shared" si="4"/>
        <v>1.6969999999999999E-2</v>
      </c>
      <c r="R13" s="314">
        <v>175948.73</v>
      </c>
      <c r="S13" s="314">
        <v>2575.8894072000003</v>
      </c>
      <c r="T13" s="315">
        <f t="shared" si="5"/>
        <v>1.464E-2</v>
      </c>
      <c r="U13" s="324">
        <v>177131.85</v>
      </c>
      <c r="V13" s="324">
        <v>2060.0434154999998</v>
      </c>
      <c r="W13" s="325">
        <f t="shared" si="6"/>
        <v>1.1629999999999998E-2</v>
      </c>
      <c r="X13" s="314">
        <v>187916.035</v>
      </c>
      <c r="Y13" s="314">
        <v>1680.5036049418804</v>
      </c>
      <c r="Z13" s="315">
        <f t="shared" si="7"/>
        <v>8.9428430359435821E-3</v>
      </c>
      <c r="AA13" s="316">
        <v>191026.52900000001</v>
      </c>
      <c r="AB13" s="316">
        <v>2242.4538400705524</v>
      </c>
      <c r="AC13" s="317">
        <v>1.1738965534313573E-2</v>
      </c>
      <c r="AD13" s="318">
        <f t="shared" si="8"/>
        <v>1.2784361714051432E-2</v>
      </c>
      <c r="AE13" s="319">
        <f>AVERAGE(W13,T13,Q13,Z13,AC13)*(1000000/3600)</f>
        <v>3.5512115872365086</v>
      </c>
      <c r="AF13" s="320">
        <f t="shared" si="10"/>
        <v>1.1870037340028528</v>
      </c>
      <c r="AG13" s="321">
        <f t="shared" si="11"/>
        <v>4.7382153212393616</v>
      </c>
      <c r="AH13" s="385">
        <f t="shared" si="12"/>
        <v>1.8712635067405867E-2</v>
      </c>
      <c r="AI13" s="385">
        <f t="shared" si="13"/>
        <v>3.9493002742035065E-3</v>
      </c>
      <c r="AJ13" s="118">
        <f t="shared" si="14"/>
        <v>0</v>
      </c>
      <c r="AK13" s="385">
        <f t="shared" si="15"/>
        <v>0</v>
      </c>
      <c r="AL13" s="78">
        <f t="shared" si="16"/>
        <v>4.8111111111111109</v>
      </c>
      <c r="AM13" s="78">
        <f t="shared" si="17"/>
        <v>4.7138888888888886</v>
      </c>
      <c r="AN13" s="78">
        <f t="shared" si="18"/>
        <v>4.0666666666666664</v>
      </c>
      <c r="AO13" s="78">
        <f t="shared" si="19"/>
        <v>3.2305555555555547</v>
      </c>
      <c r="AP13" s="78">
        <f t="shared" si="20"/>
        <v>2.484123065539884</v>
      </c>
      <c r="AQ13" s="78">
        <f t="shared" si="23"/>
        <v>3.2608237595315481</v>
      </c>
      <c r="AS13" s="386">
        <f t="shared" si="21"/>
        <v>3.5512115872365078</v>
      </c>
      <c r="AT13" s="385">
        <f t="shared" si="22"/>
        <v>0</v>
      </c>
    </row>
    <row r="14" spans="1:46" s="326" customFormat="1" ht="14.45" customHeight="1" x14ac:dyDescent="0.25">
      <c r="A14" s="328" t="s">
        <v>342</v>
      </c>
      <c r="B14" s="323" t="s">
        <v>338</v>
      </c>
      <c r="C14" s="324">
        <v>19625.115000000002</v>
      </c>
      <c r="D14" s="324">
        <v>1138.2566700000002</v>
      </c>
      <c r="E14" s="325">
        <f t="shared" si="0"/>
        <v>5.8000000000000003E-2</v>
      </c>
      <c r="F14" s="314">
        <v>19882.865000000002</v>
      </c>
      <c r="G14" s="314">
        <v>377.77443500000004</v>
      </c>
      <c r="H14" s="315">
        <f t="shared" si="1"/>
        <v>1.9E-2</v>
      </c>
      <c r="I14" s="324">
        <v>18979.071</v>
      </c>
      <c r="J14" s="324">
        <v>277.28422731000001</v>
      </c>
      <c r="K14" s="325">
        <f t="shared" si="2"/>
        <v>1.461E-2</v>
      </c>
      <c r="L14" s="314">
        <v>19640.64</v>
      </c>
      <c r="M14" s="314">
        <v>340.17588479999995</v>
      </c>
      <c r="N14" s="315">
        <f t="shared" si="3"/>
        <v>1.7319999999999999E-2</v>
      </c>
      <c r="O14" s="324">
        <v>20264.384999999998</v>
      </c>
      <c r="P14" s="324">
        <v>343.88661344999997</v>
      </c>
      <c r="Q14" s="325">
        <f t="shared" si="4"/>
        <v>1.6969999999999999E-2</v>
      </c>
      <c r="R14" s="314">
        <v>20080.84</v>
      </c>
      <c r="S14" s="314">
        <v>293.98349760000002</v>
      </c>
      <c r="T14" s="315">
        <f t="shared" si="5"/>
        <v>1.464E-2</v>
      </c>
      <c r="U14" s="324">
        <v>20653.087</v>
      </c>
      <c r="V14" s="324">
        <v>240.19540180999999</v>
      </c>
      <c r="W14" s="325">
        <f t="shared" si="6"/>
        <v>1.163E-2</v>
      </c>
      <c r="X14" s="314">
        <v>23129.99</v>
      </c>
      <c r="Y14" s="314">
        <v>206.84786999294471</v>
      </c>
      <c r="Z14" s="315">
        <f t="shared" si="7"/>
        <v>8.9428430359435821E-3</v>
      </c>
      <c r="AA14" s="316">
        <v>23665.404999999999</v>
      </c>
      <c r="AB14" s="316">
        <v>277.80737365057212</v>
      </c>
      <c r="AC14" s="317">
        <v>1.1738965534313575E-2</v>
      </c>
      <c r="AD14" s="318">
        <f t="shared" si="8"/>
        <v>1.2784361714051432E-2</v>
      </c>
      <c r="AE14" s="319">
        <f t="shared" si="9"/>
        <v>3.5512115872365086</v>
      </c>
      <c r="AF14" s="320">
        <f t="shared" si="10"/>
        <v>1.1870037340028528</v>
      </c>
      <c r="AG14" s="321">
        <f t="shared" si="11"/>
        <v>4.7382153212393616</v>
      </c>
      <c r="AH14" s="385">
        <f t="shared" si="12"/>
        <v>2.3182229704197892E-3</v>
      </c>
      <c r="AI14" s="385">
        <f t="shared" si="13"/>
        <v>4.8926078982274241E-4</v>
      </c>
      <c r="AJ14" s="118">
        <f t="shared" si="14"/>
        <v>0</v>
      </c>
      <c r="AK14" s="385">
        <f t="shared" si="15"/>
        <v>0</v>
      </c>
      <c r="AL14" s="78">
        <f t="shared" si="16"/>
        <v>4.8111111111111109</v>
      </c>
      <c r="AM14" s="78">
        <f t="shared" si="17"/>
        <v>4.7138888888888886</v>
      </c>
      <c r="AN14" s="78">
        <f t="shared" si="18"/>
        <v>4.0666666666666664</v>
      </c>
      <c r="AO14" s="78">
        <f t="shared" si="19"/>
        <v>3.2305555555555552</v>
      </c>
      <c r="AP14" s="78">
        <f t="shared" si="20"/>
        <v>2.484123065539884</v>
      </c>
      <c r="AQ14" s="78">
        <f t="shared" si="23"/>
        <v>3.2608237595315486</v>
      </c>
      <c r="AS14" s="386">
        <f t="shared" si="21"/>
        <v>3.5512115872365078</v>
      </c>
      <c r="AT14" s="385">
        <f t="shared" si="22"/>
        <v>0</v>
      </c>
    </row>
    <row r="15" spans="1:46" ht="14.45" customHeight="1" x14ac:dyDescent="0.25">
      <c r="A15" s="327" t="s">
        <v>343</v>
      </c>
      <c r="B15" s="309" t="s">
        <v>338</v>
      </c>
      <c r="C15" s="310">
        <v>664563.43599999999</v>
      </c>
      <c r="D15" s="310">
        <v>17434.00723911</v>
      </c>
      <c r="E15" s="311">
        <f t="shared" si="0"/>
        <v>2.6233774376822623E-2</v>
      </c>
      <c r="F15" s="312">
        <v>692387.16100000008</v>
      </c>
      <c r="G15" s="312">
        <v>7777.4131465</v>
      </c>
      <c r="H15" s="313">
        <f t="shared" si="1"/>
        <v>1.1232751825246509E-2</v>
      </c>
      <c r="I15" s="310">
        <v>695335.46</v>
      </c>
      <c r="J15" s="310">
        <v>10137.015256799999</v>
      </c>
      <c r="K15" s="311">
        <f t="shared" si="2"/>
        <v>1.457859672049517E-2</v>
      </c>
      <c r="L15" s="312">
        <v>729576.80592557357</v>
      </c>
      <c r="M15" s="312">
        <v>12550.206388101933</v>
      </c>
      <c r="N15" s="313">
        <f t="shared" si="3"/>
        <v>1.7202035873632501E-2</v>
      </c>
      <c r="O15" s="310">
        <v>715952.81664253096</v>
      </c>
      <c r="P15" s="310">
        <v>12142.100213324622</v>
      </c>
      <c r="Q15" s="311">
        <f t="shared" si="4"/>
        <v>1.6959358118409453E-2</v>
      </c>
      <c r="R15" s="312">
        <v>714868.84000000008</v>
      </c>
      <c r="S15" s="312">
        <v>10429.097946532222</v>
      </c>
      <c r="T15" s="313">
        <f t="shared" si="5"/>
        <v>1.4588827156786161E-2</v>
      </c>
      <c r="U15" s="310">
        <v>739560.90500000014</v>
      </c>
      <c r="V15" s="310">
        <v>8534.8950104576597</v>
      </c>
      <c r="W15" s="311">
        <f t="shared" si="6"/>
        <v>1.1540489705114494E-2</v>
      </c>
      <c r="X15" s="314">
        <v>797631.48199999996</v>
      </c>
      <c r="Y15" s="314">
        <v>7063.1922878321793</v>
      </c>
      <c r="Z15" s="315">
        <f t="shared" si="7"/>
        <v>8.8552075077600548E-3</v>
      </c>
      <c r="AA15" s="316">
        <v>765895.44000000006</v>
      </c>
      <c r="AB15" s="316">
        <v>8892.7379914829453</v>
      </c>
      <c r="AC15" s="317">
        <v>1.1610903430216198E-2</v>
      </c>
      <c r="AD15" s="318">
        <f t="shared" si="8"/>
        <v>1.271095718365727E-2</v>
      </c>
      <c r="AE15" s="319">
        <f t="shared" si="9"/>
        <v>3.530821439904797</v>
      </c>
      <c r="AF15" s="320">
        <f t="shared" si="10"/>
        <v>1.184833817408756</v>
      </c>
      <c r="AG15" s="321">
        <f t="shared" si="11"/>
        <v>4.7156552573135535</v>
      </c>
      <c r="AH15" s="385">
        <f t="shared" si="12"/>
        <v>7.4668598993306551E-2</v>
      </c>
      <c r="AI15" s="385">
        <f t="shared" si="13"/>
        <v>1.583419374804855E-2</v>
      </c>
      <c r="AJ15" s="118">
        <f t="shared" si="14"/>
        <v>0</v>
      </c>
      <c r="AK15" s="385">
        <f t="shared" si="15"/>
        <v>0</v>
      </c>
      <c r="AL15" s="78">
        <f t="shared" si="16"/>
        <v>4.7783432982312499</v>
      </c>
      <c r="AM15" s="78">
        <f t="shared" si="17"/>
        <v>4.7109328106692923</v>
      </c>
      <c r="AN15" s="78">
        <f t="shared" si="18"/>
        <v>4.0524519879961556</v>
      </c>
      <c r="AO15" s="78">
        <f t="shared" si="19"/>
        <v>3.2056915847540259</v>
      </c>
      <c r="AP15" s="78">
        <f t="shared" si="20"/>
        <v>2.4597798632666819</v>
      </c>
      <c r="AQ15" s="78">
        <f t="shared" si="23"/>
        <v>3.2252509528378326</v>
      </c>
      <c r="AS15" s="386">
        <f t="shared" si="21"/>
        <v>3.5308214399047984</v>
      </c>
      <c r="AT15" s="385">
        <f t="shared" si="22"/>
        <v>0</v>
      </c>
    </row>
    <row r="16" spans="1:46" s="326" customFormat="1" ht="14.45" customHeight="1" x14ac:dyDescent="0.25">
      <c r="A16" s="329" t="s">
        <v>344</v>
      </c>
      <c r="B16" s="323" t="s">
        <v>338</v>
      </c>
      <c r="C16" s="324">
        <v>1245539.7849999999</v>
      </c>
      <c r="D16" s="324">
        <v>72241.307530000005</v>
      </c>
      <c r="E16" s="325">
        <f t="shared" si="0"/>
        <v>5.800000000000001E-2</v>
      </c>
      <c r="F16" s="314">
        <v>1316057.825</v>
      </c>
      <c r="G16" s="314">
        <v>25005.098674999997</v>
      </c>
      <c r="H16" s="315">
        <f t="shared" si="1"/>
        <v>1.9E-2</v>
      </c>
      <c r="I16" s="324">
        <v>1349860.3470000001</v>
      </c>
      <c r="J16" s="324">
        <v>19721.459669669999</v>
      </c>
      <c r="K16" s="325">
        <f t="shared" si="2"/>
        <v>1.4609999999999998E-2</v>
      </c>
      <c r="L16" s="314">
        <v>1344383.2120000001</v>
      </c>
      <c r="M16" s="314">
        <v>23284.717231840001</v>
      </c>
      <c r="N16" s="315">
        <f t="shared" si="3"/>
        <v>1.7319999999999999E-2</v>
      </c>
      <c r="O16" s="324">
        <v>1293610.173</v>
      </c>
      <c r="P16" s="324">
        <v>21952.564635809998</v>
      </c>
      <c r="Q16" s="325">
        <f t="shared" si="4"/>
        <v>1.6969999999999999E-2</v>
      </c>
      <c r="R16" s="314">
        <v>1273125.8600000001</v>
      </c>
      <c r="S16" s="314">
        <v>18638.562590400001</v>
      </c>
      <c r="T16" s="315">
        <f t="shared" si="5"/>
        <v>1.464E-2</v>
      </c>
      <c r="U16" s="324">
        <v>1297461.8589999999</v>
      </c>
      <c r="V16" s="324">
        <v>15089.481420169999</v>
      </c>
      <c r="W16" s="325">
        <f t="shared" si="6"/>
        <v>1.163E-2</v>
      </c>
      <c r="X16" s="314">
        <v>1355640.7180000001</v>
      </c>
      <c r="Y16" s="314">
        <v>12123.282154207858</v>
      </c>
      <c r="Z16" s="315">
        <f t="shared" si="7"/>
        <v>8.9428430359435821E-3</v>
      </c>
      <c r="AA16" s="316">
        <v>1317606.4920000001</v>
      </c>
      <c r="AB16" s="316">
        <v>15467.337197375813</v>
      </c>
      <c r="AC16" s="317">
        <v>1.1738965534313573E-2</v>
      </c>
      <c r="AD16" s="318">
        <f t="shared" si="8"/>
        <v>1.2784361714051432E-2</v>
      </c>
      <c r="AE16" s="319">
        <f t="shared" si="9"/>
        <v>3.5512115872365086</v>
      </c>
      <c r="AF16" s="320">
        <f t="shared" si="10"/>
        <v>1.1870037340028528</v>
      </c>
      <c r="AG16" s="321">
        <f t="shared" si="11"/>
        <v>4.7382153212393616</v>
      </c>
      <c r="AH16" s="385">
        <f t="shared" si="12"/>
        <v>0.1290704991411995</v>
      </c>
      <c r="AI16" s="385">
        <f t="shared" si="13"/>
        <v>2.7240319485404667E-2</v>
      </c>
      <c r="AJ16" s="118">
        <f t="shared" si="14"/>
        <v>0</v>
      </c>
      <c r="AK16" s="385">
        <f t="shared" si="15"/>
        <v>0</v>
      </c>
      <c r="AL16" s="78">
        <f t="shared" si="16"/>
        <v>4.8111111111111109</v>
      </c>
      <c r="AM16" s="78">
        <f t="shared" si="17"/>
        <v>4.7138888888888886</v>
      </c>
      <c r="AN16" s="78">
        <f t="shared" si="18"/>
        <v>4.0666666666666664</v>
      </c>
      <c r="AO16" s="78">
        <f t="shared" si="19"/>
        <v>3.2305555555555552</v>
      </c>
      <c r="AP16" s="78">
        <f t="shared" si="20"/>
        <v>2.484123065539884</v>
      </c>
      <c r="AQ16" s="78">
        <f t="shared" si="23"/>
        <v>3.2608237595315481</v>
      </c>
      <c r="AS16" s="386">
        <f t="shared" si="21"/>
        <v>3.5512115872365078</v>
      </c>
      <c r="AT16" s="385">
        <f t="shared" si="22"/>
        <v>0</v>
      </c>
    </row>
    <row r="17" spans="1:46" s="326" customFormat="1" ht="14.45" customHeight="1" x14ac:dyDescent="0.25">
      <c r="A17" s="329" t="s">
        <v>345</v>
      </c>
      <c r="B17" s="323" t="s">
        <v>338</v>
      </c>
      <c r="C17" s="324">
        <v>1177975</v>
      </c>
      <c r="D17" s="324">
        <v>69552.755739465079</v>
      </c>
      <c r="E17" s="325">
        <f t="shared" si="0"/>
        <v>5.9044339429499847E-2</v>
      </c>
      <c r="F17" s="314">
        <v>1390792</v>
      </c>
      <c r="G17" s="314">
        <v>90809.708814133584</v>
      </c>
      <c r="H17" s="315">
        <f t="shared" si="1"/>
        <v>6.5293522549837488E-2</v>
      </c>
      <c r="I17" s="324">
        <v>1260414</v>
      </c>
      <c r="J17" s="324">
        <v>91424.75274908758</v>
      </c>
      <c r="K17" s="325">
        <f t="shared" si="2"/>
        <v>7.2535494487595012E-2</v>
      </c>
      <c r="L17" s="314">
        <v>1106359</v>
      </c>
      <c r="M17" s="314">
        <v>94986.024291457608</v>
      </c>
      <c r="N17" s="315">
        <f t="shared" si="3"/>
        <v>8.5854613458612991E-2</v>
      </c>
      <c r="O17" s="324">
        <v>1052318.1100000001</v>
      </c>
      <c r="P17" s="324">
        <v>66994.895957732107</v>
      </c>
      <c r="Q17" s="325">
        <f t="shared" si="4"/>
        <v>6.3664110045328501E-2</v>
      </c>
      <c r="R17" s="314">
        <v>1014207.9099999999</v>
      </c>
      <c r="S17" s="314">
        <v>73844.805358591126</v>
      </c>
      <c r="T17" s="315">
        <f t="shared" si="5"/>
        <v>7.2810322844544889E-2</v>
      </c>
      <c r="U17" s="324">
        <v>907707.07549999992</v>
      </c>
      <c r="V17" s="324">
        <v>27383.528708127931</v>
      </c>
      <c r="W17" s="325">
        <f t="shared" si="6"/>
        <v>3.0167803520804365E-2</v>
      </c>
      <c r="X17" s="314">
        <v>918190.43450000009</v>
      </c>
      <c r="Y17" s="314">
        <v>30292</v>
      </c>
      <c r="Z17" s="315">
        <f t="shared" si="7"/>
        <v>3.2990977537786577E-2</v>
      </c>
      <c r="AA17" s="316">
        <v>887377.00870000001</v>
      </c>
      <c r="AB17" s="316">
        <v>31722.855536241455</v>
      </c>
      <c r="AC17" s="317">
        <v>3.5749016737221057E-2</v>
      </c>
      <c r="AD17" s="318">
        <f t="shared" si="8"/>
        <v>4.707644613713708E-2</v>
      </c>
      <c r="AE17" s="319">
        <f>AVERAGE(W17,T17,Q17,Z17,AC17)*(1000000/3600)</f>
        <v>13.076790593649189</v>
      </c>
      <c r="AF17" s="320">
        <f t="shared" si="10"/>
        <v>2.2007145041181482</v>
      </c>
      <c r="AG17" s="321">
        <f t="shared" si="11"/>
        <v>15.277505097767337</v>
      </c>
      <c r="AH17" s="385">
        <f t="shared" si="12"/>
        <v>0.28027675485916337</v>
      </c>
      <c r="AI17" s="385">
        <f t="shared" si="13"/>
        <v>1.8345715027784423E-2</v>
      </c>
      <c r="AJ17" s="118">
        <f t="shared" si="14"/>
        <v>0</v>
      </c>
      <c r="AK17" s="385">
        <f t="shared" si="15"/>
        <v>0</v>
      </c>
      <c r="AL17" s="78">
        <f t="shared" si="16"/>
        <v>23.848503738503609</v>
      </c>
      <c r="AM17" s="78">
        <f t="shared" si="17"/>
        <v>17.68447501259125</v>
      </c>
      <c r="AN17" s="78">
        <f t="shared" si="18"/>
        <v>20.225089679040245</v>
      </c>
      <c r="AO17" s="78">
        <f t="shared" si="19"/>
        <v>8.3799454224456564</v>
      </c>
      <c r="AP17" s="78">
        <f t="shared" si="20"/>
        <v>9.1641604271629387</v>
      </c>
      <c r="AQ17" s="78">
        <f t="shared" si="23"/>
        <v>9.9302824270058494</v>
      </c>
      <c r="AS17" s="386">
        <f t="shared" si="21"/>
        <v>13.076790593649189</v>
      </c>
      <c r="AT17" s="385">
        <f t="shared" si="22"/>
        <v>0</v>
      </c>
    </row>
    <row r="18" spans="1:46" ht="14.45" customHeight="1" x14ac:dyDescent="0.25">
      <c r="A18" s="308" t="s">
        <v>346</v>
      </c>
      <c r="B18" s="309" t="s">
        <v>338</v>
      </c>
      <c r="C18" s="310">
        <v>3641.8720000000003</v>
      </c>
      <c r="D18" s="310">
        <v>111.22382181</v>
      </c>
      <c r="E18" s="311">
        <f t="shared" si="0"/>
        <v>3.0540288568626242E-2</v>
      </c>
      <c r="F18" s="312">
        <v>58594.667000000001</v>
      </c>
      <c r="G18" s="312">
        <v>1083.9719735000001</v>
      </c>
      <c r="H18" s="313">
        <f t="shared" si="1"/>
        <v>1.8499498828110073E-2</v>
      </c>
      <c r="I18" s="310">
        <v>3894.1410000000001</v>
      </c>
      <c r="J18" s="310">
        <v>56.70409824</v>
      </c>
      <c r="K18" s="311">
        <f t="shared" si="2"/>
        <v>1.4561388054515746E-2</v>
      </c>
      <c r="L18" s="312">
        <v>4070.8921390819501</v>
      </c>
      <c r="M18" s="312">
        <v>69.999031237757805</v>
      </c>
      <c r="N18" s="313">
        <f t="shared" si="3"/>
        <v>1.7195010048471508E-2</v>
      </c>
      <c r="O18" s="310">
        <v>4143.9210999999996</v>
      </c>
      <c r="P18" s="310">
        <v>70.322341066999982</v>
      </c>
      <c r="Q18" s="311">
        <f t="shared" si="4"/>
        <v>1.6969999999999999E-2</v>
      </c>
      <c r="R18" s="312">
        <v>2031.5638232999995</v>
      </c>
      <c r="S18" s="312">
        <v>29.742094373111993</v>
      </c>
      <c r="T18" s="313">
        <f t="shared" si="5"/>
        <v>1.464E-2</v>
      </c>
      <c r="U18" s="310">
        <v>2207.1572736000003</v>
      </c>
      <c r="V18" s="310">
        <v>25.669239091968002</v>
      </c>
      <c r="W18" s="311">
        <f t="shared" si="6"/>
        <v>1.163E-2</v>
      </c>
      <c r="X18" s="314">
        <v>2423.7461642999997</v>
      </c>
      <c r="Y18" s="314">
        <v>21.667683106709106</v>
      </c>
      <c r="Z18" s="315">
        <f t="shared" si="7"/>
        <v>8.9397493128027007E-3</v>
      </c>
      <c r="AA18" s="316">
        <v>2374.0779933000003</v>
      </c>
      <c r="AB18" s="316">
        <v>27.819736542611331</v>
      </c>
      <c r="AC18" s="317">
        <v>1.1718122412626184E-2</v>
      </c>
      <c r="AD18" s="318">
        <f t="shared" si="8"/>
        <v>1.2779574345085776E-2</v>
      </c>
      <c r="AE18" s="319">
        <f t="shared" si="9"/>
        <v>3.5498817625238268</v>
      </c>
      <c r="AF18" s="320">
        <f t="shared" si="10"/>
        <v>1.1868622142450822</v>
      </c>
      <c r="AG18" s="321">
        <f t="shared" si="11"/>
        <v>4.736743976768909</v>
      </c>
      <c r="AH18" s="385">
        <f t="shared" si="12"/>
        <v>2.3248844071600033E-4</v>
      </c>
      <c r="AI18" s="385">
        <f t="shared" si="13"/>
        <v>4.9081909821646821E-5</v>
      </c>
      <c r="AJ18" s="118">
        <f t="shared" si="14"/>
        <v>0</v>
      </c>
      <c r="AK18" s="385">
        <f t="shared" si="15"/>
        <v>0</v>
      </c>
      <c r="AL18" s="78">
        <f t="shared" si="16"/>
        <v>4.776391680130974</v>
      </c>
      <c r="AM18" s="78">
        <f t="shared" si="17"/>
        <v>4.7138888888888886</v>
      </c>
      <c r="AN18" s="78">
        <f t="shared" si="18"/>
        <v>4.0666666666666664</v>
      </c>
      <c r="AO18" s="78">
        <f t="shared" si="19"/>
        <v>3.2305555555555552</v>
      </c>
      <c r="AP18" s="78">
        <f t="shared" si="20"/>
        <v>2.4832636980007501</v>
      </c>
      <c r="AQ18" s="78">
        <f t="shared" si="23"/>
        <v>3.2550340035072733</v>
      </c>
      <c r="AS18" s="386">
        <f t="shared" si="21"/>
        <v>3.5498817625238268</v>
      </c>
      <c r="AT18" s="385">
        <f t="shared" si="22"/>
        <v>0</v>
      </c>
    </row>
    <row r="19" spans="1:46" s="326" customFormat="1" ht="14.45" customHeight="1" x14ac:dyDescent="0.25">
      <c r="A19" s="322" t="s">
        <v>347</v>
      </c>
      <c r="B19" s="323" t="s">
        <v>338</v>
      </c>
      <c r="C19" s="324">
        <v>103947.34299999999</v>
      </c>
      <c r="D19" s="324">
        <v>6028.9458939999995</v>
      </c>
      <c r="E19" s="325">
        <f t="shared" si="0"/>
        <v>5.7999999999999996E-2</v>
      </c>
      <c r="F19" s="314">
        <v>108094.067</v>
      </c>
      <c r="G19" s="314">
        <v>2053.7872729999999</v>
      </c>
      <c r="H19" s="315">
        <f t="shared" si="1"/>
        <v>1.9E-2</v>
      </c>
      <c r="I19" s="324">
        <v>113091.963</v>
      </c>
      <c r="J19" s="324">
        <v>1652.2735794299999</v>
      </c>
      <c r="K19" s="325">
        <f t="shared" si="2"/>
        <v>1.461E-2</v>
      </c>
      <c r="L19" s="314">
        <v>113848.91899999999</v>
      </c>
      <c r="M19" s="314">
        <v>1971.8632770799998</v>
      </c>
      <c r="N19" s="315">
        <f t="shared" si="3"/>
        <v>1.7319999999999999E-2</v>
      </c>
      <c r="O19" s="324">
        <v>114624.16099999999</v>
      </c>
      <c r="P19" s="324">
        <v>1945.1720121699998</v>
      </c>
      <c r="Q19" s="325">
        <f t="shared" si="4"/>
        <v>1.6969999999999999E-2</v>
      </c>
      <c r="R19" s="314">
        <v>116597</v>
      </c>
      <c r="S19" s="314">
        <v>1706.98008</v>
      </c>
      <c r="T19" s="315">
        <f t="shared" si="5"/>
        <v>1.464E-2</v>
      </c>
      <c r="U19" s="324">
        <v>116521.25199999999</v>
      </c>
      <c r="V19" s="324">
        <v>1355.1421607599998</v>
      </c>
      <c r="W19" s="325">
        <f t="shared" si="6"/>
        <v>1.163E-2</v>
      </c>
      <c r="X19" s="314">
        <v>122830.887</v>
      </c>
      <c r="Y19" s="314">
        <v>1098.4573424067228</v>
      </c>
      <c r="Z19" s="315">
        <f t="shared" si="7"/>
        <v>8.9428430359435786E-3</v>
      </c>
      <c r="AA19" s="316">
        <v>117016.11900000001</v>
      </c>
      <c r="AB19" s="316">
        <v>1373.6481879001358</v>
      </c>
      <c r="AC19" s="317">
        <v>1.1738965534313573E-2</v>
      </c>
      <c r="AD19" s="318">
        <f t="shared" si="8"/>
        <v>1.2784361714051432E-2</v>
      </c>
      <c r="AE19" s="319">
        <f t="shared" si="9"/>
        <v>3.5512115872365086</v>
      </c>
      <c r="AF19" s="320">
        <f t="shared" si="10"/>
        <v>1.1870037340028528</v>
      </c>
      <c r="AG19" s="321">
        <f t="shared" si="11"/>
        <v>4.7382153212393616</v>
      </c>
      <c r="AH19" s="385">
        <f t="shared" si="12"/>
        <v>1.146270072179942E-2</v>
      </c>
      <c r="AI19" s="385">
        <f t="shared" si="13"/>
        <v>2.419202156224752E-3</v>
      </c>
      <c r="AJ19" s="118">
        <f t="shared" si="14"/>
        <v>0</v>
      </c>
      <c r="AK19" s="385">
        <f t="shared" si="15"/>
        <v>0</v>
      </c>
      <c r="AL19" s="78">
        <f t="shared" si="16"/>
        <v>4.8111111111111109</v>
      </c>
      <c r="AM19" s="78">
        <f t="shared" si="17"/>
        <v>4.7138888888888886</v>
      </c>
      <c r="AN19" s="78">
        <f t="shared" si="18"/>
        <v>4.0666666666666664</v>
      </c>
      <c r="AO19" s="78">
        <f t="shared" si="19"/>
        <v>3.2305555555555552</v>
      </c>
      <c r="AP19" s="78">
        <f t="shared" si="20"/>
        <v>2.4841230655398827</v>
      </c>
      <c r="AQ19" s="78">
        <f t="shared" si="23"/>
        <v>3.2608237595315481</v>
      </c>
      <c r="AS19" s="386">
        <f t="shared" si="21"/>
        <v>3.5512115872365078</v>
      </c>
      <c r="AT19" s="385">
        <f t="shared" si="22"/>
        <v>0</v>
      </c>
    </row>
    <row r="20" spans="1:46" s="326" customFormat="1" ht="14.45" customHeight="1" x14ac:dyDescent="0.25">
      <c r="A20" s="322" t="s">
        <v>348</v>
      </c>
      <c r="B20" s="323" t="s">
        <v>338</v>
      </c>
      <c r="C20" s="324">
        <v>26872.837</v>
      </c>
      <c r="D20" s="324">
        <v>1558.624546</v>
      </c>
      <c r="E20" s="325">
        <f t="shared" si="0"/>
        <v>5.8000000000000003E-2</v>
      </c>
      <c r="F20" s="314">
        <v>26990.069</v>
      </c>
      <c r="G20" s="314">
        <v>512.81131099999993</v>
      </c>
      <c r="H20" s="315">
        <f t="shared" si="1"/>
        <v>1.9E-2</v>
      </c>
      <c r="I20" s="324">
        <v>26939.864000000001</v>
      </c>
      <c r="J20" s="324">
        <v>393.59141304000002</v>
      </c>
      <c r="K20" s="325">
        <f t="shared" si="2"/>
        <v>1.461E-2</v>
      </c>
      <c r="L20" s="314">
        <v>25731.492999999999</v>
      </c>
      <c r="M20" s="314">
        <v>445.66945875999994</v>
      </c>
      <c r="N20" s="315">
        <f t="shared" si="3"/>
        <v>1.7319999999999999E-2</v>
      </c>
      <c r="O20" s="324">
        <v>25918.59</v>
      </c>
      <c r="P20" s="324">
        <v>439.83847229999998</v>
      </c>
      <c r="Q20" s="325">
        <f t="shared" si="4"/>
        <v>1.6969999999999999E-2</v>
      </c>
      <c r="R20" s="314">
        <v>26976.19</v>
      </c>
      <c r="S20" s="314">
        <v>394.93142159999996</v>
      </c>
      <c r="T20" s="315">
        <f t="shared" si="5"/>
        <v>1.464E-2</v>
      </c>
      <c r="U20" s="324">
        <v>27214.863000000001</v>
      </c>
      <c r="V20" s="324">
        <v>316.50885669000002</v>
      </c>
      <c r="W20" s="325">
        <f t="shared" si="6"/>
        <v>1.163E-2</v>
      </c>
      <c r="X20" s="314">
        <v>27580.741620000001</v>
      </c>
      <c r="Y20" s="314">
        <v>246.65024312257626</v>
      </c>
      <c r="Z20" s="315">
        <f t="shared" si="7"/>
        <v>8.9428430359435804E-3</v>
      </c>
      <c r="AA20" s="316">
        <v>26536.019</v>
      </c>
      <c r="AB20" s="316">
        <v>311.50541245889013</v>
      </c>
      <c r="AC20" s="317">
        <v>1.1738965534313573E-2</v>
      </c>
      <c r="AD20" s="318">
        <f t="shared" si="8"/>
        <v>1.2784361714051432E-2</v>
      </c>
      <c r="AE20" s="319">
        <f t="shared" si="9"/>
        <v>3.5512115872365086</v>
      </c>
      <c r="AF20" s="320">
        <f t="shared" si="10"/>
        <v>1.1870037340028528</v>
      </c>
      <c r="AG20" s="321">
        <f t="shared" si="11"/>
        <v>4.7382153212393616</v>
      </c>
      <c r="AH20" s="385">
        <f t="shared" si="12"/>
        <v>2.599423453319137E-3</v>
      </c>
      <c r="AI20" s="385">
        <f t="shared" si="13"/>
        <v>5.4860813135001497E-4</v>
      </c>
      <c r="AJ20" s="118">
        <f t="shared" si="14"/>
        <v>0</v>
      </c>
      <c r="AK20" s="385">
        <f t="shared" si="15"/>
        <v>0</v>
      </c>
      <c r="AL20" s="78">
        <f t="shared" si="16"/>
        <v>4.8111111111111109</v>
      </c>
      <c r="AM20" s="78">
        <f t="shared" si="17"/>
        <v>4.7138888888888886</v>
      </c>
      <c r="AN20" s="78">
        <f t="shared" si="18"/>
        <v>4.0666666666666664</v>
      </c>
      <c r="AO20" s="78">
        <f t="shared" si="19"/>
        <v>3.2305555555555552</v>
      </c>
      <c r="AP20" s="78">
        <f t="shared" si="20"/>
        <v>2.4841230655398836</v>
      </c>
      <c r="AQ20" s="78">
        <f t="shared" si="23"/>
        <v>3.2608237595315481</v>
      </c>
      <c r="AS20" s="386">
        <f t="shared" si="21"/>
        <v>3.5512115872365078</v>
      </c>
      <c r="AT20" s="385">
        <f t="shared" si="22"/>
        <v>0</v>
      </c>
    </row>
    <row r="21" spans="1:46" s="326" customFormat="1" ht="14.45" customHeight="1" x14ac:dyDescent="0.25">
      <c r="A21" s="329" t="s">
        <v>349</v>
      </c>
      <c r="B21" s="323" t="s">
        <v>338</v>
      </c>
      <c r="C21" s="324">
        <v>466481.06400000001</v>
      </c>
      <c r="D21" s="324">
        <v>27055.901712000003</v>
      </c>
      <c r="E21" s="325">
        <f t="shared" si="0"/>
        <v>5.8000000000000003E-2</v>
      </c>
      <c r="F21" s="314">
        <v>493446.92200000002</v>
      </c>
      <c r="G21" s="314">
        <v>9375.4915180000007</v>
      </c>
      <c r="H21" s="315">
        <f t="shared" si="1"/>
        <v>1.9E-2</v>
      </c>
      <c r="I21" s="324">
        <v>476033.712</v>
      </c>
      <c r="J21" s="324">
        <v>6954.8525323200001</v>
      </c>
      <c r="K21" s="325">
        <f t="shared" si="2"/>
        <v>1.461E-2</v>
      </c>
      <c r="L21" s="314">
        <v>483546.94500000001</v>
      </c>
      <c r="M21" s="314">
        <v>8375.0330873999992</v>
      </c>
      <c r="N21" s="315">
        <f t="shared" si="3"/>
        <v>1.7319999999999999E-2</v>
      </c>
      <c r="O21" s="324">
        <v>475149.93400000001</v>
      </c>
      <c r="P21" s="324">
        <v>8063.2943799799996</v>
      </c>
      <c r="Q21" s="325">
        <f t="shared" si="4"/>
        <v>1.6969999999999999E-2</v>
      </c>
      <c r="R21" s="314">
        <v>460062.57</v>
      </c>
      <c r="S21" s="314">
        <v>6735.3160248000004</v>
      </c>
      <c r="T21" s="315">
        <f t="shared" si="5"/>
        <v>1.464E-2</v>
      </c>
      <c r="U21" s="324">
        <v>483508.58254999999</v>
      </c>
      <c r="V21" s="324">
        <v>5623.2048150564997</v>
      </c>
      <c r="W21" s="325">
        <f t="shared" si="6"/>
        <v>1.163E-2</v>
      </c>
      <c r="X21" s="314">
        <v>519931.50400000002</v>
      </c>
      <c r="Y21" s="314">
        <v>4649.6658297140721</v>
      </c>
      <c r="Z21" s="315">
        <f t="shared" si="7"/>
        <v>8.9428430359435804E-3</v>
      </c>
      <c r="AA21" s="316">
        <v>495255.77100000001</v>
      </c>
      <c r="AB21" s="316">
        <v>5813.7904264388953</v>
      </c>
      <c r="AC21" s="317">
        <v>1.1738965534313573E-2</v>
      </c>
      <c r="AD21" s="318">
        <f t="shared" si="8"/>
        <v>1.2784361714051432E-2</v>
      </c>
      <c r="AE21" s="319">
        <f t="shared" si="9"/>
        <v>3.5512115872365086</v>
      </c>
      <c r="AF21" s="320">
        <f t="shared" si="10"/>
        <v>1.1870037340028528</v>
      </c>
      <c r="AG21" s="321">
        <f t="shared" si="11"/>
        <v>4.7382153212393616</v>
      </c>
      <c r="AH21" s="385">
        <f t="shared" si="12"/>
        <v>4.8514416067046526E-2</v>
      </c>
      <c r="AI21" s="385">
        <f t="shared" si="13"/>
        <v>1.0238963993378997E-2</v>
      </c>
      <c r="AJ21" s="118">
        <f t="shared" si="14"/>
        <v>0</v>
      </c>
      <c r="AK21" s="385">
        <f t="shared" si="15"/>
        <v>0</v>
      </c>
      <c r="AL21" s="78">
        <f t="shared" si="16"/>
        <v>4.8111111111111109</v>
      </c>
      <c r="AM21" s="78">
        <f t="shared" si="17"/>
        <v>4.7138888888888886</v>
      </c>
      <c r="AN21" s="78">
        <f t="shared" si="18"/>
        <v>4.0666666666666664</v>
      </c>
      <c r="AO21" s="78">
        <f t="shared" si="19"/>
        <v>3.2305555555555552</v>
      </c>
      <c r="AP21" s="78">
        <f t="shared" si="20"/>
        <v>2.4841230655398836</v>
      </c>
      <c r="AQ21" s="78">
        <f t="shared" si="23"/>
        <v>3.2608237595315481</v>
      </c>
      <c r="AS21" s="386">
        <f t="shared" si="21"/>
        <v>3.5512115872365078</v>
      </c>
      <c r="AT21" s="385">
        <f t="shared" si="22"/>
        <v>0</v>
      </c>
    </row>
    <row r="22" spans="1:46" s="326" customFormat="1" ht="14.45" customHeight="1" x14ac:dyDescent="0.25">
      <c r="A22" s="322" t="s">
        <v>350</v>
      </c>
      <c r="B22" s="323" t="s">
        <v>338</v>
      </c>
      <c r="C22" s="324">
        <v>7254</v>
      </c>
      <c r="D22" s="324">
        <v>420.73200000000003</v>
      </c>
      <c r="E22" s="325">
        <f t="shared" si="0"/>
        <v>5.8000000000000003E-2</v>
      </c>
      <c r="F22" s="314">
        <v>7384</v>
      </c>
      <c r="G22" s="314">
        <v>140.29599999999999</v>
      </c>
      <c r="H22" s="315">
        <f t="shared" si="1"/>
        <v>1.9E-2</v>
      </c>
      <c r="I22" s="324">
        <v>8005</v>
      </c>
      <c r="J22" s="324">
        <v>116.95305</v>
      </c>
      <c r="K22" s="325">
        <f t="shared" si="2"/>
        <v>1.461E-2</v>
      </c>
      <c r="L22" s="314">
        <v>8116</v>
      </c>
      <c r="M22" s="314">
        <v>140.56912</v>
      </c>
      <c r="N22" s="315">
        <f t="shared" si="3"/>
        <v>1.7319999999999999E-2</v>
      </c>
      <c r="O22" s="324">
        <v>8463</v>
      </c>
      <c r="P22" s="324">
        <v>165.64998910849249</v>
      </c>
      <c r="Q22" s="325">
        <f t="shared" si="4"/>
        <v>1.9573436028416932E-2</v>
      </c>
      <c r="R22" s="314">
        <v>8862.51</v>
      </c>
      <c r="S22" s="314">
        <v>129.74714639999999</v>
      </c>
      <c r="T22" s="315">
        <f t="shared" si="5"/>
        <v>1.4639999999999999E-2</v>
      </c>
      <c r="U22" s="324">
        <v>8086</v>
      </c>
      <c r="V22" s="324">
        <v>94.040179999999992</v>
      </c>
      <c r="W22" s="325">
        <f t="shared" si="6"/>
        <v>1.163E-2</v>
      </c>
      <c r="X22" s="314">
        <v>7438</v>
      </c>
      <c r="Y22" s="314">
        <v>66.516866501348346</v>
      </c>
      <c r="Z22" s="315">
        <f t="shared" si="7"/>
        <v>8.9428430359435804E-3</v>
      </c>
      <c r="AA22" s="316">
        <v>7328</v>
      </c>
      <c r="AB22" s="316">
        <v>86.023139435449863</v>
      </c>
      <c r="AC22" s="317">
        <v>1.1738965534313573E-2</v>
      </c>
      <c r="AD22" s="318">
        <f t="shared" si="8"/>
        <v>1.3305048919734816E-2</v>
      </c>
      <c r="AE22" s="319">
        <f t="shared" si="9"/>
        <v>3.6958469221485597</v>
      </c>
      <c r="AF22" s="320">
        <f t="shared" si="10"/>
        <v>1.20239580588015</v>
      </c>
      <c r="AG22" s="321">
        <f t="shared" si="11"/>
        <v>4.89824272802871</v>
      </c>
      <c r="AH22" s="385">
        <f t="shared" si="12"/>
        <v>7.4208257495417967E-4</v>
      </c>
      <c r="AI22" s="385">
        <f t="shared" si="13"/>
        <v>1.5149975535263635E-4</v>
      </c>
      <c r="AJ22" s="118">
        <f t="shared" si="14"/>
        <v>0</v>
      </c>
      <c r="AK22" s="385">
        <f t="shared" si="15"/>
        <v>0</v>
      </c>
      <c r="AL22" s="78">
        <f t="shared" si="16"/>
        <v>4.8111111111111109</v>
      </c>
      <c r="AM22" s="78">
        <f t="shared" si="17"/>
        <v>5.4370655634491474</v>
      </c>
      <c r="AN22" s="78">
        <f t="shared" si="18"/>
        <v>4.0666666666666664</v>
      </c>
      <c r="AO22" s="78">
        <f t="shared" si="19"/>
        <v>3.2305555555555552</v>
      </c>
      <c r="AP22" s="78">
        <f t="shared" si="20"/>
        <v>2.4841230655398836</v>
      </c>
      <c r="AQ22" s="78">
        <f t="shared" si="23"/>
        <v>3.2608237595315481</v>
      </c>
      <c r="AS22" s="386">
        <f t="shared" si="21"/>
        <v>3.6958469221485601</v>
      </c>
      <c r="AT22" s="385">
        <f t="shared" si="22"/>
        <v>0</v>
      </c>
    </row>
    <row r="23" spans="1:46" ht="14.45" customHeight="1" x14ac:dyDescent="0.25">
      <c r="A23" s="327" t="s">
        <v>351</v>
      </c>
      <c r="B23" s="309" t="s">
        <v>338</v>
      </c>
      <c r="C23" s="310">
        <v>370754.625</v>
      </c>
      <c r="D23" s="310">
        <v>10955.09643147</v>
      </c>
      <c r="E23" s="311">
        <f t="shared" si="0"/>
        <v>2.9548104575822888E-2</v>
      </c>
      <c r="F23" s="312">
        <v>400571.39500000002</v>
      </c>
      <c r="G23" s="312">
        <v>4811.2442440000004</v>
      </c>
      <c r="H23" s="313">
        <f t="shared" si="1"/>
        <v>1.2010953113614116E-2</v>
      </c>
      <c r="I23" s="310">
        <v>404489.52</v>
      </c>
      <c r="J23" s="310">
        <v>5817.6882081599997</v>
      </c>
      <c r="K23" s="311">
        <f t="shared" si="2"/>
        <v>1.4382790951320567E-2</v>
      </c>
      <c r="L23" s="312">
        <v>430980.95606199559</v>
      </c>
      <c r="M23" s="312">
        <v>7051.4870635497928</v>
      </c>
      <c r="N23" s="313">
        <f t="shared" si="3"/>
        <v>1.6361481787922558E-2</v>
      </c>
      <c r="O23" s="310">
        <v>415459.39763085789</v>
      </c>
      <c r="P23" s="310">
        <v>6655.8932963107518</v>
      </c>
      <c r="Q23" s="311">
        <f t="shared" si="4"/>
        <v>1.6020562621198945E-2</v>
      </c>
      <c r="R23" s="312">
        <v>411629.22600000008</v>
      </c>
      <c r="S23" s="312">
        <v>5683.5007460970191</v>
      </c>
      <c r="T23" s="313">
        <f t="shared" si="5"/>
        <v>1.3807330449604709E-2</v>
      </c>
      <c r="U23" s="310">
        <v>415922.49800000002</v>
      </c>
      <c r="V23" s="310">
        <v>4570.6484204154831</v>
      </c>
      <c r="W23" s="311">
        <f t="shared" si="6"/>
        <v>1.0989182942480507E-2</v>
      </c>
      <c r="X23" s="314">
        <v>443821.99499999988</v>
      </c>
      <c r="Y23" s="314">
        <v>3752.1439174664697</v>
      </c>
      <c r="Z23" s="315">
        <f t="shared" si="7"/>
        <v>8.4541639660433467E-3</v>
      </c>
      <c r="AA23" s="316">
        <v>428601.46900000004</v>
      </c>
      <c r="AB23" s="316">
        <v>4724.8487678687661</v>
      </c>
      <c r="AC23" s="317">
        <v>1.1023874413899327E-2</v>
      </c>
      <c r="AD23" s="318">
        <f t="shared" si="8"/>
        <v>1.2059022878645366E-2</v>
      </c>
      <c r="AE23" s="319">
        <f t="shared" si="9"/>
        <v>3.3497285774014904</v>
      </c>
      <c r="AF23" s="320">
        <f t="shared" si="10"/>
        <v>1.1655619406034694</v>
      </c>
      <c r="AG23" s="321">
        <f t="shared" si="11"/>
        <v>4.5152905180049601</v>
      </c>
      <c r="AH23" s="385">
        <f t="shared" si="12"/>
        <v>4.0009748787387986E-2</v>
      </c>
      <c r="AI23" s="385">
        <f t="shared" si="13"/>
        <v>8.8609467381660142E-3</v>
      </c>
      <c r="AJ23" s="118">
        <f t="shared" si="14"/>
        <v>0</v>
      </c>
      <c r="AK23" s="385">
        <f t="shared" si="15"/>
        <v>0</v>
      </c>
      <c r="AL23" s="78">
        <f t="shared" si="16"/>
        <v>4.5448560522007106</v>
      </c>
      <c r="AM23" s="78">
        <f t="shared" si="17"/>
        <v>4.4501562836663737</v>
      </c>
      <c r="AN23" s="78">
        <f t="shared" si="18"/>
        <v>3.8353695693346412</v>
      </c>
      <c r="AO23" s="78">
        <f t="shared" si="19"/>
        <v>3.0525508173556961</v>
      </c>
      <c r="AP23" s="78">
        <f t="shared" si="20"/>
        <v>2.3483788794564853</v>
      </c>
      <c r="AQ23" s="78">
        <f t="shared" si="23"/>
        <v>3.0621873371942576</v>
      </c>
      <c r="AS23" s="386">
        <f t="shared" si="21"/>
        <v>3.3497285774014904</v>
      </c>
      <c r="AT23" s="385">
        <f t="shared" si="22"/>
        <v>0</v>
      </c>
    </row>
    <row r="24" spans="1:46" ht="14.45" customHeight="1" x14ac:dyDescent="0.25">
      <c r="A24" s="308" t="s">
        <v>352</v>
      </c>
      <c r="B24" s="309" t="s">
        <v>338</v>
      </c>
      <c r="C24" s="310">
        <v>343283.57799999998</v>
      </c>
      <c r="D24" s="310">
        <v>10383.378621560001</v>
      </c>
      <c r="E24" s="311">
        <f t="shared" si="0"/>
        <v>3.0247233736185312E-2</v>
      </c>
      <c r="F24" s="312">
        <v>354512.55099999998</v>
      </c>
      <c r="G24" s="312">
        <v>4389.3422140000002</v>
      </c>
      <c r="H24" s="313">
        <f t="shared" si="1"/>
        <v>1.2381345037343968E-2</v>
      </c>
      <c r="I24" s="310">
        <v>356638.50799999997</v>
      </c>
      <c r="J24" s="310">
        <v>5209.6817646299996</v>
      </c>
      <c r="K24" s="311">
        <f t="shared" si="2"/>
        <v>1.4607737660875364E-2</v>
      </c>
      <c r="L24" s="312">
        <v>355308.86695475562</v>
      </c>
      <c r="M24" s="312">
        <v>6144.880988347797</v>
      </c>
      <c r="N24" s="313">
        <f t="shared" si="3"/>
        <v>1.7294476889962544E-2</v>
      </c>
      <c r="O24" s="310">
        <v>327399.41364251269</v>
      </c>
      <c r="P24" s="310">
        <v>5548.3489053541998</v>
      </c>
      <c r="Q24" s="311">
        <f t="shared" si="4"/>
        <v>1.6946728290150329E-2</v>
      </c>
      <c r="R24" s="312">
        <v>332800.10500000004</v>
      </c>
      <c r="S24" s="312">
        <v>4861.6117115925927</v>
      </c>
      <c r="T24" s="313">
        <f t="shared" si="5"/>
        <v>1.4608203659048101E-2</v>
      </c>
      <c r="U24" s="310">
        <v>339880.73099999997</v>
      </c>
      <c r="V24" s="310">
        <v>3952.8129015299996</v>
      </c>
      <c r="W24" s="311">
        <f t="shared" si="6"/>
        <v>1.163E-2</v>
      </c>
      <c r="X24" s="314">
        <v>352570.071</v>
      </c>
      <c r="Y24" s="314">
        <v>3152.9788041244838</v>
      </c>
      <c r="Z24" s="315">
        <f t="shared" si="7"/>
        <v>8.9428430359435804E-3</v>
      </c>
      <c r="AA24" s="316">
        <v>346040.89999999997</v>
      </c>
      <c r="AB24" s="316">
        <v>4062.1621985628494</v>
      </c>
      <c r="AC24" s="317">
        <v>1.1738965534313573E-2</v>
      </c>
      <c r="AD24" s="318">
        <f t="shared" si="8"/>
        <v>1.2773348103891117E-2</v>
      </c>
      <c r="AE24" s="319">
        <f t="shared" si="9"/>
        <v>3.5481522510808654</v>
      </c>
      <c r="AF24" s="320">
        <f t="shared" si="10"/>
        <v>1.186678159882026</v>
      </c>
      <c r="AG24" s="321">
        <f t="shared" si="11"/>
        <v>4.7348304109628909</v>
      </c>
      <c r="AH24" s="385">
        <f t="shared" si="12"/>
        <v>3.387336423818732E-2</v>
      </c>
      <c r="AI24" s="385">
        <f t="shared" si="13"/>
        <v>7.1540818356995214E-3</v>
      </c>
      <c r="AJ24" s="118">
        <f t="shared" si="14"/>
        <v>0</v>
      </c>
      <c r="AK24" s="385">
        <f t="shared" si="15"/>
        <v>0</v>
      </c>
      <c r="AL24" s="78">
        <f t="shared" si="16"/>
        <v>4.8040213583229292</v>
      </c>
      <c r="AM24" s="78">
        <f t="shared" si="17"/>
        <v>4.7074245250417581</v>
      </c>
      <c r="AN24" s="78">
        <f t="shared" si="18"/>
        <v>4.0578343497355833</v>
      </c>
      <c r="AO24" s="78">
        <f t="shared" si="19"/>
        <v>3.2305555555555552</v>
      </c>
      <c r="AP24" s="78">
        <f t="shared" si="20"/>
        <v>2.4841230655398836</v>
      </c>
      <c r="AQ24" s="78">
        <f t="shared" si="23"/>
        <v>3.2608237595315481</v>
      </c>
      <c r="AS24" s="386">
        <f t="shared" si="21"/>
        <v>3.5481522510808654</v>
      </c>
      <c r="AT24" s="385">
        <f t="shared" si="22"/>
        <v>0</v>
      </c>
    </row>
    <row r="25" spans="1:46" ht="14.45" customHeight="1" x14ac:dyDescent="0.25">
      <c r="A25" s="308" t="s">
        <v>353</v>
      </c>
      <c r="B25" s="309" t="s">
        <v>338</v>
      </c>
      <c r="C25" s="310">
        <v>149079.03999999998</v>
      </c>
      <c r="D25" s="310">
        <v>4363.0568726700003</v>
      </c>
      <c r="E25" s="311">
        <f t="shared" si="0"/>
        <v>2.9266735770970897E-2</v>
      </c>
      <c r="F25" s="312">
        <v>159840.565</v>
      </c>
      <c r="G25" s="312">
        <v>1938.149236</v>
      </c>
      <c r="H25" s="313">
        <f t="shared" si="1"/>
        <v>1.2125515422195862E-2</v>
      </c>
      <c r="I25" s="310">
        <v>158542.46600000001</v>
      </c>
      <c r="J25" s="310">
        <v>2315.3057097899996</v>
      </c>
      <c r="K25" s="311">
        <f t="shared" si="2"/>
        <v>1.4603694317395059E-2</v>
      </c>
      <c r="L25" s="312">
        <v>162195.426212939</v>
      </c>
      <c r="M25" s="312">
        <v>2799.3932303659508</v>
      </c>
      <c r="N25" s="313">
        <f t="shared" si="3"/>
        <v>1.7259384532155392E-2</v>
      </c>
      <c r="O25" s="310">
        <v>150837.24299999999</v>
      </c>
      <c r="P25" s="310">
        <v>2559.7080137099997</v>
      </c>
      <c r="Q25" s="311">
        <f t="shared" si="4"/>
        <v>1.6969999999999999E-2</v>
      </c>
      <c r="R25" s="312">
        <v>154085.215</v>
      </c>
      <c r="S25" s="312">
        <v>2255.8075475999999</v>
      </c>
      <c r="T25" s="313">
        <f t="shared" si="5"/>
        <v>1.464E-2</v>
      </c>
      <c r="U25" s="310">
        <v>155894.69099999999</v>
      </c>
      <c r="V25" s="310">
        <v>1813.0552563299998</v>
      </c>
      <c r="W25" s="311">
        <f t="shared" si="6"/>
        <v>1.163E-2</v>
      </c>
      <c r="X25" s="314">
        <v>167909.61800000002</v>
      </c>
      <c r="Y25" s="314">
        <v>1501.5893579992471</v>
      </c>
      <c r="Z25" s="315">
        <f t="shared" si="7"/>
        <v>8.9428430359435804E-3</v>
      </c>
      <c r="AA25" s="316">
        <v>161025.247</v>
      </c>
      <c r="AB25" s="316">
        <v>1890.2698246873301</v>
      </c>
      <c r="AC25" s="317">
        <v>1.1738965534313573E-2</v>
      </c>
      <c r="AD25" s="318">
        <f t="shared" si="8"/>
        <v>1.2784361714051432E-2</v>
      </c>
      <c r="AE25" s="319">
        <f t="shared" si="9"/>
        <v>3.5512115872365086</v>
      </c>
      <c r="AF25" s="320">
        <f t="shared" si="10"/>
        <v>1.1870037340028528</v>
      </c>
      <c r="AG25" s="321">
        <f t="shared" si="11"/>
        <v>4.7382153212393616</v>
      </c>
      <c r="AH25" s="385">
        <f t="shared" si="12"/>
        <v>1.5773760322839194E-2</v>
      </c>
      <c r="AI25" s="385">
        <f t="shared" si="13"/>
        <v>3.3290509724478493E-3</v>
      </c>
      <c r="AJ25" s="118">
        <f t="shared" si="14"/>
        <v>0</v>
      </c>
      <c r="AK25" s="385">
        <f t="shared" si="15"/>
        <v>0</v>
      </c>
      <c r="AL25" s="78">
        <f t="shared" si="16"/>
        <v>4.7942734811542751</v>
      </c>
      <c r="AM25" s="78">
        <f t="shared" si="17"/>
        <v>4.7138888888888886</v>
      </c>
      <c r="AN25" s="78">
        <f t="shared" si="18"/>
        <v>4.0666666666666664</v>
      </c>
      <c r="AO25" s="78">
        <f t="shared" si="19"/>
        <v>3.2305555555555552</v>
      </c>
      <c r="AP25" s="78">
        <f t="shared" si="20"/>
        <v>2.4841230655398836</v>
      </c>
      <c r="AQ25" s="78">
        <f t="shared" si="23"/>
        <v>3.2608237595315481</v>
      </c>
      <c r="AS25" s="386">
        <f t="shared" si="21"/>
        <v>3.5512115872365078</v>
      </c>
      <c r="AT25" s="385">
        <f t="shared" si="22"/>
        <v>0</v>
      </c>
    </row>
    <row r="26" spans="1:46" s="326" customFormat="1" ht="14.45" customHeight="1" x14ac:dyDescent="0.25">
      <c r="A26" s="322" t="s">
        <v>354</v>
      </c>
      <c r="B26" s="323" t="s">
        <v>338</v>
      </c>
      <c r="C26" s="324">
        <v>15524.75</v>
      </c>
      <c r="D26" s="324">
        <v>900.43550000000005</v>
      </c>
      <c r="E26" s="325">
        <f t="shared" si="0"/>
        <v>5.8000000000000003E-2</v>
      </c>
      <c r="F26" s="314">
        <v>16879.219000000001</v>
      </c>
      <c r="G26" s="314">
        <v>320.70516100000003</v>
      </c>
      <c r="H26" s="315">
        <f t="shared" si="1"/>
        <v>1.9E-2</v>
      </c>
      <c r="I26" s="324">
        <v>16485.560000000001</v>
      </c>
      <c r="J26" s="324">
        <v>240.85403160000001</v>
      </c>
      <c r="K26" s="325">
        <f t="shared" si="2"/>
        <v>1.461E-2</v>
      </c>
      <c r="L26" s="314">
        <v>16846.814999999999</v>
      </c>
      <c r="M26" s="314">
        <v>291.78683579999995</v>
      </c>
      <c r="N26" s="315">
        <f t="shared" si="3"/>
        <v>1.7319999999999999E-2</v>
      </c>
      <c r="O26" s="324">
        <v>16066.906999999999</v>
      </c>
      <c r="P26" s="324">
        <v>272.65541178999996</v>
      </c>
      <c r="Q26" s="325">
        <f t="shared" si="4"/>
        <v>1.6969999999999999E-2</v>
      </c>
      <c r="R26" s="314">
        <v>15881.7</v>
      </c>
      <c r="S26" s="314">
        <v>232.50808800000001</v>
      </c>
      <c r="T26" s="315">
        <f t="shared" si="5"/>
        <v>1.464E-2</v>
      </c>
      <c r="U26" s="324">
        <v>16233.08</v>
      </c>
      <c r="V26" s="324">
        <v>188.7907204</v>
      </c>
      <c r="W26" s="325">
        <f t="shared" si="6"/>
        <v>1.163E-2</v>
      </c>
      <c r="X26" s="314">
        <v>16819.8</v>
      </c>
      <c r="Y26" s="314">
        <v>150.41683129596382</v>
      </c>
      <c r="Z26" s="315">
        <f t="shared" si="7"/>
        <v>8.9428430359435804E-3</v>
      </c>
      <c r="AA26" s="316">
        <v>16434.5</v>
      </c>
      <c r="AB26" s="316">
        <v>192.92402907367642</v>
      </c>
      <c r="AC26" s="317">
        <v>1.1738965534313573E-2</v>
      </c>
      <c r="AD26" s="318">
        <f t="shared" si="8"/>
        <v>1.2784361714051432E-2</v>
      </c>
      <c r="AE26" s="319">
        <f t="shared" si="9"/>
        <v>3.5512115872365086</v>
      </c>
      <c r="AF26" s="320">
        <f t="shared" si="10"/>
        <v>1.1870037340028528</v>
      </c>
      <c r="AG26" s="321">
        <f t="shared" si="11"/>
        <v>4.7382153212393616</v>
      </c>
      <c r="AH26" s="385">
        <f t="shared" si="12"/>
        <v>1.6098957701067881E-3</v>
      </c>
      <c r="AI26" s="385">
        <f t="shared" si="13"/>
        <v>3.3976838555443533E-4</v>
      </c>
      <c r="AJ26" s="118">
        <f t="shared" si="14"/>
        <v>0</v>
      </c>
      <c r="AK26" s="385">
        <f t="shared" si="15"/>
        <v>0</v>
      </c>
      <c r="AL26" s="78">
        <f t="shared" si="16"/>
        <v>4.8111111111111109</v>
      </c>
      <c r="AM26" s="78">
        <f t="shared" si="17"/>
        <v>4.7138888888888886</v>
      </c>
      <c r="AN26" s="78">
        <f t="shared" si="18"/>
        <v>4.0666666666666664</v>
      </c>
      <c r="AO26" s="78">
        <f t="shared" si="19"/>
        <v>3.2305555555555552</v>
      </c>
      <c r="AP26" s="78">
        <f t="shared" si="20"/>
        <v>2.4841230655398836</v>
      </c>
      <c r="AQ26" s="78">
        <f t="shared" si="23"/>
        <v>3.2608237595315481</v>
      </c>
      <c r="AS26" s="386">
        <f t="shared" si="21"/>
        <v>3.5512115872365078</v>
      </c>
      <c r="AT26" s="385">
        <f t="shared" si="22"/>
        <v>0</v>
      </c>
    </row>
    <row r="27" spans="1:46" s="326" customFormat="1" ht="14.45" customHeight="1" x14ac:dyDescent="0.25">
      <c r="A27" s="329" t="s">
        <v>355</v>
      </c>
      <c r="B27" s="323" t="s">
        <v>338</v>
      </c>
      <c r="C27" s="324">
        <v>433121.16700000002</v>
      </c>
      <c r="D27" s="324">
        <v>24166.076588064105</v>
      </c>
      <c r="E27" s="325">
        <f t="shared" si="0"/>
        <v>5.5795187188494307E-2</v>
      </c>
      <c r="F27" s="314">
        <v>467266.91700000002</v>
      </c>
      <c r="G27" s="314">
        <v>14142</v>
      </c>
      <c r="H27" s="315">
        <f t="shared" si="1"/>
        <v>3.0265356877384065E-2</v>
      </c>
      <c r="I27" s="324">
        <v>426260.95</v>
      </c>
      <c r="J27" s="324">
        <v>6126.7196338414587</v>
      </c>
      <c r="K27" s="325">
        <f t="shared" si="2"/>
        <v>1.4373166563443025E-2</v>
      </c>
      <c r="L27" s="314">
        <v>421699.95</v>
      </c>
      <c r="M27" s="314">
        <v>7341.7419876771582</v>
      </c>
      <c r="N27" s="315">
        <f t="shared" si="3"/>
        <v>1.7409871610554278E-2</v>
      </c>
      <c r="O27" s="324">
        <v>544038.16</v>
      </c>
      <c r="P27" s="324">
        <v>66251.13500195439</v>
      </c>
      <c r="Q27" s="325">
        <f t="shared" si="4"/>
        <v>0.12177663236335184</v>
      </c>
      <c r="R27" s="314">
        <v>585234</v>
      </c>
      <c r="S27" s="314">
        <v>82302</v>
      </c>
      <c r="T27" s="315">
        <f t="shared" si="5"/>
        <v>0.14063092711633296</v>
      </c>
      <c r="U27" s="324">
        <v>596239.09</v>
      </c>
      <c r="V27" s="324">
        <v>64588</v>
      </c>
      <c r="W27" s="325">
        <f t="shared" si="6"/>
        <v>0.10832567183745032</v>
      </c>
      <c r="X27" s="314">
        <v>620333.23384999996</v>
      </c>
      <c r="Y27" s="314">
        <v>59177</v>
      </c>
      <c r="Z27" s="315">
        <f t="shared" si="7"/>
        <v>9.5395501596339319E-2</v>
      </c>
      <c r="AA27" s="316">
        <v>624036.69293200003</v>
      </c>
      <c r="AB27" s="316">
        <v>74546.039546327724</v>
      </c>
      <c r="AC27" s="317">
        <v>0.11945778251608491</v>
      </c>
      <c r="AD27" s="318">
        <f t="shared" si="8"/>
        <v>0.11711730308591187</v>
      </c>
      <c r="AE27" s="319">
        <f t="shared" si="9"/>
        <v>32.532584190531075</v>
      </c>
      <c r="AF27" s="320">
        <f t="shared" si="10"/>
        <v>4.2711973059532946</v>
      </c>
      <c r="AG27" s="321">
        <f t="shared" si="11"/>
        <v>36.803781496484369</v>
      </c>
      <c r="AH27" s="385">
        <f t="shared" si="12"/>
        <v>0.47482004096798414</v>
      </c>
      <c r="AI27" s="385">
        <f t="shared" si="13"/>
        <v>1.29013927825145E-2</v>
      </c>
      <c r="AJ27" s="118">
        <f t="shared" si="14"/>
        <v>0</v>
      </c>
      <c r="AK27" s="385">
        <f t="shared" si="15"/>
        <v>0</v>
      </c>
      <c r="AL27" s="78">
        <f t="shared" si="16"/>
        <v>4.8360754473761878</v>
      </c>
      <c r="AM27" s="78">
        <f t="shared" si="17"/>
        <v>33.826842323153286</v>
      </c>
      <c r="AN27" s="78">
        <f t="shared" si="18"/>
        <v>39.064146421203596</v>
      </c>
      <c r="AO27" s="78">
        <f t="shared" si="19"/>
        <v>30.090464399291754</v>
      </c>
      <c r="AP27" s="78">
        <f t="shared" si="20"/>
        <v>26.498750443427589</v>
      </c>
      <c r="AQ27" s="78">
        <f t="shared" si="23"/>
        <v>33.182717365579144</v>
      </c>
      <c r="AS27" s="386">
        <f t="shared" si="21"/>
        <v>32.532584190531075</v>
      </c>
      <c r="AT27" s="385">
        <f t="shared" si="22"/>
        <v>0</v>
      </c>
    </row>
    <row r="28" spans="1:46" s="326" customFormat="1" ht="14.45" customHeight="1" x14ac:dyDescent="0.25">
      <c r="A28" s="329" t="s">
        <v>356</v>
      </c>
      <c r="B28" s="323" t="s">
        <v>338</v>
      </c>
      <c r="C28" s="324">
        <v>2470581</v>
      </c>
      <c r="D28" s="324">
        <v>72744.072200374474</v>
      </c>
      <c r="E28" s="325">
        <f t="shared" si="0"/>
        <v>2.9444115453156353E-2</v>
      </c>
      <c r="F28" s="314">
        <v>2497185</v>
      </c>
      <c r="G28" s="314">
        <v>35598</v>
      </c>
      <c r="H28" s="315">
        <f t="shared" si="1"/>
        <v>1.4255251413091141E-2</v>
      </c>
      <c r="I28" s="324">
        <v>2463368</v>
      </c>
      <c r="J28" s="324">
        <v>31175.387790000001</v>
      </c>
      <c r="K28" s="325">
        <f t="shared" si="2"/>
        <v>1.2655595018689859E-2</v>
      </c>
      <c r="L28" s="314">
        <v>2498475</v>
      </c>
      <c r="M28" s="314">
        <v>50224.332060062276</v>
      </c>
      <c r="N28" s="315">
        <f t="shared" si="3"/>
        <v>2.010199504099992E-2</v>
      </c>
      <c r="O28" s="324">
        <v>2411839</v>
      </c>
      <c r="P28" s="324">
        <v>34136.088349999998</v>
      </c>
      <c r="Q28" s="325">
        <f t="shared" si="4"/>
        <v>1.4153551854000204E-2</v>
      </c>
      <c r="R28" s="314">
        <v>2377811</v>
      </c>
      <c r="S28" s="314">
        <v>30174.0648</v>
      </c>
      <c r="T28" s="315">
        <f t="shared" si="5"/>
        <v>1.268984995022733E-2</v>
      </c>
      <c r="U28" s="324">
        <v>2370939.078370437</v>
      </c>
      <c r="V28" s="324">
        <v>23298.669750000001</v>
      </c>
      <c r="W28" s="325">
        <f t="shared" si="6"/>
        <v>9.8267686262159624E-3</v>
      </c>
      <c r="X28" s="314">
        <v>2528227.3499999996</v>
      </c>
      <c r="Y28" s="314">
        <v>42278</v>
      </c>
      <c r="Z28" s="315">
        <f t="shared" si="7"/>
        <v>1.6722388514624684E-2</v>
      </c>
      <c r="AA28" s="316">
        <v>2412078.8900692808</v>
      </c>
      <c r="AB28" s="316">
        <v>35357.629153437694</v>
      </c>
      <c r="AC28" s="317">
        <v>1.4658570786804629E-2</v>
      </c>
      <c r="AD28" s="318">
        <f t="shared" si="8"/>
        <v>1.3610225946374562E-2</v>
      </c>
      <c r="AE28" s="319">
        <f t="shared" si="9"/>
        <v>3.7806183184373783</v>
      </c>
      <c r="AF28" s="320">
        <f t="shared" si="10"/>
        <v>1.2114171658791417</v>
      </c>
      <c r="AG28" s="321">
        <f t="shared" si="11"/>
        <v>4.9920354843165198</v>
      </c>
      <c r="AH28" s="385">
        <f t="shared" si="12"/>
        <v>0.24894054869009508</v>
      </c>
      <c r="AI28" s="385">
        <f t="shared" si="13"/>
        <v>4.9867543905124816E-2</v>
      </c>
      <c r="AJ28" s="118">
        <f t="shared" si="14"/>
        <v>0</v>
      </c>
      <c r="AK28" s="385">
        <f t="shared" si="15"/>
        <v>0</v>
      </c>
      <c r="AL28" s="78">
        <f t="shared" si="16"/>
        <v>5.5838875113888662</v>
      </c>
      <c r="AM28" s="78">
        <f t="shared" si="17"/>
        <v>3.9315421816667233</v>
      </c>
      <c r="AN28" s="78">
        <f t="shared" si="18"/>
        <v>3.5249583195075918</v>
      </c>
      <c r="AO28" s="78">
        <f t="shared" si="19"/>
        <v>2.7296579517266562</v>
      </c>
      <c r="AP28" s="78">
        <f t="shared" si="20"/>
        <v>4.6451079207290791</v>
      </c>
      <c r="AQ28" s="78">
        <f t="shared" si="23"/>
        <v>4.0718252185568415</v>
      </c>
      <c r="AS28" s="386">
        <f t="shared" si="21"/>
        <v>3.7806183184373787</v>
      </c>
      <c r="AT28" s="385">
        <f t="shared" si="22"/>
        <v>0</v>
      </c>
    </row>
    <row r="29" spans="1:46" s="326" customFormat="1" ht="14.45" customHeight="1" x14ac:dyDescent="0.25">
      <c r="A29" s="322" t="s">
        <v>357</v>
      </c>
      <c r="B29" s="323" t="s">
        <v>338</v>
      </c>
      <c r="C29" s="324">
        <v>234085</v>
      </c>
      <c r="D29" s="324">
        <v>12122.87</v>
      </c>
      <c r="E29" s="325">
        <f t="shared" si="0"/>
        <v>5.1788324753828739E-2</v>
      </c>
      <c r="F29" s="314">
        <v>244710</v>
      </c>
      <c r="G29" s="314">
        <v>4165.0659999999998</v>
      </c>
      <c r="H29" s="315">
        <f t="shared" si="1"/>
        <v>1.7020416002615339E-2</v>
      </c>
      <c r="I29" s="324">
        <v>240507</v>
      </c>
      <c r="J29" s="324">
        <v>3154.6642499999998</v>
      </c>
      <c r="K29" s="325">
        <f t="shared" si="2"/>
        <v>1.3116725292818919E-2</v>
      </c>
      <c r="L29" s="314">
        <v>254131.505</v>
      </c>
      <c r="M29" s="314">
        <v>3995.5075865999997</v>
      </c>
      <c r="N29" s="315">
        <f t="shared" si="3"/>
        <v>1.5722204874204792E-2</v>
      </c>
      <c r="O29" s="324">
        <v>256476.505</v>
      </c>
      <c r="P29" s="324">
        <v>3914.7669598499997</v>
      </c>
      <c r="Q29" s="325">
        <f t="shared" si="4"/>
        <v>1.5263647482446782E-2</v>
      </c>
      <c r="R29" s="314">
        <v>246387</v>
      </c>
      <c r="S29" s="314">
        <v>3228.5592000000001</v>
      </c>
      <c r="T29" s="315">
        <f t="shared" si="5"/>
        <v>1.3103610174238089E-2</v>
      </c>
      <c r="U29" s="324">
        <v>245219</v>
      </c>
      <c r="V29" s="324">
        <v>2553.9</v>
      </c>
      <c r="W29" s="325">
        <f t="shared" si="6"/>
        <v>1.0414772101672383E-2</v>
      </c>
      <c r="X29" s="314">
        <v>254434</v>
      </c>
      <c r="Y29" s="314">
        <v>2046.2387435833584</v>
      </c>
      <c r="Z29" s="315">
        <f t="shared" si="7"/>
        <v>8.042316449780134E-3</v>
      </c>
      <c r="AA29" s="316">
        <v>256361.78200000001</v>
      </c>
      <c r="AB29" s="316">
        <v>2706.9207203594833</v>
      </c>
      <c r="AC29" s="317">
        <v>1.0558986988003864E-2</v>
      </c>
      <c r="AD29" s="318">
        <f t="shared" si="8"/>
        <v>1.147666663922825E-2</v>
      </c>
      <c r="AE29" s="319">
        <f t="shared" si="9"/>
        <v>3.1879629553411806</v>
      </c>
      <c r="AF29" s="320">
        <f t="shared" si="10"/>
        <v>1.1483468659915699</v>
      </c>
      <c r="AG29" s="321">
        <f t="shared" si="11"/>
        <v>4.3363098213327502</v>
      </c>
      <c r="AH29" s="385">
        <f t="shared" si="12"/>
        <v>2.2982647539451655E-2</v>
      </c>
      <c r="AI29" s="385">
        <f t="shared" si="13"/>
        <v>5.3000473873861757E-3</v>
      </c>
      <c r="AJ29" s="118">
        <f t="shared" si="14"/>
        <v>0</v>
      </c>
      <c r="AK29" s="385">
        <f t="shared" si="15"/>
        <v>0</v>
      </c>
      <c r="AL29" s="78">
        <f t="shared" si="16"/>
        <v>4.3672791317235529</v>
      </c>
      <c r="AM29" s="78">
        <f t="shared" si="17"/>
        <v>4.2399020784574395</v>
      </c>
      <c r="AN29" s="78">
        <f t="shared" si="18"/>
        <v>3.6398917150661356</v>
      </c>
      <c r="AO29" s="78">
        <f t="shared" si="19"/>
        <v>2.8929922504645509</v>
      </c>
      <c r="AP29" s="78">
        <f t="shared" si="20"/>
        <v>2.2339767916055928</v>
      </c>
      <c r="AQ29" s="78">
        <f t="shared" si="23"/>
        <v>2.9330519411121845</v>
      </c>
      <c r="AS29" s="386">
        <f t="shared" si="21"/>
        <v>3.1879629553411806</v>
      </c>
      <c r="AT29" s="385">
        <f t="shared" si="22"/>
        <v>0</v>
      </c>
    </row>
    <row r="30" spans="1:46" s="326" customFormat="1" ht="14.45" customHeight="1" x14ac:dyDescent="0.25">
      <c r="A30" s="322" t="s">
        <v>358</v>
      </c>
      <c r="B30" s="323" t="s">
        <v>338</v>
      </c>
      <c r="C30" s="324">
        <v>67581</v>
      </c>
      <c r="D30" s="324">
        <v>3919.6980000000003</v>
      </c>
      <c r="E30" s="325">
        <f t="shared" si="0"/>
        <v>5.8000000000000003E-2</v>
      </c>
      <c r="F30" s="314">
        <v>63153</v>
      </c>
      <c r="G30" s="314">
        <v>1199.9069999999999</v>
      </c>
      <c r="H30" s="315">
        <f t="shared" si="1"/>
        <v>1.9E-2</v>
      </c>
      <c r="I30" s="324">
        <v>91286</v>
      </c>
      <c r="J30" s="324">
        <v>1333.6884600000001</v>
      </c>
      <c r="K30" s="325">
        <f t="shared" si="2"/>
        <v>1.4610000000000001E-2</v>
      </c>
      <c r="L30" s="314">
        <v>85747</v>
      </c>
      <c r="M30" s="314">
        <v>1485.1380399999998</v>
      </c>
      <c r="N30" s="315">
        <f t="shared" si="3"/>
        <v>1.7319999999999999E-2</v>
      </c>
      <c r="O30" s="324">
        <v>96186.923999999999</v>
      </c>
      <c r="P30" s="324">
        <v>1632.2921002799999</v>
      </c>
      <c r="Q30" s="325">
        <f t="shared" si="4"/>
        <v>1.6969999999999999E-2</v>
      </c>
      <c r="R30" s="314">
        <v>106333</v>
      </c>
      <c r="S30" s="314">
        <v>1556.7151200000001</v>
      </c>
      <c r="T30" s="315">
        <f t="shared" si="5"/>
        <v>1.464E-2</v>
      </c>
      <c r="U30" s="324">
        <v>107199</v>
      </c>
      <c r="V30" s="324">
        <v>1246.7243699999999</v>
      </c>
      <c r="W30" s="325">
        <f t="shared" si="6"/>
        <v>1.163E-2</v>
      </c>
      <c r="X30" s="314">
        <v>103134</v>
      </c>
      <c r="Y30" s="314">
        <v>922.31117366900526</v>
      </c>
      <c r="Z30" s="315">
        <f t="shared" si="7"/>
        <v>8.9428430359435804E-3</v>
      </c>
      <c r="AA30" s="316">
        <v>111277</v>
      </c>
      <c r="AB30" s="316">
        <v>1306.2768677618114</v>
      </c>
      <c r="AC30" s="317">
        <v>1.1738965534313573E-2</v>
      </c>
      <c r="AD30" s="318">
        <f t="shared" si="8"/>
        <v>1.2784361714051432E-2</v>
      </c>
      <c r="AE30" s="319">
        <f t="shared" si="9"/>
        <v>3.5512115872365086</v>
      </c>
      <c r="AF30" s="320">
        <f t="shared" si="10"/>
        <v>1.1870037340028528</v>
      </c>
      <c r="AG30" s="321">
        <f t="shared" si="11"/>
        <v>4.7382153212393616</v>
      </c>
      <c r="AH30" s="385">
        <f t="shared" si="12"/>
        <v>1.0900506350066815E-2</v>
      </c>
      <c r="AI30" s="385">
        <f t="shared" si="13"/>
        <v>2.3005510748328761E-3</v>
      </c>
      <c r="AJ30" s="118">
        <f t="shared" si="14"/>
        <v>0</v>
      </c>
      <c r="AK30" s="385">
        <f t="shared" si="15"/>
        <v>0</v>
      </c>
      <c r="AL30" s="78">
        <f t="shared" si="16"/>
        <v>4.8111111111111109</v>
      </c>
      <c r="AM30" s="78">
        <f t="shared" si="17"/>
        <v>4.7138888888888886</v>
      </c>
      <c r="AN30" s="78">
        <f t="shared" si="18"/>
        <v>4.0666666666666664</v>
      </c>
      <c r="AO30" s="78">
        <f t="shared" si="19"/>
        <v>3.2305555555555552</v>
      </c>
      <c r="AP30" s="78">
        <f t="shared" si="20"/>
        <v>2.4841230655398836</v>
      </c>
      <c r="AQ30" s="78">
        <f t="shared" si="23"/>
        <v>3.2608237595315481</v>
      </c>
      <c r="AS30" s="386">
        <f t="shared" si="21"/>
        <v>3.5512115872365078</v>
      </c>
      <c r="AT30" s="385">
        <f t="shared" si="22"/>
        <v>0</v>
      </c>
    </row>
    <row r="31" spans="1:46" s="326" customFormat="1" ht="14.45" customHeight="1" x14ac:dyDescent="0.25">
      <c r="A31" s="329" t="s">
        <v>359</v>
      </c>
      <c r="B31" s="323" t="s">
        <v>338</v>
      </c>
      <c r="C31" s="324">
        <v>108527.33500000001</v>
      </c>
      <c r="D31" s="324">
        <v>6294.585430000001</v>
      </c>
      <c r="E31" s="325">
        <f t="shared" si="0"/>
        <v>5.8000000000000003E-2</v>
      </c>
      <c r="F31" s="314">
        <v>109376.92200000001</v>
      </c>
      <c r="G31" s="314">
        <v>2078.1615179999999</v>
      </c>
      <c r="H31" s="315">
        <f t="shared" si="1"/>
        <v>1.9E-2</v>
      </c>
      <c r="I31" s="324">
        <v>106436.933</v>
      </c>
      <c r="J31" s="324">
        <v>1555.0435911300001</v>
      </c>
      <c r="K31" s="325">
        <f t="shared" si="2"/>
        <v>1.461E-2</v>
      </c>
      <c r="L31" s="314">
        <v>111145.932</v>
      </c>
      <c r="M31" s="314">
        <v>1925.0475422399998</v>
      </c>
      <c r="N31" s="315">
        <f t="shared" si="3"/>
        <v>1.7319999999999999E-2</v>
      </c>
      <c r="O31" s="324">
        <v>109337.37300000001</v>
      </c>
      <c r="P31" s="324">
        <v>1855.45521981</v>
      </c>
      <c r="Q31" s="325">
        <f t="shared" si="4"/>
        <v>1.6969999999999999E-2</v>
      </c>
      <c r="R31" s="314">
        <v>107853.98</v>
      </c>
      <c r="S31" s="314">
        <v>1578.9822672</v>
      </c>
      <c r="T31" s="315">
        <f t="shared" si="5"/>
        <v>1.464E-2</v>
      </c>
      <c r="U31" s="324">
        <v>106700.985</v>
      </c>
      <c r="V31" s="324">
        <v>1240.93245555</v>
      </c>
      <c r="W31" s="325">
        <f t="shared" si="6"/>
        <v>1.163E-2</v>
      </c>
      <c r="X31" s="314">
        <v>113360.984</v>
      </c>
      <c r="Y31" s="314">
        <v>1013.7694863121117</v>
      </c>
      <c r="Z31" s="315">
        <f t="shared" si="7"/>
        <v>8.9428430359435804E-3</v>
      </c>
      <c r="AA31" s="316">
        <v>108142.802</v>
      </c>
      <c r="AB31" s="316">
        <v>1269.4846254620968</v>
      </c>
      <c r="AC31" s="317">
        <v>1.1738965534313573E-2</v>
      </c>
      <c r="AD31" s="318">
        <f t="shared" si="8"/>
        <v>1.2784361714051432E-2</v>
      </c>
      <c r="AE31" s="319">
        <f t="shared" si="9"/>
        <v>3.5512115872365086</v>
      </c>
      <c r="AF31" s="320">
        <f t="shared" si="10"/>
        <v>1.1870037340028528</v>
      </c>
      <c r="AG31" s="321">
        <f t="shared" si="11"/>
        <v>4.7382153212393616</v>
      </c>
      <c r="AH31" s="385">
        <f t="shared" si="12"/>
        <v>1.0593485625196745E-2</v>
      </c>
      <c r="AI31" s="385">
        <f t="shared" si="13"/>
        <v>2.2357543731097969E-3</v>
      </c>
      <c r="AJ31" s="118">
        <f t="shared" si="14"/>
        <v>0</v>
      </c>
      <c r="AK31" s="385">
        <f t="shared" si="15"/>
        <v>0</v>
      </c>
      <c r="AL31" s="78">
        <f t="shared" si="16"/>
        <v>4.8111111111111109</v>
      </c>
      <c r="AM31" s="78">
        <f t="shared" si="17"/>
        <v>4.7138888888888886</v>
      </c>
      <c r="AN31" s="78">
        <f t="shared" si="18"/>
        <v>4.0666666666666664</v>
      </c>
      <c r="AO31" s="78">
        <f t="shared" si="19"/>
        <v>3.2305555555555552</v>
      </c>
      <c r="AP31" s="78">
        <f t="shared" si="20"/>
        <v>2.4841230655398836</v>
      </c>
      <c r="AQ31" s="78">
        <f t="shared" si="23"/>
        <v>3.2608237595315481</v>
      </c>
      <c r="AS31" s="386">
        <f t="shared" si="21"/>
        <v>3.5512115872365078</v>
      </c>
      <c r="AT31" s="385">
        <f t="shared" si="22"/>
        <v>0</v>
      </c>
    </row>
    <row r="32" spans="1:46" s="326" customFormat="1" ht="14.45" customHeight="1" x14ac:dyDescent="0.25">
      <c r="A32" s="322" t="s">
        <v>360</v>
      </c>
      <c r="B32" s="323" t="s">
        <v>338</v>
      </c>
      <c r="C32" s="324">
        <v>111612.201</v>
      </c>
      <c r="D32" s="324">
        <v>6473.5076580000004</v>
      </c>
      <c r="E32" s="325">
        <f t="shared" si="0"/>
        <v>5.8000000000000003E-2</v>
      </c>
      <c r="F32" s="314">
        <v>114007.505</v>
      </c>
      <c r="G32" s="314">
        <v>2166.1425950000003</v>
      </c>
      <c r="H32" s="315">
        <f t="shared" si="1"/>
        <v>1.9000000000000003E-2</v>
      </c>
      <c r="I32" s="324">
        <v>114218.091</v>
      </c>
      <c r="J32" s="324">
        <v>1668.72630951</v>
      </c>
      <c r="K32" s="325">
        <f t="shared" si="2"/>
        <v>1.461E-2</v>
      </c>
      <c r="L32" s="314">
        <v>118568.35400000001</v>
      </c>
      <c r="M32" s="314">
        <v>2053.60389128</v>
      </c>
      <c r="N32" s="315">
        <f t="shared" si="3"/>
        <v>1.7319999999999999E-2</v>
      </c>
      <c r="O32" s="324">
        <v>120376.014</v>
      </c>
      <c r="P32" s="324">
        <v>2042.7809575799997</v>
      </c>
      <c r="Q32" s="325">
        <f t="shared" si="4"/>
        <v>1.6969999999999999E-2</v>
      </c>
      <c r="R32" s="314">
        <v>120057.18</v>
      </c>
      <c r="S32" s="314">
        <v>1757.6371151999999</v>
      </c>
      <c r="T32" s="315">
        <f t="shared" si="5"/>
        <v>1.464E-2</v>
      </c>
      <c r="U32" s="324">
        <v>119821.91706000001</v>
      </c>
      <c r="V32" s="324">
        <v>1393.5288954078001</v>
      </c>
      <c r="W32" s="325">
        <f t="shared" si="6"/>
        <v>1.163E-2</v>
      </c>
      <c r="X32" s="314">
        <v>126069.878</v>
      </c>
      <c r="Y32" s="314">
        <v>1127.4231305145568</v>
      </c>
      <c r="Z32" s="315">
        <f t="shared" si="7"/>
        <v>8.9428430359435804E-3</v>
      </c>
      <c r="AA32" s="316">
        <v>123750.856</v>
      </c>
      <c r="AB32" s="316">
        <v>1452.7070334258021</v>
      </c>
      <c r="AC32" s="317">
        <v>1.1738965534313573E-2</v>
      </c>
      <c r="AD32" s="318">
        <f t="shared" si="8"/>
        <v>1.2784361714051432E-2</v>
      </c>
      <c r="AE32" s="319">
        <f t="shared" si="9"/>
        <v>3.5512115872365086</v>
      </c>
      <c r="AF32" s="320">
        <f t="shared" si="10"/>
        <v>1.1870037340028528</v>
      </c>
      <c r="AG32" s="321">
        <f t="shared" si="11"/>
        <v>4.7382153212393616</v>
      </c>
      <c r="AH32" s="385">
        <f t="shared" si="12"/>
        <v>1.2122424145638397E-2</v>
      </c>
      <c r="AI32" s="385">
        <f t="shared" si="13"/>
        <v>2.5584367369922666E-3</v>
      </c>
      <c r="AJ32" s="118">
        <f t="shared" si="14"/>
        <v>0</v>
      </c>
      <c r="AK32" s="385">
        <f t="shared" si="15"/>
        <v>0</v>
      </c>
      <c r="AL32" s="78">
        <f t="shared" si="16"/>
        <v>4.8111111111111109</v>
      </c>
      <c r="AM32" s="78">
        <f t="shared" si="17"/>
        <v>4.7138888888888886</v>
      </c>
      <c r="AN32" s="78">
        <f t="shared" si="18"/>
        <v>4.0666666666666664</v>
      </c>
      <c r="AO32" s="78">
        <f t="shared" si="19"/>
        <v>3.2305555555555552</v>
      </c>
      <c r="AP32" s="78">
        <f t="shared" si="20"/>
        <v>2.4841230655398836</v>
      </c>
      <c r="AQ32" s="78">
        <f t="shared" si="23"/>
        <v>3.2608237595315481</v>
      </c>
      <c r="AS32" s="386">
        <f t="shared" si="21"/>
        <v>3.5512115872365078</v>
      </c>
      <c r="AT32" s="385">
        <f t="shared" si="22"/>
        <v>0</v>
      </c>
    </row>
    <row r="33" spans="1:46" ht="14.45" customHeight="1" x14ac:dyDescent="0.25">
      <c r="A33" s="327" t="s">
        <v>361</v>
      </c>
      <c r="B33" s="309" t="s">
        <v>338</v>
      </c>
      <c r="C33" s="310">
        <v>233328.52799999999</v>
      </c>
      <c r="D33" s="310">
        <v>6575.0811075299998</v>
      </c>
      <c r="E33" s="311">
        <f t="shared" si="0"/>
        <v>2.8179499368932718E-2</v>
      </c>
      <c r="F33" s="312">
        <v>247504.14400000003</v>
      </c>
      <c r="G33" s="312">
        <v>2910.859582</v>
      </c>
      <c r="H33" s="313">
        <f t="shared" si="1"/>
        <v>1.176085189911002E-2</v>
      </c>
      <c r="I33" s="310">
        <v>241084.272</v>
      </c>
      <c r="J33" s="310">
        <v>3521.5957441199998</v>
      </c>
      <c r="K33" s="311">
        <f t="shared" si="2"/>
        <v>1.4607322638284757E-2</v>
      </c>
      <c r="L33" s="312">
        <v>250896.01965015507</v>
      </c>
      <c r="M33" s="312">
        <v>4318.5125745244659</v>
      </c>
      <c r="N33" s="313">
        <f t="shared" si="3"/>
        <v>1.7212359847502256E-2</v>
      </c>
      <c r="O33" s="310">
        <v>236253.03140270404</v>
      </c>
      <c r="P33" s="310">
        <v>3966.0503232285619</v>
      </c>
      <c r="Q33" s="311">
        <f t="shared" si="4"/>
        <v>1.6787299192230251E-2</v>
      </c>
      <c r="R33" s="312">
        <v>229804.92500000002</v>
      </c>
      <c r="S33" s="312">
        <v>3324.8628280740372</v>
      </c>
      <c r="T33" s="313">
        <f t="shared" si="5"/>
        <v>1.4468196571827331E-2</v>
      </c>
      <c r="U33" s="310">
        <v>236186.98200000002</v>
      </c>
      <c r="V33" s="310">
        <v>2735.3811404600001</v>
      </c>
      <c r="W33" s="311">
        <f t="shared" si="6"/>
        <v>1.1581422131301039E-2</v>
      </c>
      <c r="X33" s="314">
        <v>258876.91200000001</v>
      </c>
      <c r="Y33" s="314">
        <v>2306.9242456785464</v>
      </c>
      <c r="Z33" s="315">
        <f t="shared" si="7"/>
        <v>8.9112784444776837E-3</v>
      </c>
      <c r="AA33" s="316">
        <v>245149.45200000002</v>
      </c>
      <c r="AB33" s="316">
        <v>2866.6785327194084</v>
      </c>
      <c r="AC33" s="317">
        <v>1.1693595516254339E-2</v>
      </c>
      <c r="AD33" s="318">
        <f t="shared" si="8"/>
        <v>1.2688358371218128E-2</v>
      </c>
      <c r="AE33" s="319">
        <f t="shared" si="9"/>
        <v>3.5245439920050354</v>
      </c>
      <c r="AF33" s="320">
        <f t="shared" si="10"/>
        <v>1.1841657722914416</v>
      </c>
      <c r="AG33" s="321">
        <f t="shared" si="11"/>
        <v>4.7087097642964775</v>
      </c>
      <c r="AH33" s="385">
        <f t="shared" si="12"/>
        <v>2.3864883566254234E-2</v>
      </c>
      <c r="AI33" s="385">
        <f t="shared" si="13"/>
        <v>5.0682426313909488E-3</v>
      </c>
      <c r="AJ33" s="118">
        <f t="shared" si="14"/>
        <v>0</v>
      </c>
      <c r="AK33" s="385">
        <f t="shared" si="15"/>
        <v>0</v>
      </c>
      <c r="AL33" s="78">
        <f t="shared" si="16"/>
        <v>4.7812110687506264</v>
      </c>
      <c r="AM33" s="78">
        <f t="shared" si="17"/>
        <v>4.663138664508403</v>
      </c>
      <c r="AN33" s="78">
        <f t="shared" si="18"/>
        <v>4.0189434921742588</v>
      </c>
      <c r="AO33" s="78">
        <f t="shared" si="19"/>
        <v>3.2170617031391773</v>
      </c>
      <c r="AP33" s="78">
        <f t="shared" si="20"/>
        <v>2.4753551234660232</v>
      </c>
      <c r="AQ33" s="78">
        <f t="shared" si="23"/>
        <v>3.2482209767373162</v>
      </c>
      <c r="AS33" s="386">
        <f t="shared" si="21"/>
        <v>3.524543992005035</v>
      </c>
      <c r="AT33" s="385">
        <f t="shared" si="22"/>
        <v>0</v>
      </c>
    </row>
    <row r="34" spans="1:46" s="326" customFormat="1" ht="14.45" customHeight="1" x14ac:dyDescent="0.25">
      <c r="A34" s="322" t="s">
        <v>362</v>
      </c>
      <c r="B34" s="323" t="s">
        <v>338</v>
      </c>
      <c r="C34" s="324">
        <v>709331.93500000006</v>
      </c>
      <c r="D34" s="324">
        <v>39891.437499487591</v>
      </c>
      <c r="E34" s="325">
        <f t="shared" si="0"/>
        <v>5.6238039669661267E-2</v>
      </c>
      <c r="F34" s="314">
        <v>744915.07900000003</v>
      </c>
      <c r="G34" s="314">
        <v>13934</v>
      </c>
      <c r="H34" s="315">
        <f t="shared" si="1"/>
        <v>1.8705487904346743E-2</v>
      </c>
      <c r="I34" s="324">
        <v>732974.23</v>
      </c>
      <c r="J34" s="324">
        <v>10920.934359311917</v>
      </c>
      <c r="K34" s="325">
        <f t="shared" si="2"/>
        <v>1.4899479289076667E-2</v>
      </c>
      <c r="L34" s="314">
        <v>771073.53099999996</v>
      </c>
      <c r="M34" s="314">
        <v>13693.956344292359</v>
      </c>
      <c r="N34" s="315">
        <f t="shared" si="3"/>
        <v>1.7759598525620198E-2</v>
      </c>
      <c r="O34" s="324">
        <v>764710.06400000001</v>
      </c>
      <c r="P34" s="324">
        <v>13412.87574832543</v>
      </c>
      <c r="Q34" s="325">
        <f t="shared" si="4"/>
        <v>1.7539818526993298E-2</v>
      </c>
      <c r="R34" s="314">
        <v>750432.63</v>
      </c>
      <c r="S34" s="314">
        <v>12258.649738824706</v>
      </c>
      <c r="T34" s="315">
        <f t="shared" si="5"/>
        <v>1.6335443381272886E-2</v>
      </c>
      <c r="U34" s="324">
        <v>693485.321</v>
      </c>
      <c r="V34" s="324">
        <v>8065.2342832300001</v>
      </c>
      <c r="W34" s="325">
        <f t="shared" si="6"/>
        <v>1.163E-2</v>
      </c>
      <c r="X34" s="314">
        <v>643905.56200000003</v>
      </c>
      <c r="Y34" s="314">
        <v>5758.346370937038</v>
      </c>
      <c r="Z34" s="315">
        <f t="shared" si="7"/>
        <v>8.9428430359435804E-3</v>
      </c>
      <c r="AA34" s="316">
        <v>697221.33600000001</v>
      </c>
      <c r="AB34" s="316">
        <v>8184.6572330920635</v>
      </c>
      <c r="AC34" s="317">
        <v>1.1738965534313573E-2</v>
      </c>
      <c r="AD34" s="318">
        <f t="shared" si="8"/>
        <v>1.3237414095704669E-2</v>
      </c>
      <c r="AE34" s="319">
        <f t="shared" si="9"/>
        <v>3.6770594710290747</v>
      </c>
      <c r="AF34" s="320">
        <f t="shared" si="10"/>
        <v>1.2003964479901976</v>
      </c>
      <c r="AG34" s="321">
        <f t="shared" si="11"/>
        <v>4.8774559190192726</v>
      </c>
      <c r="AH34" s="385">
        <f t="shared" si="12"/>
        <v>7.0305692870512485E-2</v>
      </c>
      <c r="AI34" s="385">
        <f t="shared" si="13"/>
        <v>1.4414418917936444E-2</v>
      </c>
      <c r="AJ34" s="118">
        <f t="shared" si="14"/>
        <v>0</v>
      </c>
      <c r="AK34" s="385">
        <f t="shared" si="15"/>
        <v>0</v>
      </c>
      <c r="AL34" s="78">
        <f t="shared" si="16"/>
        <v>4.9332218126722776</v>
      </c>
      <c r="AM34" s="78">
        <f t="shared" si="17"/>
        <v>4.8721718130536935</v>
      </c>
      <c r="AN34" s="78">
        <f t="shared" si="18"/>
        <v>4.5376231614646905</v>
      </c>
      <c r="AO34" s="78">
        <f t="shared" si="19"/>
        <v>3.2305555555555552</v>
      </c>
      <c r="AP34" s="78">
        <f t="shared" si="20"/>
        <v>2.4841230655398836</v>
      </c>
      <c r="AQ34" s="78">
        <f t="shared" si="23"/>
        <v>3.2608237595315481</v>
      </c>
      <c r="AS34" s="386">
        <f t="shared" si="21"/>
        <v>3.6770594710290738</v>
      </c>
      <c r="AT34" s="385">
        <f t="shared" si="22"/>
        <v>0</v>
      </c>
    </row>
    <row r="35" spans="1:46" s="326" customFormat="1" ht="14.45" customHeight="1" x14ac:dyDescent="0.25">
      <c r="A35" s="329" t="s">
        <v>363</v>
      </c>
      <c r="B35" s="323" t="s">
        <v>338</v>
      </c>
      <c r="C35" s="324">
        <v>389475.92700000003</v>
      </c>
      <c r="D35" s="324">
        <v>22589.603766000004</v>
      </c>
      <c r="E35" s="325">
        <f t="shared" si="0"/>
        <v>5.8000000000000003E-2</v>
      </c>
      <c r="F35" s="314">
        <v>394867.609</v>
      </c>
      <c r="G35" s="314">
        <v>7502.484571</v>
      </c>
      <c r="H35" s="315">
        <f t="shared" si="1"/>
        <v>1.9E-2</v>
      </c>
      <c r="I35" s="324">
        <v>393417.99300000002</v>
      </c>
      <c r="J35" s="324">
        <v>5747.8368777300002</v>
      </c>
      <c r="K35" s="325">
        <f t="shared" si="2"/>
        <v>1.461E-2</v>
      </c>
      <c r="L35" s="314">
        <v>408940.80800000002</v>
      </c>
      <c r="M35" s="314">
        <v>7082.8547945599994</v>
      </c>
      <c r="N35" s="315">
        <f t="shared" si="3"/>
        <v>1.7319999999999999E-2</v>
      </c>
      <c r="O35" s="324">
        <v>396511.64600000001</v>
      </c>
      <c r="P35" s="324">
        <v>6728.8026326199997</v>
      </c>
      <c r="Q35" s="325">
        <f t="shared" si="4"/>
        <v>1.6969999999999999E-2</v>
      </c>
      <c r="R35" s="314">
        <v>397070.2</v>
      </c>
      <c r="S35" s="314">
        <v>5813.107728</v>
      </c>
      <c r="T35" s="315">
        <f t="shared" si="5"/>
        <v>1.464E-2</v>
      </c>
      <c r="U35" s="324">
        <v>410501.51498000004</v>
      </c>
      <c r="V35" s="324">
        <v>4774.1326192174001</v>
      </c>
      <c r="W35" s="325">
        <f t="shared" si="6"/>
        <v>1.163E-2</v>
      </c>
      <c r="X35" s="314">
        <v>443730.95603672008</v>
      </c>
      <c r="Y35" s="314">
        <v>3968.2162900255694</v>
      </c>
      <c r="Z35" s="315">
        <f t="shared" si="7"/>
        <v>8.9428430359435804E-3</v>
      </c>
      <c r="AA35" s="316">
        <v>427686.17</v>
      </c>
      <c r="AB35" s="316">
        <v>5020.5932091325758</v>
      </c>
      <c r="AC35" s="317">
        <v>1.1738965534313573E-2</v>
      </c>
      <c r="AD35" s="318">
        <f t="shared" si="8"/>
        <v>1.2784361714051432E-2</v>
      </c>
      <c r="AE35" s="319">
        <f t="shared" si="9"/>
        <v>3.5512115872365086</v>
      </c>
      <c r="AF35" s="320">
        <f t="shared" si="10"/>
        <v>1.1870037340028528</v>
      </c>
      <c r="AG35" s="321">
        <f t="shared" si="11"/>
        <v>4.7382153212393616</v>
      </c>
      <c r="AH35" s="385">
        <f t="shared" si="12"/>
        <v>4.1895412456489256E-2</v>
      </c>
      <c r="AI35" s="385">
        <f t="shared" si="13"/>
        <v>8.842023761286304E-3</v>
      </c>
      <c r="AJ35" s="118">
        <f t="shared" si="14"/>
        <v>0</v>
      </c>
      <c r="AK35" s="385">
        <f t="shared" si="15"/>
        <v>0</v>
      </c>
      <c r="AL35" s="78">
        <f t="shared" si="16"/>
        <v>4.8111111111111109</v>
      </c>
      <c r="AM35" s="78">
        <f t="shared" si="17"/>
        <v>4.7138888888888886</v>
      </c>
      <c r="AN35" s="78">
        <f t="shared" si="18"/>
        <v>4.0666666666666664</v>
      </c>
      <c r="AO35" s="78">
        <f t="shared" si="19"/>
        <v>3.2305555555555552</v>
      </c>
      <c r="AP35" s="78">
        <f t="shared" si="20"/>
        <v>2.4841230655398836</v>
      </c>
      <c r="AQ35" s="78">
        <f t="shared" si="23"/>
        <v>3.2608237595315481</v>
      </c>
      <c r="AS35" s="386">
        <f t="shared" si="21"/>
        <v>3.5512115872365078</v>
      </c>
      <c r="AT35" s="385">
        <f t="shared" si="22"/>
        <v>0</v>
      </c>
    </row>
    <row r="36" spans="1:46" s="326" customFormat="1" ht="14.45" customHeight="1" x14ac:dyDescent="0.25">
      <c r="A36" s="322" t="s">
        <v>364</v>
      </c>
      <c r="B36" s="323" t="s">
        <v>338</v>
      </c>
      <c r="C36" s="324">
        <v>109695</v>
      </c>
      <c r="D36" s="324">
        <v>4851.9900000000007</v>
      </c>
      <c r="E36" s="325">
        <f t="shared" si="0"/>
        <v>4.423164228086969E-2</v>
      </c>
      <c r="F36" s="314">
        <v>110129</v>
      </c>
      <c r="G36" s="314">
        <v>1608.027</v>
      </c>
      <c r="H36" s="315">
        <f t="shared" si="1"/>
        <v>1.460130392539658E-2</v>
      </c>
      <c r="I36" s="324">
        <v>108291</v>
      </c>
      <c r="J36" s="324">
        <v>1205.325</v>
      </c>
      <c r="K36" s="325">
        <f t="shared" si="2"/>
        <v>1.1130426351220324E-2</v>
      </c>
      <c r="L36" s="314">
        <v>87762.335999999996</v>
      </c>
      <c r="M36" s="314">
        <v>1520.0436595199999</v>
      </c>
      <c r="N36" s="315">
        <f t="shared" si="3"/>
        <v>1.7319999999999999E-2</v>
      </c>
      <c r="O36" s="324">
        <v>110705.05499999999</v>
      </c>
      <c r="P36" s="324">
        <v>1441.0254533499999</v>
      </c>
      <c r="Q36" s="325">
        <f t="shared" si="4"/>
        <v>1.3016799037315866E-2</v>
      </c>
      <c r="R36" s="314">
        <v>131820.62</v>
      </c>
      <c r="S36" s="314">
        <v>1551.2488367999999</v>
      </c>
      <c r="T36" s="315">
        <f t="shared" si="5"/>
        <v>1.1767876958855146E-2</v>
      </c>
      <c r="U36" s="324">
        <v>128213</v>
      </c>
      <c r="V36" s="324">
        <v>1192.9821400000001</v>
      </c>
      <c r="W36" s="325">
        <f t="shared" si="6"/>
        <v>9.3046893840718192E-3</v>
      </c>
      <c r="X36" s="314">
        <v>138350</v>
      </c>
      <c r="Y36" s="314">
        <v>1006.7673833004563</v>
      </c>
      <c r="Z36" s="315">
        <f t="shared" si="7"/>
        <v>7.2769597636462334E-3</v>
      </c>
      <c r="AA36" s="316">
        <v>130945</v>
      </c>
      <c r="AB36" s="316">
        <v>1234.6574390369644</v>
      </c>
      <c r="AC36" s="317">
        <v>9.4288246136695897E-3</v>
      </c>
      <c r="AD36" s="318">
        <f t="shared" si="8"/>
        <v>1.0159029951511732E-2</v>
      </c>
      <c r="AE36" s="319">
        <f t="shared" si="9"/>
        <v>2.8219527643088145</v>
      </c>
      <c r="AF36" s="320">
        <f t="shared" si="10"/>
        <v>1.1093961132476489</v>
      </c>
      <c r="AG36" s="321">
        <f t="shared" si="11"/>
        <v>3.9313488775564633</v>
      </c>
      <c r="AH36" s="385">
        <f t="shared" si="12"/>
        <v>1.0642826363505546E-2</v>
      </c>
      <c r="AI36" s="385">
        <f t="shared" si="13"/>
        <v>2.707169140918527E-3</v>
      </c>
      <c r="AJ36" s="118">
        <f t="shared" si="14"/>
        <v>0</v>
      </c>
      <c r="AK36" s="385">
        <f t="shared" si="15"/>
        <v>0</v>
      </c>
      <c r="AL36" s="78">
        <f t="shared" si="16"/>
        <v>4.8111111111111109</v>
      </c>
      <c r="AM36" s="78">
        <f t="shared" si="17"/>
        <v>3.6157775103655183</v>
      </c>
      <c r="AN36" s="78">
        <f t="shared" si="18"/>
        <v>3.2688547107930961</v>
      </c>
      <c r="AO36" s="78">
        <f t="shared" si="19"/>
        <v>2.5846359400199499</v>
      </c>
      <c r="AP36" s="78">
        <f t="shared" si="20"/>
        <v>2.0213777121239538</v>
      </c>
      <c r="AQ36" s="78">
        <f t="shared" si="23"/>
        <v>2.6191179482415525</v>
      </c>
      <c r="AS36" s="386">
        <f t="shared" si="21"/>
        <v>2.821952764308814</v>
      </c>
      <c r="AT36" s="385">
        <f t="shared" si="22"/>
        <v>0</v>
      </c>
    </row>
    <row r="37" spans="1:46" s="326" customFormat="1" ht="14.45" customHeight="1" x14ac:dyDescent="0.25">
      <c r="A37" s="322" t="s">
        <v>365</v>
      </c>
      <c r="B37" s="323" t="s">
        <v>338</v>
      </c>
      <c r="C37" s="324">
        <v>68946.146999999997</v>
      </c>
      <c r="D37" s="324">
        <v>3998.876526</v>
      </c>
      <c r="E37" s="325">
        <f t="shared" si="0"/>
        <v>5.8000000000000003E-2</v>
      </c>
      <c r="F37" s="314">
        <v>73209.172999999995</v>
      </c>
      <c r="G37" s="314">
        <v>1390.9742869999998</v>
      </c>
      <c r="H37" s="315">
        <f t="shared" si="1"/>
        <v>1.9E-2</v>
      </c>
      <c r="I37" s="324">
        <v>71409.91</v>
      </c>
      <c r="J37" s="324">
        <v>1043.2987851</v>
      </c>
      <c r="K37" s="325">
        <f t="shared" si="2"/>
        <v>1.461E-2</v>
      </c>
      <c r="L37" s="314">
        <v>74429.842000000004</v>
      </c>
      <c r="M37" s="314">
        <v>1289.1248634399999</v>
      </c>
      <c r="N37" s="315">
        <f t="shared" si="3"/>
        <v>1.7319999999999999E-2</v>
      </c>
      <c r="O37" s="324">
        <v>72730.820999999996</v>
      </c>
      <c r="P37" s="324">
        <v>1234.2420323699998</v>
      </c>
      <c r="Q37" s="325">
        <f t="shared" si="4"/>
        <v>1.6969999999999999E-2</v>
      </c>
      <c r="R37" s="314">
        <v>71780.92</v>
      </c>
      <c r="S37" s="314">
        <v>1050.8726687999999</v>
      </c>
      <c r="T37" s="315">
        <f t="shared" si="5"/>
        <v>1.4639999999999999E-2</v>
      </c>
      <c r="U37" s="324">
        <v>71964.560540000006</v>
      </c>
      <c r="V37" s="324">
        <v>836.94783908020008</v>
      </c>
      <c r="W37" s="325">
        <f t="shared" si="6"/>
        <v>1.163E-2</v>
      </c>
      <c r="X37" s="314">
        <v>74998.100999999995</v>
      </c>
      <c r="Y37" s="314">
        <v>670.6962452368432</v>
      </c>
      <c r="Z37" s="315">
        <f t="shared" si="7"/>
        <v>8.9428430359435804E-3</v>
      </c>
      <c r="AA37" s="316">
        <v>70272.418000000005</v>
      </c>
      <c r="AB37" s="316">
        <v>824.92549291487683</v>
      </c>
      <c r="AC37" s="317">
        <v>1.1738965534313573E-2</v>
      </c>
      <c r="AD37" s="318">
        <f t="shared" si="8"/>
        <v>1.2784361714051432E-2</v>
      </c>
      <c r="AE37" s="319">
        <f t="shared" si="9"/>
        <v>3.5512115872365086</v>
      </c>
      <c r="AF37" s="320">
        <f t="shared" si="10"/>
        <v>1.1870037340028528</v>
      </c>
      <c r="AG37" s="321">
        <f t="shared" si="11"/>
        <v>4.7382153212393616</v>
      </c>
      <c r="AH37" s="385">
        <f t="shared" si="12"/>
        <v>6.8837669836853037E-3</v>
      </c>
      <c r="AI37" s="385">
        <f t="shared" si="13"/>
        <v>1.4528185227945141E-3</v>
      </c>
      <c r="AJ37" s="118">
        <f t="shared" si="14"/>
        <v>0</v>
      </c>
      <c r="AK37" s="385">
        <f t="shared" si="15"/>
        <v>0</v>
      </c>
      <c r="AL37" s="78">
        <f t="shared" si="16"/>
        <v>4.8111111111111109</v>
      </c>
      <c r="AM37" s="78">
        <f t="shared" si="17"/>
        <v>4.7138888888888886</v>
      </c>
      <c r="AN37" s="78">
        <f t="shared" si="18"/>
        <v>4.0666666666666664</v>
      </c>
      <c r="AO37" s="78">
        <f t="shared" si="19"/>
        <v>3.2305555555555552</v>
      </c>
      <c r="AP37" s="78">
        <f t="shared" si="20"/>
        <v>2.4841230655398836</v>
      </c>
      <c r="AQ37" s="78">
        <f t="shared" si="23"/>
        <v>3.2608237595315481</v>
      </c>
      <c r="AS37" s="386">
        <f t="shared" si="21"/>
        <v>3.5512115872365078</v>
      </c>
      <c r="AT37" s="385">
        <f t="shared" si="22"/>
        <v>0</v>
      </c>
    </row>
    <row r="38" spans="1:46" s="326" customFormat="1" ht="14.45" customHeight="1" x14ac:dyDescent="0.25">
      <c r="A38" s="329" t="s">
        <v>366</v>
      </c>
      <c r="B38" s="323" t="s">
        <v>338</v>
      </c>
      <c r="C38" s="324">
        <v>544399.31999999995</v>
      </c>
      <c r="D38" s="324">
        <v>31575.16056</v>
      </c>
      <c r="E38" s="325">
        <f t="shared" si="0"/>
        <v>5.8000000000000003E-2</v>
      </c>
      <c r="F38" s="314">
        <v>537985.80700000003</v>
      </c>
      <c r="G38" s="314">
        <v>10221.730333</v>
      </c>
      <c r="H38" s="315">
        <f t="shared" si="1"/>
        <v>1.9E-2</v>
      </c>
      <c r="I38" s="324">
        <v>557780.37100000004</v>
      </c>
      <c r="J38" s="324">
        <v>7583.1595124100004</v>
      </c>
      <c r="K38" s="325">
        <f t="shared" si="2"/>
        <v>1.3595242691697373E-2</v>
      </c>
      <c r="L38" s="314">
        <v>556394.03700000001</v>
      </c>
      <c r="M38" s="314">
        <v>8974.9721152399998</v>
      </c>
      <c r="N38" s="315">
        <f t="shared" si="3"/>
        <v>1.6130604424935632E-2</v>
      </c>
      <c r="O38" s="324">
        <v>606208.77099999995</v>
      </c>
      <c r="P38" s="324">
        <v>9634.6998681699988</v>
      </c>
      <c r="Q38" s="325">
        <f t="shared" si="4"/>
        <v>1.5893369296317884E-2</v>
      </c>
      <c r="R38" s="314">
        <v>616432.76</v>
      </c>
      <c r="S38" s="314">
        <v>8146.1322720000007</v>
      </c>
      <c r="T38" s="315">
        <f t="shared" si="5"/>
        <v>1.3214956765114172E-2</v>
      </c>
      <c r="U38" s="324">
        <v>566878</v>
      </c>
      <c r="V38" s="324">
        <v>4880.5876499999995</v>
      </c>
      <c r="W38" s="325">
        <f t="shared" si="6"/>
        <v>8.6095908643482356E-3</v>
      </c>
      <c r="X38" s="314">
        <v>627814.11199999996</v>
      </c>
      <c r="Y38" s="314">
        <v>3878.9313383114199</v>
      </c>
      <c r="Z38" s="315">
        <f t="shared" si="7"/>
        <v>6.1784710858991017E-3</v>
      </c>
      <c r="AA38" s="316">
        <v>699093.14</v>
      </c>
      <c r="AB38" s="316">
        <v>15691.391418116778</v>
      </c>
      <c r="AC38" s="317">
        <v>2.2445351728264389E-2</v>
      </c>
      <c r="AD38" s="318">
        <f t="shared" si="8"/>
        <v>1.3268347947988757E-2</v>
      </c>
      <c r="AE38" s="319">
        <f t="shared" si="9"/>
        <v>3.6856522077746545</v>
      </c>
      <c r="AF38" s="320">
        <f t="shared" si="10"/>
        <v>1.2013108858189003</v>
      </c>
      <c r="AG38" s="321">
        <f t="shared" si="11"/>
        <v>4.8869630935935549</v>
      </c>
      <c r="AH38" s="385">
        <f t="shared" si="12"/>
        <v>7.0631848234483013E-2</v>
      </c>
      <c r="AI38" s="385">
        <f t="shared" si="13"/>
        <v>1.4453116768382417E-2</v>
      </c>
      <c r="AJ38" s="118">
        <f t="shared" si="14"/>
        <v>0</v>
      </c>
      <c r="AK38" s="385">
        <f t="shared" si="15"/>
        <v>0</v>
      </c>
      <c r="AL38" s="78">
        <f t="shared" si="16"/>
        <v>4.4807234513710084</v>
      </c>
      <c r="AM38" s="78">
        <f t="shared" si="17"/>
        <v>4.4148248045327456</v>
      </c>
      <c r="AN38" s="78">
        <f t="shared" si="18"/>
        <v>3.6708213236428255</v>
      </c>
      <c r="AO38" s="78">
        <f t="shared" si="19"/>
        <v>2.3915530178745099</v>
      </c>
      <c r="AP38" s="78">
        <f t="shared" si="20"/>
        <v>1.7162419683053061</v>
      </c>
      <c r="AQ38" s="78">
        <f t="shared" si="23"/>
        <v>6.2348199245178852</v>
      </c>
      <c r="AS38" s="386">
        <f t="shared" si="21"/>
        <v>3.6856522077746545</v>
      </c>
      <c r="AT38" s="385">
        <f t="shared" si="22"/>
        <v>0</v>
      </c>
    </row>
    <row r="39" spans="1:46" s="326" customFormat="1" ht="14.45" customHeight="1" x14ac:dyDescent="0.25">
      <c r="A39" s="322" t="s">
        <v>367</v>
      </c>
      <c r="B39" s="323" t="s">
        <v>338</v>
      </c>
      <c r="C39" s="324">
        <v>644031.85600000003</v>
      </c>
      <c r="D39" s="324">
        <v>37353.847648000003</v>
      </c>
      <c r="E39" s="325">
        <f t="shared" si="0"/>
        <v>5.8000000000000003E-2</v>
      </c>
      <c r="F39" s="314">
        <v>656335.08400000003</v>
      </c>
      <c r="G39" s="314">
        <v>12470.366596</v>
      </c>
      <c r="H39" s="315">
        <f t="shared" si="1"/>
        <v>1.9E-2</v>
      </c>
      <c r="I39" s="324">
        <v>664752.26800000004</v>
      </c>
      <c r="J39" s="324">
        <v>9712.0306354799995</v>
      </c>
      <c r="K39" s="325">
        <f t="shared" si="2"/>
        <v>1.4609999999999998E-2</v>
      </c>
      <c r="L39" s="314">
        <v>696022.89899999998</v>
      </c>
      <c r="M39" s="314">
        <v>12055.116610679999</v>
      </c>
      <c r="N39" s="315">
        <f t="shared" si="3"/>
        <v>1.7319999999999999E-2</v>
      </c>
      <c r="O39" s="324">
        <v>686151.63399999996</v>
      </c>
      <c r="P39" s="324">
        <v>11643.993228979998</v>
      </c>
      <c r="Q39" s="325">
        <f t="shared" si="4"/>
        <v>1.6969999999999999E-2</v>
      </c>
      <c r="R39" s="314">
        <v>687344.32</v>
      </c>
      <c r="S39" s="314">
        <v>10062.7208448</v>
      </c>
      <c r="T39" s="315">
        <f t="shared" si="5"/>
        <v>1.4640000000000002E-2</v>
      </c>
      <c r="U39" s="324">
        <v>575882.75</v>
      </c>
      <c r="V39" s="324">
        <v>6697.5163825</v>
      </c>
      <c r="W39" s="325">
        <f t="shared" si="6"/>
        <v>1.163E-2</v>
      </c>
      <c r="X39" s="314">
        <v>707082.11800000002</v>
      </c>
      <c r="Y39" s="314">
        <v>6323.3243947965375</v>
      </c>
      <c r="Z39" s="315">
        <f t="shared" si="7"/>
        <v>8.9428430359435804E-3</v>
      </c>
      <c r="AA39" s="316">
        <v>683177.45600000001</v>
      </c>
      <c r="AB39" s="316">
        <v>8019.7966098040279</v>
      </c>
      <c r="AC39" s="317">
        <v>1.1738965534313573E-2</v>
      </c>
      <c r="AD39" s="318">
        <f t="shared" si="8"/>
        <v>1.2784361714051432E-2</v>
      </c>
      <c r="AE39" s="319">
        <f t="shared" si="9"/>
        <v>3.5512115872365086</v>
      </c>
      <c r="AF39" s="320">
        <f t="shared" si="10"/>
        <v>1.1870037340028528</v>
      </c>
      <c r="AG39" s="321">
        <f t="shared" si="11"/>
        <v>4.7382153212393616</v>
      </c>
      <c r="AH39" s="385">
        <f t="shared" si="12"/>
        <v>6.6922905877679045E-2</v>
      </c>
      <c r="AI39" s="385">
        <f t="shared" si="13"/>
        <v>1.4124074433192751E-2</v>
      </c>
      <c r="AJ39" s="118">
        <f t="shared" si="14"/>
        <v>0</v>
      </c>
      <c r="AK39" s="385">
        <f t="shared" si="15"/>
        <v>0</v>
      </c>
      <c r="AL39" s="78">
        <f t="shared" si="16"/>
        <v>4.8111111111111109</v>
      </c>
      <c r="AM39" s="78">
        <f t="shared" si="17"/>
        <v>4.7138888888888886</v>
      </c>
      <c r="AN39" s="78">
        <f t="shared" si="18"/>
        <v>4.0666666666666673</v>
      </c>
      <c r="AO39" s="78">
        <f t="shared" si="19"/>
        <v>3.2305555555555552</v>
      </c>
      <c r="AP39" s="78">
        <f t="shared" si="20"/>
        <v>2.4841230655398836</v>
      </c>
      <c r="AQ39" s="78">
        <f t="shared" si="23"/>
        <v>3.2608237595315481</v>
      </c>
      <c r="AS39" s="386">
        <f t="shared" si="21"/>
        <v>3.5512115872365078</v>
      </c>
      <c r="AT39" s="385">
        <f t="shared" si="22"/>
        <v>0</v>
      </c>
    </row>
    <row r="40" spans="1:46" s="326" customFormat="1" ht="14.45" customHeight="1" x14ac:dyDescent="0.25">
      <c r="A40" s="322" t="s">
        <v>368</v>
      </c>
      <c r="B40" s="323" t="s">
        <v>338</v>
      </c>
      <c r="C40" s="324">
        <v>321191.42800000001</v>
      </c>
      <c r="D40" s="324">
        <v>18629.102824000001</v>
      </c>
      <c r="E40" s="325">
        <f t="shared" si="0"/>
        <v>5.8000000000000003E-2</v>
      </c>
      <c r="F40" s="314">
        <v>330464.91399999999</v>
      </c>
      <c r="G40" s="314">
        <v>6278.8333659999998</v>
      </c>
      <c r="H40" s="315">
        <f t="shared" si="1"/>
        <v>1.9E-2</v>
      </c>
      <c r="I40" s="324">
        <v>323230.027</v>
      </c>
      <c r="J40" s="324">
        <v>4722.3906944700002</v>
      </c>
      <c r="K40" s="325">
        <f t="shared" si="2"/>
        <v>1.461E-2</v>
      </c>
      <c r="L40" s="314">
        <v>331171.15700000001</v>
      </c>
      <c r="M40" s="314">
        <v>5735.8844392399997</v>
      </c>
      <c r="N40" s="315">
        <f t="shared" si="3"/>
        <v>1.7319999999999999E-2</v>
      </c>
      <c r="O40" s="324">
        <v>324390.81099999999</v>
      </c>
      <c r="P40" s="324">
        <v>5504.9120626699996</v>
      </c>
      <c r="Q40" s="325">
        <f t="shared" si="4"/>
        <v>1.6969999999999999E-2</v>
      </c>
      <c r="R40" s="314">
        <v>324483</v>
      </c>
      <c r="S40" s="314">
        <v>4750.4311200000002</v>
      </c>
      <c r="T40" s="315">
        <f t="shared" si="5"/>
        <v>1.464E-2</v>
      </c>
      <c r="U40" s="324">
        <v>325566.03447000001</v>
      </c>
      <c r="V40" s="324">
        <v>3786.3329808860999</v>
      </c>
      <c r="W40" s="325">
        <f t="shared" si="6"/>
        <v>1.163E-2</v>
      </c>
      <c r="X40" s="314">
        <v>341480.42200000002</v>
      </c>
      <c r="Y40" s="314">
        <v>3053.8058137937751</v>
      </c>
      <c r="Z40" s="315">
        <f t="shared" si="7"/>
        <v>8.9428430359435804E-3</v>
      </c>
      <c r="AA40" s="316">
        <v>326334.701</v>
      </c>
      <c r="AB40" s="316">
        <v>3830.8318076895252</v>
      </c>
      <c r="AC40" s="317">
        <v>1.1738965534313573E-2</v>
      </c>
      <c r="AD40" s="318">
        <f t="shared" si="8"/>
        <v>1.2784361714051432E-2</v>
      </c>
      <c r="AE40" s="319">
        <f t="shared" si="9"/>
        <v>3.5512115872365086</v>
      </c>
      <c r="AF40" s="320">
        <f t="shared" si="10"/>
        <v>1.1870037340028528</v>
      </c>
      <c r="AG40" s="321">
        <f t="shared" si="11"/>
        <v>4.7382153212393616</v>
      </c>
      <c r="AH40" s="385">
        <f t="shared" si="12"/>
        <v>3.1967194303383947E-2</v>
      </c>
      <c r="AI40" s="385">
        <f t="shared" si="13"/>
        <v>6.7466740399257279E-3</v>
      </c>
      <c r="AJ40" s="118">
        <f t="shared" si="14"/>
        <v>0</v>
      </c>
      <c r="AK40" s="385">
        <f t="shared" si="15"/>
        <v>0</v>
      </c>
      <c r="AL40" s="78">
        <f t="shared" si="16"/>
        <v>4.8111111111111109</v>
      </c>
      <c r="AM40" s="78">
        <f t="shared" si="17"/>
        <v>4.7138888888888886</v>
      </c>
      <c r="AN40" s="78">
        <f t="shared" si="18"/>
        <v>4.0666666666666664</v>
      </c>
      <c r="AO40" s="78">
        <f t="shared" si="19"/>
        <v>3.2305555555555552</v>
      </c>
      <c r="AP40" s="78">
        <f t="shared" si="20"/>
        <v>2.4841230655398836</v>
      </c>
      <c r="AQ40" s="78">
        <f t="shared" si="23"/>
        <v>3.2608237595315481</v>
      </c>
      <c r="AS40" s="386">
        <f t="shared" si="21"/>
        <v>3.5512115872365078</v>
      </c>
      <c r="AT40" s="385">
        <f t="shared" si="22"/>
        <v>0</v>
      </c>
    </row>
    <row r="41" spans="1:46" s="326" customFormat="1" ht="14.45" customHeight="1" x14ac:dyDescent="0.25">
      <c r="A41" s="329" t="s">
        <v>369</v>
      </c>
      <c r="B41" s="323" t="s">
        <v>338</v>
      </c>
      <c r="C41" s="324">
        <v>831407.01100000006</v>
      </c>
      <c r="D41" s="324">
        <v>48221.606638000005</v>
      </c>
      <c r="E41" s="325">
        <f t="shared" si="0"/>
        <v>5.8000000000000003E-2</v>
      </c>
      <c r="F41" s="314">
        <v>847248.62199999997</v>
      </c>
      <c r="G41" s="314">
        <v>16097.723817999999</v>
      </c>
      <c r="H41" s="315">
        <f t="shared" si="1"/>
        <v>1.9E-2</v>
      </c>
      <c r="I41" s="324">
        <v>840678.16099999996</v>
      </c>
      <c r="J41" s="324">
        <v>12282.307932209998</v>
      </c>
      <c r="K41" s="325">
        <f t="shared" si="2"/>
        <v>1.4609999999999998E-2</v>
      </c>
      <c r="L41" s="314">
        <v>867593.27100000007</v>
      </c>
      <c r="M41" s="314">
        <v>15026.71545372</v>
      </c>
      <c r="N41" s="315">
        <f t="shared" si="3"/>
        <v>1.7319999999999999E-2</v>
      </c>
      <c r="O41" s="324">
        <v>802416.29</v>
      </c>
      <c r="P41" s="324">
        <v>13617.0044413</v>
      </c>
      <c r="Q41" s="325">
        <f t="shared" si="4"/>
        <v>1.6969999999999999E-2</v>
      </c>
      <c r="R41" s="314">
        <v>758264</v>
      </c>
      <c r="S41" s="314">
        <v>11100.98496</v>
      </c>
      <c r="T41" s="315">
        <f t="shared" si="5"/>
        <v>1.464E-2</v>
      </c>
      <c r="U41" s="324">
        <v>771892.96258000005</v>
      </c>
      <c r="V41" s="324">
        <v>8977.1151548054004</v>
      </c>
      <c r="W41" s="325">
        <f t="shared" si="6"/>
        <v>1.163E-2</v>
      </c>
      <c r="X41" s="314">
        <v>818095.00100000005</v>
      </c>
      <c r="Y41" s="314">
        <v>7316.0951824331069</v>
      </c>
      <c r="Z41" s="315">
        <f t="shared" si="7"/>
        <v>8.9428430359435804E-3</v>
      </c>
      <c r="AA41" s="316">
        <v>787352.68</v>
      </c>
      <c r="AB41" s="316">
        <v>9242.7059738694243</v>
      </c>
      <c r="AC41" s="317">
        <v>1.1738965534313573E-2</v>
      </c>
      <c r="AD41" s="318">
        <f t="shared" si="8"/>
        <v>1.2784361714051432E-2</v>
      </c>
      <c r="AE41" s="319">
        <f t="shared" si="9"/>
        <v>3.5512115872365086</v>
      </c>
      <c r="AF41" s="320">
        <f t="shared" si="10"/>
        <v>1.1870037340028528</v>
      </c>
      <c r="AG41" s="321">
        <f t="shared" si="11"/>
        <v>4.7382153212393616</v>
      </c>
      <c r="AH41" s="385">
        <f t="shared" si="12"/>
        <v>7.712773428545093E-2</v>
      </c>
      <c r="AI41" s="385">
        <f t="shared" si="13"/>
        <v>1.6277802728744892E-2</v>
      </c>
      <c r="AJ41" s="118">
        <f t="shared" si="14"/>
        <v>0</v>
      </c>
      <c r="AK41" s="385">
        <f t="shared" si="15"/>
        <v>0</v>
      </c>
      <c r="AL41" s="78">
        <f t="shared" si="16"/>
        <v>4.8111111111111109</v>
      </c>
      <c r="AM41" s="78">
        <f t="shared" si="17"/>
        <v>4.7138888888888886</v>
      </c>
      <c r="AN41" s="78">
        <f t="shared" si="18"/>
        <v>4.0666666666666664</v>
      </c>
      <c r="AO41" s="78">
        <f t="shared" si="19"/>
        <v>3.2305555555555552</v>
      </c>
      <c r="AP41" s="78">
        <f t="shared" si="20"/>
        <v>2.4841230655398836</v>
      </c>
      <c r="AQ41" s="78">
        <f t="shared" si="23"/>
        <v>3.2608237595315481</v>
      </c>
      <c r="AS41" s="386">
        <f t="shared" si="21"/>
        <v>3.5512115872365078</v>
      </c>
      <c r="AT41" s="385">
        <f t="shared" si="22"/>
        <v>0</v>
      </c>
    </row>
    <row r="42" spans="1:46" s="326" customFormat="1" ht="14.45" customHeight="1" x14ac:dyDescent="0.25">
      <c r="A42" s="322" t="s">
        <v>370</v>
      </c>
      <c r="B42" s="323" t="s">
        <v>338</v>
      </c>
      <c r="C42" s="324">
        <v>37087</v>
      </c>
      <c r="D42" s="324">
        <v>2151.0460000000003</v>
      </c>
      <c r="E42" s="325">
        <f t="shared" si="0"/>
        <v>5.800000000000001E-2</v>
      </c>
      <c r="F42" s="314">
        <v>38342</v>
      </c>
      <c r="G42" s="314">
        <v>728.49799999999993</v>
      </c>
      <c r="H42" s="315">
        <f t="shared" si="1"/>
        <v>1.9E-2</v>
      </c>
      <c r="I42" s="324">
        <v>39609</v>
      </c>
      <c r="J42" s="324">
        <v>578.68749000000003</v>
      </c>
      <c r="K42" s="325">
        <f t="shared" si="2"/>
        <v>1.4610000000000001E-2</v>
      </c>
      <c r="L42" s="314">
        <v>35535.89</v>
      </c>
      <c r="M42" s="314">
        <v>615.48161479999999</v>
      </c>
      <c r="N42" s="315">
        <f t="shared" si="3"/>
        <v>1.7319999999999999E-2</v>
      </c>
      <c r="O42" s="324">
        <v>35384.9</v>
      </c>
      <c r="P42" s="324">
        <v>600.48175300000003</v>
      </c>
      <c r="Q42" s="325">
        <f t="shared" si="4"/>
        <v>1.6969999999999999E-2</v>
      </c>
      <c r="R42" s="314">
        <v>36636.04</v>
      </c>
      <c r="S42" s="314">
        <v>511.32923040000003</v>
      </c>
      <c r="T42" s="315">
        <f t="shared" si="5"/>
        <v>1.3957000549185992E-2</v>
      </c>
      <c r="U42" s="324">
        <v>39945.47</v>
      </c>
      <c r="V42" s="324">
        <v>442.24237999999997</v>
      </c>
      <c r="W42" s="325">
        <f t="shared" si="6"/>
        <v>1.1071152248302497E-2</v>
      </c>
      <c r="X42" s="314">
        <v>41993.120000000003</v>
      </c>
      <c r="Y42" s="314">
        <v>361.79165786213349</v>
      </c>
      <c r="Z42" s="315">
        <f t="shared" si="7"/>
        <v>8.61549839264464E-3</v>
      </c>
      <c r="AA42" s="316">
        <v>41590</v>
      </c>
      <c r="AB42" s="316">
        <v>488.22357657210148</v>
      </c>
      <c r="AC42" s="317">
        <v>1.1738965534313573E-2</v>
      </c>
      <c r="AD42" s="318">
        <f t="shared" si="8"/>
        <v>1.247052334488934E-2</v>
      </c>
      <c r="AE42" s="319">
        <f t="shared" si="9"/>
        <v>3.4640342624692608</v>
      </c>
      <c r="AF42" s="320">
        <f t="shared" si="10"/>
        <v>1.1777263354355945</v>
      </c>
      <c r="AG42" s="321">
        <f t="shared" si="11"/>
        <v>4.6417605979048551</v>
      </c>
      <c r="AH42" s="385">
        <f t="shared" si="12"/>
        <v>3.9911507226466662E-3</v>
      </c>
      <c r="AI42" s="385">
        <f t="shared" si="13"/>
        <v>8.5983553836191948E-4</v>
      </c>
      <c r="AJ42" s="118">
        <f t="shared" si="14"/>
        <v>0</v>
      </c>
      <c r="AK42" s="385">
        <f t="shared" si="15"/>
        <v>0</v>
      </c>
      <c r="AL42" s="78">
        <f t="shared" si="16"/>
        <v>4.8111111111111109</v>
      </c>
      <c r="AM42" s="78">
        <f t="shared" si="17"/>
        <v>4.7138888888888886</v>
      </c>
      <c r="AN42" s="78">
        <f t="shared" si="18"/>
        <v>3.8769445969961089</v>
      </c>
      <c r="AO42" s="78">
        <f t="shared" si="19"/>
        <v>3.0753200689729159</v>
      </c>
      <c r="AP42" s="78">
        <f t="shared" si="20"/>
        <v>2.3931939979568444</v>
      </c>
      <c r="AQ42" s="78">
        <f t="shared" si="23"/>
        <v>3.2608237595315481</v>
      </c>
      <c r="AS42" s="386">
        <f t="shared" si="21"/>
        <v>3.4640342624692613</v>
      </c>
      <c r="AT42" s="385">
        <f t="shared" si="22"/>
        <v>0</v>
      </c>
    </row>
    <row r="43" spans="1:46" s="326" customFormat="1" ht="14.45" customHeight="1" x14ac:dyDescent="0.25">
      <c r="A43" s="329" t="s">
        <v>371</v>
      </c>
      <c r="B43" s="323" t="s">
        <v>338</v>
      </c>
      <c r="C43" s="324">
        <v>472147</v>
      </c>
      <c r="D43" s="324">
        <v>27320.726000000002</v>
      </c>
      <c r="E43" s="325">
        <f t="shared" si="0"/>
        <v>5.7864872592645937E-2</v>
      </c>
      <c r="F43" s="314">
        <v>490503</v>
      </c>
      <c r="G43" s="314">
        <v>9303.6540000000005</v>
      </c>
      <c r="H43" s="315">
        <f t="shared" si="1"/>
        <v>1.896757817994997E-2</v>
      </c>
      <c r="I43" s="324">
        <v>485278</v>
      </c>
      <c r="J43" s="324">
        <v>7050.9613199999994</v>
      </c>
      <c r="K43" s="325">
        <f t="shared" si="2"/>
        <v>1.4529736192450512E-2</v>
      </c>
      <c r="L43" s="314">
        <v>483299.82</v>
      </c>
      <c r="M43" s="314">
        <v>8293.4364023999988</v>
      </c>
      <c r="N43" s="315">
        <f t="shared" si="3"/>
        <v>1.7160023776545165E-2</v>
      </c>
      <c r="O43" s="324">
        <v>465149.603</v>
      </c>
      <c r="P43" s="324">
        <v>7801.0683229099996</v>
      </c>
      <c r="Q43" s="325">
        <f t="shared" si="4"/>
        <v>1.6771095304815298E-2</v>
      </c>
      <c r="R43" s="314">
        <v>452591</v>
      </c>
      <c r="S43" s="314">
        <v>6562.1896800000004</v>
      </c>
      <c r="T43" s="315">
        <f t="shared" si="5"/>
        <v>1.4499160787554328E-2</v>
      </c>
      <c r="U43" s="324">
        <v>476832</v>
      </c>
      <c r="V43" s="324">
        <v>5521.23783</v>
      </c>
      <c r="W43" s="325">
        <f t="shared" si="6"/>
        <v>1.1579000213911818E-2</v>
      </c>
      <c r="X43" s="314">
        <v>500982</v>
      </c>
      <c r="Y43" s="314">
        <v>4463.990015408921</v>
      </c>
      <c r="Z43" s="315">
        <f t="shared" si="7"/>
        <v>8.9104798483955923E-3</v>
      </c>
      <c r="AA43" s="316">
        <v>486751.12400000001</v>
      </c>
      <c r="AB43" s="316">
        <v>5678.3503859588191</v>
      </c>
      <c r="AC43" s="317">
        <v>1.1665818743869648E-2</v>
      </c>
      <c r="AD43" s="318">
        <f t="shared" si="8"/>
        <v>1.2685110979709336E-2</v>
      </c>
      <c r="AE43" s="319">
        <f t="shared" si="9"/>
        <v>3.5236419388081486</v>
      </c>
      <c r="AF43" s="320">
        <f t="shared" si="10"/>
        <v>1.184069775917858</v>
      </c>
      <c r="AG43" s="321">
        <f t="shared" si="11"/>
        <v>4.7077117147260061</v>
      </c>
      <c r="AH43" s="385">
        <f t="shared" si="12"/>
        <v>4.7374353253143028E-2</v>
      </c>
      <c r="AI43" s="385">
        <f t="shared" si="13"/>
        <v>1.0063138128223357E-2</v>
      </c>
      <c r="AJ43" s="118">
        <f t="shared" si="14"/>
        <v>0</v>
      </c>
      <c r="AK43" s="385">
        <f t="shared" si="15"/>
        <v>0</v>
      </c>
      <c r="AL43" s="78">
        <f t="shared" si="16"/>
        <v>4.7666732712625457</v>
      </c>
      <c r="AM43" s="78">
        <f t="shared" si="17"/>
        <v>4.6586375846709158</v>
      </c>
      <c r="AN43" s="78">
        <f t="shared" si="18"/>
        <v>4.0275446632095351</v>
      </c>
      <c r="AO43" s="78">
        <f t="shared" si="19"/>
        <v>3.2163889483088384</v>
      </c>
      <c r="AP43" s="78">
        <f t="shared" si="20"/>
        <v>2.475133291220998</v>
      </c>
      <c r="AQ43" s="78">
        <f t="shared" si="23"/>
        <v>3.2405052066304578</v>
      </c>
      <c r="AS43" s="386">
        <f t="shared" si="21"/>
        <v>3.5236419388081495</v>
      </c>
      <c r="AT43" s="385">
        <f t="shared" si="22"/>
        <v>0</v>
      </c>
    </row>
    <row r="44" spans="1:46" ht="14.45" customHeight="1" x14ac:dyDescent="0.25">
      <c r="A44" s="327" t="s">
        <v>372</v>
      </c>
      <c r="B44" s="309" t="s">
        <v>338</v>
      </c>
      <c r="C44" s="310">
        <v>897076.21299999999</v>
      </c>
      <c r="D44" s="310">
        <v>24819.690374150003</v>
      </c>
      <c r="E44" s="311">
        <f t="shared" si="0"/>
        <v>2.766731523417398E-2</v>
      </c>
      <c r="F44" s="312">
        <v>961434.77799999993</v>
      </c>
      <c r="G44" s="312">
        <v>10580.883632999999</v>
      </c>
      <c r="H44" s="313">
        <f t="shared" si="1"/>
        <v>1.1005305690117234E-2</v>
      </c>
      <c r="I44" s="310">
        <v>1022505.9790000001</v>
      </c>
      <c r="J44" s="310">
        <v>14737.651514699999</v>
      </c>
      <c r="K44" s="311">
        <f t="shared" si="2"/>
        <v>1.441326683401232E-2</v>
      </c>
      <c r="L44" s="312">
        <v>1141456.7489118872</v>
      </c>
      <c r="M44" s="312">
        <v>19049.679258958284</v>
      </c>
      <c r="N44" s="313">
        <f t="shared" si="3"/>
        <v>1.6688919030105793E-2</v>
      </c>
      <c r="O44" s="310">
        <v>1400037.9316551881</v>
      </c>
      <c r="P44" s="310">
        <v>26376.050777763179</v>
      </c>
      <c r="Q44" s="311">
        <f t="shared" si="4"/>
        <v>1.8839525830975323E-2</v>
      </c>
      <c r="R44" s="312">
        <v>1635668.1767190872</v>
      </c>
      <c r="S44" s="312">
        <v>16295.894006967215</v>
      </c>
      <c r="T44" s="313">
        <f t="shared" si="5"/>
        <v>9.9628361295470164E-3</v>
      </c>
      <c r="U44" s="310">
        <v>1846805.7889999999</v>
      </c>
      <c r="V44" s="310">
        <v>24327.649043169527</v>
      </c>
      <c r="W44" s="311">
        <f t="shared" si="6"/>
        <v>1.317282477024417E-2</v>
      </c>
      <c r="X44" s="314">
        <v>2182289.9610000006</v>
      </c>
      <c r="Y44" s="314">
        <v>39649</v>
      </c>
      <c r="Z44" s="315">
        <f t="shared" si="7"/>
        <v>1.8168529713545243E-2</v>
      </c>
      <c r="AA44" s="316">
        <v>2599454.7159000002</v>
      </c>
      <c r="AB44" s="316">
        <v>262355.53653852089</v>
      </c>
      <c r="AC44" s="317">
        <v>0.10092714250176366</v>
      </c>
      <c r="AD44" s="318">
        <f t="shared" si="8"/>
        <v>3.2214171789215082E-2</v>
      </c>
      <c r="AE44" s="319">
        <f t="shared" si="9"/>
        <v>8.9483810525597445</v>
      </c>
      <c r="AF44" s="320">
        <f t="shared" si="10"/>
        <v>1.76136974487236</v>
      </c>
      <c r="AG44" s="321">
        <f t="shared" si="11"/>
        <v>10.709750797432104</v>
      </c>
      <c r="AH44" s="385">
        <f t="shared" si="12"/>
        <v>0.57555667166161018</v>
      </c>
      <c r="AI44" s="385">
        <f t="shared" si="13"/>
        <v>5.3741369201570258E-2</v>
      </c>
      <c r="AJ44" s="118">
        <f t="shared" si="14"/>
        <v>0</v>
      </c>
      <c r="AK44" s="385">
        <f t="shared" si="15"/>
        <v>0</v>
      </c>
      <c r="AL44" s="78">
        <f t="shared" si="16"/>
        <v>4.6358108416960535</v>
      </c>
      <c r="AM44" s="78">
        <f t="shared" si="17"/>
        <v>5.2332016197153672</v>
      </c>
      <c r="AN44" s="78">
        <f t="shared" si="18"/>
        <v>2.7674544804297265</v>
      </c>
      <c r="AO44" s="78">
        <f t="shared" si="19"/>
        <v>3.6591179917344916</v>
      </c>
      <c r="AP44" s="78">
        <f t="shared" si="20"/>
        <v>5.046813809318123</v>
      </c>
      <c r="AQ44" s="78">
        <f t="shared" si="23"/>
        <v>28.035317361601013</v>
      </c>
      <c r="AS44" s="386">
        <f t="shared" si="21"/>
        <v>8.9483810525597445</v>
      </c>
      <c r="AT44" s="385">
        <f t="shared" si="22"/>
        <v>0</v>
      </c>
    </row>
    <row r="45" spans="1:46" s="326" customFormat="1" ht="14.45" customHeight="1" x14ac:dyDescent="0.25">
      <c r="A45" s="322" t="s">
        <v>373</v>
      </c>
      <c r="B45" s="323" t="s">
        <v>338</v>
      </c>
      <c r="C45" s="324">
        <v>23740.078000000001</v>
      </c>
      <c r="D45" s="324">
        <v>1376.9245240000002</v>
      </c>
      <c r="E45" s="325">
        <f t="shared" si="0"/>
        <v>5.800000000000001E-2</v>
      </c>
      <c r="F45" s="314">
        <v>23241.222000000002</v>
      </c>
      <c r="G45" s="314">
        <v>441.58321800000004</v>
      </c>
      <c r="H45" s="315">
        <f t="shared" si="1"/>
        <v>1.9E-2</v>
      </c>
      <c r="I45" s="324">
        <v>23936.631000000001</v>
      </c>
      <c r="J45" s="324">
        <v>349.71417890999999</v>
      </c>
      <c r="K45" s="325">
        <f t="shared" si="2"/>
        <v>1.4609999999999998E-2</v>
      </c>
      <c r="L45" s="314">
        <v>24173.204000000002</v>
      </c>
      <c r="M45" s="314">
        <v>418.67989327999999</v>
      </c>
      <c r="N45" s="315">
        <f t="shared" si="3"/>
        <v>1.7319999999999999E-2</v>
      </c>
      <c r="O45" s="324">
        <v>23548.822</v>
      </c>
      <c r="P45" s="324">
        <v>399.62350934</v>
      </c>
      <c r="Q45" s="325">
        <f t="shared" si="4"/>
        <v>1.6969999999999999E-2</v>
      </c>
      <c r="R45" s="314">
        <v>22871.22</v>
      </c>
      <c r="S45" s="314">
        <v>334.83466079999999</v>
      </c>
      <c r="T45" s="315">
        <f t="shared" si="5"/>
        <v>1.4639999999999999E-2</v>
      </c>
      <c r="U45" s="324">
        <v>23256.814999999999</v>
      </c>
      <c r="V45" s="324">
        <v>270.47675844999998</v>
      </c>
      <c r="W45" s="325">
        <f t="shared" si="6"/>
        <v>1.163E-2</v>
      </c>
      <c r="X45" s="314">
        <v>23528.519</v>
      </c>
      <c r="Y45" s="314">
        <v>210.41185228521621</v>
      </c>
      <c r="Z45" s="315">
        <f t="shared" si="7"/>
        <v>8.9428430359435804E-3</v>
      </c>
      <c r="AA45" s="316">
        <v>24420.51</v>
      </c>
      <c r="AB45" s="316">
        <v>286.67152522035991</v>
      </c>
      <c r="AC45" s="317">
        <v>1.1738965534313571E-2</v>
      </c>
      <c r="AD45" s="318">
        <f t="shared" si="8"/>
        <v>1.2784361714051432E-2</v>
      </c>
      <c r="AE45" s="319">
        <f t="shared" si="9"/>
        <v>3.5512115872365086</v>
      </c>
      <c r="AF45" s="320">
        <f t="shared" si="10"/>
        <v>1.1870037340028528</v>
      </c>
      <c r="AG45" s="321">
        <f t="shared" si="11"/>
        <v>4.7382153212393616</v>
      </c>
      <c r="AH45" s="385">
        <f t="shared" si="12"/>
        <v>2.3921917766193384E-3</v>
      </c>
      <c r="AI45" s="385">
        <f t="shared" si="13"/>
        <v>5.0487190100799797E-4</v>
      </c>
      <c r="AJ45" s="118">
        <f t="shared" si="14"/>
        <v>0</v>
      </c>
      <c r="AK45" s="385">
        <f t="shared" si="15"/>
        <v>0</v>
      </c>
      <c r="AL45" s="78">
        <f t="shared" si="16"/>
        <v>4.8111111111111109</v>
      </c>
      <c r="AM45" s="78">
        <f t="shared" si="17"/>
        <v>4.7138888888888886</v>
      </c>
      <c r="AN45" s="78">
        <f t="shared" si="18"/>
        <v>4.0666666666666664</v>
      </c>
      <c r="AO45" s="78">
        <f t="shared" si="19"/>
        <v>3.2305555555555552</v>
      </c>
      <c r="AP45" s="78">
        <f t="shared" si="20"/>
        <v>2.4841230655398836</v>
      </c>
      <c r="AQ45" s="78">
        <f t="shared" si="23"/>
        <v>3.2608237595315477</v>
      </c>
      <c r="AS45" s="386">
        <f t="shared" si="21"/>
        <v>3.5512115872365078</v>
      </c>
      <c r="AT45" s="385">
        <f t="shared" si="22"/>
        <v>0</v>
      </c>
    </row>
    <row r="46" spans="1:46" s="326" customFormat="1" ht="14.45" customHeight="1" x14ac:dyDescent="0.25">
      <c r="A46" s="322" t="s">
        <v>374</v>
      </c>
      <c r="B46" s="323" t="s">
        <v>338</v>
      </c>
      <c r="C46" s="324">
        <v>0</v>
      </c>
      <c r="D46" s="324">
        <v>0</v>
      </c>
      <c r="E46" s="325">
        <v>0</v>
      </c>
      <c r="F46" s="314">
        <v>0</v>
      </c>
      <c r="G46" s="314">
        <v>0</v>
      </c>
      <c r="H46" s="315">
        <v>0</v>
      </c>
      <c r="I46" s="324">
        <v>0</v>
      </c>
      <c r="J46" s="324">
        <v>0</v>
      </c>
      <c r="K46" s="325">
        <v>0</v>
      </c>
      <c r="L46" s="314">
        <v>0</v>
      </c>
      <c r="M46" s="314">
        <v>0</v>
      </c>
      <c r="N46" s="315">
        <v>0</v>
      </c>
      <c r="O46" s="324">
        <v>4820.2299999999996</v>
      </c>
      <c r="P46" s="324">
        <v>81.799303099999989</v>
      </c>
      <c r="Q46" s="325">
        <f t="shared" si="4"/>
        <v>1.6969999999999999E-2</v>
      </c>
      <c r="R46" s="314">
        <v>4717.6099999999997</v>
      </c>
      <c r="S46" s="314">
        <v>69.065810399999989</v>
      </c>
      <c r="T46" s="315">
        <f t="shared" si="5"/>
        <v>1.4639999999999999E-2</v>
      </c>
      <c r="U46" s="324">
        <v>5183.5200000000004</v>
      </c>
      <c r="V46" s="324">
        <v>60.284337600000001</v>
      </c>
      <c r="W46" s="325">
        <f t="shared" si="6"/>
        <v>1.163E-2</v>
      </c>
      <c r="X46" s="314">
        <v>5697.2449999999999</v>
      </c>
      <c r="Y46" s="314">
        <v>50.949567772314381</v>
      </c>
      <c r="Z46" s="315">
        <f t="shared" si="7"/>
        <v>8.9428430359435804E-3</v>
      </c>
      <c r="AA46" s="316">
        <v>5507.2</v>
      </c>
      <c r="AB46" s="316">
        <v>64.64883099057171</v>
      </c>
      <c r="AC46" s="317">
        <v>1.1738965534313573E-2</v>
      </c>
      <c r="AD46" s="318">
        <f t="shared" si="8"/>
        <v>1.2784361714051432E-2</v>
      </c>
      <c r="AE46" s="319">
        <f t="shared" si="9"/>
        <v>3.5512115872365086</v>
      </c>
      <c r="AF46" s="320">
        <f t="shared" si="10"/>
        <v>1.1870037340028528</v>
      </c>
      <c r="AG46" s="321">
        <f t="shared" si="11"/>
        <v>4.7382153212393616</v>
      </c>
      <c r="AH46" s="385">
        <f t="shared" si="12"/>
        <v>5.3947597950239454E-4</v>
      </c>
      <c r="AI46" s="385">
        <f t="shared" si="13"/>
        <v>1.1385636635890268E-4</v>
      </c>
      <c r="AJ46" s="118">
        <f t="shared" si="14"/>
        <v>0</v>
      </c>
      <c r="AK46" s="385">
        <f t="shared" si="15"/>
        <v>0</v>
      </c>
      <c r="AL46" s="78">
        <f t="shared" si="16"/>
        <v>0</v>
      </c>
      <c r="AM46" s="78">
        <f t="shared" si="17"/>
        <v>4.7138888888888886</v>
      </c>
      <c r="AN46" s="78">
        <f t="shared" si="18"/>
        <v>4.0666666666666664</v>
      </c>
      <c r="AO46" s="78">
        <f t="shared" si="19"/>
        <v>3.2305555555555552</v>
      </c>
      <c r="AP46" s="78">
        <f t="shared" si="20"/>
        <v>2.4841230655398836</v>
      </c>
      <c r="AQ46" s="78">
        <f t="shared" si="23"/>
        <v>3.2608237595315481</v>
      </c>
      <c r="AS46" s="386">
        <f t="shared" si="21"/>
        <v>3.5512115872365078</v>
      </c>
      <c r="AT46" s="385">
        <f t="shared" si="22"/>
        <v>0</v>
      </c>
    </row>
    <row r="47" spans="1:46" s="326" customFormat="1" ht="14.45" customHeight="1" x14ac:dyDescent="0.25">
      <c r="A47" s="322" t="s">
        <v>375</v>
      </c>
      <c r="B47" s="323" t="s">
        <v>338</v>
      </c>
      <c r="C47" s="324">
        <v>114265.66099999999</v>
      </c>
      <c r="D47" s="324">
        <v>6627.4083380000002</v>
      </c>
      <c r="E47" s="325">
        <f t="shared" si="0"/>
        <v>5.8000000000000003E-2</v>
      </c>
      <c r="F47" s="314">
        <v>115629.954</v>
      </c>
      <c r="G47" s="314">
        <v>2196.969126</v>
      </c>
      <c r="H47" s="315">
        <f t="shared" si="1"/>
        <v>1.9E-2</v>
      </c>
      <c r="I47" s="324">
        <v>112284.42200000001</v>
      </c>
      <c r="J47" s="324">
        <v>1640.47540542</v>
      </c>
      <c r="K47" s="325">
        <f t="shared" si="2"/>
        <v>1.461E-2</v>
      </c>
      <c r="L47" s="314">
        <v>115231.929</v>
      </c>
      <c r="M47" s="314">
        <v>1995.81701028</v>
      </c>
      <c r="N47" s="315">
        <f t="shared" si="3"/>
        <v>1.7319999999999999E-2</v>
      </c>
      <c r="O47" s="324">
        <v>113032.77099999999</v>
      </c>
      <c r="P47" s="324">
        <v>1918.1661238699999</v>
      </c>
      <c r="Q47" s="325">
        <f t="shared" si="4"/>
        <v>1.6969999999999999E-2</v>
      </c>
      <c r="R47" s="314">
        <v>110284.49</v>
      </c>
      <c r="S47" s="314">
        <v>1614.5649336000001</v>
      </c>
      <c r="T47" s="315">
        <f t="shared" si="5"/>
        <v>1.464E-2</v>
      </c>
      <c r="U47" s="324">
        <v>108566.982</v>
      </c>
      <c r="V47" s="324">
        <v>1262.6340006600001</v>
      </c>
      <c r="W47" s="325">
        <f t="shared" si="6"/>
        <v>1.163E-2</v>
      </c>
      <c r="X47" s="314">
        <v>118520.36200000001</v>
      </c>
      <c r="Y47" s="314">
        <v>1059.9089939292123</v>
      </c>
      <c r="Z47" s="315">
        <f t="shared" si="7"/>
        <v>8.9428430359435804E-3</v>
      </c>
      <c r="AA47" s="316">
        <v>111774.283</v>
      </c>
      <c r="AB47" s="316">
        <v>1312.1144557596115</v>
      </c>
      <c r="AC47" s="317">
        <v>1.1738965534313573E-2</v>
      </c>
      <c r="AD47" s="318">
        <f t="shared" si="8"/>
        <v>1.2784361714051432E-2</v>
      </c>
      <c r="AE47" s="319">
        <f t="shared" si="9"/>
        <v>3.5512115872365086</v>
      </c>
      <c r="AF47" s="320">
        <f t="shared" si="10"/>
        <v>1.1870037340028528</v>
      </c>
      <c r="AG47" s="321">
        <f t="shared" si="11"/>
        <v>4.7382153212393616</v>
      </c>
      <c r="AH47" s="385">
        <f t="shared" si="12"/>
        <v>1.0949219350051359E-2</v>
      </c>
      <c r="AI47" s="385">
        <f t="shared" si="13"/>
        <v>2.3108319499476446E-3</v>
      </c>
      <c r="AJ47" s="118">
        <f t="shared" si="14"/>
        <v>0</v>
      </c>
      <c r="AK47" s="385">
        <f t="shared" si="15"/>
        <v>0</v>
      </c>
      <c r="AL47" s="78">
        <f t="shared" si="16"/>
        <v>4.8111111111111109</v>
      </c>
      <c r="AM47" s="78">
        <f t="shared" si="17"/>
        <v>4.7138888888888886</v>
      </c>
      <c r="AN47" s="78">
        <f t="shared" si="18"/>
        <v>4.0666666666666664</v>
      </c>
      <c r="AO47" s="78">
        <f t="shared" si="19"/>
        <v>3.2305555555555552</v>
      </c>
      <c r="AP47" s="78">
        <f t="shared" si="20"/>
        <v>2.4841230655398836</v>
      </c>
      <c r="AQ47" s="78">
        <f t="shared" si="23"/>
        <v>3.2608237595315481</v>
      </c>
      <c r="AS47" s="386">
        <f t="shared" si="21"/>
        <v>3.5512115872365078</v>
      </c>
      <c r="AT47" s="385">
        <f t="shared" si="22"/>
        <v>0</v>
      </c>
    </row>
    <row r="48" spans="1:46" ht="14.45" customHeight="1" x14ac:dyDescent="0.25">
      <c r="A48" s="308" t="s">
        <v>376</v>
      </c>
      <c r="B48" s="309" t="s">
        <v>338</v>
      </c>
      <c r="C48" s="310">
        <v>69108.686000000002</v>
      </c>
      <c r="D48" s="310">
        <v>2251.68807075</v>
      </c>
      <c r="E48" s="311">
        <f t="shared" si="0"/>
        <v>3.2581838855248964E-2</v>
      </c>
      <c r="F48" s="312">
        <v>71098.631999999998</v>
      </c>
      <c r="G48" s="312">
        <v>920.57928900000002</v>
      </c>
      <c r="H48" s="313">
        <f t="shared" si="1"/>
        <v>1.294791844940139E-2</v>
      </c>
      <c r="I48" s="310">
        <v>68195.369000000006</v>
      </c>
      <c r="J48" s="310">
        <v>996.33434109000007</v>
      </c>
      <c r="K48" s="311">
        <f t="shared" si="2"/>
        <v>1.461E-2</v>
      </c>
      <c r="L48" s="312">
        <v>72835.176999999996</v>
      </c>
      <c r="M48" s="312">
        <v>1261.5052656399998</v>
      </c>
      <c r="N48" s="313">
        <f t="shared" si="3"/>
        <v>1.7319999999999999E-2</v>
      </c>
      <c r="O48" s="310">
        <v>69361.672999999995</v>
      </c>
      <c r="P48" s="310">
        <v>1177.06759081</v>
      </c>
      <c r="Q48" s="311">
        <f t="shared" si="4"/>
        <v>1.6969999999999999E-2</v>
      </c>
      <c r="R48" s="312">
        <v>67803.817999999999</v>
      </c>
      <c r="S48" s="312">
        <v>992.64789552000002</v>
      </c>
      <c r="T48" s="313">
        <f t="shared" si="5"/>
        <v>1.464E-2</v>
      </c>
      <c r="U48" s="310">
        <v>70097.118000000002</v>
      </c>
      <c r="V48" s="310">
        <v>815.22948234</v>
      </c>
      <c r="W48" s="311">
        <f t="shared" si="6"/>
        <v>1.163E-2</v>
      </c>
      <c r="X48" s="314">
        <v>74771.066000000006</v>
      </c>
      <c r="Y48" s="314">
        <v>668.6659068681779</v>
      </c>
      <c r="Z48" s="315">
        <f t="shared" si="7"/>
        <v>8.9428430359435804E-3</v>
      </c>
      <c r="AA48" s="316">
        <v>70632.255000000005</v>
      </c>
      <c r="AB48" s="316">
        <v>829.14960705584758</v>
      </c>
      <c r="AC48" s="317">
        <v>1.1738965534313573E-2</v>
      </c>
      <c r="AD48" s="318">
        <f t="shared" si="8"/>
        <v>1.2784361714051432E-2</v>
      </c>
      <c r="AE48" s="319">
        <f t="shared" si="9"/>
        <v>3.5512115872365086</v>
      </c>
      <c r="AF48" s="320">
        <f t="shared" si="10"/>
        <v>1.1870037340028528</v>
      </c>
      <c r="AG48" s="321">
        <f t="shared" si="11"/>
        <v>4.7382153212393616</v>
      </c>
      <c r="AH48" s="385">
        <f t="shared" si="12"/>
        <v>6.9190160064257532E-3</v>
      </c>
      <c r="AI48" s="385">
        <f t="shared" si="13"/>
        <v>1.4602578264881314E-3</v>
      </c>
      <c r="AJ48" s="118">
        <f t="shared" si="14"/>
        <v>0</v>
      </c>
      <c r="AK48" s="385">
        <f t="shared" si="15"/>
        <v>0</v>
      </c>
      <c r="AL48" s="78">
        <f t="shared" si="16"/>
        <v>4.8111111111111109</v>
      </c>
      <c r="AM48" s="78">
        <f t="shared" si="17"/>
        <v>4.7138888888888886</v>
      </c>
      <c r="AN48" s="78">
        <f t="shared" si="18"/>
        <v>4.0666666666666664</v>
      </c>
      <c r="AO48" s="78">
        <f t="shared" si="19"/>
        <v>3.2305555555555552</v>
      </c>
      <c r="AP48" s="78">
        <f t="shared" si="20"/>
        <v>2.4841230655398836</v>
      </c>
      <c r="AQ48" s="78">
        <f t="shared" si="23"/>
        <v>3.2608237595315481</v>
      </c>
      <c r="AS48" s="386">
        <f t="shared" si="21"/>
        <v>3.5512115872365078</v>
      </c>
      <c r="AT48" s="385">
        <f t="shared" si="22"/>
        <v>0</v>
      </c>
    </row>
    <row r="49" spans="1:46" ht="14.45" customHeight="1" x14ac:dyDescent="0.25">
      <c r="A49" s="308"/>
      <c r="B49" s="309" t="s">
        <v>378</v>
      </c>
      <c r="C49" s="310">
        <v>0</v>
      </c>
      <c r="D49" s="310">
        <v>0</v>
      </c>
      <c r="E49" s="310">
        <v>0</v>
      </c>
      <c r="F49" s="312">
        <v>0</v>
      </c>
      <c r="G49" s="312">
        <v>0</v>
      </c>
      <c r="H49" s="312">
        <v>0</v>
      </c>
      <c r="I49" s="310">
        <v>0</v>
      </c>
      <c r="J49" s="310">
        <v>0</v>
      </c>
      <c r="K49" s="310">
        <v>0</v>
      </c>
      <c r="L49" s="312">
        <v>0</v>
      </c>
      <c r="M49" s="312">
        <v>0</v>
      </c>
      <c r="N49" s="312">
        <v>0</v>
      </c>
      <c r="O49" s="310">
        <v>0</v>
      </c>
      <c r="P49" s="310">
        <v>0</v>
      </c>
      <c r="Q49" s="310">
        <v>0</v>
      </c>
      <c r="R49" s="312">
        <v>0</v>
      </c>
      <c r="S49" s="312">
        <v>0</v>
      </c>
      <c r="T49" s="312">
        <v>0</v>
      </c>
      <c r="U49" s="310">
        <v>0</v>
      </c>
      <c r="V49" s="310">
        <v>0</v>
      </c>
      <c r="W49" s="310">
        <v>0</v>
      </c>
      <c r="X49" s="314">
        <v>210.3</v>
      </c>
      <c r="Y49" s="314">
        <v>0</v>
      </c>
      <c r="Z49" s="315">
        <f t="shared" si="7"/>
        <v>0</v>
      </c>
      <c r="AA49" s="316">
        <v>3841.85</v>
      </c>
      <c r="AB49" s="316">
        <v>0</v>
      </c>
      <c r="AC49" s="317">
        <v>0</v>
      </c>
      <c r="AD49" s="318">
        <f t="shared" si="8"/>
        <v>0</v>
      </c>
      <c r="AE49" s="319">
        <f t="shared" si="9"/>
        <v>0</v>
      </c>
      <c r="AF49" s="320">
        <f t="shared" si="10"/>
        <v>0.80908429933999315</v>
      </c>
      <c r="AG49" s="321">
        <f t="shared" si="11"/>
        <v>0.80908429933999315</v>
      </c>
      <c r="AH49" s="385">
        <f t="shared" si="12"/>
        <v>6.4262948639319539E-5</v>
      </c>
      <c r="AI49" s="385">
        <f t="shared" si="13"/>
        <v>7.942676516123443E-5</v>
      </c>
      <c r="AJ49" s="118">
        <f t="shared" si="14"/>
        <v>0</v>
      </c>
      <c r="AK49" s="385">
        <f t="shared" si="15"/>
        <v>0</v>
      </c>
      <c r="AL49" s="78">
        <f t="shared" si="16"/>
        <v>0</v>
      </c>
      <c r="AM49" s="78">
        <f t="shared" si="17"/>
        <v>0</v>
      </c>
      <c r="AN49" s="78">
        <f t="shared" si="18"/>
        <v>0</v>
      </c>
      <c r="AO49" s="78">
        <f t="shared" si="19"/>
        <v>0</v>
      </c>
      <c r="AP49" s="78">
        <f t="shared" si="20"/>
        <v>0</v>
      </c>
      <c r="AQ49" s="78">
        <f t="shared" si="23"/>
        <v>0</v>
      </c>
      <c r="AS49" s="386">
        <f t="shared" si="21"/>
        <v>0</v>
      </c>
      <c r="AT49" s="385">
        <f t="shared" si="22"/>
        <v>0</v>
      </c>
    </row>
    <row r="50" spans="1:46" ht="14.45" customHeight="1" x14ac:dyDescent="0.25">
      <c r="A50" s="308"/>
      <c r="B50" s="309" t="s">
        <v>378</v>
      </c>
      <c r="C50" s="310">
        <v>0</v>
      </c>
      <c r="D50" s="310">
        <v>0</v>
      </c>
      <c r="E50" s="310">
        <v>0</v>
      </c>
      <c r="F50" s="312">
        <v>0</v>
      </c>
      <c r="G50" s="312">
        <v>0</v>
      </c>
      <c r="H50" s="312">
        <v>0</v>
      </c>
      <c r="I50" s="310">
        <v>0</v>
      </c>
      <c r="J50" s="310">
        <v>0</v>
      </c>
      <c r="K50" s="310">
        <v>0</v>
      </c>
      <c r="L50" s="312">
        <v>11042</v>
      </c>
      <c r="M50" s="330">
        <v>0</v>
      </c>
      <c r="N50" s="313">
        <f t="shared" si="3"/>
        <v>0</v>
      </c>
      <c r="O50" s="310">
        <v>19008</v>
      </c>
      <c r="P50" s="310">
        <v>0</v>
      </c>
      <c r="Q50" s="311">
        <f t="shared" ref="Q50" si="24">P50/O50</f>
        <v>0</v>
      </c>
      <c r="R50" s="312">
        <v>57484</v>
      </c>
      <c r="S50" s="312">
        <v>0</v>
      </c>
      <c r="T50" s="313">
        <f t="shared" ref="T50" si="25">S50/R50</f>
        <v>0</v>
      </c>
      <c r="U50" s="310">
        <v>137210</v>
      </c>
      <c r="V50" s="310">
        <v>0</v>
      </c>
      <c r="W50" s="311">
        <f t="shared" ref="W50" si="26">V50/U50</f>
        <v>0</v>
      </c>
      <c r="X50" s="314">
        <v>325769</v>
      </c>
      <c r="Y50" s="314">
        <v>8580</v>
      </c>
      <c r="Z50" s="315">
        <f t="shared" si="7"/>
        <v>2.6337680994815343E-2</v>
      </c>
      <c r="AA50" s="316">
        <v>356681</v>
      </c>
      <c r="AB50" s="316">
        <v>13041.841199999999</v>
      </c>
      <c r="AC50" s="317">
        <v>3.6564440494447417E-2</v>
      </c>
      <c r="AD50" s="318">
        <f t="shared" si="8"/>
        <v>1.2580424297852551E-2</v>
      </c>
      <c r="AE50" s="319">
        <f t="shared" si="9"/>
        <v>3.4945623049590422</v>
      </c>
      <c r="AF50" s="320">
        <f t="shared" si="10"/>
        <v>1.180975125398031</v>
      </c>
      <c r="AG50" s="321">
        <f t="shared" si="11"/>
        <v>4.6755374303570729</v>
      </c>
      <c r="AH50" s="385">
        <f t="shared" si="12"/>
        <v>3.4477676035274657E-2</v>
      </c>
      <c r="AI50" s="385">
        <f t="shared" si="13"/>
        <v>7.3740562553130029E-3</v>
      </c>
      <c r="AJ50" s="118">
        <f t="shared" si="14"/>
        <v>0</v>
      </c>
      <c r="AK50" s="385">
        <f t="shared" si="15"/>
        <v>0</v>
      </c>
      <c r="AL50" s="78">
        <f t="shared" si="16"/>
        <v>0</v>
      </c>
      <c r="AM50" s="78">
        <f t="shared" si="17"/>
        <v>0</v>
      </c>
      <c r="AN50" s="78">
        <f t="shared" si="18"/>
        <v>0</v>
      </c>
      <c r="AO50" s="78">
        <f t="shared" si="19"/>
        <v>0</v>
      </c>
      <c r="AP50" s="78">
        <f t="shared" si="20"/>
        <v>7.3160224985598177</v>
      </c>
      <c r="AQ50" s="78">
        <f t="shared" si="23"/>
        <v>10.156789026235394</v>
      </c>
      <c r="AS50" s="386">
        <f t="shared" si="21"/>
        <v>3.4945623049590422</v>
      </c>
      <c r="AT50" s="385">
        <f t="shared" si="22"/>
        <v>0</v>
      </c>
    </row>
    <row r="51" spans="1:46" ht="14.45" customHeight="1" x14ac:dyDescent="0.25">
      <c r="A51" s="308"/>
      <c r="B51" s="309" t="s">
        <v>378</v>
      </c>
      <c r="C51" s="310">
        <v>1128869.93</v>
      </c>
      <c r="D51" s="310">
        <v>591646</v>
      </c>
      <c r="E51" s="311">
        <f t="shared" si="0"/>
        <v>0.52410466810822043</v>
      </c>
      <c r="F51" s="312">
        <v>1013863.705</v>
      </c>
      <c r="G51" s="312">
        <v>404532</v>
      </c>
      <c r="H51" s="313">
        <f t="shared" si="1"/>
        <v>0.3990003764855159</v>
      </c>
      <c r="I51" s="310">
        <v>1338520.8149999999</v>
      </c>
      <c r="J51" s="310">
        <v>547455</v>
      </c>
      <c r="K51" s="311">
        <f t="shared" si="2"/>
        <v>0.4089999900375102</v>
      </c>
      <c r="L51" s="312">
        <v>1785679</v>
      </c>
      <c r="M51" s="312">
        <v>917839</v>
      </c>
      <c r="N51" s="313">
        <f t="shared" si="3"/>
        <v>0.51399999663993357</v>
      </c>
      <c r="O51" s="310">
        <v>1773698</v>
      </c>
      <c r="P51" s="310">
        <v>822996</v>
      </c>
      <c r="Q51" s="311">
        <f t="shared" si="4"/>
        <v>0.46400007216561107</v>
      </c>
      <c r="R51" s="312">
        <v>1750533.1410000001</v>
      </c>
      <c r="S51" s="312">
        <v>852610.60796356248</v>
      </c>
      <c r="T51" s="313">
        <f t="shared" si="5"/>
        <v>0.48705767859756416</v>
      </c>
      <c r="U51" s="310">
        <v>1656912.59</v>
      </c>
      <c r="V51" s="310">
        <v>672519.36600121181</v>
      </c>
      <c r="W51" s="311">
        <f t="shared" si="6"/>
        <v>0.40588705165262323</v>
      </c>
      <c r="X51" s="314">
        <v>1664893.46</v>
      </c>
      <c r="Y51" s="314">
        <v>576749</v>
      </c>
      <c r="Z51" s="315">
        <f t="shared" si="7"/>
        <v>0.34641796238421169</v>
      </c>
      <c r="AA51" s="316">
        <v>1472659.85</v>
      </c>
      <c r="AB51" s="316">
        <v>630298.41580000008</v>
      </c>
      <c r="AC51" s="317">
        <v>0.42800000000000005</v>
      </c>
      <c r="AD51" s="318">
        <f t="shared" si="8"/>
        <v>0.42627255296000205</v>
      </c>
      <c r="AE51" s="319">
        <f t="shared" si="9"/>
        <v>118.40904248888945</v>
      </c>
      <c r="AF51" s="320">
        <f t="shared" si="10"/>
        <v>13.410157847648209</v>
      </c>
      <c r="AG51" s="321">
        <f t="shared" si="11"/>
        <v>131.81920033653768</v>
      </c>
      <c r="AH51" s="385">
        <f t="shared" si="12"/>
        <v>4.0133551231945503</v>
      </c>
      <c r="AI51" s="385">
        <f t="shared" si="13"/>
        <v>3.0445907067774312E-2</v>
      </c>
      <c r="AJ51" s="118">
        <f t="shared" si="14"/>
        <v>0</v>
      </c>
      <c r="AK51" s="385">
        <f t="shared" si="15"/>
        <v>0</v>
      </c>
      <c r="AL51" s="78">
        <f t="shared" si="16"/>
        <v>142.777776844426</v>
      </c>
      <c r="AM51" s="78">
        <f t="shared" si="17"/>
        <v>128.88890893489196</v>
      </c>
      <c r="AN51" s="78">
        <f t="shared" si="18"/>
        <v>135.29379961043449</v>
      </c>
      <c r="AO51" s="78">
        <f t="shared" si="19"/>
        <v>112.74640323683978</v>
      </c>
      <c r="AP51" s="78">
        <f t="shared" si="20"/>
        <v>96.227211773392128</v>
      </c>
      <c r="AQ51" s="78">
        <f t="shared" si="23"/>
        <v>118.8888888888889</v>
      </c>
      <c r="AS51" s="386">
        <f t="shared" si="21"/>
        <v>118.40904248888947</v>
      </c>
      <c r="AT51" s="385">
        <f t="shared" si="22"/>
        <v>0</v>
      </c>
    </row>
    <row r="52" spans="1:46" ht="14.45" customHeight="1" x14ac:dyDescent="0.25">
      <c r="A52" s="308"/>
      <c r="B52" s="309" t="s">
        <v>378</v>
      </c>
      <c r="C52" s="310">
        <v>18149.645765030993</v>
      </c>
      <c r="D52" s="310">
        <v>9692</v>
      </c>
      <c r="E52" s="311">
        <f t="shared" si="0"/>
        <v>0.53400491257375515</v>
      </c>
      <c r="F52" s="312">
        <v>69849</v>
      </c>
      <c r="G52" s="312">
        <v>27870</v>
      </c>
      <c r="H52" s="313">
        <f t="shared" si="1"/>
        <v>0.39900356483271054</v>
      </c>
      <c r="I52" s="310">
        <v>74411.77</v>
      </c>
      <c r="J52" s="310">
        <v>30434</v>
      </c>
      <c r="K52" s="311">
        <f t="shared" si="2"/>
        <v>0.40899443730474355</v>
      </c>
      <c r="L52" s="312">
        <v>0</v>
      </c>
      <c r="M52" s="312">
        <v>0</v>
      </c>
      <c r="N52" s="313">
        <v>0</v>
      </c>
      <c r="O52" s="310">
        <v>0</v>
      </c>
      <c r="P52" s="310">
        <v>0</v>
      </c>
      <c r="Q52" s="311">
        <v>0</v>
      </c>
      <c r="R52" s="312">
        <v>77108.740000000005</v>
      </c>
      <c r="S52" s="312">
        <v>37556.40390398314</v>
      </c>
      <c r="T52" s="313">
        <f t="shared" si="5"/>
        <v>0.48705767859756416</v>
      </c>
      <c r="U52" s="310">
        <v>197316.5</v>
      </c>
      <c r="V52" s="310">
        <v>80088.212427414837</v>
      </c>
      <c r="W52" s="311">
        <f t="shared" si="6"/>
        <v>0.40588705165262323</v>
      </c>
      <c r="X52" s="314">
        <v>345759</v>
      </c>
      <c r="Y52" s="314">
        <v>119777</v>
      </c>
      <c r="Z52" s="315">
        <f t="shared" si="7"/>
        <v>0.34641759144375128</v>
      </c>
      <c r="AA52" s="316">
        <v>420709.25</v>
      </c>
      <c r="AB52" s="316">
        <v>180063.55900000001</v>
      </c>
      <c r="AC52" s="317">
        <v>0.42800000000000005</v>
      </c>
      <c r="AD52" s="318">
        <f t="shared" si="8"/>
        <v>0.33347246433878774</v>
      </c>
      <c r="AE52" s="319">
        <f t="shared" si="9"/>
        <v>92.63124009410771</v>
      </c>
      <c r="AF52" s="320">
        <f t="shared" si="10"/>
        <v>10.666887764023645</v>
      </c>
      <c r="AG52" s="321">
        <f t="shared" si="11"/>
        <v>103.29812785813135</v>
      </c>
      <c r="AH52" s="385">
        <f t="shared" si="12"/>
        <v>0.89846462465667765</v>
      </c>
      <c r="AI52" s="385">
        <f t="shared" si="13"/>
        <v>8.6977822665926744E-3</v>
      </c>
      <c r="AJ52" s="118">
        <f t="shared" si="14"/>
        <v>0</v>
      </c>
      <c r="AK52" s="385">
        <f t="shared" si="15"/>
        <v>0</v>
      </c>
      <c r="AL52" s="78">
        <f t="shared" si="16"/>
        <v>0</v>
      </c>
      <c r="AM52" s="78">
        <f t="shared" si="17"/>
        <v>0</v>
      </c>
      <c r="AN52" s="78">
        <f t="shared" si="18"/>
        <v>135.29379961043449</v>
      </c>
      <c r="AO52" s="78">
        <f t="shared" si="19"/>
        <v>112.74640323683978</v>
      </c>
      <c r="AP52" s="78">
        <f t="shared" si="20"/>
        <v>96.227108734375349</v>
      </c>
      <c r="AQ52" s="78">
        <f t="shared" si="23"/>
        <v>118.8888888888889</v>
      </c>
      <c r="AS52" s="386">
        <f t="shared" si="21"/>
        <v>92.63124009410771</v>
      </c>
      <c r="AT52" s="385">
        <f t="shared" si="22"/>
        <v>0</v>
      </c>
    </row>
    <row r="53" spans="1:46" ht="14.45" customHeight="1" x14ac:dyDescent="0.25">
      <c r="A53" s="308"/>
      <c r="B53" s="309" t="s">
        <v>378</v>
      </c>
      <c r="C53" s="310">
        <v>0</v>
      </c>
      <c r="D53" s="310">
        <v>0</v>
      </c>
      <c r="E53" s="310">
        <v>0</v>
      </c>
      <c r="F53" s="312">
        <v>0</v>
      </c>
      <c r="G53" s="312">
        <v>0</v>
      </c>
      <c r="H53" s="312">
        <v>0</v>
      </c>
      <c r="I53" s="310">
        <v>0</v>
      </c>
      <c r="J53" s="310">
        <v>0</v>
      </c>
      <c r="K53" s="310">
        <v>0</v>
      </c>
      <c r="L53" s="312">
        <v>0</v>
      </c>
      <c r="M53" s="312">
        <v>0</v>
      </c>
      <c r="N53" s="312">
        <v>0</v>
      </c>
      <c r="O53" s="310">
        <v>0</v>
      </c>
      <c r="P53" s="310">
        <v>0</v>
      </c>
      <c r="Q53" s="310">
        <v>0</v>
      </c>
      <c r="R53" s="312">
        <v>20877</v>
      </c>
      <c r="S53" s="312">
        <v>5755.5337364909828</v>
      </c>
      <c r="T53" s="313">
        <f t="shared" si="5"/>
        <v>0.2756877777693626</v>
      </c>
      <c r="U53" s="310">
        <v>41030</v>
      </c>
      <c r="V53" s="310">
        <v>7835.8279999999995</v>
      </c>
      <c r="W53" s="311">
        <f t="shared" si="6"/>
        <v>0.19097801608579087</v>
      </c>
      <c r="X53" s="314">
        <v>68749.81</v>
      </c>
      <c r="Y53" s="314">
        <v>14648</v>
      </c>
      <c r="Z53" s="315">
        <f t="shared" si="7"/>
        <v>0.21306240700883392</v>
      </c>
      <c r="AA53" s="316">
        <v>166241.88</v>
      </c>
      <c r="AB53" s="316">
        <v>41178.383840000002</v>
      </c>
      <c r="AC53" s="317">
        <v>0.24770162512599112</v>
      </c>
      <c r="AD53" s="318">
        <f t="shared" si="8"/>
        <v>0.18548596519799571</v>
      </c>
      <c r="AE53" s="319">
        <f t="shared" si="9"/>
        <v>51.523879221665474</v>
      </c>
      <c r="AF53" s="320">
        <f t="shared" si="10"/>
        <v>6.2922482361421768</v>
      </c>
      <c r="AG53" s="321">
        <f t="shared" si="11"/>
        <v>57.816127457807653</v>
      </c>
      <c r="AH53" s="385">
        <f t="shared" si="12"/>
        <v>0.19870825594997568</v>
      </c>
      <c r="AI53" s="385">
        <f t="shared" si="13"/>
        <v>3.4369001295527198E-3</v>
      </c>
      <c r="AJ53" s="118">
        <f t="shared" si="14"/>
        <v>0</v>
      </c>
      <c r="AK53" s="385">
        <f t="shared" si="15"/>
        <v>0</v>
      </c>
      <c r="AL53" s="78">
        <f t="shared" si="16"/>
        <v>0</v>
      </c>
      <c r="AM53" s="78">
        <f t="shared" si="17"/>
        <v>0</v>
      </c>
      <c r="AN53" s="78">
        <f t="shared" si="18"/>
        <v>76.579938269267387</v>
      </c>
      <c r="AO53" s="78">
        <f t="shared" si="19"/>
        <v>53.049448912719683</v>
      </c>
      <c r="AP53" s="78">
        <f t="shared" si="20"/>
        <v>59.184001946898306</v>
      </c>
      <c r="AQ53" s="78">
        <f t="shared" si="23"/>
        <v>68.806006979441975</v>
      </c>
      <c r="AS53" s="386">
        <f t="shared" si="21"/>
        <v>51.523879221665467</v>
      </c>
      <c r="AT53" s="385">
        <f t="shared" si="22"/>
        <v>0</v>
      </c>
    </row>
    <row r="54" spans="1:46" s="334" customFormat="1" ht="15.75" thickBot="1" x14ac:dyDescent="0.3">
      <c r="A54" s="331"/>
      <c r="B54" s="331"/>
      <c r="C54" s="332"/>
      <c r="D54" s="332"/>
      <c r="E54" s="332"/>
      <c r="F54" s="332"/>
      <c r="G54" s="332"/>
      <c r="H54" s="332"/>
      <c r="I54" s="332"/>
      <c r="J54" s="332"/>
      <c r="K54" s="332"/>
      <c r="L54" s="332"/>
      <c r="M54" s="332"/>
      <c r="N54" s="332"/>
      <c r="O54" s="332"/>
      <c r="P54" s="332"/>
      <c r="Q54" s="332"/>
      <c r="R54" s="332"/>
      <c r="S54" s="332"/>
      <c r="T54" s="332"/>
      <c r="U54" s="332"/>
      <c r="V54" s="332"/>
      <c r="W54" s="332"/>
      <c r="X54" s="333"/>
      <c r="Y54" s="333"/>
      <c r="Z54" s="392" t="s">
        <v>405</v>
      </c>
      <c r="AA54" s="392">
        <f>SUM(AA7:AA53)</f>
        <v>48369715.07276088</v>
      </c>
      <c r="AB54" s="392">
        <f>SUM(AB7:AB53)</f>
        <v>16379653.021888537</v>
      </c>
      <c r="AC54" s="394">
        <f>AB54/AA54</f>
        <v>0.3386344740143537</v>
      </c>
      <c r="AF54" s="391"/>
      <c r="AG54" s="396"/>
      <c r="AH54" s="397"/>
      <c r="AI54" s="118"/>
      <c r="AJ54" s="118">
        <f>AVERAGE(AJ7:AJ53)</f>
        <v>0</v>
      </c>
      <c r="AK54" s="118">
        <f>SUM(AK7:AK53)</f>
        <v>0</v>
      </c>
      <c r="AS54" s="396">
        <f>AVERAGE(AS7:AS53)</f>
        <v>17.729709932315025</v>
      </c>
      <c r="AT54" s="385">
        <f>SUM(AT7:AT53)</f>
        <v>0</v>
      </c>
    </row>
    <row r="55" spans="1:46" ht="15.75" thickBot="1" x14ac:dyDescent="0.3">
      <c r="B55" s="335"/>
      <c r="C55" s="839">
        <v>2010</v>
      </c>
      <c r="D55" s="840"/>
      <c r="E55" s="841"/>
      <c r="F55" s="836">
        <v>2011</v>
      </c>
      <c r="G55" s="837"/>
      <c r="H55" s="838"/>
      <c r="I55" s="839">
        <v>2012</v>
      </c>
      <c r="J55" s="840"/>
      <c r="K55" s="841"/>
      <c r="L55" s="836">
        <v>2013</v>
      </c>
      <c r="M55" s="837"/>
      <c r="N55" s="838"/>
      <c r="O55" s="839">
        <v>2014</v>
      </c>
      <c r="P55" s="840"/>
      <c r="Q55" s="841"/>
      <c r="R55" s="836">
        <v>2015</v>
      </c>
      <c r="S55" s="837"/>
      <c r="T55" s="838"/>
      <c r="U55" s="839">
        <v>2016</v>
      </c>
      <c r="V55" s="840"/>
      <c r="W55" s="841"/>
      <c r="X55" s="824">
        <v>2017</v>
      </c>
      <c r="Y55" s="825"/>
      <c r="Z55" s="826"/>
      <c r="AA55" s="824">
        <v>2018</v>
      </c>
      <c r="AB55" s="825"/>
      <c r="AC55" s="826"/>
      <c r="AF55" s="72"/>
      <c r="AG55" s="72" t="s">
        <v>409</v>
      </c>
      <c r="AH55" s="78">
        <f>SUM(AH10:AH53)</f>
        <v>7.6733683117903322</v>
      </c>
    </row>
    <row r="56" spans="1:46" ht="15.75" thickBot="1" x14ac:dyDescent="0.3">
      <c r="B56" s="336"/>
      <c r="C56" s="337" t="s">
        <v>328</v>
      </c>
      <c r="D56" s="338" t="s">
        <v>329</v>
      </c>
      <c r="E56" s="339" t="s">
        <v>330</v>
      </c>
      <c r="F56" s="340" t="s">
        <v>328</v>
      </c>
      <c r="G56" s="341" t="s">
        <v>329</v>
      </c>
      <c r="H56" s="342" t="s">
        <v>330</v>
      </c>
      <c r="I56" s="337" t="s">
        <v>328</v>
      </c>
      <c r="J56" s="338" t="s">
        <v>329</v>
      </c>
      <c r="K56" s="339" t="s">
        <v>330</v>
      </c>
      <c r="L56" s="340" t="s">
        <v>328</v>
      </c>
      <c r="M56" s="341" t="s">
        <v>329</v>
      </c>
      <c r="N56" s="342" t="s">
        <v>330</v>
      </c>
      <c r="O56" s="337" t="s">
        <v>328</v>
      </c>
      <c r="P56" s="338" t="s">
        <v>329</v>
      </c>
      <c r="Q56" s="339" t="s">
        <v>330</v>
      </c>
      <c r="R56" s="340" t="s">
        <v>328</v>
      </c>
      <c r="S56" s="341" t="s">
        <v>329</v>
      </c>
      <c r="T56" s="342" t="s">
        <v>330</v>
      </c>
      <c r="U56" s="337" t="s">
        <v>328</v>
      </c>
      <c r="V56" s="338" t="s">
        <v>329</v>
      </c>
      <c r="W56" s="339" t="s">
        <v>330</v>
      </c>
      <c r="X56" s="343" t="s">
        <v>328</v>
      </c>
      <c r="Y56" s="344" t="s">
        <v>329</v>
      </c>
      <c r="Z56" s="345" t="s">
        <v>330</v>
      </c>
      <c r="AA56" s="343" t="s">
        <v>328</v>
      </c>
      <c r="AB56" s="344" t="s">
        <v>329</v>
      </c>
      <c r="AC56" s="345" t="s">
        <v>330</v>
      </c>
      <c r="AD56" s="393" t="s">
        <v>406</v>
      </c>
      <c r="AG56" s="398" t="s">
        <v>410</v>
      </c>
      <c r="AH56" s="51">
        <f>(AH55*AG3)*AG4</f>
        <v>0</v>
      </c>
    </row>
    <row r="57" spans="1:46" ht="15.75" thickBot="1" x14ac:dyDescent="0.3">
      <c r="B57" s="346" t="s">
        <v>383</v>
      </c>
      <c r="C57" s="347">
        <f>SUM(C7:C53)</f>
        <v>47683331.254765034</v>
      </c>
      <c r="D57" s="347">
        <f>SUM(D7:D53)</f>
        <v>20337026.520943768</v>
      </c>
      <c r="E57" s="348">
        <f>D57/C57</f>
        <v>0.42650179812912031</v>
      </c>
      <c r="F57" s="349">
        <f>SUM(F7:F53)</f>
        <v>50022772.165000007</v>
      </c>
      <c r="G57" s="350">
        <f>SUM(G7:G53)</f>
        <v>18107617.760801133</v>
      </c>
      <c r="H57" s="351">
        <f>G57/F57</f>
        <v>0.36198749043881845</v>
      </c>
      <c r="I57" s="347">
        <f>SUM(I7:I53)</f>
        <v>49213733.942000002</v>
      </c>
      <c r="J57" s="347">
        <f>SUM(J7:J53)</f>
        <v>17345358.752357937</v>
      </c>
      <c r="K57" s="348">
        <f>J57/I57</f>
        <v>0.3524495575320501</v>
      </c>
      <c r="L57" s="352">
        <f>SUM(L7:L53)</f>
        <v>49978645.218238771</v>
      </c>
      <c r="M57" s="353">
        <f>SUM(M7:M53)</f>
        <v>18175772.470929071</v>
      </c>
      <c r="N57" s="354">
        <f>M57/L57</f>
        <v>0.36367077161779815</v>
      </c>
      <c r="O57" s="347">
        <f>SUM(O7:O53)</f>
        <v>48522215.347868294</v>
      </c>
      <c r="P57" s="355">
        <f>SUM(P7:P53)</f>
        <v>17900028.66580791</v>
      </c>
      <c r="Q57" s="348">
        <f>P57/O57</f>
        <v>0.36890378020620002</v>
      </c>
      <c r="R57" s="356">
        <f>SUM(R7:R53)</f>
        <v>48972582.256542385</v>
      </c>
      <c r="S57" s="350">
        <f>SUM(S7:S53)</f>
        <v>18596245.19510112</v>
      </c>
      <c r="T57" s="351">
        <f>S57/R57</f>
        <v>0.37972768308775051</v>
      </c>
      <c r="U57" s="357">
        <f>SUM(U7:U53)</f>
        <v>47973655.442324035</v>
      </c>
      <c r="V57" s="358">
        <f>SUM(V7:V53)</f>
        <v>16063045.897647571</v>
      </c>
      <c r="W57" s="359">
        <f>V57/U57</f>
        <v>0.33483055959659458</v>
      </c>
      <c r="X57" s="356">
        <f>SUM(X7:X53)</f>
        <v>50079748.778371908</v>
      </c>
      <c r="Y57" s="350">
        <f>SUM(Y7:Y53)</f>
        <v>16706146.409632994</v>
      </c>
      <c r="Z57" s="351">
        <f>Y57/X57</f>
        <v>0.33359085892315671</v>
      </c>
      <c r="AA57" s="98">
        <v>48369715.072760873</v>
      </c>
      <c r="AB57" s="98">
        <v>16379653.021888537</v>
      </c>
      <c r="AC57" s="360">
        <v>0.33863447401435376</v>
      </c>
      <c r="AD57" s="366"/>
      <c r="AE57" s="361">
        <f>AVERAGE(AC57,Z57,W57,T57,Q57)</f>
        <v>0.35113747116561111</v>
      </c>
    </row>
    <row r="58" spans="1:46" x14ac:dyDescent="0.25">
      <c r="A58" s="362"/>
      <c r="B58" s="362"/>
      <c r="F58" s="363">
        <f>F57*3600</f>
        <v>180081979794.00003</v>
      </c>
      <c r="G58" s="320">
        <f>G57*1000000</f>
        <v>18107617760801.133</v>
      </c>
      <c r="H58" s="82">
        <f>G58/F58</f>
        <v>100.55208067744957</v>
      </c>
      <c r="I58" s="363">
        <f>I57*3600</f>
        <v>177169442191.20001</v>
      </c>
      <c r="J58" s="320">
        <f>J57*1000000</f>
        <v>17345358752357.938</v>
      </c>
      <c r="K58" s="82">
        <f>J58/I58</f>
        <v>97.902654870013919</v>
      </c>
      <c r="L58" s="363">
        <f>L57*3600</f>
        <v>179923122785.65958</v>
      </c>
      <c r="M58" s="320">
        <f>M57*1000000</f>
        <v>18175772470929.07</v>
      </c>
      <c r="N58" s="293">
        <f>M58/L58</f>
        <v>101.01965878272171</v>
      </c>
      <c r="O58" s="293">
        <f>O57*3600</f>
        <v>174679975252.32587</v>
      </c>
      <c r="P58" s="293">
        <f>P57*1000000</f>
        <v>17900028665807.91</v>
      </c>
      <c r="Q58" s="293">
        <f>P58/O58</f>
        <v>102.47327227949999</v>
      </c>
      <c r="R58" s="293">
        <f>R57*3600</f>
        <v>176301296123.55258</v>
      </c>
      <c r="S58" s="293">
        <f>S57*1000000</f>
        <v>18596245195101.121</v>
      </c>
      <c r="T58" s="293">
        <f>S58/R58</f>
        <v>105.47991196881959</v>
      </c>
      <c r="U58" s="293">
        <f>U57*3600</f>
        <v>172705159592.36652</v>
      </c>
      <c r="V58" s="293">
        <f>V57*1000000</f>
        <v>16063045897647.57</v>
      </c>
      <c r="W58" s="293">
        <f>V58/U58</f>
        <v>93.008488776831825</v>
      </c>
      <c r="X58" s="293">
        <f>X57*3600</f>
        <v>180287095602.13885</v>
      </c>
      <c r="Y58" s="293">
        <f>Y57*1000000</f>
        <v>16706146409632.994</v>
      </c>
      <c r="Z58" s="293">
        <f>Y58/X58</f>
        <v>92.664127478654663</v>
      </c>
      <c r="AA58" s="293">
        <f>AA57*3600</f>
        <v>174130974261.93915</v>
      </c>
      <c r="AB58" s="293">
        <f>AB57*1000000</f>
        <v>16379653021888.537</v>
      </c>
      <c r="AC58" s="293">
        <f>AB58/AA58</f>
        <v>94.065131670653813</v>
      </c>
      <c r="AE58" s="361">
        <f>AVERAGE(Z58,W58,T58,Q58,AC58)</f>
        <v>97.538186434891983</v>
      </c>
      <c r="AJ58" s="360">
        <f>788304/AA54</f>
        <v>1.6297470407137641E-2</v>
      </c>
    </row>
    <row r="59" spans="1:46" x14ac:dyDescent="0.25">
      <c r="D59" s="98"/>
      <c r="G59" s="364"/>
      <c r="O59" s="365"/>
      <c r="P59" s="365"/>
      <c r="U59" s="365"/>
      <c r="V59" s="365"/>
    </row>
    <row r="60" spans="1:46" x14ac:dyDescent="0.25">
      <c r="A60" s="82"/>
      <c r="D60" s="364"/>
      <c r="G60" s="364"/>
      <c r="J60" s="364"/>
      <c r="O60" s="364"/>
      <c r="P60" s="364"/>
      <c r="R60" s="364"/>
      <c r="S60" s="364"/>
      <c r="U60" s="366"/>
      <c r="V60" s="364"/>
    </row>
  </sheetData>
  <mergeCells count="18">
    <mergeCell ref="R55:T55"/>
    <mergeCell ref="U55:W55"/>
    <mergeCell ref="C5:E5"/>
    <mergeCell ref="F5:H5"/>
    <mergeCell ref="I5:K5"/>
    <mergeCell ref="L5:N5"/>
    <mergeCell ref="O5:Q5"/>
    <mergeCell ref="R5:T5"/>
    <mergeCell ref="C55:E55"/>
    <mergeCell ref="F55:H55"/>
    <mergeCell ref="I55:K55"/>
    <mergeCell ref="L55:N55"/>
    <mergeCell ref="O55:Q55"/>
    <mergeCell ref="X55:Z55"/>
    <mergeCell ref="AA55:AC55"/>
    <mergeCell ref="U5:W5"/>
    <mergeCell ref="X5:Z5"/>
    <mergeCell ref="AA5:AC5"/>
  </mergeCells>
  <dataValidations count="1">
    <dataValidation type="decimal" operator="greaterThanOrEqual" allowBlank="1" showInputMessage="1" showErrorMessage="1" sqref="R50">
      <formula1>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workbookViewId="0">
      <selection activeCell="F1" sqref="F1:I13"/>
    </sheetView>
  </sheetViews>
  <sheetFormatPr defaultColWidth="8.5703125" defaultRowHeight="15" x14ac:dyDescent="0.25"/>
  <cols>
    <col min="1" max="1" width="39" style="51" customWidth="1"/>
    <col min="2" max="2" width="17.5703125" style="98" customWidth="1"/>
    <col min="3" max="4" width="17.5703125" style="51" customWidth="1"/>
    <col min="5" max="16384" width="8.5703125" style="51"/>
  </cols>
  <sheetData>
    <row r="1" spans="1:9" ht="15.75" thickBot="1" x14ac:dyDescent="0.3">
      <c r="B1" s="833">
        <v>2018</v>
      </c>
      <c r="C1" s="834"/>
      <c r="D1" s="835"/>
      <c r="F1" s="797" t="s">
        <v>763</v>
      </c>
      <c r="G1" s="797"/>
      <c r="H1" s="797"/>
      <c r="I1" s="798"/>
    </row>
    <row r="2" spans="1:9" ht="15.75" x14ac:dyDescent="0.25">
      <c r="A2" s="367" t="s">
        <v>326</v>
      </c>
      <c r="B2" s="306" t="s">
        <v>328</v>
      </c>
      <c r="C2" s="306" t="s">
        <v>329</v>
      </c>
      <c r="D2" s="306" t="s">
        <v>330</v>
      </c>
      <c r="F2" s="797"/>
      <c r="G2" s="797"/>
      <c r="H2" s="797"/>
      <c r="I2" s="798"/>
    </row>
    <row r="3" spans="1:9" x14ac:dyDescent="0.25">
      <c r="A3" s="51" t="s">
        <v>377</v>
      </c>
      <c r="B3" s="98">
        <v>3841.85</v>
      </c>
      <c r="C3" s="51">
        <v>0</v>
      </c>
      <c r="D3" s="360">
        <f t="shared" ref="D3:D49" si="0">C3/B3</f>
        <v>0</v>
      </c>
      <c r="F3" s="797"/>
      <c r="G3" s="797"/>
      <c r="H3" s="797"/>
      <c r="I3" s="798"/>
    </row>
    <row r="4" spans="1:9" x14ac:dyDescent="0.25">
      <c r="A4" s="51" t="s">
        <v>337</v>
      </c>
      <c r="B4" s="98">
        <v>170820.18</v>
      </c>
      <c r="C4" s="51">
        <v>2005.2522055852407</v>
      </c>
      <c r="D4" s="360">
        <f t="shared" si="0"/>
        <v>1.1738965534313573E-2</v>
      </c>
      <c r="F4" s="797"/>
      <c r="G4" s="797"/>
      <c r="H4" s="797"/>
      <c r="I4" s="798"/>
    </row>
    <row r="5" spans="1:9" x14ac:dyDescent="0.25">
      <c r="A5" s="51" t="s">
        <v>379</v>
      </c>
      <c r="B5" s="98">
        <v>356681</v>
      </c>
      <c r="C5" s="51">
        <v>13041.841199999999</v>
      </c>
      <c r="D5" s="360">
        <f t="shared" si="0"/>
        <v>3.6564440494447417E-2</v>
      </c>
      <c r="F5" s="797"/>
      <c r="G5" s="797"/>
      <c r="H5" s="797"/>
      <c r="I5" s="798"/>
    </row>
    <row r="6" spans="1:9" x14ac:dyDescent="0.25">
      <c r="A6" s="51" t="s">
        <v>339</v>
      </c>
      <c r="B6" s="98">
        <v>179666.76500000001</v>
      </c>
      <c r="C6" s="51">
        <v>1986.9520669613976</v>
      </c>
      <c r="D6" s="360">
        <f t="shared" si="0"/>
        <v>1.105909636076209E-2</v>
      </c>
      <c r="F6" s="797"/>
      <c r="G6" s="797"/>
      <c r="H6" s="797"/>
      <c r="I6" s="798"/>
    </row>
    <row r="7" spans="1:9" x14ac:dyDescent="0.25">
      <c r="A7" s="51" t="s">
        <v>340</v>
      </c>
      <c r="B7" s="98">
        <v>67044.736999999994</v>
      </c>
      <c r="C7" s="51">
        <v>787.03585690011789</v>
      </c>
      <c r="D7" s="360">
        <f t="shared" si="0"/>
        <v>1.1738965534313573E-2</v>
      </c>
      <c r="F7" s="797"/>
      <c r="G7" s="797"/>
      <c r="H7" s="797"/>
      <c r="I7" s="798"/>
    </row>
    <row r="8" spans="1:9" x14ac:dyDescent="0.25">
      <c r="A8" s="51" t="s">
        <v>380</v>
      </c>
      <c r="B8" s="98">
        <v>1472659.85</v>
      </c>
      <c r="C8" s="51">
        <v>630298.41580000008</v>
      </c>
      <c r="D8" s="360">
        <f t="shared" si="0"/>
        <v>0.42800000000000005</v>
      </c>
      <c r="F8" s="797"/>
      <c r="G8" s="797"/>
      <c r="H8" s="797"/>
      <c r="I8" s="798"/>
    </row>
    <row r="9" spans="1:9" x14ac:dyDescent="0.25">
      <c r="A9" s="51" t="s">
        <v>341</v>
      </c>
      <c r="B9" s="98">
        <v>191026.52900000001</v>
      </c>
      <c r="C9" s="51">
        <v>2242.4538400705524</v>
      </c>
      <c r="D9" s="360">
        <f t="shared" si="0"/>
        <v>1.1738965534313573E-2</v>
      </c>
      <c r="F9" s="797"/>
      <c r="G9" s="797"/>
      <c r="H9" s="797"/>
      <c r="I9" s="798"/>
    </row>
    <row r="10" spans="1:9" x14ac:dyDescent="0.25">
      <c r="A10" s="51" t="s">
        <v>342</v>
      </c>
      <c r="B10" s="98">
        <v>23665.404999999999</v>
      </c>
      <c r="C10" s="51">
        <v>277.80737365057212</v>
      </c>
      <c r="D10" s="360">
        <f t="shared" si="0"/>
        <v>1.1738965534313575E-2</v>
      </c>
      <c r="F10" s="797"/>
      <c r="G10" s="797"/>
      <c r="H10" s="797"/>
      <c r="I10" s="798"/>
    </row>
    <row r="11" spans="1:9" x14ac:dyDescent="0.25">
      <c r="A11" s="51" t="s">
        <v>384</v>
      </c>
      <c r="B11" s="98">
        <v>765895.44000000006</v>
      </c>
      <c r="C11" s="51">
        <v>8892.7379914829453</v>
      </c>
      <c r="D11" s="360">
        <f t="shared" si="0"/>
        <v>1.1610903430216198E-2</v>
      </c>
      <c r="F11" s="797"/>
      <c r="G11" s="797"/>
      <c r="H11" s="797"/>
      <c r="I11" s="798"/>
    </row>
    <row r="12" spans="1:9" x14ac:dyDescent="0.25">
      <c r="A12" s="51" t="s">
        <v>344</v>
      </c>
      <c r="B12" s="98">
        <v>1317606.4920000001</v>
      </c>
      <c r="C12" s="51">
        <v>15467.337197375813</v>
      </c>
      <c r="D12" s="360">
        <f t="shared" si="0"/>
        <v>1.1738965534313573E-2</v>
      </c>
      <c r="F12" s="798"/>
      <c r="G12" s="798"/>
      <c r="H12" s="798"/>
      <c r="I12" s="798"/>
    </row>
    <row r="13" spans="1:9" x14ac:dyDescent="0.25">
      <c r="A13" s="51" t="s">
        <v>345</v>
      </c>
      <c r="B13" s="98">
        <v>887377.00870000001</v>
      </c>
      <c r="C13" s="51">
        <v>31722.855536241455</v>
      </c>
      <c r="D13" s="360">
        <f t="shared" si="0"/>
        <v>3.5749016737221057E-2</v>
      </c>
      <c r="F13" s="798"/>
      <c r="G13" s="798"/>
      <c r="H13" s="798"/>
      <c r="I13" s="798"/>
    </row>
    <row r="14" spans="1:9" x14ac:dyDescent="0.25">
      <c r="A14" s="51" t="s">
        <v>346</v>
      </c>
      <c r="B14" s="98">
        <v>2374.0779933000003</v>
      </c>
      <c r="C14" s="51">
        <v>27.819736542611331</v>
      </c>
      <c r="D14" s="360">
        <f t="shared" si="0"/>
        <v>1.1718122412626184E-2</v>
      </c>
    </row>
    <row r="15" spans="1:9" x14ac:dyDescent="0.25">
      <c r="A15" s="51" t="s">
        <v>347</v>
      </c>
      <c r="B15" s="98">
        <v>117016.11900000001</v>
      </c>
      <c r="C15" s="51">
        <v>1373.6481879001358</v>
      </c>
      <c r="D15" s="360">
        <f t="shared" si="0"/>
        <v>1.1738965534313573E-2</v>
      </c>
    </row>
    <row r="16" spans="1:9" x14ac:dyDescent="0.25">
      <c r="A16" s="51" t="s">
        <v>348</v>
      </c>
      <c r="B16" s="98">
        <v>26536.019</v>
      </c>
      <c r="C16" s="51">
        <v>311.50541245889013</v>
      </c>
      <c r="D16" s="360">
        <f t="shared" si="0"/>
        <v>1.1738965534313573E-2</v>
      </c>
    </row>
    <row r="17" spans="1:4" x14ac:dyDescent="0.25">
      <c r="A17" s="51" t="s">
        <v>349</v>
      </c>
      <c r="B17" s="98">
        <v>495255.77100000001</v>
      </c>
      <c r="C17" s="51">
        <v>5813.7904264388953</v>
      </c>
      <c r="D17" s="360">
        <f t="shared" si="0"/>
        <v>1.1738965534313573E-2</v>
      </c>
    </row>
    <row r="18" spans="1:4" x14ac:dyDescent="0.25">
      <c r="A18" s="51" t="s">
        <v>350</v>
      </c>
      <c r="B18" s="98">
        <v>7328</v>
      </c>
      <c r="C18" s="51">
        <v>86.023139435449863</v>
      </c>
      <c r="D18" s="360">
        <f t="shared" si="0"/>
        <v>1.1738965534313573E-2</v>
      </c>
    </row>
    <row r="19" spans="1:4" x14ac:dyDescent="0.25">
      <c r="A19" s="51" t="s">
        <v>381</v>
      </c>
      <c r="B19" s="98">
        <v>420709.25</v>
      </c>
      <c r="C19" s="51">
        <v>180063.55900000001</v>
      </c>
      <c r="D19" s="360">
        <f t="shared" si="0"/>
        <v>0.42800000000000005</v>
      </c>
    </row>
    <row r="20" spans="1:4" x14ac:dyDescent="0.25">
      <c r="A20" s="51" t="s">
        <v>385</v>
      </c>
      <c r="B20" s="98">
        <v>428601.46900000004</v>
      </c>
      <c r="C20" s="51">
        <v>4724.8487678687661</v>
      </c>
      <c r="D20" s="360">
        <f t="shared" si="0"/>
        <v>1.1023874413899327E-2</v>
      </c>
    </row>
    <row r="21" spans="1:4" x14ac:dyDescent="0.25">
      <c r="A21" s="51" t="s">
        <v>352</v>
      </c>
      <c r="B21" s="98">
        <v>346040.89999999997</v>
      </c>
      <c r="C21" s="51">
        <v>4062.1621985628494</v>
      </c>
      <c r="D21" s="360">
        <f t="shared" si="0"/>
        <v>1.1738965534313573E-2</v>
      </c>
    </row>
    <row r="22" spans="1:4" x14ac:dyDescent="0.25">
      <c r="A22" s="51" t="s">
        <v>353</v>
      </c>
      <c r="B22" s="98">
        <v>161025.247</v>
      </c>
      <c r="C22" s="51">
        <v>1890.2698246873301</v>
      </c>
      <c r="D22" s="360">
        <f t="shared" si="0"/>
        <v>1.1738965534313573E-2</v>
      </c>
    </row>
    <row r="23" spans="1:4" x14ac:dyDescent="0.25">
      <c r="A23" s="51" t="s">
        <v>354</v>
      </c>
      <c r="B23" s="98">
        <v>16434.5</v>
      </c>
      <c r="C23" s="51">
        <v>192.92402907367642</v>
      </c>
      <c r="D23" s="360">
        <f t="shared" si="0"/>
        <v>1.1738965534313573E-2</v>
      </c>
    </row>
    <row r="24" spans="1:4" x14ac:dyDescent="0.25">
      <c r="A24" s="51" t="s">
        <v>355</v>
      </c>
      <c r="B24" s="98">
        <v>624036.69293200003</v>
      </c>
      <c r="C24" s="51">
        <v>74546.039546327724</v>
      </c>
      <c r="D24" s="360">
        <f t="shared" si="0"/>
        <v>0.11945778251608491</v>
      </c>
    </row>
    <row r="25" spans="1:4" x14ac:dyDescent="0.25">
      <c r="A25" s="51" t="s">
        <v>356</v>
      </c>
      <c r="B25" s="98">
        <v>2412078.8900692808</v>
      </c>
      <c r="C25" s="51">
        <v>35357.629153437694</v>
      </c>
      <c r="D25" s="360">
        <f t="shared" si="0"/>
        <v>1.4658570786804629E-2</v>
      </c>
    </row>
    <row r="26" spans="1:4" x14ac:dyDescent="0.25">
      <c r="A26" s="51" t="s">
        <v>357</v>
      </c>
      <c r="B26" s="98">
        <v>256361.78200000001</v>
      </c>
      <c r="C26" s="51">
        <v>2706.9207203594833</v>
      </c>
      <c r="D26" s="360">
        <f t="shared" si="0"/>
        <v>1.0558986988003864E-2</v>
      </c>
    </row>
    <row r="27" spans="1:4" x14ac:dyDescent="0.25">
      <c r="A27" s="51" t="s">
        <v>358</v>
      </c>
      <c r="B27" s="98">
        <v>111277</v>
      </c>
      <c r="C27" s="51">
        <v>1306.2768677618114</v>
      </c>
      <c r="D27" s="360">
        <f t="shared" si="0"/>
        <v>1.1738965534313573E-2</v>
      </c>
    </row>
    <row r="28" spans="1:4" x14ac:dyDescent="0.25">
      <c r="A28" s="51" t="s">
        <v>359</v>
      </c>
      <c r="B28" s="98">
        <v>108142.802</v>
      </c>
      <c r="C28" s="51">
        <v>1269.4846254620968</v>
      </c>
      <c r="D28" s="360">
        <f t="shared" si="0"/>
        <v>1.1738965534313573E-2</v>
      </c>
    </row>
    <row r="29" spans="1:4" x14ac:dyDescent="0.25">
      <c r="A29" s="51" t="s">
        <v>360</v>
      </c>
      <c r="B29" s="98">
        <v>123750.856</v>
      </c>
      <c r="C29" s="51">
        <v>1452.7070334258021</v>
      </c>
      <c r="D29" s="360">
        <f t="shared" si="0"/>
        <v>1.1738965534313573E-2</v>
      </c>
    </row>
    <row r="30" spans="1:4" x14ac:dyDescent="0.25">
      <c r="A30" s="51" t="s">
        <v>333</v>
      </c>
      <c r="B30" s="98">
        <v>837162.08000000019</v>
      </c>
      <c r="C30" s="51">
        <v>203014.86674500001</v>
      </c>
      <c r="D30" s="360">
        <f t="shared" si="0"/>
        <v>0.24250365800730003</v>
      </c>
    </row>
    <row r="31" spans="1:4" x14ac:dyDescent="0.25">
      <c r="A31" s="51" t="s">
        <v>386</v>
      </c>
      <c r="B31" s="98">
        <v>245149.45200000002</v>
      </c>
      <c r="C31" s="51">
        <v>2866.6785327194084</v>
      </c>
      <c r="D31" s="360">
        <f t="shared" si="0"/>
        <v>1.1693595516254339E-2</v>
      </c>
    </row>
    <row r="32" spans="1:4" x14ac:dyDescent="0.25">
      <c r="A32" s="51" t="s">
        <v>362</v>
      </c>
      <c r="B32" s="98">
        <v>697221.33600000001</v>
      </c>
      <c r="C32" s="51">
        <v>8184.6572330920635</v>
      </c>
      <c r="D32" s="360">
        <f t="shared" si="0"/>
        <v>1.1738965534313573E-2</v>
      </c>
    </row>
    <row r="33" spans="1:4" x14ac:dyDescent="0.25">
      <c r="A33" s="51" t="s">
        <v>363</v>
      </c>
      <c r="B33" s="98">
        <v>427686.17</v>
      </c>
      <c r="C33" s="51">
        <v>5020.5932091325758</v>
      </c>
      <c r="D33" s="360">
        <f t="shared" si="0"/>
        <v>1.1738965534313573E-2</v>
      </c>
    </row>
    <row r="34" spans="1:4" x14ac:dyDescent="0.25">
      <c r="A34" s="51" t="s">
        <v>364</v>
      </c>
      <c r="B34" s="98">
        <v>130945</v>
      </c>
      <c r="C34" s="51">
        <v>1234.6574390369644</v>
      </c>
      <c r="D34" s="360">
        <f t="shared" si="0"/>
        <v>9.4288246136695897E-3</v>
      </c>
    </row>
    <row r="35" spans="1:4" x14ac:dyDescent="0.25">
      <c r="A35" s="51" t="s">
        <v>365</v>
      </c>
      <c r="B35" s="98">
        <v>70272.418000000005</v>
      </c>
      <c r="C35" s="51">
        <v>824.92549291487683</v>
      </c>
      <c r="D35" s="360">
        <f t="shared" si="0"/>
        <v>1.1738965534313573E-2</v>
      </c>
    </row>
    <row r="36" spans="1:4" x14ac:dyDescent="0.25">
      <c r="A36" s="51" t="s">
        <v>366</v>
      </c>
      <c r="B36" s="98">
        <v>699093.14</v>
      </c>
      <c r="C36" s="51">
        <v>15691.391418116778</v>
      </c>
      <c r="D36" s="360">
        <f t="shared" si="0"/>
        <v>2.2445351728264389E-2</v>
      </c>
    </row>
    <row r="37" spans="1:4" x14ac:dyDescent="0.25">
      <c r="A37" s="51" t="s">
        <v>367</v>
      </c>
      <c r="B37" s="98">
        <v>683177.45600000001</v>
      </c>
      <c r="C37" s="51">
        <v>8019.7966098040279</v>
      </c>
      <c r="D37" s="360">
        <f t="shared" si="0"/>
        <v>1.1738965534313573E-2</v>
      </c>
    </row>
    <row r="38" spans="1:4" x14ac:dyDescent="0.25">
      <c r="A38" s="51" t="s">
        <v>335</v>
      </c>
      <c r="B38" s="98">
        <v>12867233</v>
      </c>
      <c r="C38" s="51">
        <v>8682291.2892314382</v>
      </c>
      <c r="D38" s="360">
        <f t="shared" si="0"/>
        <v>0.67475977851892777</v>
      </c>
    </row>
    <row r="39" spans="1:4" x14ac:dyDescent="0.25">
      <c r="A39" s="51" t="s">
        <v>336</v>
      </c>
      <c r="B39" s="98">
        <v>15998461.039166298</v>
      </c>
      <c r="C39" s="51">
        <v>6105329.2516976334</v>
      </c>
      <c r="D39" s="360">
        <f t="shared" si="0"/>
        <v>0.38161978434994459</v>
      </c>
    </row>
    <row r="40" spans="1:4" x14ac:dyDescent="0.25">
      <c r="A40" s="51" t="s">
        <v>368</v>
      </c>
      <c r="B40" s="98">
        <v>326334.701</v>
      </c>
      <c r="C40" s="51">
        <v>3830.8318076895252</v>
      </c>
      <c r="D40" s="360">
        <f t="shared" si="0"/>
        <v>1.1738965534313573E-2</v>
      </c>
    </row>
    <row r="41" spans="1:4" x14ac:dyDescent="0.25">
      <c r="A41" s="51" t="s">
        <v>382</v>
      </c>
      <c r="B41" s="98">
        <v>166241.88</v>
      </c>
      <c r="C41" s="51">
        <v>41178.383840000002</v>
      </c>
      <c r="D41" s="360">
        <f t="shared" si="0"/>
        <v>0.24770162512599112</v>
      </c>
    </row>
    <row r="42" spans="1:4" x14ac:dyDescent="0.25">
      <c r="A42" s="51" t="s">
        <v>369</v>
      </c>
      <c r="B42" s="98">
        <v>787352.68</v>
      </c>
      <c r="C42" s="51">
        <v>9242.7059738694243</v>
      </c>
      <c r="D42" s="360">
        <f t="shared" si="0"/>
        <v>1.1738965534313573E-2</v>
      </c>
    </row>
    <row r="43" spans="1:4" x14ac:dyDescent="0.25">
      <c r="A43" s="51" t="s">
        <v>370</v>
      </c>
      <c r="B43" s="98">
        <v>41590</v>
      </c>
      <c r="C43" s="51">
        <v>488.22357657210148</v>
      </c>
      <c r="D43" s="360">
        <f t="shared" si="0"/>
        <v>1.1738965534313573E-2</v>
      </c>
    </row>
    <row r="44" spans="1:4" x14ac:dyDescent="0.25">
      <c r="A44" s="51" t="s">
        <v>371</v>
      </c>
      <c r="B44" s="98">
        <v>486751.12400000001</v>
      </c>
      <c r="C44" s="51">
        <v>5678.3503859588191</v>
      </c>
      <c r="D44" s="360">
        <f t="shared" si="0"/>
        <v>1.1665818743869648E-2</v>
      </c>
    </row>
    <row r="45" spans="1:4" x14ac:dyDescent="0.25">
      <c r="A45" s="51" t="s">
        <v>372</v>
      </c>
      <c r="B45" s="98">
        <v>2599454.7159000002</v>
      </c>
      <c r="C45" s="51">
        <v>262355.53653852089</v>
      </c>
      <c r="D45" s="360">
        <f t="shared" si="0"/>
        <v>0.10092714250176366</v>
      </c>
    </row>
    <row r="46" spans="1:4" x14ac:dyDescent="0.25">
      <c r="A46" s="51" t="s">
        <v>373</v>
      </c>
      <c r="B46" s="98">
        <v>24420.51</v>
      </c>
      <c r="C46" s="51">
        <v>286.67152522035991</v>
      </c>
      <c r="D46" s="360">
        <f t="shared" si="0"/>
        <v>1.1738965534313571E-2</v>
      </c>
    </row>
    <row r="47" spans="1:4" x14ac:dyDescent="0.25">
      <c r="A47" s="51" t="s">
        <v>374</v>
      </c>
      <c r="B47" s="98">
        <v>5507.2</v>
      </c>
      <c r="C47" s="51">
        <v>64.64883099057171</v>
      </c>
      <c r="D47" s="360">
        <f t="shared" si="0"/>
        <v>1.1738965534313573E-2</v>
      </c>
    </row>
    <row r="48" spans="1:4" x14ac:dyDescent="0.25">
      <c r="A48" s="51" t="s">
        <v>375</v>
      </c>
      <c r="B48" s="98">
        <v>111774.283</v>
      </c>
      <c r="C48" s="51">
        <v>1312.1144557596115</v>
      </c>
      <c r="D48" s="360">
        <f t="shared" si="0"/>
        <v>1.1738965534313573E-2</v>
      </c>
    </row>
    <row r="49" spans="1:5" x14ac:dyDescent="0.25">
      <c r="A49" s="51" t="s">
        <v>376</v>
      </c>
      <c r="B49" s="98">
        <v>70632.255000000005</v>
      </c>
      <c r="C49" s="51">
        <v>829.14960705584758</v>
      </c>
      <c r="D49" s="360">
        <f t="shared" si="0"/>
        <v>1.1738965534313573E-2</v>
      </c>
    </row>
    <row r="50" spans="1:5" x14ac:dyDescent="0.25">
      <c r="D50" s="360"/>
    </row>
    <row r="51" spans="1:5" x14ac:dyDescent="0.25">
      <c r="A51" s="51" t="s">
        <v>387</v>
      </c>
      <c r="B51" s="51" t="s">
        <v>387</v>
      </c>
      <c r="C51" s="98">
        <f>SUM(C3:C49)</f>
        <v>16379653.021888537</v>
      </c>
      <c r="D51" s="98">
        <f>SUM(D3:D49)</f>
        <v>3.1263594771382048</v>
      </c>
      <c r="E51" s="360">
        <f>D51/C51</f>
        <v>1.9086848011739766E-7</v>
      </c>
    </row>
    <row r="53" spans="1:5" x14ac:dyDescent="0.25">
      <c r="A53" s="51" t="s">
        <v>388</v>
      </c>
    </row>
  </sheetData>
  <mergeCells count="2">
    <mergeCell ref="B1:D1"/>
    <mergeCell ref="F1:I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4"/>
  <sheetViews>
    <sheetView workbookViewId="0">
      <selection activeCell="F6" sqref="F6:I22"/>
    </sheetView>
  </sheetViews>
  <sheetFormatPr defaultColWidth="9.140625" defaultRowHeight="15" x14ac:dyDescent="0.25"/>
  <cols>
    <col min="1" max="1" width="9.140625" style="51"/>
    <col min="2" max="2" width="68.85546875" style="51" customWidth="1"/>
    <col min="3" max="3" width="111" style="51" customWidth="1"/>
    <col min="4" max="16384" width="9.140625" style="51"/>
  </cols>
  <sheetData>
    <row r="1" spans="1:9" x14ac:dyDescent="0.25">
      <c r="A1" s="70" t="s">
        <v>412</v>
      </c>
      <c r="B1" s="70" t="s">
        <v>413</v>
      </c>
    </row>
    <row r="2" spans="1:9" x14ac:dyDescent="0.25">
      <c r="B2" s="51" t="s">
        <v>414</v>
      </c>
      <c r="C2" s="400" t="s">
        <v>415</v>
      </c>
    </row>
    <row r="3" spans="1:9" ht="15.75" thickBot="1" x14ac:dyDescent="0.3">
      <c r="B3" s="401">
        <v>2.4E-2</v>
      </c>
      <c r="C3" s="70" t="s">
        <v>416</v>
      </c>
    </row>
    <row r="4" spans="1:9" x14ac:dyDescent="0.25">
      <c r="B4" s="402" t="s">
        <v>417</v>
      </c>
      <c r="C4" s="403" t="s">
        <v>418</v>
      </c>
      <c r="D4" s="404" t="s">
        <v>419</v>
      </c>
    </row>
    <row r="5" spans="1:9" x14ac:dyDescent="0.25">
      <c r="B5" s="405" t="s">
        <v>2</v>
      </c>
      <c r="C5" s="406" t="s">
        <v>420</v>
      </c>
      <c r="D5" s="407">
        <v>2018</v>
      </c>
    </row>
    <row r="6" spans="1:9" x14ac:dyDescent="0.25">
      <c r="B6" s="405">
        <v>1980</v>
      </c>
      <c r="C6" s="408">
        <v>2.9750000000000001</v>
      </c>
      <c r="D6" s="409"/>
      <c r="F6" s="797" t="s">
        <v>763</v>
      </c>
      <c r="G6" s="797"/>
      <c r="H6" s="797"/>
      <c r="I6" s="797"/>
    </row>
    <row r="7" spans="1:9" x14ac:dyDescent="0.25">
      <c r="B7" s="405">
        <v>1981</v>
      </c>
      <c r="C7" s="408">
        <v>2.6970000000000001</v>
      </c>
      <c r="D7" s="409"/>
      <c r="F7" s="797"/>
      <c r="G7" s="797"/>
      <c r="H7" s="797"/>
      <c r="I7" s="797"/>
    </row>
    <row r="8" spans="1:9" x14ac:dyDescent="0.25">
      <c r="B8" s="405">
        <v>1982</v>
      </c>
      <c r="C8" s="408">
        <v>2.54</v>
      </c>
      <c r="D8" s="409"/>
      <c r="F8" s="797"/>
      <c r="G8" s="797"/>
      <c r="H8" s="797"/>
      <c r="I8" s="797"/>
    </row>
    <row r="9" spans="1:9" x14ac:dyDescent="0.25">
      <c r="B9" s="405">
        <v>1983</v>
      </c>
      <c r="C9" s="408">
        <v>2.4609999999999999</v>
      </c>
      <c r="D9" s="409"/>
      <c r="F9" s="797"/>
      <c r="G9" s="797"/>
      <c r="H9" s="797"/>
      <c r="I9" s="797"/>
    </row>
    <row r="10" spans="1:9" x14ac:dyDescent="0.25">
      <c r="B10" s="405">
        <v>1984</v>
      </c>
      <c r="C10" s="408">
        <v>2.359</v>
      </c>
      <c r="D10" s="409"/>
      <c r="F10" s="797"/>
      <c r="G10" s="797"/>
      <c r="H10" s="797"/>
      <c r="I10" s="797"/>
    </row>
    <row r="11" spans="1:9" x14ac:dyDescent="0.25">
      <c r="B11" s="405">
        <v>1985</v>
      </c>
      <c r="C11" s="408">
        <v>2.278</v>
      </c>
      <c r="D11" s="409"/>
      <c r="F11" s="797"/>
      <c r="G11" s="797"/>
      <c r="H11" s="797"/>
      <c r="I11" s="797"/>
    </row>
    <row r="12" spans="1:9" x14ac:dyDescent="0.25">
      <c r="B12" s="405">
        <v>1986</v>
      </c>
      <c r="C12" s="408">
        <v>2.2360000000000002</v>
      </c>
      <c r="D12" s="409"/>
      <c r="F12" s="797"/>
      <c r="G12" s="797"/>
      <c r="H12" s="797"/>
      <c r="I12" s="797"/>
    </row>
    <row r="13" spans="1:9" x14ac:dyDescent="0.25">
      <c r="B13" s="405">
        <v>1987</v>
      </c>
      <c r="C13" s="408">
        <v>2.1579999999999999</v>
      </c>
      <c r="D13" s="409"/>
      <c r="F13" s="797"/>
      <c r="G13" s="797"/>
      <c r="H13" s="797"/>
      <c r="I13" s="797"/>
    </row>
    <row r="14" spans="1:9" x14ac:dyDescent="0.25">
      <c r="B14" s="405">
        <v>1988</v>
      </c>
      <c r="C14" s="408">
        <v>2.0720000000000001</v>
      </c>
      <c r="D14" s="409"/>
      <c r="F14" s="797"/>
      <c r="G14" s="797"/>
      <c r="H14" s="797"/>
      <c r="I14" s="797"/>
    </row>
    <row r="15" spans="1:9" x14ac:dyDescent="0.25">
      <c r="B15" s="405">
        <v>1989</v>
      </c>
      <c r="C15" s="408">
        <v>1.9770000000000001</v>
      </c>
      <c r="D15" s="409"/>
      <c r="F15" s="797"/>
      <c r="G15" s="797"/>
      <c r="H15" s="797"/>
      <c r="I15" s="797"/>
    </row>
    <row r="16" spans="1:9" x14ac:dyDescent="0.25">
      <c r="B16" s="405">
        <v>1990</v>
      </c>
      <c r="C16" s="408">
        <v>1.875</v>
      </c>
      <c r="D16" s="409"/>
      <c r="F16" s="797"/>
      <c r="G16" s="797"/>
      <c r="H16" s="797"/>
      <c r="I16" s="797"/>
    </row>
    <row r="17" spans="2:9" x14ac:dyDescent="0.25">
      <c r="B17" s="405">
        <v>1991</v>
      </c>
      <c r="C17" s="408">
        <v>1.8</v>
      </c>
      <c r="D17" s="409"/>
      <c r="F17" s="797"/>
      <c r="G17" s="797"/>
      <c r="H17" s="797"/>
      <c r="I17" s="797"/>
    </row>
    <row r="18" spans="2:9" x14ac:dyDescent="0.25">
      <c r="B18" s="405">
        <v>1992</v>
      </c>
      <c r="C18" s="408">
        <v>1.7470000000000001</v>
      </c>
      <c r="D18" s="409"/>
      <c r="F18" s="797"/>
      <c r="G18" s="797"/>
      <c r="H18" s="797"/>
      <c r="I18" s="797"/>
    </row>
    <row r="19" spans="2:9" x14ac:dyDescent="0.25">
      <c r="B19" s="405">
        <v>1993</v>
      </c>
      <c r="C19" s="408">
        <v>1.696</v>
      </c>
      <c r="D19" s="409"/>
      <c r="F19" s="797"/>
      <c r="G19" s="797"/>
      <c r="H19" s="797"/>
      <c r="I19" s="797"/>
    </row>
    <row r="20" spans="2:9" x14ac:dyDescent="0.25">
      <c r="B20" s="405">
        <v>1994</v>
      </c>
      <c r="C20" s="408">
        <v>1.6539999999999999</v>
      </c>
      <c r="D20" s="409"/>
      <c r="F20" s="797"/>
      <c r="G20" s="797"/>
      <c r="H20" s="797"/>
      <c r="I20" s="797"/>
    </row>
    <row r="21" spans="2:9" x14ac:dyDescent="0.25">
      <c r="B21" s="405">
        <v>1995</v>
      </c>
      <c r="C21" s="408">
        <v>1.6080000000000001</v>
      </c>
      <c r="D21" s="409"/>
      <c r="F21" s="797"/>
      <c r="G21" s="797"/>
      <c r="H21" s="797"/>
      <c r="I21" s="797"/>
    </row>
    <row r="22" spans="2:9" x14ac:dyDescent="0.25">
      <c r="B22" s="405">
        <v>1996</v>
      </c>
      <c r="C22" s="408">
        <v>1.5620000000000001</v>
      </c>
      <c r="D22" s="409"/>
      <c r="F22" s="797"/>
      <c r="G22" s="797"/>
      <c r="H22" s="797"/>
      <c r="I22" s="797"/>
    </row>
    <row r="23" spans="2:9" x14ac:dyDescent="0.25">
      <c r="B23" s="405">
        <v>1997</v>
      </c>
      <c r="C23" s="408">
        <v>1.5269999999999999</v>
      </c>
      <c r="D23" s="409"/>
    </row>
    <row r="24" spans="2:9" x14ac:dyDescent="0.25">
      <c r="B24" s="405">
        <v>1998</v>
      </c>
      <c r="C24" s="408">
        <v>1.504</v>
      </c>
      <c r="D24" s="409"/>
    </row>
    <row r="25" spans="2:9" x14ac:dyDescent="0.25">
      <c r="B25" s="405">
        <v>1999</v>
      </c>
      <c r="C25" s="408">
        <v>1.4710000000000001</v>
      </c>
      <c r="D25" s="409"/>
    </row>
    <row r="26" spans="2:9" x14ac:dyDescent="0.25">
      <c r="B26" s="405">
        <v>2000</v>
      </c>
      <c r="C26" s="408">
        <v>1.423</v>
      </c>
      <c r="D26" s="409"/>
    </row>
    <row r="27" spans="2:9" x14ac:dyDescent="0.25">
      <c r="B27" s="405">
        <v>2001</v>
      </c>
      <c r="C27" s="408">
        <v>1.3839999999999999</v>
      </c>
      <c r="D27" s="409"/>
    </row>
    <row r="28" spans="2:9" x14ac:dyDescent="0.25">
      <c r="B28" s="405">
        <v>2002</v>
      </c>
      <c r="C28" s="408">
        <v>1.363</v>
      </c>
      <c r="D28" s="409"/>
    </row>
    <row r="29" spans="2:9" x14ac:dyDescent="0.25">
      <c r="B29" s="405">
        <v>2003</v>
      </c>
      <c r="C29" s="408">
        <v>1.3320000000000001</v>
      </c>
      <c r="D29" s="409"/>
    </row>
    <row r="30" spans="2:9" x14ac:dyDescent="0.25">
      <c r="B30" s="405">
        <v>2004</v>
      </c>
      <c r="C30" s="408">
        <v>1.298</v>
      </c>
      <c r="D30" s="409"/>
    </row>
    <row r="31" spans="2:9" x14ac:dyDescent="0.25">
      <c r="B31" s="405">
        <v>2005</v>
      </c>
      <c r="C31" s="408">
        <v>1.2549999999999999</v>
      </c>
      <c r="D31" s="409"/>
    </row>
    <row r="32" spans="2:9" x14ac:dyDescent="0.25">
      <c r="B32" s="405">
        <v>2006</v>
      </c>
      <c r="C32" s="408">
        <v>1.216</v>
      </c>
      <c r="D32" s="409"/>
    </row>
    <row r="33" spans="2:4" x14ac:dyDescent="0.25">
      <c r="B33" s="405">
        <v>2007</v>
      </c>
      <c r="C33" s="408">
        <v>1.1819999999999999</v>
      </c>
      <c r="D33" s="409"/>
    </row>
    <row r="34" spans="2:4" x14ac:dyDescent="0.25">
      <c r="B34" s="405">
        <v>2008</v>
      </c>
      <c r="C34" s="408">
        <v>1.1379999999999999</v>
      </c>
      <c r="D34" s="409"/>
    </row>
    <row r="35" spans="2:4" x14ac:dyDescent="0.25">
      <c r="B35" s="405">
        <v>2009</v>
      </c>
      <c r="C35" s="408">
        <v>1.143</v>
      </c>
      <c r="D35" s="409"/>
    </row>
    <row r="36" spans="2:4" x14ac:dyDescent="0.25">
      <c r="B36" s="405">
        <v>2010</v>
      </c>
      <c r="C36" s="408">
        <v>1.1240000000000001</v>
      </c>
      <c r="D36" s="409"/>
    </row>
    <row r="37" spans="2:4" x14ac:dyDescent="0.25">
      <c r="B37" s="405">
        <v>2011</v>
      </c>
      <c r="C37" s="408">
        <v>1.0900000000000001</v>
      </c>
      <c r="D37" s="409"/>
    </row>
    <row r="38" spans="2:4" x14ac:dyDescent="0.25">
      <c r="B38" s="405">
        <v>2012</v>
      </c>
      <c r="C38" s="408">
        <v>1.0680000000000001</v>
      </c>
      <c r="D38" s="409"/>
    </row>
    <row r="39" spans="2:4" x14ac:dyDescent="0.25">
      <c r="B39" s="405">
        <v>2013</v>
      </c>
      <c r="C39" s="408">
        <v>1.052</v>
      </c>
      <c r="D39" s="409"/>
    </row>
    <row r="40" spans="2:4" x14ac:dyDescent="0.25">
      <c r="B40" s="405">
        <v>2014</v>
      </c>
      <c r="C40" s="408">
        <v>1.0349999999999999</v>
      </c>
      <c r="D40" s="409"/>
    </row>
    <row r="41" spans="2:4" x14ac:dyDescent="0.25">
      <c r="B41" s="405">
        <v>2015</v>
      </c>
      <c r="C41" s="408">
        <v>1.034</v>
      </c>
      <c r="D41" s="409"/>
    </row>
    <row r="42" spans="2:4" x14ac:dyDescent="0.25">
      <c r="B42" s="405">
        <v>2016</v>
      </c>
      <c r="C42" s="408">
        <v>1.0209999999999999</v>
      </c>
      <c r="D42" s="409"/>
    </row>
    <row r="43" spans="2:4" x14ac:dyDescent="0.25">
      <c r="B43" s="410">
        <v>2017</v>
      </c>
      <c r="C43" s="411">
        <v>1</v>
      </c>
      <c r="D43" s="412"/>
    </row>
    <row r="44" spans="2:4" ht="15.75" thickBot="1" x14ac:dyDescent="0.3">
      <c r="B44" s="413">
        <v>2018</v>
      </c>
      <c r="C44" s="414">
        <v>1</v>
      </c>
      <c r="D44" s="415"/>
    </row>
  </sheetData>
  <mergeCells count="1">
    <mergeCell ref="F6:I22"/>
  </mergeCells>
  <hyperlinks>
    <hyperlink ref="C4" r:id="rId1"/>
    <hyperlink ref="C2" r:id="rId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18"/>
  <sheetViews>
    <sheetView workbookViewId="0">
      <selection activeCell="A18" sqref="A18:XFD18"/>
    </sheetView>
  </sheetViews>
  <sheetFormatPr defaultColWidth="9.140625" defaultRowHeight="15" x14ac:dyDescent="0.25"/>
  <cols>
    <col min="1" max="1" width="23" style="51" customWidth="1"/>
    <col min="2" max="2" width="9.140625" style="51"/>
    <col min="3" max="3" width="12.42578125" style="51" customWidth="1"/>
    <col min="4" max="4" width="13.5703125" style="51" customWidth="1"/>
    <col min="5" max="5" width="11.85546875" style="51" customWidth="1"/>
    <col min="6" max="7" width="9.140625" style="51"/>
    <col min="8" max="8" width="10" style="51" customWidth="1"/>
    <col min="9" max="9" width="14" style="51" customWidth="1"/>
    <col min="10" max="13" width="9.140625" style="51"/>
    <col min="14" max="14" width="13.140625" style="51" customWidth="1"/>
    <col min="15" max="16384" width="9.140625" style="51"/>
  </cols>
  <sheetData>
    <row r="1" spans="1:18" x14ac:dyDescent="0.25">
      <c r="A1" s="70" t="s">
        <v>421</v>
      </c>
      <c r="C1" s="51" t="s">
        <v>422</v>
      </c>
      <c r="H1" s="51" t="s">
        <v>423</v>
      </c>
      <c r="M1" s="51" t="s">
        <v>424</v>
      </c>
    </row>
    <row r="2" spans="1:18" x14ac:dyDescent="0.25">
      <c r="B2" s="51" t="s">
        <v>1</v>
      </c>
      <c r="C2" s="51" t="s">
        <v>425</v>
      </c>
      <c r="D2" s="51" t="s">
        <v>426</v>
      </c>
      <c r="E2" s="51" t="s">
        <v>162</v>
      </c>
      <c r="F2" s="51" t="s">
        <v>427</v>
      </c>
      <c r="H2" s="51" t="s">
        <v>425</v>
      </c>
      <c r="I2" s="51" t="s">
        <v>426</v>
      </c>
      <c r="J2" s="51" t="s">
        <v>162</v>
      </c>
      <c r="K2" s="51" t="s">
        <v>427</v>
      </c>
      <c r="M2" s="51" t="s">
        <v>425</v>
      </c>
      <c r="N2" s="51" t="s">
        <v>426</v>
      </c>
      <c r="O2" s="51" t="s">
        <v>162</v>
      </c>
      <c r="P2" s="51" t="s">
        <v>427</v>
      </c>
    </row>
    <row r="3" spans="1:18" x14ac:dyDescent="0.25">
      <c r="A3" s="51" t="s">
        <v>428</v>
      </c>
      <c r="B3" s="75">
        <v>300000</v>
      </c>
      <c r="C3" s="75">
        <v>650000</v>
      </c>
      <c r="D3" s="75">
        <v>510000</v>
      </c>
      <c r="E3" s="75">
        <v>360000</v>
      </c>
      <c r="F3" s="75"/>
      <c r="H3" s="75">
        <f>(C3-B3)</f>
        <v>350000</v>
      </c>
      <c r="I3" s="75">
        <f>D3-B3</f>
        <v>210000</v>
      </c>
      <c r="J3" s="75">
        <f>E3-B3</f>
        <v>60000</v>
      </c>
      <c r="K3" s="75"/>
      <c r="M3" s="83">
        <f>H3/B3</f>
        <v>1.1666666666666667</v>
      </c>
      <c r="N3" s="83">
        <f>I3/B3</f>
        <v>0.7</v>
      </c>
      <c r="O3" s="83">
        <f>J3/B3</f>
        <v>0.2</v>
      </c>
      <c r="P3" s="83"/>
      <c r="R3" s="51" t="s">
        <v>429</v>
      </c>
    </row>
    <row r="4" spans="1:18" x14ac:dyDescent="0.25">
      <c r="A4" s="51" t="s">
        <v>430</v>
      </c>
      <c r="B4" s="75">
        <v>607836</v>
      </c>
      <c r="C4" s="90">
        <v>1085232</v>
      </c>
      <c r="E4" s="75">
        <v>576947</v>
      </c>
      <c r="H4" s="416">
        <f t="shared" ref="H4:H10" si="0">C4-B4</f>
        <v>477396</v>
      </c>
      <c r="J4" s="75">
        <f>E4-B4</f>
        <v>-30889</v>
      </c>
      <c r="M4" s="83">
        <f t="shared" ref="M4:M5" si="1">H4/B4</f>
        <v>0.78540264150198413</v>
      </c>
      <c r="O4" s="83">
        <f t="shared" ref="O4" si="2">J4/B4</f>
        <v>-5.0817983798261371E-2</v>
      </c>
    </row>
    <row r="5" spans="1:18" x14ac:dyDescent="0.25">
      <c r="A5" s="51" t="s">
        <v>431</v>
      </c>
      <c r="B5" s="75">
        <v>456000</v>
      </c>
      <c r="C5" s="75">
        <v>741000</v>
      </c>
      <c r="E5" s="75">
        <v>506000</v>
      </c>
      <c r="F5" s="75">
        <v>521000</v>
      </c>
      <c r="H5" s="75">
        <f t="shared" si="0"/>
        <v>285000</v>
      </c>
      <c r="J5" s="75">
        <f>E5-B5</f>
        <v>50000</v>
      </c>
      <c r="K5" s="75">
        <f>F5-B5</f>
        <v>65000</v>
      </c>
      <c r="M5" s="83">
        <f t="shared" si="1"/>
        <v>0.625</v>
      </c>
      <c r="O5" s="83">
        <f>J5/B5</f>
        <v>0.10964912280701754</v>
      </c>
      <c r="R5" s="51" t="s">
        <v>432</v>
      </c>
    </row>
    <row r="6" spans="1:18" ht="17.25" x14ac:dyDescent="0.25">
      <c r="A6" s="51" t="s">
        <v>433</v>
      </c>
      <c r="B6" s="75">
        <v>526648</v>
      </c>
      <c r="C6" s="75">
        <v>706748</v>
      </c>
      <c r="D6" s="73">
        <v>757056</v>
      </c>
      <c r="E6" s="75">
        <v>570535</v>
      </c>
      <c r="F6" s="75">
        <v>592479</v>
      </c>
      <c r="H6" s="75">
        <f t="shared" si="0"/>
        <v>180100</v>
      </c>
      <c r="I6" s="75">
        <f>D6-B6</f>
        <v>230408</v>
      </c>
      <c r="J6" s="75">
        <f>E6-B6</f>
        <v>43887</v>
      </c>
      <c r="K6" s="75">
        <f>F6-B6</f>
        <v>65831</v>
      </c>
      <c r="M6" s="83">
        <f>H6/B6</f>
        <v>0.34197414591909586</v>
      </c>
      <c r="N6" s="83">
        <f>I6/B6</f>
        <v>0.43749905059926175</v>
      </c>
      <c r="O6" s="83">
        <f>J6/B6</f>
        <v>8.3332700399507825E-2</v>
      </c>
      <c r="P6" s="83">
        <f>K6/B6</f>
        <v>0.125</v>
      </c>
      <c r="R6" s="417" t="s">
        <v>434</v>
      </c>
    </row>
    <row r="7" spans="1:18" x14ac:dyDescent="0.25">
      <c r="A7" s="51" t="s">
        <v>435</v>
      </c>
      <c r="B7" s="75">
        <v>532000</v>
      </c>
      <c r="C7" s="75">
        <v>1150000</v>
      </c>
      <c r="D7" s="75">
        <f>B7*1.44</f>
        <v>766080</v>
      </c>
      <c r="E7" s="75">
        <f>B7*1.08</f>
        <v>574560</v>
      </c>
      <c r="H7" s="75">
        <f t="shared" si="0"/>
        <v>618000</v>
      </c>
      <c r="I7" s="75">
        <f>D7-B7</f>
        <v>234080</v>
      </c>
      <c r="J7" s="75">
        <f>E7-B7</f>
        <v>42560</v>
      </c>
      <c r="M7" s="83">
        <f>H7/B7</f>
        <v>1.1616541353383458</v>
      </c>
      <c r="N7" s="81">
        <v>0.44</v>
      </c>
      <c r="O7" s="81">
        <v>0.08</v>
      </c>
      <c r="R7" s="51" t="s">
        <v>436</v>
      </c>
    </row>
    <row r="8" spans="1:18" ht="17.25" x14ac:dyDescent="0.25">
      <c r="A8" s="51" t="s">
        <v>437</v>
      </c>
      <c r="B8" s="75">
        <v>497103</v>
      </c>
      <c r="C8" s="75">
        <v>797882</v>
      </c>
      <c r="D8" s="75">
        <v>584591</v>
      </c>
      <c r="H8" s="75">
        <f t="shared" si="0"/>
        <v>300779</v>
      </c>
      <c r="I8" s="75">
        <f>D8-B8</f>
        <v>87488</v>
      </c>
      <c r="J8" s="75"/>
      <c r="M8" s="83">
        <f>H8/B8</f>
        <v>0.60506373930553625</v>
      </c>
      <c r="N8" s="83">
        <f>I8/B8</f>
        <v>0.17599571919702758</v>
      </c>
      <c r="R8" s="400" t="s">
        <v>438</v>
      </c>
    </row>
    <row r="9" spans="1:18" x14ac:dyDescent="0.25">
      <c r="A9" s="51" t="s">
        <v>439</v>
      </c>
      <c r="B9" s="75">
        <v>435000</v>
      </c>
      <c r="C9" s="75">
        <v>770000</v>
      </c>
      <c r="D9" s="75">
        <v>640000</v>
      </c>
      <c r="E9" s="75">
        <v>485000</v>
      </c>
      <c r="H9" s="75">
        <f t="shared" si="0"/>
        <v>335000</v>
      </c>
      <c r="I9" s="75">
        <f>D9-B9</f>
        <v>205000</v>
      </c>
      <c r="J9" s="75">
        <f>E9-B9</f>
        <v>50000</v>
      </c>
      <c r="M9" s="83">
        <f>H9/B9</f>
        <v>0.77011494252873558</v>
      </c>
      <c r="N9" s="83">
        <f>I9/B9</f>
        <v>0.47126436781609193</v>
      </c>
      <c r="O9" s="83">
        <f>J9/B9</f>
        <v>0.11494252873563218</v>
      </c>
      <c r="R9" s="400" t="s">
        <v>440</v>
      </c>
    </row>
    <row r="10" spans="1:18" x14ac:dyDescent="0.25">
      <c r="B10" s="75">
        <v>485000</v>
      </c>
      <c r="C10" s="75">
        <v>800000</v>
      </c>
      <c r="H10" s="75">
        <f t="shared" si="0"/>
        <v>315000</v>
      </c>
      <c r="M10" s="83">
        <f>H10/B10</f>
        <v>0.64948453608247425</v>
      </c>
      <c r="R10" s="51" t="s">
        <v>441</v>
      </c>
    </row>
    <row r="12" spans="1:18" x14ac:dyDescent="0.25">
      <c r="A12" s="72" t="s">
        <v>442</v>
      </c>
      <c r="B12" s="75">
        <f>AVERAGE(B3:B10)</f>
        <v>479948.375</v>
      </c>
      <c r="C12" s="75">
        <f>AVERAGE(C3:C10)</f>
        <v>837607.75</v>
      </c>
      <c r="D12" s="75">
        <f>AVERAGE(D3:D9)</f>
        <v>651545.4</v>
      </c>
      <c r="E12" s="75">
        <f>AVERAGE(E3:E9)</f>
        <v>512173.66666666669</v>
      </c>
      <c r="F12" s="75">
        <f>AVERAGE(F3:F9)</f>
        <v>556739.5</v>
      </c>
      <c r="G12" s="75"/>
      <c r="H12" s="75">
        <f>AVERAGE(H3:H10)</f>
        <v>357659.375</v>
      </c>
      <c r="I12" s="75">
        <f>AVERAGE(I3:I9)</f>
        <v>193395.20000000001</v>
      </c>
      <c r="J12" s="75">
        <f>AVERAGE(J3:J9)</f>
        <v>35926.333333333336</v>
      </c>
      <c r="K12" s="75">
        <f>AVERAGE(K3:K9)</f>
        <v>65415.5</v>
      </c>
      <c r="L12" s="75"/>
      <c r="M12" s="83">
        <f>AVERAGE(M3:M10)</f>
        <v>0.76317010091785487</v>
      </c>
      <c r="N12" s="83">
        <f>AVERAGE(N3:N9)</f>
        <v>0.44495182752247625</v>
      </c>
      <c r="O12" s="83">
        <f>AVERAGE(O3:O9)</f>
        <v>8.9517728023982709E-2</v>
      </c>
      <c r="P12" s="83">
        <f>AVERAGE(P3:P9)</f>
        <v>0.125</v>
      </c>
    </row>
    <row r="13" spans="1:18" x14ac:dyDescent="0.25">
      <c r="A13" s="51">
        <v>3</v>
      </c>
      <c r="B13" s="75">
        <f>AVERAGE(B4:B10)</f>
        <v>505655.28571428574</v>
      </c>
    </row>
    <row r="14" spans="1:18" x14ac:dyDescent="0.25">
      <c r="A14" s="51">
        <v>1</v>
      </c>
    </row>
    <row r="15" spans="1:18" x14ac:dyDescent="0.25">
      <c r="A15" s="51">
        <v>2</v>
      </c>
      <c r="B15" s="51" t="s">
        <v>443</v>
      </c>
    </row>
    <row r="16" spans="1:18" x14ac:dyDescent="0.25">
      <c r="A16" s="51">
        <v>3</v>
      </c>
      <c r="B16" s="51" t="s">
        <v>444</v>
      </c>
    </row>
    <row r="18" spans="1:33" x14ac:dyDescent="0.25">
      <c r="A18" s="741" t="s">
        <v>763</v>
      </c>
      <c r="B18" s="70"/>
      <c r="X18" s="288"/>
      <c r="Y18" s="288"/>
      <c r="Z18" s="288"/>
      <c r="AA18" s="288"/>
      <c r="AB18" s="288"/>
      <c r="AC18" s="288"/>
      <c r="AD18" s="289"/>
      <c r="AE18" s="82"/>
      <c r="AF18" s="290" t="s">
        <v>321</v>
      </c>
      <c r="AG18" s="82"/>
    </row>
  </sheetData>
  <hyperlinks>
    <hyperlink ref="R8" r:id="rId1"/>
    <hyperlink ref="R9" r:id="rId2"/>
    <hyperlink ref="R6" r:id="rId3" display="https://ww3.arb.ca.gov/msprog/bus/tco_assumptions.xlsx"/>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sheetPr>
  <dimension ref="A1:DB73"/>
  <sheetViews>
    <sheetView showGridLines="0" tabSelected="1" view="pageLayout" zoomScale="50" zoomScaleNormal="100" zoomScalePageLayoutView="50" workbookViewId="0">
      <selection activeCell="C25" sqref="C25"/>
    </sheetView>
  </sheetViews>
  <sheetFormatPr defaultColWidth="9.140625" defaultRowHeight="12.75" x14ac:dyDescent="0.2"/>
  <cols>
    <col min="1" max="1" width="82.5703125" style="2" customWidth="1"/>
    <col min="2" max="2" width="34.5703125" style="6" customWidth="1"/>
    <col min="3" max="3" width="36.140625" style="22" customWidth="1"/>
    <col min="4" max="4" width="16" style="1" customWidth="1"/>
    <col min="5" max="5" width="19.85546875" style="1" customWidth="1"/>
    <col min="6" max="6" width="22" style="1" customWidth="1"/>
    <col min="7" max="7" width="12.85546875" style="1" customWidth="1"/>
    <col min="8" max="8" width="20.5703125" style="1" customWidth="1"/>
    <col min="9" max="9" width="22.5703125" style="1" customWidth="1"/>
    <col min="10" max="10" width="17.5703125" style="1" hidden="1" customWidth="1"/>
    <col min="11" max="18" width="9.140625" style="1"/>
    <col min="19" max="19" width="7" style="1" customWidth="1"/>
    <col min="20" max="22" width="9.140625" style="1" hidden="1" customWidth="1"/>
    <col min="23" max="23" width="9.140625" style="1"/>
    <col min="24" max="24" width="1.42578125" style="1" customWidth="1"/>
    <col min="25" max="28" width="9.140625" style="1" hidden="1" customWidth="1"/>
    <col min="29" max="29" width="9.140625" style="1"/>
    <col min="30" max="30" width="0.42578125" style="1" customWidth="1"/>
    <col min="31" max="31" width="9.140625" style="1" hidden="1" customWidth="1"/>
    <col min="32" max="32" width="9.140625" style="1" customWidth="1"/>
    <col min="33" max="35" width="9.140625" style="1"/>
    <col min="36" max="36" width="7.5703125" style="1" customWidth="1"/>
    <col min="37" max="38" width="9.140625" style="1" hidden="1" customWidth="1"/>
    <col min="39" max="16384" width="9.140625" style="1"/>
  </cols>
  <sheetData>
    <row r="1" spans="1:36" s="285" customFormat="1" ht="82.5" customHeight="1" x14ac:dyDescent="0.45">
      <c r="A1" s="776" t="s">
        <v>742</v>
      </c>
      <c r="B1" s="777"/>
      <c r="C1" s="777"/>
      <c r="D1" s="777"/>
      <c r="E1" s="777"/>
      <c r="F1" s="777"/>
      <c r="G1" s="777"/>
      <c r="H1" s="777"/>
      <c r="I1" s="777"/>
      <c r="J1" s="733"/>
      <c r="K1" s="734"/>
      <c r="L1" s="734"/>
      <c r="M1" s="734"/>
      <c r="N1" s="734"/>
      <c r="O1" s="734"/>
      <c r="P1" s="734"/>
      <c r="Q1" s="734"/>
      <c r="R1" s="734"/>
      <c r="S1" s="734"/>
      <c r="T1" s="734"/>
      <c r="U1" s="734"/>
      <c r="V1" s="734"/>
      <c r="W1" s="734"/>
      <c r="X1" s="734"/>
      <c r="Y1" s="734"/>
      <c r="Z1" s="734"/>
      <c r="AA1" s="734"/>
      <c r="AB1" s="734"/>
      <c r="AC1" s="734"/>
      <c r="AD1" s="734"/>
      <c r="AE1" s="734"/>
      <c r="AF1" s="734"/>
      <c r="AG1" s="734"/>
      <c r="AH1" s="734"/>
      <c r="AI1" s="734"/>
      <c r="AJ1" s="734"/>
    </row>
    <row r="2" spans="1:36" s="285" customFormat="1" ht="162" customHeight="1" x14ac:dyDescent="0.45">
      <c r="A2" s="774" t="s">
        <v>754</v>
      </c>
      <c r="B2" s="775"/>
      <c r="C2" s="775"/>
      <c r="D2" s="775"/>
      <c r="E2" s="775"/>
      <c r="F2" s="775"/>
      <c r="G2" s="775"/>
      <c r="H2" s="775"/>
      <c r="I2" s="775"/>
      <c r="J2" s="664"/>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row>
    <row r="3" spans="1:36" ht="56.1" customHeight="1" thickBot="1" x14ac:dyDescent="0.5">
      <c r="A3" s="658" t="s">
        <v>700</v>
      </c>
      <c r="B3" s="645"/>
      <c r="C3" s="646"/>
      <c r="D3" s="647"/>
      <c r="E3" s="647"/>
      <c r="F3" s="647"/>
      <c r="G3" s="647"/>
      <c r="H3" s="647" t="s">
        <v>51</v>
      </c>
      <c r="I3" s="647"/>
      <c r="J3" s="647" t="s">
        <v>462</v>
      </c>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row>
    <row r="4" spans="1:36" ht="71.25" customHeight="1" thickTop="1" thickBot="1" x14ac:dyDescent="0.4">
      <c r="A4" s="663" t="s">
        <v>701</v>
      </c>
      <c r="B4" s="700" t="s">
        <v>222</v>
      </c>
      <c r="D4" s="666"/>
      <c r="E4" s="261"/>
      <c r="F4" s="261"/>
      <c r="G4" s="666"/>
      <c r="H4" s="666"/>
      <c r="I4" s="557"/>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row>
    <row r="5" spans="1:36" s="261" customFormat="1" ht="21.75" thickTop="1" x14ac:dyDescent="0.35">
      <c r="A5" s="780"/>
      <c r="B5" s="780"/>
      <c r="C5" s="780"/>
      <c r="D5" s="557"/>
      <c r="E5" s="557"/>
      <c r="F5" s="557"/>
      <c r="G5" s="557"/>
      <c r="H5" s="557"/>
      <c r="I5" s="557"/>
    </row>
    <row r="6" spans="1:36" ht="56.1" customHeight="1" thickBot="1" x14ac:dyDescent="0.5">
      <c r="A6" s="658" t="s">
        <v>50</v>
      </c>
      <c r="B6" s="645"/>
      <c r="C6" s="646"/>
      <c r="D6" s="647"/>
      <c r="E6" s="647"/>
      <c r="F6" s="647"/>
      <c r="G6" s="647"/>
      <c r="H6" s="647" t="s">
        <v>51</v>
      </c>
      <c r="I6" s="647"/>
      <c r="J6" s="647" t="s">
        <v>462</v>
      </c>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row>
    <row r="7" spans="1:36" ht="74.45" customHeight="1" thickBot="1" x14ac:dyDescent="0.4">
      <c r="A7" s="674"/>
      <c r="B7" s="673" t="s">
        <v>698</v>
      </c>
      <c r="C7" s="672" t="s">
        <v>703</v>
      </c>
    </row>
    <row r="8" spans="1:36" ht="56.25" customHeight="1" thickTop="1" x14ac:dyDescent="0.2">
      <c r="A8" s="678" t="s">
        <v>693</v>
      </c>
      <c r="B8" s="716">
        <f>C8</f>
        <v>837608</v>
      </c>
      <c r="C8" s="676">
        <f>SUMIF(Bustypes,Inputs!B4,'Default Data'!B2:B12)</f>
        <v>837608</v>
      </c>
      <c r="J8" s="1" t="b">
        <f>C8=B8</f>
        <v>1</v>
      </c>
    </row>
    <row r="9" spans="1:36" ht="72" customHeight="1" x14ac:dyDescent="0.2">
      <c r="A9" s="679" t="s">
        <v>702</v>
      </c>
      <c r="B9" s="677" t="s">
        <v>699</v>
      </c>
      <c r="C9" s="668">
        <f>SUMIF(Bustypes,Inputs!B4,'Default Data'!C2:C12)</f>
        <v>12</v>
      </c>
      <c r="J9" s="1" t="b">
        <f t="shared" ref="J9:J10" si="0">C9=B9</f>
        <v>0</v>
      </c>
    </row>
    <row r="10" spans="1:36" ht="60.75" customHeight="1" x14ac:dyDescent="0.2">
      <c r="A10" s="679" t="s">
        <v>721</v>
      </c>
      <c r="B10" s="717">
        <f>C10</f>
        <v>30</v>
      </c>
      <c r="C10" s="669">
        <f>'Default Data'!B23</f>
        <v>30</v>
      </c>
      <c r="J10" s="1" t="b">
        <f t="shared" si="0"/>
        <v>1</v>
      </c>
    </row>
    <row r="11" spans="1:36" customFormat="1" ht="65.25" customHeight="1" x14ac:dyDescent="0.25">
      <c r="A11" s="679" t="s">
        <v>724</v>
      </c>
      <c r="B11" s="701" t="s">
        <v>38</v>
      </c>
      <c r="C11" s="670" t="s">
        <v>723</v>
      </c>
      <c r="E11" s="1"/>
      <c r="F11" s="1"/>
      <c r="G11" s="1"/>
      <c r="H11" s="1"/>
      <c r="K11" s="1"/>
      <c r="L11" s="1"/>
      <c r="M11" s="1"/>
      <c r="N11" s="1"/>
    </row>
    <row r="12" spans="1:36" customFormat="1" ht="65.25" customHeight="1" thickBot="1" x14ac:dyDescent="0.3">
      <c r="A12" s="680" t="s">
        <v>22</v>
      </c>
      <c r="B12" s="718">
        <f>C12</f>
        <v>2.4E-2</v>
      </c>
      <c r="C12" s="671">
        <f>CPI!B3</f>
        <v>2.4E-2</v>
      </c>
      <c r="E12" s="1"/>
      <c r="F12" s="1"/>
      <c r="G12" s="1"/>
      <c r="H12" s="1"/>
      <c r="J12" t="b">
        <f>B12=C12</f>
        <v>1</v>
      </c>
      <c r="K12" s="1"/>
      <c r="L12" s="1"/>
      <c r="M12" s="1"/>
      <c r="N12" s="1"/>
    </row>
    <row r="13" spans="1:36" ht="27" customHeight="1" x14ac:dyDescent="0.35">
      <c r="A13" s="659"/>
      <c r="B13" s="629"/>
      <c r="C13" s="630"/>
    </row>
    <row r="14" spans="1:36" ht="29.25" customHeight="1" thickBot="1" x14ac:dyDescent="0.45">
      <c r="A14" s="660" t="s">
        <v>46</v>
      </c>
      <c r="B14" s="648"/>
      <c r="C14" s="649"/>
      <c r="D14" s="647"/>
      <c r="E14" s="647"/>
      <c r="F14" s="647"/>
      <c r="G14" s="647"/>
      <c r="H14" s="647"/>
      <c r="I14" s="647"/>
    </row>
    <row r="15" spans="1:36" ht="42.75" thickBot="1" x14ac:dyDescent="0.4">
      <c r="A15" s="674"/>
      <c r="B15" s="673" t="s">
        <v>698</v>
      </c>
      <c r="C15" s="672" t="s">
        <v>705</v>
      </c>
    </row>
    <row r="16" spans="1:36" ht="54" thickTop="1" thickBot="1" x14ac:dyDescent="0.25">
      <c r="A16" s="678" t="s">
        <v>446</v>
      </c>
      <c r="B16" s="719">
        <v>30000</v>
      </c>
      <c r="C16" s="675" t="s">
        <v>704</v>
      </c>
    </row>
    <row r="17" spans="1:106" ht="74.45" customHeight="1" thickBot="1" x14ac:dyDescent="0.3">
      <c r="A17" s="679" t="s">
        <v>447</v>
      </c>
      <c r="B17" s="720">
        <v>2080</v>
      </c>
      <c r="C17" s="675" t="s">
        <v>706</v>
      </c>
      <c r="D17" s="662"/>
      <c r="E17" s="662"/>
      <c r="F17" s="662"/>
    </row>
    <row r="18" spans="1:106" ht="23.25" customHeight="1" thickBot="1" x14ac:dyDescent="0.25">
      <c r="A18" s="680" t="s">
        <v>7</v>
      </c>
      <c r="B18" s="721">
        <v>1</v>
      </c>
      <c r="C18" s="705">
        <v>1</v>
      </c>
    </row>
    <row r="19" spans="1:106" ht="28.5" customHeight="1" x14ac:dyDescent="0.35">
      <c r="A19" s="659"/>
      <c r="B19" s="629"/>
      <c r="C19" s="630"/>
      <c r="E19" s="51"/>
      <c r="F19" s="51"/>
      <c r="G19" s="51"/>
      <c r="H19" s="51"/>
      <c r="I19" s="51"/>
    </row>
    <row r="20" spans="1:106" ht="31.5" customHeight="1" thickBot="1" x14ac:dyDescent="0.45">
      <c r="A20" s="660" t="s">
        <v>47</v>
      </c>
      <c r="B20" s="648"/>
      <c r="C20" s="649"/>
      <c r="D20" s="647"/>
      <c r="E20" s="650"/>
      <c r="F20" s="650"/>
      <c r="G20" s="650"/>
      <c r="H20" s="650"/>
      <c r="I20" s="650"/>
    </row>
    <row r="21" spans="1:106" ht="68.25" customHeight="1" thickBot="1" x14ac:dyDescent="0.4">
      <c r="A21" s="674"/>
      <c r="B21" s="673" t="s">
        <v>698</v>
      </c>
      <c r="C21" s="672" t="s">
        <v>703</v>
      </c>
      <c r="E21" s="51"/>
      <c r="F21" s="51"/>
      <c r="G21" s="51"/>
      <c r="H21" s="51"/>
      <c r="I21" s="51"/>
    </row>
    <row r="22" spans="1:106" ht="36" customHeight="1" thickTop="1" x14ac:dyDescent="0.35">
      <c r="A22" s="703" t="s">
        <v>694</v>
      </c>
      <c r="B22" s="722">
        <f>C22</f>
        <v>0.93</v>
      </c>
      <c r="C22" s="683">
        <f>SUMIF(Bustypes,Inputs!B4,'Default Data'!K2:K12)</f>
        <v>0.93</v>
      </c>
      <c r="D22" s="631"/>
      <c r="E22" s="631"/>
      <c r="F22" s="631"/>
      <c r="G22" s="631"/>
      <c r="H22" s="631"/>
      <c r="I22" s="631"/>
      <c r="J22" s="631" t="b">
        <f>B22=C22</f>
        <v>1</v>
      </c>
      <c r="K22" s="631"/>
      <c r="L22" s="631"/>
      <c r="M22" s="631"/>
      <c r="N22" s="631"/>
      <c r="O22" s="631"/>
      <c r="P22" s="631"/>
      <c r="Q22" s="631"/>
      <c r="R22" s="631"/>
      <c r="S22" s="631"/>
      <c r="T22" s="631"/>
      <c r="U22" s="631"/>
    </row>
    <row r="23" spans="1:106" ht="19.5" customHeight="1" x14ac:dyDescent="0.35">
      <c r="A23" s="694" t="s">
        <v>710</v>
      </c>
      <c r="B23" s="723">
        <f>C23</f>
        <v>1.95</v>
      </c>
      <c r="C23" s="684">
        <f>SUMIF(Bustypes,Inputs!B4,'Default Data'!G2:G12)</f>
        <v>1.95</v>
      </c>
      <c r="D23" s="631"/>
      <c r="E23" s="631"/>
      <c r="F23" s="631"/>
      <c r="G23" s="631"/>
      <c r="H23" s="631"/>
      <c r="I23" s="631"/>
      <c r="J23" s="631" t="b">
        <f t="shared" ref="J23:J32" si="1">B23=C23</f>
        <v>1</v>
      </c>
      <c r="K23" s="631"/>
      <c r="L23" s="631"/>
      <c r="M23" s="631"/>
      <c r="N23" s="631"/>
      <c r="O23" s="631"/>
      <c r="P23" s="631"/>
      <c r="Q23" s="631"/>
      <c r="R23" s="631"/>
      <c r="S23" s="631"/>
      <c r="T23" s="631"/>
      <c r="U23" s="631"/>
    </row>
    <row r="24" spans="1:106" ht="19.5" customHeight="1" x14ac:dyDescent="0.35">
      <c r="A24" s="694" t="s">
        <v>711</v>
      </c>
      <c r="B24" s="724">
        <f>C24</f>
        <v>0</v>
      </c>
      <c r="C24" s="685">
        <f>SUMIF(Bustypes,Inputs!B4,'Default Data'!J2:J12)</f>
        <v>0</v>
      </c>
      <c r="D24" s="631"/>
      <c r="E24" s="631"/>
      <c r="F24" s="631"/>
      <c r="G24" s="631"/>
      <c r="H24" s="631"/>
      <c r="I24" s="631"/>
      <c r="J24" s="631" t="b">
        <f t="shared" si="1"/>
        <v>1</v>
      </c>
      <c r="K24" s="631"/>
      <c r="L24" s="631"/>
      <c r="M24" s="631"/>
      <c r="N24" s="631"/>
      <c r="O24" s="631"/>
      <c r="P24" s="631"/>
      <c r="Q24" s="631"/>
      <c r="R24" s="631"/>
      <c r="S24" s="631"/>
      <c r="T24" s="631"/>
      <c r="U24" s="631"/>
    </row>
    <row r="25" spans="1:106" ht="19.5" customHeight="1" x14ac:dyDescent="0.35">
      <c r="A25" s="694" t="s">
        <v>696</v>
      </c>
      <c r="B25" s="716">
        <f>C25</f>
        <v>0</v>
      </c>
      <c r="C25" s="686">
        <f>SUMIF(Bustypes,Inputs!B4,'Default Data'!N2:N12)</f>
        <v>0</v>
      </c>
      <c r="D25" s="631"/>
      <c r="E25" s="631"/>
      <c r="F25" s="631"/>
      <c r="G25" s="631"/>
      <c r="H25" s="631"/>
      <c r="I25" s="631"/>
      <c r="J25" s="631" t="b">
        <f t="shared" si="1"/>
        <v>1</v>
      </c>
      <c r="K25" s="631"/>
      <c r="L25" s="631"/>
      <c r="M25" s="631"/>
      <c r="N25" s="631"/>
      <c r="O25" s="631"/>
      <c r="P25" s="631"/>
      <c r="Q25" s="631"/>
      <c r="R25" s="631"/>
      <c r="S25" s="631"/>
      <c r="T25" s="631"/>
      <c r="U25" s="631"/>
    </row>
    <row r="26" spans="1:106" ht="19.5" customHeight="1" x14ac:dyDescent="0.35">
      <c r="A26" s="694" t="s">
        <v>695</v>
      </c>
      <c r="B26" s="716">
        <f>C26</f>
        <v>0</v>
      </c>
      <c r="C26" s="687">
        <f>SUMIF(Bustypes,Inputs!B4,'Default Data'!O2:O12)</f>
        <v>0</v>
      </c>
      <c r="D26" s="631"/>
      <c r="E26" s="631"/>
      <c r="F26" s="631"/>
      <c r="G26" s="631"/>
      <c r="H26" s="631"/>
      <c r="I26" s="631"/>
      <c r="J26" s="631" t="b">
        <f t="shared" si="1"/>
        <v>1</v>
      </c>
      <c r="K26" s="631"/>
      <c r="L26" s="631"/>
      <c r="M26" s="631"/>
      <c r="N26" s="631"/>
      <c r="O26" s="631"/>
      <c r="P26" s="631"/>
      <c r="Q26" s="631"/>
      <c r="R26" s="631"/>
      <c r="S26" s="631"/>
      <c r="T26" s="631"/>
      <c r="U26" s="631"/>
    </row>
    <row r="27" spans="1:106" ht="19.5" customHeight="1" x14ac:dyDescent="0.35">
      <c r="A27" s="694" t="s">
        <v>697</v>
      </c>
      <c r="B27" s="725">
        <v>250000</v>
      </c>
      <c r="C27" s="688">
        <f>SUMIF(Bustypes,Inputs!B4,'Default Data'!P2:P12)</f>
        <v>250000</v>
      </c>
      <c r="D27" s="631"/>
      <c r="E27" s="631"/>
      <c r="F27" s="631"/>
      <c r="G27" s="631"/>
      <c r="H27" s="631"/>
      <c r="I27" s="631"/>
      <c r="J27" s="631" t="b">
        <f t="shared" si="1"/>
        <v>1</v>
      </c>
      <c r="K27" s="631"/>
      <c r="L27" s="631"/>
      <c r="M27" s="631"/>
      <c r="N27" s="631"/>
      <c r="O27" s="631"/>
      <c r="P27" s="631"/>
      <c r="Q27" s="631"/>
      <c r="R27" s="631"/>
      <c r="S27" s="631"/>
      <c r="T27" s="631"/>
      <c r="U27" s="631"/>
    </row>
    <row r="28" spans="1:106" ht="117.75" customHeight="1" x14ac:dyDescent="0.35">
      <c r="A28" s="694" t="s">
        <v>707</v>
      </c>
      <c r="B28" s="725"/>
      <c r="C28" s="690" t="s">
        <v>708</v>
      </c>
      <c r="D28" s="631"/>
      <c r="E28" s="631"/>
      <c r="F28" s="631"/>
      <c r="G28" s="631"/>
      <c r="H28" s="631"/>
      <c r="I28" s="631"/>
      <c r="J28" s="631" t="b">
        <f t="shared" si="1"/>
        <v>0</v>
      </c>
      <c r="K28" s="631"/>
      <c r="L28" s="631"/>
      <c r="M28" s="631"/>
      <c r="N28" s="631"/>
      <c r="O28" s="631"/>
      <c r="P28" s="631"/>
      <c r="Q28" s="631"/>
      <c r="R28" s="631"/>
      <c r="S28" s="631"/>
      <c r="T28" s="631"/>
      <c r="U28" s="631"/>
    </row>
    <row r="29" spans="1:106" ht="114.75" customHeight="1" x14ac:dyDescent="0.35">
      <c r="A29" s="694" t="s">
        <v>709</v>
      </c>
      <c r="B29" s="726"/>
      <c r="C29" s="690" t="s">
        <v>708</v>
      </c>
      <c r="D29" s="632"/>
      <c r="E29" s="631"/>
      <c r="F29" s="631"/>
      <c r="G29" s="631"/>
      <c r="H29" s="631"/>
      <c r="I29" s="631"/>
      <c r="J29" s="631" t="b">
        <f t="shared" si="1"/>
        <v>0</v>
      </c>
      <c r="K29" s="631"/>
      <c r="L29" s="631"/>
      <c r="M29" s="631"/>
      <c r="N29" s="631"/>
      <c r="O29" s="631"/>
      <c r="P29" s="631"/>
      <c r="Q29" s="631"/>
      <c r="R29" s="631"/>
      <c r="S29" s="631"/>
      <c r="T29" s="631"/>
      <c r="U29" s="631"/>
    </row>
    <row r="30" spans="1:106" ht="54" x14ac:dyDescent="0.35">
      <c r="A30" s="694" t="s">
        <v>725</v>
      </c>
      <c r="B30" s="727">
        <f>C30</f>
        <v>0.45961730000000001</v>
      </c>
      <c r="C30" s="689">
        <f>SUMIF(Bustypes,Inputs!B4,'Default Data'!F2:F12)</f>
        <v>0.45961730000000001</v>
      </c>
      <c r="D30" s="631"/>
      <c r="E30" s="631"/>
      <c r="F30" s="631"/>
      <c r="G30" s="631"/>
      <c r="H30" s="631"/>
      <c r="I30" s="631"/>
      <c r="J30" s="631" t="b">
        <f t="shared" si="1"/>
        <v>1</v>
      </c>
      <c r="K30" s="631"/>
      <c r="L30" s="631"/>
      <c r="M30" s="631"/>
      <c r="N30" s="631"/>
      <c r="O30" s="631"/>
      <c r="P30" s="631"/>
      <c r="Q30" s="631"/>
      <c r="R30" s="631"/>
      <c r="S30" s="631"/>
      <c r="T30" s="631"/>
      <c r="U30" s="631"/>
    </row>
    <row r="31" spans="1:106" ht="131.25" customHeight="1" x14ac:dyDescent="0.35">
      <c r="A31" s="694" t="s">
        <v>726</v>
      </c>
      <c r="B31" s="702" t="s">
        <v>335</v>
      </c>
      <c r="C31" s="689"/>
      <c r="D31" s="631"/>
      <c r="E31" s="631"/>
      <c r="F31" s="631"/>
      <c r="G31" s="631"/>
      <c r="H31" s="631"/>
      <c r="I31" s="631"/>
      <c r="J31" s="631"/>
      <c r="K31" s="631"/>
      <c r="L31" s="631"/>
      <c r="M31" s="631"/>
      <c r="N31" s="631"/>
      <c r="O31" s="631"/>
      <c r="P31" s="631"/>
      <c r="Q31" s="631"/>
      <c r="R31" s="631"/>
      <c r="S31" s="631"/>
      <c r="T31" s="631"/>
      <c r="U31" s="631"/>
    </row>
    <row r="32" spans="1:106" s="16" customFormat="1" ht="174.75" customHeight="1" thickBot="1" x14ac:dyDescent="0.4">
      <c r="A32" s="704" t="s">
        <v>722</v>
      </c>
      <c r="B32" s="715" t="s">
        <v>291</v>
      </c>
      <c r="C32" s="713" t="s">
        <v>291</v>
      </c>
      <c r="D32" s="631"/>
      <c r="E32" s="631"/>
      <c r="F32" s="631"/>
      <c r="G32" s="631"/>
      <c r="H32" s="631"/>
      <c r="I32" s="631"/>
      <c r="J32" s="631" t="b">
        <f t="shared" si="1"/>
        <v>1</v>
      </c>
      <c r="K32" s="631"/>
      <c r="L32" s="631"/>
      <c r="M32" s="631"/>
      <c r="N32" s="631"/>
      <c r="O32" s="631"/>
      <c r="P32" s="631"/>
      <c r="Q32" s="631"/>
      <c r="R32" s="631"/>
      <c r="S32" s="631"/>
      <c r="T32" s="631"/>
      <c r="U32" s="631"/>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row>
    <row r="33" spans="1:106" s="334" customFormat="1" ht="21" x14ac:dyDescent="0.35">
      <c r="A33" s="661" t="s">
        <v>752</v>
      </c>
      <c r="B33" s="728">
        <f>C33</f>
        <v>111</v>
      </c>
      <c r="C33" s="714">
        <v>111</v>
      </c>
      <c r="D33" s="632"/>
      <c r="E33" s="632"/>
      <c r="F33" s="632"/>
      <c r="G33" s="632"/>
      <c r="H33" s="632"/>
      <c r="I33" s="632"/>
      <c r="J33" s="632"/>
      <c r="K33" s="632"/>
      <c r="L33" s="632"/>
      <c r="M33" s="632"/>
      <c r="N33" s="632"/>
      <c r="O33" s="632"/>
      <c r="P33" s="632"/>
      <c r="Q33" s="632"/>
      <c r="R33" s="632"/>
      <c r="S33" s="632"/>
      <c r="T33" s="632"/>
      <c r="U33" s="632"/>
      <c r="V33" s="691"/>
      <c r="W33" s="691"/>
      <c r="X33" s="691"/>
      <c r="Y33" s="691"/>
      <c r="Z33" s="691"/>
      <c r="AA33" s="691"/>
      <c r="AB33" s="691"/>
      <c r="AC33" s="691"/>
      <c r="AD33" s="691"/>
      <c r="AE33" s="691"/>
      <c r="AF33" s="691"/>
      <c r="AG33" s="691"/>
      <c r="AH33" s="691"/>
      <c r="AI33" s="691"/>
      <c r="AJ33" s="691"/>
      <c r="AK33" s="691"/>
      <c r="AL33" s="691"/>
      <c r="AM33" s="691"/>
      <c r="AN33" s="691"/>
      <c r="AO33" s="691"/>
      <c r="AP33" s="691"/>
      <c r="AQ33" s="691"/>
      <c r="AR33" s="691"/>
      <c r="AS33" s="691"/>
      <c r="AT33" s="691"/>
      <c r="AU33" s="691"/>
      <c r="AV33" s="691"/>
      <c r="AW33" s="691"/>
      <c r="AX33" s="691"/>
      <c r="AY33" s="691"/>
      <c r="AZ33" s="691"/>
      <c r="BA33" s="691"/>
      <c r="BB33" s="691"/>
      <c r="BC33" s="691"/>
      <c r="BD33" s="691"/>
      <c r="BE33" s="691"/>
      <c r="BF33" s="691"/>
      <c r="BG33" s="691"/>
      <c r="BH33" s="691"/>
      <c r="BI33" s="691"/>
      <c r="BJ33" s="691"/>
      <c r="BK33" s="691"/>
      <c r="BL33" s="691"/>
      <c r="BM33" s="691"/>
      <c r="BN33" s="691"/>
      <c r="BO33" s="691"/>
      <c r="BP33" s="691"/>
      <c r="BQ33" s="691"/>
      <c r="BR33" s="691"/>
      <c r="BS33" s="691"/>
      <c r="BT33" s="691"/>
      <c r="BU33" s="691"/>
      <c r="BV33" s="691"/>
      <c r="BW33" s="691"/>
      <c r="BX33" s="691"/>
      <c r="BY33" s="691"/>
      <c r="BZ33" s="691"/>
      <c r="CA33" s="691"/>
      <c r="CB33" s="691"/>
      <c r="CC33" s="691"/>
      <c r="CD33" s="691"/>
      <c r="CE33" s="691"/>
      <c r="CF33" s="691"/>
      <c r="CG33" s="691"/>
      <c r="CH33" s="691"/>
      <c r="CI33" s="691"/>
      <c r="CJ33" s="691"/>
      <c r="CK33" s="691"/>
      <c r="CL33" s="691"/>
      <c r="CM33" s="691"/>
      <c r="CN33" s="691"/>
      <c r="CO33" s="691"/>
      <c r="CP33" s="691"/>
      <c r="CQ33" s="691"/>
      <c r="CR33" s="691"/>
      <c r="CS33" s="691"/>
      <c r="CT33" s="691"/>
      <c r="CU33" s="691"/>
      <c r="CV33" s="691"/>
      <c r="CW33" s="691"/>
      <c r="CX33" s="691"/>
      <c r="CY33" s="691"/>
      <c r="CZ33" s="691"/>
      <c r="DA33" s="691"/>
      <c r="DB33" s="691"/>
    </row>
    <row r="34" spans="1:106" s="334" customFormat="1" ht="42.75" customHeight="1" x14ac:dyDescent="0.35">
      <c r="A34" s="661"/>
      <c r="B34" s="729"/>
      <c r="C34" s="730"/>
      <c r="D34" s="632"/>
      <c r="E34" s="632"/>
      <c r="F34" s="632"/>
      <c r="G34" s="632"/>
      <c r="H34" s="632"/>
      <c r="I34" s="632"/>
      <c r="J34" s="632"/>
      <c r="K34" s="632"/>
      <c r="L34" s="632"/>
      <c r="M34" s="632"/>
      <c r="N34" s="632"/>
      <c r="O34" s="632"/>
      <c r="P34" s="632"/>
      <c r="Q34" s="632"/>
      <c r="R34" s="632"/>
      <c r="S34" s="632"/>
      <c r="T34" s="632"/>
      <c r="U34" s="632"/>
      <c r="V34" s="691"/>
      <c r="W34" s="691"/>
      <c r="X34" s="691"/>
      <c r="Y34" s="691"/>
      <c r="Z34" s="691"/>
      <c r="AA34" s="691"/>
      <c r="AB34" s="691"/>
      <c r="AC34" s="691"/>
      <c r="AD34" s="691"/>
      <c r="AE34" s="691"/>
      <c r="AF34" s="691"/>
      <c r="AG34" s="691"/>
      <c r="AH34" s="691"/>
      <c r="AI34" s="691"/>
      <c r="AJ34" s="691"/>
      <c r="AK34" s="691"/>
      <c r="AL34" s="691"/>
      <c r="AM34" s="691"/>
      <c r="AN34" s="691"/>
      <c r="AO34" s="691"/>
      <c r="AP34" s="691"/>
      <c r="AQ34" s="691"/>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1"/>
      <c r="BZ34" s="691"/>
      <c r="CA34" s="691"/>
      <c r="CB34" s="691"/>
      <c r="CC34" s="691"/>
      <c r="CD34" s="691"/>
      <c r="CE34" s="691"/>
      <c r="CF34" s="691"/>
      <c r="CG34" s="691"/>
      <c r="CH34" s="691"/>
      <c r="CI34" s="691"/>
      <c r="CJ34" s="691"/>
      <c r="CK34" s="691"/>
      <c r="CL34" s="691"/>
      <c r="CM34" s="691"/>
      <c r="CN34" s="691"/>
      <c r="CO34" s="691"/>
      <c r="CP34" s="691"/>
      <c r="CQ34" s="691"/>
      <c r="CR34" s="691"/>
      <c r="CS34" s="691"/>
      <c r="CT34" s="691"/>
      <c r="CU34" s="691"/>
      <c r="CV34" s="691"/>
      <c r="CW34" s="691"/>
      <c r="CX34" s="691"/>
      <c r="CY34" s="691"/>
      <c r="CZ34" s="691"/>
      <c r="DA34" s="691"/>
      <c r="DB34" s="691"/>
    </row>
    <row r="35" spans="1:106" s="16" customFormat="1" ht="33" customHeight="1" thickBot="1" x14ac:dyDescent="0.35">
      <c r="A35" s="781" t="s">
        <v>48</v>
      </c>
      <c r="B35" s="782"/>
      <c r="C35" s="782"/>
      <c r="D35" s="651"/>
      <c r="E35" s="651"/>
      <c r="F35" s="651"/>
      <c r="G35" s="651"/>
      <c r="H35" s="651"/>
      <c r="I35" s="651"/>
      <c r="J35" s="631"/>
      <c r="K35" s="631"/>
      <c r="L35" s="631"/>
      <c r="M35" s="631"/>
      <c r="N35" s="631"/>
      <c r="O35" s="631"/>
      <c r="P35" s="631"/>
      <c r="Q35" s="631"/>
      <c r="R35" s="631"/>
      <c r="S35" s="631"/>
      <c r="T35" s="631"/>
      <c r="U35" s="631"/>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row>
    <row r="36" spans="1:106" ht="42.75" thickBot="1" x14ac:dyDescent="0.4">
      <c r="A36" s="674"/>
      <c r="B36" s="673" t="s">
        <v>698</v>
      </c>
      <c r="C36" s="672" t="s">
        <v>705</v>
      </c>
      <c r="D36" s="631"/>
      <c r="E36" s="631"/>
      <c r="F36" s="631"/>
      <c r="G36" s="631"/>
      <c r="H36" s="631"/>
      <c r="I36" s="631"/>
      <c r="J36" s="631" t="b">
        <f>B37=C37</f>
        <v>1</v>
      </c>
      <c r="K36" s="631"/>
      <c r="L36" s="631"/>
      <c r="M36" s="631"/>
      <c r="N36" s="631"/>
      <c r="O36" s="631"/>
      <c r="P36" s="631"/>
      <c r="Q36" s="631"/>
      <c r="R36" s="631"/>
      <c r="S36" s="631"/>
      <c r="T36" s="631"/>
      <c r="U36" s="631"/>
    </row>
    <row r="37" spans="1:106" ht="67.5" customHeight="1" thickTop="1" x14ac:dyDescent="0.35">
      <c r="A37" s="682" t="s">
        <v>712</v>
      </c>
      <c r="B37" s="726">
        <f>C37</f>
        <v>105000</v>
      </c>
      <c r="C37" s="693">
        <f>SUMIF(Bustypes,Inputs!B4,'Default Data'!R2:R12)</f>
        <v>105000</v>
      </c>
      <c r="D37" s="631"/>
      <c r="E37" s="631"/>
      <c r="F37" s="631"/>
      <c r="G37" s="631"/>
      <c r="H37" s="631"/>
      <c r="I37" s="631"/>
      <c r="J37" s="631"/>
      <c r="K37" s="631"/>
      <c r="L37" s="631"/>
      <c r="M37" s="631"/>
      <c r="N37" s="631"/>
      <c r="O37" s="631"/>
      <c r="P37" s="631"/>
      <c r="Q37" s="631"/>
      <c r="R37" s="631"/>
      <c r="S37" s="631"/>
      <c r="T37" s="631"/>
      <c r="U37" s="631"/>
    </row>
    <row r="38" spans="1:106" s="12" customFormat="1" ht="77.25" customHeight="1" x14ac:dyDescent="0.35">
      <c r="A38" s="778" t="s">
        <v>714</v>
      </c>
      <c r="B38" s="779"/>
      <c r="C38" s="695">
        <f>C37*B18</f>
        <v>105000</v>
      </c>
      <c r="D38" s="657"/>
      <c r="E38" s="657"/>
      <c r="F38" s="657"/>
      <c r="G38" s="657"/>
      <c r="H38" s="657"/>
      <c r="I38" s="657"/>
      <c r="J38" s="657" t="b">
        <f>B39=C39</f>
        <v>1</v>
      </c>
      <c r="K38" s="657"/>
      <c r="L38" s="657"/>
      <c r="M38" s="657"/>
      <c r="N38" s="657"/>
      <c r="O38" s="657"/>
      <c r="P38" s="657"/>
      <c r="Q38" s="657"/>
      <c r="R38" s="657"/>
      <c r="S38" s="657"/>
      <c r="T38" s="657"/>
      <c r="U38" s="657"/>
    </row>
    <row r="39" spans="1:106" ht="81.75" customHeight="1" thickBot="1" x14ac:dyDescent="0.4">
      <c r="A39" s="681" t="s">
        <v>713</v>
      </c>
      <c r="B39" s="726">
        <f>C39</f>
        <v>31.320737160879318</v>
      </c>
      <c r="C39" s="692">
        <f>SUMIF(Bustypes,Inputs!B4,'Default Data'!S2:S12)</f>
        <v>31.320737160879318</v>
      </c>
    </row>
    <row r="43" spans="1:106" x14ac:dyDescent="0.2">
      <c r="F43" s="3"/>
    </row>
    <row r="73" spans="1:2" ht="21" x14ac:dyDescent="0.2">
      <c r="A73" s="667" t="s">
        <v>59</v>
      </c>
      <c r="B73" s="644">
        <f>' Summary'!S50</f>
        <v>2202607.2928496865</v>
      </c>
    </row>
  </sheetData>
  <sheetProtection password="FB64" sheet="1" objects="1" scenarios="1"/>
  <protectedRanges>
    <protectedRange sqref="B4 B8:B12" name="Bus Data"/>
    <protectedRange sqref="B18" name="Basic Schedule"/>
    <protectedRange sqref="B22:B30" name="Operations"/>
    <protectedRange sqref="B22:B30" name="Infrastructure"/>
  </protectedRanges>
  <mergeCells count="5">
    <mergeCell ref="A2:I2"/>
    <mergeCell ref="A1:I1"/>
    <mergeCell ref="A38:B38"/>
    <mergeCell ref="A5:C5"/>
    <mergeCell ref="A35:C35"/>
  </mergeCells>
  <conditionalFormatting sqref="B32">
    <cfRule type="expression" dxfId="18" priority="36">
      <formula>$J$32=FALSE</formula>
    </cfRule>
  </conditionalFormatting>
  <conditionalFormatting sqref="B10">
    <cfRule type="cellIs" dxfId="17" priority="19" operator="equal">
      <formula>$C$10</formula>
    </cfRule>
  </conditionalFormatting>
  <conditionalFormatting sqref="B8">
    <cfRule type="cellIs" dxfId="16" priority="20" operator="equal">
      <formula>$C$8</formula>
    </cfRule>
  </conditionalFormatting>
  <conditionalFormatting sqref="B12">
    <cfRule type="cellIs" dxfId="15" priority="18" operator="equal">
      <formula>$C$12</formula>
    </cfRule>
  </conditionalFormatting>
  <conditionalFormatting sqref="B16">
    <cfRule type="cellIs" dxfId="14" priority="17" operator="equal">
      <formula>30000</formula>
    </cfRule>
  </conditionalFormatting>
  <conditionalFormatting sqref="B17">
    <cfRule type="cellIs" dxfId="13" priority="16" operator="equal">
      <formula>2080</formula>
    </cfRule>
  </conditionalFormatting>
  <conditionalFormatting sqref="B18">
    <cfRule type="cellIs" dxfId="12" priority="15" operator="equal">
      <formula>1</formula>
    </cfRule>
  </conditionalFormatting>
  <conditionalFormatting sqref="B22">
    <cfRule type="cellIs" dxfId="11" priority="14" operator="equal">
      <formula>$C$22</formula>
    </cfRule>
  </conditionalFormatting>
  <conditionalFormatting sqref="B23">
    <cfRule type="cellIs" dxfId="10" priority="13" operator="equal">
      <formula>$C$23</formula>
    </cfRule>
  </conditionalFormatting>
  <conditionalFormatting sqref="B24">
    <cfRule type="cellIs" dxfId="9" priority="12" operator="equal">
      <formula>$C$24</formula>
    </cfRule>
  </conditionalFormatting>
  <conditionalFormatting sqref="B25">
    <cfRule type="cellIs" dxfId="8" priority="11" operator="equal">
      <formula>$C$25</formula>
    </cfRule>
  </conditionalFormatting>
  <conditionalFormatting sqref="B26">
    <cfRule type="cellIs" dxfId="7" priority="10" operator="equal">
      <formula>$C$26</formula>
    </cfRule>
  </conditionalFormatting>
  <conditionalFormatting sqref="B27">
    <cfRule type="cellIs" dxfId="6" priority="8" operator="equal">
      <formula>$C$27</formula>
    </cfRule>
  </conditionalFormatting>
  <conditionalFormatting sqref="B28">
    <cfRule type="containsBlanks" dxfId="5" priority="6">
      <formula>LEN(TRIM(B28))=0</formula>
    </cfRule>
  </conditionalFormatting>
  <conditionalFormatting sqref="B29">
    <cfRule type="containsBlanks" dxfId="4" priority="5">
      <formula>LEN(TRIM(B29))=0</formula>
    </cfRule>
  </conditionalFormatting>
  <conditionalFormatting sqref="B30">
    <cfRule type="cellIs" dxfId="3" priority="4" operator="equal">
      <formula>$C$30</formula>
    </cfRule>
  </conditionalFormatting>
  <conditionalFormatting sqref="B33">
    <cfRule type="cellIs" dxfId="2" priority="3" operator="equal">
      <formula>$C$33</formula>
    </cfRule>
  </conditionalFormatting>
  <conditionalFormatting sqref="B37">
    <cfRule type="cellIs" dxfId="1" priority="2" operator="equal">
      <formula>0</formula>
    </cfRule>
  </conditionalFormatting>
  <conditionalFormatting sqref="B39">
    <cfRule type="cellIs" dxfId="0" priority="1" operator="equal">
      <formula>$C$39</formula>
    </cfRule>
  </conditionalFormatting>
  <dataValidations count="5">
    <dataValidation type="decimal" operator="greaterThan" allowBlank="1" showInputMessage="1" showErrorMessage="1" sqref="B18 B8 B10">
      <formula1>0</formula1>
    </dataValidation>
    <dataValidation operator="greaterThan" allowBlank="1" showInputMessage="1" showErrorMessage="1" error="This cell cannot be left blank. If unknown, use the default value shown in the adjacent yellow cell." sqref="B22:B30"/>
    <dataValidation type="list" allowBlank="1" showInputMessage="1" showErrorMessage="1" sqref="B11">
      <formula1>Conditions</formula1>
    </dataValidation>
    <dataValidation type="list" allowBlank="1" showInputMessage="1" showErrorMessage="1" sqref="B4">
      <formula1>Bustypes</formula1>
    </dataValidation>
    <dataValidation type="list" allowBlank="1" showInputMessage="1" showErrorMessage="1" sqref="B32">
      <formula1>"Yes, No"</formula1>
    </dataValidation>
  </dataValidations>
  <printOptions horizontalCentered="1"/>
  <pageMargins left="0.65" right="0.7" top="1.0625" bottom="0.75" header="0.3" footer="0.3"/>
  <pageSetup paperSize="5" scale="30" fitToWidth="0" fitToHeight="0" orientation="landscape" horizontalDpi="300" verticalDpi="300" r:id="rId1"/>
  <headerFooter>
    <oddHeader>&amp;L&amp;G</oddHeader>
  </headerFooter>
  <ignoredErrors>
    <ignoredError sqref="B8"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'Default Data'!$E$22:$E$25</xm:f>
          </x14:formula1>
          <xm:sqref>B11</xm:sqref>
        </x14:dataValidation>
        <x14:dataValidation type="list" allowBlank="1" showInputMessage="1" showErrorMessage="1">
          <x14:formula1>
            <xm:f>'CIs for 2020'!$A$7:$A$53</xm:f>
          </x14:formula1>
          <xm:sqref>B31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52"/>
  <sheetViews>
    <sheetView workbookViewId="0">
      <selection sqref="A1:XFD1"/>
    </sheetView>
  </sheetViews>
  <sheetFormatPr defaultColWidth="9.140625" defaultRowHeight="15" x14ac:dyDescent="0.25"/>
  <cols>
    <col min="1" max="1" width="6.42578125" style="51" customWidth="1"/>
    <col min="2" max="2" width="12.140625" style="51" customWidth="1"/>
    <col min="3" max="3" width="10.85546875" style="51" customWidth="1"/>
    <col min="4" max="4" width="9.140625" style="51"/>
    <col min="5" max="5" width="13.140625" style="51" customWidth="1"/>
    <col min="6" max="16384" width="9.140625" style="51"/>
  </cols>
  <sheetData>
    <row r="1" spans="1:33" x14ac:dyDescent="0.25">
      <c r="A1" s="741" t="s">
        <v>763</v>
      </c>
      <c r="B1" s="70"/>
      <c r="X1" s="288"/>
      <c r="Y1" s="288"/>
      <c r="Z1" s="288"/>
      <c r="AA1" s="288"/>
      <c r="AB1" s="288"/>
      <c r="AC1" s="288"/>
      <c r="AD1" s="289"/>
      <c r="AE1" s="82"/>
      <c r="AF1" s="290" t="s">
        <v>321</v>
      </c>
      <c r="AG1" s="82"/>
    </row>
    <row r="3" spans="1:33" x14ac:dyDescent="0.25">
      <c r="C3" s="70" t="s">
        <v>492</v>
      </c>
    </row>
    <row r="4" spans="1:33" x14ac:dyDescent="0.25">
      <c r="C4" s="51" t="s">
        <v>491</v>
      </c>
      <c r="D4" s="51" t="s">
        <v>425</v>
      </c>
      <c r="F4" s="51" t="s">
        <v>1</v>
      </c>
      <c r="H4" s="51" t="s">
        <v>162</v>
      </c>
      <c r="J4" s="51" t="s">
        <v>481</v>
      </c>
    </row>
    <row r="5" spans="1:33" x14ac:dyDescent="0.25">
      <c r="B5" s="51" t="s">
        <v>478</v>
      </c>
      <c r="C5" s="73">
        <v>27600</v>
      </c>
      <c r="D5" s="152">
        <f>(252000/12)/C5</f>
        <v>0.76086956521739135</v>
      </c>
      <c r="E5" s="51" t="s">
        <v>484</v>
      </c>
      <c r="F5" s="152">
        <f>(420000/12)/C5</f>
        <v>1.2681159420289856</v>
      </c>
      <c r="G5" s="51" t="s">
        <v>484</v>
      </c>
      <c r="L5" s="400" t="s">
        <v>477</v>
      </c>
    </row>
    <row r="6" spans="1:33" x14ac:dyDescent="0.25">
      <c r="B6" s="51" t="s">
        <v>476</v>
      </c>
      <c r="D6" s="77">
        <v>0.22</v>
      </c>
      <c r="F6" s="77"/>
      <c r="H6" s="152">
        <v>0.28000000000000003</v>
      </c>
      <c r="L6" s="400" t="s">
        <v>475</v>
      </c>
    </row>
    <row r="7" spans="1:33" x14ac:dyDescent="0.25">
      <c r="B7" s="51" t="s">
        <v>474</v>
      </c>
      <c r="C7" s="73">
        <v>29626</v>
      </c>
      <c r="F7" s="77">
        <v>1.37</v>
      </c>
      <c r="L7" s="51" t="s">
        <v>473</v>
      </c>
    </row>
    <row r="8" spans="1:33" x14ac:dyDescent="0.25">
      <c r="B8" s="51" t="s">
        <v>472</v>
      </c>
    </row>
    <row r="9" spans="1:33" x14ac:dyDescent="0.25">
      <c r="B9" s="51" t="s">
        <v>471</v>
      </c>
      <c r="H9" s="77">
        <v>0.33</v>
      </c>
      <c r="I9" s="51" t="s">
        <v>490</v>
      </c>
    </row>
    <row r="10" spans="1:33" x14ac:dyDescent="0.25">
      <c r="H10" s="152">
        <v>0.82</v>
      </c>
      <c r="I10" s="51" t="s">
        <v>489</v>
      </c>
    </row>
    <row r="11" spans="1:33" x14ac:dyDescent="0.25">
      <c r="B11" s="51" t="s">
        <v>470</v>
      </c>
      <c r="H11" s="152"/>
    </row>
    <row r="12" spans="1:33" x14ac:dyDescent="0.25">
      <c r="B12" s="51" t="s">
        <v>469</v>
      </c>
      <c r="F12" s="152">
        <v>0.86</v>
      </c>
      <c r="G12" s="51" t="s">
        <v>484</v>
      </c>
      <c r="J12" s="152">
        <v>0.79</v>
      </c>
      <c r="K12" s="51" t="s">
        <v>484</v>
      </c>
    </row>
    <row r="13" spans="1:33" x14ac:dyDescent="0.25">
      <c r="B13" s="51" t="s">
        <v>428</v>
      </c>
      <c r="C13" s="73">
        <v>35000</v>
      </c>
      <c r="D13" s="77">
        <v>0.93</v>
      </c>
      <c r="E13" s="51" t="s">
        <v>484</v>
      </c>
      <c r="F13" s="77">
        <v>1</v>
      </c>
      <c r="G13" s="51" t="s">
        <v>484</v>
      </c>
      <c r="H13" s="77">
        <v>1.02</v>
      </c>
      <c r="I13" s="51" t="s">
        <v>484</v>
      </c>
      <c r="J13" s="77">
        <v>0.96</v>
      </c>
      <c r="K13" s="51" t="s">
        <v>484</v>
      </c>
      <c r="L13" s="400" t="s">
        <v>488</v>
      </c>
    </row>
    <row r="14" spans="1:33" x14ac:dyDescent="0.25">
      <c r="L14" s="51" t="s">
        <v>487</v>
      </c>
    </row>
    <row r="15" spans="1:33" x14ac:dyDescent="0.25">
      <c r="B15" s="51" t="s">
        <v>486</v>
      </c>
      <c r="D15" s="77">
        <v>0.17</v>
      </c>
      <c r="F15" s="77">
        <v>0.8</v>
      </c>
      <c r="H15" s="77">
        <v>0.56000000000000005</v>
      </c>
    </row>
    <row r="16" spans="1:33" x14ac:dyDescent="0.25">
      <c r="B16" s="51" t="s">
        <v>467</v>
      </c>
      <c r="D16" s="77">
        <v>0.39</v>
      </c>
      <c r="F16" s="77">
        <v>0.44</v>
      </c>
      <c r="L16" s="400" t="s">
        <v>466</v>
      </c>
    </row>
    <row r="17" spans="1:14" x14ac:dyDescent="0.25">
      <c r="B17" s="51" t="s">
        <v>464</v>
      </c>
      <c r="D17" s="77"/>
      <c r="F17" s="77">
        <v>1</v>
      </c>
      <c r="G17" s="51" t="s">
        <v>484</v>
      </c>
      <c r="J17" s="77">
        <v>1</v>
      </c>
      <c r="K17" s="51" t="s">
        <v>484</v>
      </c>
      <c r="L17" s="400"/>
    </row>
    <row r="18" spans="1:14" x14ac:dyDescent="0.25">
      <c r="B18" s="51" t="s">
        <v>485</v>
      </c>
      <c r="D18" s="274">
        <f>AVERAGE(D5:D16)</f>
        <v>0.4941739130434783</v>
      </c>
      <c r="E18" s="274" t="s">
        <v>484</v>
      </c>
      <c r="F18" s="274">
        <f>AVERAGE(F5:F17)</f>
        <v>0.96258799171842646</v>
      </c>
      <c r="G18" s="274" t="s">
        <v>484</v>
      </c>
      <c r="H18" s="274">
        <f>AVERAGE(H5:H16)</f>
        <v>0.60200000000000009</v>
      </c>
      <c r="I18" s="274" t="s">
        <v>484</v>
      </c>
      <c r="J18" s="274">
        <f>AVERAGE(J5:J17)</f>
        <v>0.91666666666666663</v>
      </c>
      <c r="K18" s="51" t="s">
        <v>484</v>
      </c>
      <c r="L18" s="400"/>
    </row>
    <row r="19" spans="1:14" x14ac:dyDescent="0.25">
      <c r="D19" s="274"/>
      <c r="E19" s="274"/>
      <c r="F19" s="274"/>
      <c r="G19" s="274"/>
      <c r="H19" s="274"/>
      <c r="I19" s="274"/>
      <c r="J19" s="274"/>
      <c r="L19" s="400"/>
    </row>
    <row r="20" spans="1:14" x14ac:dyDescent="0.25">
      <c r="B20" s="51" t="s">
        <v>465</v>
      </c>
      <c r="E20" s="51" t="s">
        <v>483</v>
      </c>
    </row>
    <row r="21" spans="1:14" x14ac:dyDescent="0.25">
      <c r="D21" s="77">
        <v>0.22</v>
      </c>
      <c r="F21" s="77">
        <v>0.53</v>
      </c>
    </row>
    <row r="22" spans="1:14" x14ac:dyDescent="0.25">
      <c r="B22" s="70" t="s">
        <v>621</v>
      </c>
      <c r="D22" s="77"/>
      <c r="F22" s="77"/>
    </row>
    <row r="23" spans="1:14" x14ac:dyDescent="0.25">
      <c r="A23" s="70" t="s">
        <v>622</v>
      </c>
      <c r="B23" s="51" t="s">
        <v>623</v>
      </c>
      <c r="F23" s="77">
        <v>0.09</v>
      </c>
      <c r="G23" s="51" t="s">
        <v>88</v>
      </c>
      <c r="N23" s="51" t="s">
        <v>624</v>
      </c>
    </row>
    <row r="24" spans="1:14" x14ac:dyDescent="0.25">
      <c r="M24" s="72" t="s">
        <v>625</v>
      </c>
      <c r="N24" s="68" t="s">
        <v>626</v>
      </c>
    </row>
    <row r="25" spans="1:14" x14ac:dyDescent="0.25">
      <c r="M25" s="72" t="s">
        <v>627</v>
      </c>
      <c r="N25" s="68" t="s">
        <v>628</v>
      </c>
    </row>
    <row r="26" spans="1:14" x14ac:dyDescent="0.25">
      <c r="M26" s="72" t="s">
        <v>629</v>
      </c>
      <c r="N26" s="68" t="s">
        <v>630</v>
      </c>
    </row>
    <row r="27" spans="1:14" x14ac:dyDescent="0.25">
      <c r="M27" s="72" t="s">
        <v>629</v>
      </c>
      <c r="N27" s="68" t="s">
        <v>631</v>
      </c>
    </row>
    <row r="28" spans="1:14" x14ac:dyDescent="0.25">
      <c r="M28" s="72" t="s">
        <v>632</v>
      </c>
      <c r="N28" s="68" t="s">
        <v>633</v>
      </c>
    </row>
    <row r="29" spans="1:14" x14ac:dyDescent="0.25">
      <c r="M29" s="72" t="s">
        <v>634</v>
      </c>
      <c r="N29" s="68" t="s">
        <v>635</v>
      </c>
    </row>
    <row r="30" spans="1:14" x14ac:dyDescent="0.25">
      <c r="F30" s="77">
        <v>0.02</v>
      </c>
      <c r="G30" s="51" t="s">
        <v>524</v>
      </c>
      <c r="N30" s="51" t="s">
        <v>434</v>
      </c>
    </row>
    <row r="31" spans="1:14" x14ac:dyDescent="0.25">
      <c r="E31" s="51" t="s">
        <v>563</v>
      </c>
      <c r="F31" s="77">
        <f>AVERAGE(F23:F30)</f>
        <v>5.5E-2</v>
      </c>
      <c r="G31" s="51" t="s">
        <v>524</v>
      </c>
    </row>
    <row r="32" spans="1:14" x14ac:dyDescent="0.25">
      <c r="F32" s="77"/>
    </row>
    <row r="33" spans="1:14" x14ac:dyDescent="0.25">
      <c r="A33" s="70" t="s">
        <v>193</v>
      </c>
      <c r="F33" s="77">
        <v>0.02</v>
      </c>
      <c r="G33" s="51" t="s">
        <v>524</v>
      </c>
      <c r="N33" s="51" t="s">
        <v>434</v>
      </c>
    </row>
    <row r="34" spans="1:14" x14ac:dyDescent="0.25">
      <c r="B34" s="72" t="s">
        <v>403</v>
      </c>
      <c r="C34" s="51">
        <v>3412.14</v>
      </c>
      <c r="D34" s="51" t="s">
        <v>74</v>
      </c>
      <c r="E34" s="51" t="s">
        <v>636</v>
      </c>
      <c r="F34" s="51">
        <f>C34/C35</f>
        <v>2.6769860821264375E-2</v>
      </c>
    </row>
    <row r="35" spans="1:14" x14ac:dyDescent="0.25">
      <c r="B35" s="72" t="s">
        <v>73</v>
      </c>
      <c r="C35" s="73">
        <v>127462</v>
      </c>
      <c r="D35" s="51" t="s">
        <v>74</v>
      </c>
      <c r="F35" s="91">
        <f>F33*F34</f>
        <v>5.3539721642528748E-4</v>
      </c>
    </row>
    <row r="36" spans="1:14" x14ac:dyDescent="0.25">
      <c r="D36" s="77"/>
      <c r="F36" s="77"/>
    </row>
    <row r="37" spans="1:14" x14ac:dyDescent="0.25">
      <c r="C37" s="70" t="s">
        <v>482</v>
      </c>
    </row>
    <row r="38" spans="1:14" x14ac:dyDescent="0.25">
      <c r="C38" s="77"/>
      <c r="D38" s="51" t="s">
        <v>425</v>
      </c>
      <c r="F38" s="51" t="s">
        <v>1</v>
      </c>
      <c r="H38" s="51" t="s">
        <v>162</v>
      </c>
      <c r="J38" s="51" t="s">
        <v>481</v>
      </c>
    </row>
    <row r="39" spans="1:14" x14ac:dyDescent="0.25">
      <c r="B39" s="51" t="s">
        <v>480</v>
      </c>
      <c r="C39" s="77"/>
      <c r="F39" s="51">
        <v>3.26</v>
      </c>
      <c r="G39" s="51" t="s">
        <v>76</v>
      </c>
      <c r="L39" s="400" t="s">
        <v>479</v>
      </c>
    </row>
    <row r="40" spans="1:14" x14ac:dyDescent="0.25">
      <c r="B40" s="51" t="s">
        <v>478</v>
      </c>
      <c r="C40" s="98">
        <v>27600</v>
      </c>
      <c r="F40" s="51">
        <v>2.2799999999999998</v>
      </c>
      <c r="G40" s="51" t="s">
        <v>76</v>
      </c>
      <c r="H40" s="51">
        <v>1.78</v>
      </c>
      <c r="I40" s="51" t="s">
        <v>76</v>
      </c>
      <c r="J40" s="51">
        <v>3.19</v>
      </c>
      <c r="K40" s="51" t="s">
        <v>76</v>
      </c>
      <c r="L40" s="400" t="s">
        <v>477</v>
      </c>
    </row>
    <row r="41" spans="1:14" x14ac:dyDescent="0.25">
      <c r="B41" s="51" t="s">
        <v>476</v>
      </c>
      <c r="C41" s="77"/>
      <c r="D41" s="51">
        <v>2.16</v>
      </c>
      <c r="E41" s="51" t="s">
        <v>90</v>
      </c>
      <c r="H41" s="51">
        <v>4.5</v>
      </c>
      <c r="I41" s="51" t="s">
        <v>76</v>
      </c>
      <c r="L41" s="400" t="s">
        <v>475</v>
      </c>
    </row>
    <row r="42" spans="1:14" x14ac:dyDescent="0.25">
      <c r="B42" s="51" t="s">
        <v>474</v>
      </c>
      <c r="C42" s="73">
        <v>29626</v>
      </c>
      <c r="F42" s="51">
        <v>4.7</v>
      </c>
      <c r="G42" s="51" t="s">
        <v>76</v>
      </c>
      <c r="L42" s="51" t="s">
        <v>473</v>
      </c>
    </row>
    <row r="43" spans="1:14" x14ac:dyDescent="0.25">
      <c r="B43" s="51" t="s">
        <v>472</v>
      </c>
      <c r="D43" s="51">
        <v>1.64</v>
      </c>
      <c r="E43" s="51" t="s">
        <v>90</v>
      </c>
      <c r="J43" s="51">
        <v>5.7</v>
      </c>
      <c r="K43" s="51" t="s">
        <v>76</v>
      </c>
    </row>
    <row r="44" spans="1:14" x14ac:dyDescent="0.25">
      <c r="B44" s="51" t="s">
        <v>471</v>
      </c>
      <c r="H44" s="51">
        <v>1.78</v>
      </c>
      <c r="I44" s="51" t="s">
        <v>76</v>
      </c>
    </row>
    <row r="45" spans="1:14" x14ac:dyDescent="0.25">
      <c r="B45" s="51" t="s">
        <v>470</v>
      </c>
      <c r="D45" s="51">
        <v>1.83</v>
      </c>
      <c r="E45" s="51" t="s">
        <v>90</v>
      </c>
      <c r="F45" s="51">
        <v>5.5</v>
      </c>
      <c r="G45" s="51" t="s">
        <v>76</v>
      </c>
    </row>
    <row r="46" spans="1:14" x14ac:dyDescent="0.25">
      <c r="B46" s="51" t="s">
        <v>469</v>
      </c>
      <c r="F46" s="51">
        <v>2.5</v>
      </c>
      <c r="G46" s="51" t="s">
        <v>76</v>
      </c>
      <c r="J46" s="51">
        <v>3.46</v>
      </c>
      <c r="K46" s="51" t="s">
        <v>76</v>
      </c>
    </row>
    <row r="47" spans="1:14" x14ac:dyDescent="0.25">
      <c r="B47" s="51" t="s">
        <v>468</v>
      </c>
      <c r="D47" s="51">
        <v>1.94</v>
      </c>
      <c r="E47" s="51" t="s">
        <v>90</v>
      </c>
      <c r="F47" s="51">
        <v>4.16</v>
      </c>
      <c r="G47" s="51" t="s">
        <v>76</v>
      </c>
      <c r="H47" s="51">
        <v>3.87</v>
      </c>
      <c r="I47" s="51" t="s">
        <v>76</v>
      </c>
    </row>
    <row r="48" spans="1:14" x14ac:dyDescent="0.25">
      <c r="B48" s="51" t="s">
        <v>467</v>
      </c>
      <c r="F48" s="51">
        <v>3.5</v>
      </c>
      <c r="G48" s="51" t="s">
        <v>76</v>
      </c>
      <c r="L48" s="400" t="s">
        <v>466</v>
      </c>
    </row>
    <row r="49" spans="2:11" x14ac:dyDescent="0.25">
      <c r="B49" s="51" t="s">
        <v>465</v>
      </c>
      <c r="D49" s="51">
        <v>2.17</v>
      </c>
      <c r="E49" s="51" t="s">
        <v>90</v>
      </c>
      <c r="F49" s="51">
        <v>4.26</v>
      </c>
      <c r="G49" s="51" t="s">
        <v>76</v>
      </c>
    </row>
    <row r="50" spans="2:11" x14ac:dyDescent="0.25">
      <c r="B50" s="51" t="s">
        <v>464</v>
      </c>
      <c r="F50" s="51">
        <v>4</v>
      </c>
      <c r="G50" s="51" t="s">
        <v>76</v>
      </c>
      <c r="J50" s="51">
        <v>5</v>
      </c>
      <c r="K50" s="51" t="s">
        <v>76</v>
      </c>
    </row>
    <row r="51" spans="2:11" x14ac:dyDescent="0.25">
      <c r="B51" s="51" t="s">
        <v>463</v>
      </c>
      <c r="D51" s="51">
        <v>2.2400000000000002</v>
      </c>
      <c r="E51" s="51" t="s">
        <v>90</v>
      </c>
      <c r="F51" s="51">
        <v>4.5</v>
      </c>
      <c r="G51" s="51" t="s">
        <v>76</v>
      </c>
    </row>
    <row r="52" spans="2:11" x14ac:dyDescent="0.25">
      <c r="B52" s="51" t="s">
        <v>442</v>
      </c>
      <c r="D52" s="78">
        <f>AVERAGE(D41:D51)</f>
        <v>1.9966666666666668</v>
      </c>
      <c r="E52" s="78" t="s">
        <v>90</v>
      </c>
      <c r="F52" s="78">
        <f>AVERAGE(F41:F51)</f>
        <v>4.1399999999999997</v>
      </c>
      <c r="G52" s="78" t="s">
        <v>76</v>
      </c>
      <c r="H52" s="78">
        <f>AVERAGE(H41:H51)</f>
        <v>3.3833333333333333</v>
      </c>
      <c r="I52" s="78" t="s">
        <v>76</v>
      </c>
      <c r="J52" s="78">
        <f>AVERAGE(J41:J51)</f>
        <v>4.72</v>
      </c>
      <c r="K52" s="78" t="s">
        <v>76</v>
      </c>
    </row>
  </sheetData>
  <hyperlinks>
    <hyperlink ref="L5" r:id="rId1" display="http://www.columbia.edu/~ja3041/Electric Bus Analysis for NYC Transit by J Aber Columbia University - May 2016.pdf"/>
    <hyperlink ref="L6" r:id="rId2"/>
    <hyperlink ref="L13" r:id="rId3" display="https://www.sierraclub.org/sites/www.sierraclub.org/files/sce-authors/u2387/MBTA Bus Cost Analysis_26 Oct 2017.pdf"/>
    <hyperlink ref="L16" r:id="rId4"/>
    <hyperlink ref="L39" r:id="rId5"/>
    <hyperlink ref="L40" r:id="rId6" display="http://www.columbia.edu/~ja3041/Electric Bus Analysis for NYC Transit by J Aber Columbia University - May 2016.pdf"/>
    <hyperlink ref="L41" r:id="rId7"/>
    <hyperlink ref="L48" r:id="rId8"/>
    <hyperlink ref="N24" r:id="rId9"/>
    <hyperlink ref="N25" r:id="rId10"/>
    <hyperlink ref="N26" r:id="rId11"/>
    <hyperlink ref="N27" r:id="rId12"/>
    <hyperlink ref="N28" r:id="rId13" display="https://www.nwo.usace.army.mil/Portals/23/Final LCC Study Report.pdf?ver=2017-09-18-124555-723"/>
    <hyperlink ref="N29" r:id="rId14"/>
  </hyperlinks>
  <pageMargins left="0.7" right="0.7" top="0.75" bottom="0.75" header="0.3" footer="0.3"/>
  <pageSetup orientation="portrait"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AJ73"/>
  <sheetViews>
    <sheetView showGridLines="0" view="pageLayout" topLeftCell="A4" zoomScale="40" zoomScaleNormal="100" zoomScalePageLayoutView="40" workbookViewId="0">
      <selection activeCell="B46" sqref="B46"/>
    </sheetView>
  </sheetViews>
  <sheetFormatPr defaultColWidth="9.140625" defaultRowHeight="12.75" x14ac:dyDescent="0.2"/>
  <cols>
    <col min="1" max="1" width="53.42578125" style="261" customWidth="1"/>
    <col min="2" max="2" width="20.5703125" style="369" customWidth="1"/>
    <col min="3" max="3" width="6.5703125" style="625" customWidth="1"/>
    <col min="4" max="4" width="11.42578125" style="625" customWidth="1"/>
    <col min="5" max="5" width="20.5703125" style="625" customWidth="1"/>
    <col min="6" max="6" width="24.5703125" style="626" customWidth="1"/>
    <col min="7" max="7" width="16.42578125" style="626" customWidth="1"/>
    <col min="8" max="8" width="18.5703125" style="626" customWidth="1"/>
    <col min="9" max="9" width="13" style="264" customWidth="1"/>
    <col min="10" max="10" width="23.140625" style="264" customWidth="1"/>
    <col min="11" max="11" width="14.85546875" style="264" customWidth="1"/>
    <col min="12" max="12" width="13.42578125" style="264" customWidth="1"/>
    <col min="13" max="13" width="21.5703125" style="264" customWidth="1"/>
    <col min="14" max="14" width="19.140625" style="264" customWidth="1"/>
    <col min="15" max="15" width="15.42578125" style="264" customWidth="1"/>
    <col min="16" max="16" width="20" style="264" customWidth="1"/>
    <col min="17" max="17" width="16.85546875" style="264" customWidth="1"/>
    <col min="18" max="18" width="16.42578125" style="264" customWidth="1"/>
    <col min="19" max="19" width="38.7109375" style="264" bestFit="1" customWidth="1"/>
    <col min="20" max="20" width="15.85546875" style="264" customWidth="1"/>
    <col min="21" max="21" width="20.140625" style="261" customWidth="1"/>
    <col min="22" max="22" width="19.5703125" style="261" customWidth="1"/>
    <col min="23" max="23" width="9" style="261" customWidth="1"/>
    <col min="24" max="24" width="13.5703125" style="261" customWidth="1"/>
    <col min="25" max="25" width="15.42578125" style="261" customWidth="1"/>
    <col min="26" max="26" width="9.5703125" style="261" customWidth="1"/>
    <col min="27" max="27" width="13.5703125" style="261" customWidth="1"/>
    <col min="28" max="28" width="25.42578125" style="261" customWidth="1"/>
    <col min="29" max="29" width="17.42578125" style="261" customWidth="1"/>
    <col min="30" max="30" width="24" style="261" customWidth="1"/>
    <col min="31" max="31" width="9.140625" style="261" customWidth="1"/>
    <col min="32" max="16384" width="9.140625" style="261"/>
  </cols>
  <sheetData>
    <row r="1" spans="1:36" s="285" customFormat="1" ht="86.1" customHeight="1" x14ac:dyDescent="0.45">
      <c r="A1" s="776" t="s">
        <v>742</v>
      </c>
      <c r="B1" s="777"/>
      <c r="C1" s="777"/>
      <c r="D1" s="777"/>
      <c r="E1" s="777"/>
      <c r="F1" s="777"/>
      <c r="G1" s="777"/>
      <c r="H1" s="777"/>
      <c r="I1" s="777"/>
      <c r="J1" s="786"/>
      <c r="K1" s="786"/>
      <c r="L1" s="786"/>
      <c r="M1" s="786"/>
      <c r="N1" s="786"/>
      <c r="O1" s="734"/>
      <c r="P1" s="734"/>
      <c r="Q1" s="734"/>
      <c r="R1" s="734"/>
      <c r="S1" s="734"/>
      <c r="T1" s="734"/>
      <c r="U1" s="734"/>
      <c r="V1" s="734"/>
      <c r="W1" s="734"/>
      <c r="X1" s="734"/>
      <c r="Y1" s="734"/>
      <c r="Z1" s="734"/>
      <c r="AA1" s="734"/>
      <c r="AB1" s="734"/>
      <c r="AC1" s="734"/>
      <c r="AD1" s="734"/>
      <c r="AE1" s="734"/>
      <c r="AF1" s="734"/>
      <c r="AG1" s="734"/>
      <c r="AH1" s="734"/>
      <c r="AI1" s="734"/>
      <c r="AJ1" s="734"/>
    </row>
    <row r="2" spans="1:36" s="285" customFormat="1" ht="141.75" customHeight="1" x14ac:dyDescent="0.45">
      <c r="A2" s="774" t="s">
        <v>762</v>
      </c>
      <c r="B2" s="775"/>
      <c r="C2" s="775"/>
      <c r="D2" s="775"/>
      <c r="E2" s="775"/>
      <c r="F2" s="775"/>
      <c r="G2" s="775"/>
      <c r="H2" s="775"/>
      <c r="I2" s="775"/>
      <c r="J2" s="775"/>
      <c r="K2" s="775"/>
      <c r="L2" s="775"/>
      <c r="M2" s="775"/>
      <c r="N2" s="775"/>
      <c r="O2" s="665"/>
      <c r="P2" s="665"/>
      <c r="Q2" s="665"/>
      <c r="R2" s="665"/>
      <c r="S2" s="665"/>
      <c r="T2" s="665"/>
      <c r="U2" s="665"/>
      <c r="V2" s="665"/>
      <c r="W2" s="665"/>
      <c r="X2" s="665"/>
      <c r="Y2" s="665"/>
      <c r="Z2" s="665"/>
      <c r="AA2" s="665"/>
      <c r="AB2" s="665"/>
      <c r="AC2" s="665"/>
      <c r="AD2" s="665"/>
      <c r="AE2" s="665"/>
      <c r="AF2" s="665"/>
      <c r="AG2" s="665"/>
      <c r="AH2" s="665"/>
      <c r="AI2" s="665"/>
      <c r="AJ2" s="665"/>
    </row>
    <row r="3" spans="1:36" ht="30.75" customHeight="1" x14ac:dyDescent="0.2">
      <c r="A3" s="647"/>
      <c r="B3" s="652"/>
      <c r="C3" s="653"/>
      <c r="D3" s="653"/>
      <c r="E3" s="653"/>
      <c r="F3" s="654"/>
      <c r="G3" s="654"/>
      <c r="H3" s="654"/>
      <c r="I3" s="655"/>
      <c r="J3" s="655"/>
      <c r="K3" s="655"/>
      <c r="L3" s="655"/>
      <c r="M3" s="655"/>
      <c r="N3" s="655"/>
      <c r="O3" s="655"/>
      <c r="P3" s="655"/>
      <c r="Q3" s="655"/>
      <c r="R3" s="655"/>
      <c r="S3" s="655"/>
      <c r="T3" s="656"/>
      <c r="U3" s="647"/>
      <c r="V3" s="647"/>
      <c r="W3" s="647"/>
      <c r="X3" s="647"/>
      <c r="Y3" s="647"/>
      <c r="Z3" s="647"/>
      <c r="AA3" s="647"/>
      <c r="AB3" s="647"/>
      <c r="AC3" s="647"/>
      <c r="AD3" s="647"/>
    </row>
    <row r="4" spans="1:36" x14ac:dyDescent="0.2">
      <c r="T4" s="281"/>
    </row>
    <row r="6" spans="1:36" x14ac:dyDescent="0.2">
      <c r="A6" s="627"/>
      <c r="B6" s="628"/>
    </row>
    <row r="10" spans="1:36" x14ac:dyDescent="0.2">
      <c r="C10" s="261"/>
      <c r="D10" s="261"/>
      <c r="E10" s="261"/>
      <c r="F10" s="264"/>
      <c r="G10" s="264"/>
      <c r="H10" s="264"/>
    </row>
    <row r="35" spans="1:30" s="557" customFormat="1" ht="17.45" hidden="1" customHeight="1" x14ac:dyDescent="0.35">
      <c r="A35" s="699" t="s">
        <v>43</v>
      </c>
      <c r="B35" s="558" t="s">
        <v>60</v>
      </c>
      <c r="C35" s="554"/>
      <c r="D35" s="554"/>
      <c r="E35" s="554"/>
      <c r="F35" s="555"/>
      <c r="G35" s="555"/>
      <c r="H35" s="555"/>
      <c r="I35" s="556"/>
      <c r="J35" s="556"/>
      <c r="K35" s="556"/>
      <c r="L35" s="556"/>
      <c r="M35" s="556"/>
      <c r="N35" s="556"/>
      <c r="O35" s="556"/>
      <c r="P35" s="556"/>
      <c r="Q35" s="556"/>
      <c r="R35" s="556"/>
      <c r="S35" s="556"/>
      <c r="T35" s="556"/>
    </row>
    <row r="36" spans="1:30" s="711" customFormat="1" ht="17.45" customHeight="1" x14ac:dyDescent="0.35">
      <c r="A36" s="706"/>
      <c r="B36" s="707"/>
      <c r="C36" s="708"/>
      <c r="D36" s="708"/>
      <c r="E36" s="708"/>
      <c r="F36" s="709"/>
      <c r="G36" s="709"/>
      <c r="H36" s="709"/>
      <c r="I36" s="710"/>
      <c r="J36" s="710"/>
      <c r="K36" s="710"/>
      <c r="L36" s="710"/>
      <c r="M36" s="710"/>
      <c r="N36" s="710"/>
      <c r="O36" s="710"/>
      <c r="P36" s="710"/>
      <c r="Q36" s="710"/>
      <c r="R36" s="710"/>
      <c r="S36" s="710"/>
      <c r="T36" s="710"/>
    </row>
    <row r="37" spans="1:30" s="557" customFormat="1" ht="17.45" customHeight="1" x14ac:dyDescent="0.35">
      <c r="A37" s="640"/>
      <c r="B37" s="641"/>
      <c r="C37" s="642"/>
      <c r="D37" s="643" t="s">
        <v>23</v>
      </c>
      <c r="E37" s="560"/>
      <c r="F37" s="561"/>
      <c r="G37" s="561"/>
      <c r="H37" s="561"/>
      <c r="I37" s="562"/>
      <c r="J37" s="562"/>
      <c r="K37" s="562"/>
      <c r="L37" s="562"/>
      <c r="M37" s="563"/>
      <c r="N37" s="563"/>
      <c r="O37" s="563"/>
      <c r="P37" s="562"/>
      <c r="Q37" s="562"/>
      <c r="R37" s="564"/>
      <c r="S37" s="564"/>
      <c r="T37" s="564"/>
      <c r="U37" s="564"/>
      <c r="V37" s="783" t="s">
        <v>449</v>
      </c>
      <c r="W37" s="784"/>
      <c r="X37" s="785"/>
      <c r="Y37" s="783" t="s">
        <v>448</v>
      </c>
      <c r="Z37" s="784"/>
      <c r="AA37" s="785"/>
      <c r="AB37" s="783" t="s">
        <v>677</v>
      </c>
      <c r="AC37" s="784"/>
      <c r="AD37" s="785"/>
    </row>
    <row r="38" spans="1:30" s="557" customFormat="1" ht="17.45" customHeight="1" x14ac:dyDescent="0.35">
      <c r="A38" s="638" t="s">
        <v>0</v>
      </c>
      <c r="B38" s="639" t="str">
        <f>Inputs!B4</f>
        <v>Battery Electric</v>
      </c>
      <c r="C38" s="554"/>
      <c r="D38" s="696" t="s">
        <v>2</v>
      </c>
      <c r="E38" s="565" t="s">
        <v>692</v>
      </c>
      <c r="F38" s="737" t="s">
        <v>451</v>
      </c>
      <c r="G38" s="566" t="s">
        <v>582</v>
      </c>
      <c r="H38" s="738" t="s">
        <v>460</v>
      </c>
      <c r="I38" s="567" t="s">
        <v>457</v>
      </c>
      <c r="J38" s="546" t="s">
        <v>682</v>
      </c>
      <c r="K38" s="546" t="s">
        <v>45</v>
      </c>
      <c r="L38" s="546" t="s">
        <v>44</v>
      </c>
      <c r="M38" s="546" t="s">
        <v>454</v>
      </c>
      <c r="N38" s="568" t="s">
        <v>458</v>
      </c>
      <c r="O38" s="546" t="s">
        <v>455</v>
      </c>
      <c r="P38" s="546" t="s">
        <v>456</v>
      </c>
      <c r="Q38" s="546" t="s">
        <v>459</v>
      </c>
      <c r="R38" s="567" t="s">
        <v>42</v>
      </c>
      <c r="S38" s="568" t="s">
        <v>293</v>
      </c>
      <c r="T38" s="546" t="s">
        <v>307</v>
      </c>
      <c r="U38" s="546" t="s">
        <v>308</v>
      </c>
      <c r="V38" s="567" t="s">
        <v>61</v>
      </c>
      <c r="W38" s="546" t="s">
        <v>62</v>
      </c>
      <c r="X38" s="546" t="s">
        <v>219</v>
      </c>
      <c r="Y38" s="567" t="s">
        <v>61</v>
      </c>
      <c r="Z38" s="546" t="s">
        <v>62</v>
      </c>
      <c r="AA38" s="568" t="s">
        <v>219</v>
      </c>
      <c r="AB38" s="569" t="s">
        <v>675</v>
      </c>
      <c r="AC38" s="570" t="s">
        <v>680</v>
      </c>
      <c r="AD38" s="571" t="s">
        <v>676</v>
      </c>
    </row>
    <row r="39" spans="1:30" s="557" customFormat="1" ht="18.75" customHeight="1" x14ac:dyDescent="0.35">
      <c r="A39" s="572" t="s">
        <v>7</v>
      </c>
      <c r="B39" s="573">
        <f>IF(B35="Basic Schedule",Inputs!B18,MAX(#REF!,#REF!,#REF!,#REF!,#REF!,#REF!,#REF!,#REF!))</f>
        <v>1</v>
      </c>
      <c r="C39" s="554"/>
      <c r="D39" s="574" t="s">
        <v>10</v>
      </c>
      <c r="E39" s="575">
        <f>B42</f>
        <v>62400</v>
      </c>
      <c r="F39" s="576">
        <f>B55</f>
        <v>27931.320737160881</v>
      </c>
      <c r="G39" s="576">
        <f>IF(Inputs!$B$30=VLOOKUP(Inputs!$B$4,'Default Data'!$A$1:$AJ$12,6,FALSE),VLOOKUP($B$38,'Forecast Fuel Cost Calculations'!$A$1:$N$12,2,FALSE),IF($B$38="Battery Electric",$B$40*$B$43,($B$40/Inputs!B23)*Inputs!$B$30))</f>
        <v>7087.9683513679529</v>
      </c>
      <c r="H39" s="577">
        <f>E39+F39+G39</f>
        <v>97419.289088528836</v>
      </c>
      <c r="I39" s="578">
        <f>B40/B39</f>
        <v>30000</v>
      </c>
      <c r="J39" s="547">
        <f>B63</f>
        <v>837608</v>
      </c>
      <c r="K39" s="547">
        <v>0</v>
      </c>
      <c r="L39" s="547">
        <v>0</v>
      </c>
      <c r="M39" s="547">
        <v>0</v>
      </c>
      <c r="N39" s="579">
        <f>SUM(J39:M39)</f>
        <v>837608</v>
      </c>
      <c r="O39" s="547">
        <f>B64</f>
        <v>105000</v>
      </c>
      <c r="P39" s="547">
        <f>SUMIF(Bustypes,Inputs!$B$4,'Default Data'!$S$2:$S$12)</f>
        <v>31.320737160879318</v>
      </c>
      <c r="Q39" s="547">
        <f>O39</f>
        <v>105000</v>
      </c>
      <c r="R39" s="580">
        <f t="shared" ref="R39:R50" si="0">SUM(E39:G39)+SUM(J39:M39)</f>
        <v>935027.28908852884</v>
      </c>
      <c r="S39" s="579">
        <f>R39</f>
        <v>935027.28908852884</v>
      </c>
      <c r="T39" s="547">
        <f>($B$40*($B$67+$B$68+$B$69))</f>
        <v>4089.111702549706</v>
      </c>
      <c r="U39" s="581">
        <f>T39+S39</f>
        <v>939116.40079107857</v>
      </c>
      <c r="V39" s="582">
        <f>$B$58</f>
        <v>40.312342299424046</v>
      </c>
      <c r="W39" s="583">
        <f>$B$59</f>
        <v>0</v>
      </c>
      <c r="X39" s="583">
        <f>$B$60</f>
        <v>4.97656220637959E-3</v>
      </c>
      <c r="Y39" s="582">
        <f>V39</f>
        <v>40.312342299424046</v>
      </c>
      <c r="Z39" s="583">
        <f t="shared" ref="Z39:AA39" si="1">W39</f>
        <v>0</v>
      </c>
      <c r="AA39" s="584">
        <f t="shared" si="1"/>
        <v>4.97656220637959E-3</v>
      </c>
      <c r="AB39" s="585">
        <f>IF(Inputs!$B$4="Battery Electric",'CFP Credit Estimator'!J22,(IF(Inputs!$B$4="CNG",'CFP Credit Estimator'!J158,0)))</f>
        <v>60.365321158847273</v>
      </c>
      <c r="AC39" s="586">
        <f>Inputs!$B$33</f>
        <v>111</v>
      </c>
      <c r="AD39" s="587">
        <f>AB39*AC39</f>
        <v>6700.5506486320473</v>
      </c>
    </row>
    <row r="40" spans="1:30" s="557" customFormat="1" ht="17.25" customHeight="1" x14ac:dyDescent="0.35">
      <c r="A40" s="572" t="s">
        <v>54</v>
      </c>
      <c r="B40" s="588">
        <f>Inputs!B16*Inputs!B18</f>
        <v>30000</v>
      </c>
      <c r="C40" s="554"/>
      <c r="D40" s="574" t="s">
        <v>11</v>
      </c>
      <c r="E40" s="580">
        <f>$E$39*(1+$B$54)</f>
        <v>63897.599999999999</v>
      </c>
      <c r="F40" s="547">
        <f>$F$39*(1+$B$54)</f>
        <v>28601.672434852742</v>
      </c>
      <c r="G40" s="576">
        <f>IF(Inputs!$B$30=VLOOKUP(Inputs!$B$4,'Default Data'!$A$1:$AJ$12,6,FALSE),VLOOKUP($B$38,'Forecast Fuel Cost Calculations'!$A$1:$N$12,3,FALSE),IF($B$38="Battery Electric",$B$40*$B$43,($B$40/Inputs!B24)*Inputs!$B$30))</f>
        <v>7557.0730308825605</v>
      </c>
      <c r="H40" s="577">
        <f t="shared" ref="H40:H50" si="2">E40+F40+G40</f>
        <v>100056.3454657353</v>
      </c>
      <c r="I40" s="578">
        <f>I39+$I$39</f>
        <v>60000</v>
      </c>
      <c r="J40" s="547">
        <v>0</v>
      </c>
      <c r="K40" s="547">
        <f t="shared" ref="K40:K50" si="3">IF($B$38="Full-size passenger van","$0",(IF(OR(AND(I40&gt;=($B$48*1),I39&lt;($B$48*1)),(AND(I40&gt;=($B$48*2),I39&lt;($B$48*2))),(AND(I40&gt;=($B$48*3),I39&lt;($B$48*3))),(AND(I40&gt;=($B$48*4),I39&lt;($B$48*4)))),$B$49*$B$39,0)))</f>
        <v>0</v>
      </c>
      <c r="L40" s="547">
        <f t="shared" ref="L40:L50" si="4">IF($B$38="Full-size passenger van","$0",(IF(OR((AND(I40&gt;=$B$48*1,I39&lt;$B$48*1)),(AND(I40&gt;=$B$48*2,I39&lt;$B$48*2)),(AND(I40&gt;=$B$48*3,I39&lt;$B$48*3)),(AND(I40&gt;=$B$48*4,I39&lt;$B$48*4))),$B$50*$B$39,0)))</f>
        <v>0</v>
      </c>
      <c r="M40" s="547">
        <v>0</v>
      </c>
      <c r="N40" s="579">
        <f t="shared" ref="N40:N50" si="5">SUM(J40:M40)</f>
        <v>0</v>
      </c>
      <c r="O40" s="547">
        <v>0</v>
      </c>
      <c r="P40" s="547">
        <f>(P39*(1+$B$54))</f>
        <v>32.072434852740422</v>
      </c>
      <c r="Q40" s="547">
        <v>0</v>
      </c>
      <c r="R40" s="580">
        <f t="shared" si="0"/>
        <v>100056.3454657353</v>
      </c>
      <c r="S40" s="579">
        <f>S39+R40</f>
        <v>1035083.6345542641</v>
      </c>
      <c r="T40" s="547">
        <f t="shared" ref="T40:T50" si="6">T39*(100%+$B$54)</f>
        <v>4187.2503834108993</v>
      </c>
      <c r="U40" s="581">
        <f>U39+T40+R40</f>
        <v>1043359.9966402248</v>
      </c>
      <c r="V40" s="582">
        <f t="shared" ref="V40:V50" si="7">$B$58</f>
        <v>40.312342299424046</v>
      </c>
      <c r="W40" s="583">
        <f t="shared" ref="W40:W50" si="8">$B$59</f>
        <v>0</v>
      </c>
      <c r="X40" s="583">
        <f t="shared" ref="X40:X50" si="9">$B$60</f>
        <v>4.97656220637959E-3</v>
      </c>
      <c r="Y40" s="582">
        <f>Y39+V40</f>
        <v>80.624684598848091</v>
      </c>
      <c r="Z40" s="583">
        <f t="shared" ref="Z40:AA40" si="10">Z39+W40</f>
        <v>0</v>
      </c>
      <c r="AA40" s="584">
        <f t="shared" si="10"/>
        <v>9.95312441275918E-3</v>
      </c>
      <c r="AB40" s="585">
        <f>IF(Inputs!$B$4="Battery Electric",'CFP Credit Estimator'!J23,(IF(Inputs!$B$4="CNG",'CFP Credit Estimator'!J159,0)))</f>
        <v>59.333381158847274</v>
      </c>
      <c r="AC40" s="586">
        <f>Inputs!$B$33</f>
        <v>111</v>
      </c>
      <c r="AD40" s="587">
        <f t="shared" ref="AD40:AD50" si="11">AB40*AC40</f>
        <v>6586.0053086320477</v>
      </c>
    </row>
    <row r="41" spans="1:30" s="557" customFormat="1" ht="19.5" customHeight="1" x14ac:dyDescent="0.35">
      <c r="A41" s="572" t="s">
        <v>53</v>
      </c>
      <c r="B41" s="588">
        <f>Inputs!B17*Inputs!B18</f>
        <v>2080</v>
      </c>
      <c r="C41" s="554"/>
      <c r="D41" s="574" t="s">
        <v>12</v>
      </c>
      <c r="E41" s="580">
        <f>E40*(1+$B$54)</f>
        <v>65431.142399999997</v>
      </c>
      <c r="F41" s="547">
        <f>F40*(1+$B$54)</f>
        <v>29288.112573289207</v>
      </c>
      <c r="G41" s="576">
        <f>IF(Inputs!$B$30=VLOOKUP(Inputs!$B$4,'Default Data'!$A$1:$AJ$12,6,FALSE),VLOOKUP($B$38,'Forecast Fuel Cost Calculations'!$A$1:$N$12,4,FALSE),IF($B$38="Battery Electric",$B$40*$B$43,($B$40/Inputs!B25)*Inputs!$B$30))</f>
        <v>8232.2081933653881</v>
      </c>
      <c r="H41" s="577">
        <f t="shared" si="2"/>
        <v>102951.46316665459</v>
      </c>
      <c r="I41" s="578">
        <f t="shared" ref="I41:I50" si="12">I40+$I$39</f>
        <v>90000</v>
      </c>
      <c r="J41" s="547">
        <v>0</v>
      </c>
      <c r="K41" s="547">
        <f t="shared" si="3"/>
        <v>0</v>
      </c>
      <c r="L41" s="547">
        <f t="shared" si="4"/>
        <v>0</v>
      </c>
      <c r="M41" s="547">
        <v>0</v>
      </c>
      <c r="N41" s="579">
        <f t="shared" si="5"/>
        <v>0</v>
      </c>
      <c r="O41" s="547">
        <v>0</v>
      </c>
      <c r="P41" s="547">
        <f t="shared" ref="P41:P50" si="13">(P40*(1+$B$54))</f>
        <v>32.842173289206194</v>
      </c>
      <c r="Q41" s="547">
        <v>0</v>
      </c>
      <c r="R41" s="580">
        <f t="shared" si="0"/>
        <v>102951.46316665459</v>
      </c>
      <c r="S41" s="579">
        <f t="shared" ref="S41:S49" si="14">S40+R41</f>
        <v>1138035.0977209187</v>
      </c>
      <c r="T41" s="547">
        <f t="shared" si="6"/>
        <v>4287.7443926127607</v>
      </c>
      <c r="U41" s="581">
        <f>U40+T41+R41</f>
        <v>1150599.2041994922</v>
      </c>
      <c r="V41" s="582">
        <f t="shared" si="7"/>
        <v>40.312342299424046</v>
      </c>
      <c r="W41" s="583">
        <f t="shared" si="8"/>
        <v>0</v>
      </c>
      <c r="X41" s="583">
        <f t="shared" si="9"/>
        <v>4.97656220637959E-3</v>
      </c>
      <c r="Y41" s="582">
        <f t="shared" ref="Y41:Y50" si="15">Y40+V41</f>
        <v>120.93702689827214</v>
      </c>
      <c r="Z41" s="583">
        <f t="shared" ref="Z41:Z50" si="16">Z40+W41</f>
        <v>0</v>
      </c>
      <c r="AA41" s="584">
        <f t="shared" ref="AA41:AA50" si="17">AA40+X41</f>
        <v>1.4929686619138769E-2</v>
      </c>
      <c r="AB41" s="585">
        <f>IF(Inputs!$B$4="Battery Electric",'CFP Credit Estimator'!J24,(IF(Inputs!$B$4="CNG",'CFP Credit Estimator'!J160,0)))</f>
        <v>57.774941158847277</v>
      </c>
      <c r="AC41" s="586">
        <f>Inputs!$B$33</f>
        <v>111</v>
      </c>
      <c r="AD41" s="587">
        <f t="shared" si="11"/>
        <v>6413.0184686320481</v>
      </c>
    </row>
    <row r="42" spans="1:30" s="557" customFormat="1" ht="18.75" customHeight="1" x14ac:dyDescent="0.35">
      <c r="A42" s="572" t="s">
        <v>52</v>
      </c>
      <c r="B42" s="589">
        <f>B41*Inputs!B10</f>
        <v>62400</v>
      </c>
      <c r="C42" s="554"/>
      <c r="D42" s="574" t="s">
        <v>13</v>
      </c>
      <c r="E42" s="580">
        <f t="shared" ref="E42:E50" si="18">E41*(1+$B$54)</f>
        <v>67001.489817599999</v>
      </c>
      <c r="F42" s="547">
        <f t="shared" ref="F42:F50" si="19">F41*(1+$B$54)</f>
        <v>29991.027275048149</v>
      </c>
      <c r="G42" s="576">
        <f>IF(Inputs!$B$30=VLOOKUP(Inputs!$B$4,'Default Data'!$A$1:$AJ$12,6,FALSE),VLOOKUP($B$38,'Forecast Fuel Cost Calculations'!$A$1:$N$12,5,FALSE),IF($B$38="Battery Electric",$B$40*$B$43,($B$40/Inputs!B26)*Inputs!$B$30))</f>
        <v>8971.9696519289246</v>
      </c>
      <c r="H42" s="577">
        <f t="shared" si="2"/>
        <v>105964.48674457708</v>
      </c>
      <c r="I42" s="578">
        <f t="shared" si="12"/>
        <v>120000</v>
      </c>
      <c r="J42" s="547">
        <v>0</v>
      </c>
      <c r="K42" s="547">
        <f t="shared" si="3"/>
        <v>0</v>
      </c>
      <c r="L42" s="547">
        <f t="shared" si="4"/>
        <v>0</v>
      </c>
      <c r="M42" s="547">
        <v>0</v>
      </c>
      <c r="N42" s="579">
        <f t="shared" si="5"/>
        <v>0</v>
      </c>
      <c r="O42" s="547">
        <v>0</v>
      </c>
      <c r="P42" s="547">
        <f t="shared" si="13"/>
        <v>33.630385448147145</v>
      </c>
      <c r="Q42" s="547">
        <v>0</v>
      </c>
      <c r="R42" s="580">
        <f t="shared" si="0"/>
        <v>105964.48674457708</v>
      </c>
      <c r="S42" s="579">
        <f t="shared" si="14"/>
        <v>1243999.5844654958</v>
      </c>
      <c r="T42" s="547">
        <f t="shared" si="6"/>
        <v>4390.6502580354672</v>
      </c>
      <c r="U42" s="581">
        <f t="shared" ref="U42:U49" si="20">U41+T42+R42</f>
        <v>1260954.3412021047</v>
      </c>
      <c r="V42" s="582">
        <f t="shared" si="7"/>
        <v>40.312342299424046</v>
      </c>
      <c r="W42" s="583">
        <f t="shared" si="8"/>
        <v>0</v>
      </c>
      <c r="X42" s="583">
        <f t="shared" si="9"/>
        <v>4.97656220637959E-3</v>
      </c>
      <c r="Y42" s="582">
        <f t="shared" si="15"/>
        <v>161.24936919769618</v>
      </c>
      <c r="Z42" s="583">
        <f t="shared" si="16"/>
        <v>0</v>
      </c>
      <c r="AA42" s="584">
        <f t="shared" si="17"/>
        <v>1.990624882551836E-2</v>
      </c>
      <c r="AB42" s="585">
        <f>IF(Inputs!$B$4="Battery Electric",'CFP Credit Estimator'!J25,(IF(Inputs!$B$4="CNG",'CFP Credit Estimator'!J161,0)))</f>
        <v>56.227031158847282</v>
      </c>
      <c r="AC42" s="586">
        <f>Inputs!$B$33</f>
        <v>111</v>
      </c>
      <c r="AD42" s="587">
        <f t="shared" si="11"/>
        <v>6241.2004586320481</v>
      </c>
    </row>
    <row r="43" spans="1:30" s="557" customFormat="1" ht="19.5" customHeight="1" x14ac:dyDescent="0.35">
      <c r="A43" s="572" t="s">
        <v>685</v>
      </c>
      <c r="B43" s="590">
        <f>Inputs!B30</f>
        <v>0.45961730000000001</v>
      </c>
      <c r="C43" s="554"/>
      <c r="D43" s="574" t="s">
        <v>14</v>
      </c>
      <c r="E43" s="580">
        <f t="shared" si="18"/>
        <v>68609.525573222403</v>
      </c>
      <c r="F43" s="547">
        <f t="shared" si="19"/>
        <v>30710.811929649306</v>
      </c>
      <c r="G43" s="576">
        <f>IF(Inputs!$B$30=VLOOKUP(Inputs!$B$4,'Default Data'!$A$1:$AJ$12,6,FALSE),VLOOKUP($B$38,'Forecast Fuel Cost Calculations'!$A$1:$N$12,6,FALSE),IF($B$38="Battery Electric",$B$40*$B$43,($B$40/Inputs!B27)*Inputs!$B$30))</f>
        <v>9688.4844607969972</v>
      </c>
      <c r="H43" s="577">
        <f t="shared" si="2"/>
        <v>109008.82196366871</v>
      </c>
      <c r="I43" s="578">
        <f t="shared" si="12"/>
        <v>150000</v>
      </c>
      <c r="J43" s="547">
        <v>0</v>
      </c>
      <c r="K43" s="547">
        <f t="shared" si="3"/>
        <v>0</v>
      </c>
      <c r="L43" s="547">
        <f t="shared" si="4"/>
        <v>0</v>
      </c>
      <c r="M43" s="547">
        <v>0</v>
      </c>
      <c r="N43" s="579">
        <f t="shared" si="5"/>
        <v>0</v>
      </c>
      <c r="O43" s="547">
        <v>0</v>
      </c>
      <c r="P43" s="547">
        <f t="shared" si="13"/>
        <v>34.437514698902675</v>
      </c>
      <c r="Q43" s="547">
        <v>0</v>
      </c>
      <c r="R43" s="580">
        <f t="shared" si="0"/>
        <v>109008.82196366871</v>
      </c>
      <c r="S43" s="579">
        <f t="shared" si="14"/>
        <v>1353008.4064291646</v>
      </c>
      <c r="T43" s="547">
        <f t="shared" si="6"/>
        <v>4496.0258642283188</v>
      </c>
      <c r="U43" s="581">
        <f t="shared" si="20"/>
        <v>1374459.1890300019</v>
      </c>
      <c r="V43" s="582">
        <f t="shared" si="7"/>
        <v>40.312342299424046</v>
      </c>
      <c r="W43" s="583">
        <f t="shared" si="8"/>
        <v>0</v>
      </c>
      <c r="X43" s="583">
        <f t="shared" si="9"/>
        <v>4.97656220637959E-3</v>
      </c>
      <c r="Y43" s="582">
        <f t="shared" si="15"/>
        <v>201.56171149712023</v>
      </c>
      <c r="Z43" s="583">
        <f t="shared" si="16"/>
        <v>0</v>
      </c>
      <c r="AA43" s="584">
        <f t="shared" si="17"/>
        <v>2.4882811031897951E-2</v>
      </c>
      <c r="AB43" s="585">
        <f>IF(Inputs!$B$4="Battery Electric",'CFP Credit Estimator'!J26,(IF(Inputs!$B$4="CNG",'CFP Credit Estimator'!J162,0)))</f>
        <v>54.679121158847273</v>
      </c>
      <c r="AC43" s="586">
        <f>Inputs!$B$33</f>
        <v>111</v>
      </c>
      <c r="AD43" s="587">
        <f t="shared" si="11"/>
        <v>6069.3824486320473</v>
      </c>
    </row>
    <row r="44" spans="1:30" s="557" customFormat="1" ht="17.25" customHeight="1" x14ac:dyDescent="0.35">
      <c r="A44" s="572" t="s">
        <v>686</v>
      </c>
      <c r="B44" s="589">
        <f>G39</f>
        <v>7087.9683513679529</v>
      </c>
      <c r="C44" s="554"/>
      <c r="D44" s="574" t="s">
        <v>15</v>
      </c>
      <c r="E44" s="580">
        <f t="shared" si="18"/>
        <v>70256.154186979737</v>
      </c>
      <c r="F44" s="547">
        <f t="shared" si="19"/>
        <v>31447.87141596089</v>
      </c>
      <c r="G44" s="576">
        <f>IF(Inputs!$B$30=VLOOKUP(Inputs!$B$4,'Default Data'!$A$1:$AJ$12,6,FALSE),VLOOKUP($B$38,'Forecast Fuel Cost Calculations'!$A$1:$N$12,7,FALSE),IF($B$38="Battery Electric",$B$40*$B$43,($B$40/Inputs!B28)*Inputs!$B$30))</f>
        <v>10588.045783149388</v>
      </c>
      <c r="H44" s="577">
        <f t="shared" si="2"/>
        <v>112292.07138609001</v>
      </c>
      <c r="I44" s="578">
        <f t="shared" si="12"/>
        <v>180000</v>
      </c>
      <c r="J44" s="547">
        <v>0</v>
      </c>
      <c r="K44" s="547">
        <f t="shared" si="3"/>
        <v>0</v>
      </c>
      <c r="L44" s="547">
        <f t="shared" si="4"/>
        <v>0</v>
      </c>
      <c r="M44" s="547">
        <f>B51*B39</f>
        <v>0</v>
      </c>
      <c r="N44" s="579">
        <f t="shared" si="5"/>
        <v>0</v>
      </c>
      <c r="O44" s="547">
        <v>0</v>
      </c>
      <c r="P44" s="547">
        <f t="shared" si="13"/>
        <v>35.264015051676338</v>
      </c>
      <c r="Q44" s="547">
        <v>0</v>
      </c>
      <c r="R44" s="580">
        <f t="shared" si="0"/>
        <v>112292.07138609001</v>
      </c>
      <c r="S44" s="579">
        <f t="shared" si="14"/>
        <v>1465300.4778152546</v>
      </c>
      <c r="T44" s="547">
        <f t="shared" si="6"/>
        <v>4603.9304849697983</v>
      </c>
      <c r="U44" s="581">
        <f t="shared" si="20"/>
        <v>1491355.1909010618</v>
      </c>
      <c r="V44" s="582">
        <f t="shared" si="7"/>
        <v>40.312342299424046</v>
      </c>
      <c r="W44" s="583">
        <f t="shared" si="8"/>
        <v>0</v>
      </c>
      <c r="X44" s="583">
        <f t="shared" si="9"/>
        <v>4.97656220637959E-3</v>
      </c>
      <c r="Y44" s="582">
        <f t="shared" si="15"/>
        <v>241.87405379654427</v>
      </c>
      <c r="Z44" s="583">
        <f t="shared" si="16"/>
        <v>0</v>
      </c>
      <c r="AA44" s="584">
        <f t="shared" si="17"/>
        <v>2.9859373238277542E-2</v>
      </c>
      <c r="AB44" s="585">
        <f>IF(Inputs!$B$4="Battery Electric",'CFP Credit Estimator'!J27,(IF(Inputs!$B$4="CNG",'CFP Credit Estimator'!J163,0)))</f>
        <v>52.615241158847276</v>
      </c>
      <c r="AC44" s="586">
        <f>Inputs!$B$33</f>
        <v>111</v>
      </c>
      <c r="AD44" s="587">
        <f t="shared" si="11"/>
        <v>5840.2917686320479</v>
      </c>
    </row>
    <row r="45" spans="1:30" s="557" customFormat="1" ht="18" customHeight="1" x14ac:dyDescent="0.35">
      <c r="A45" s="572" t="s">
        <v>30</v>
      </c>
      <c r="B45" s="591">
        <f>Inputs!B22</f>
        <v>0.93</v>
      </c>
      <c r="C45" s="554"/>
      <c r="D45" s="574" t="s">
        <v>16</v>
      </c>
      <c r="E45" s="580">
        <f t="shared" si="18"/>
        <v>71942.301887467256</v>
      </c>
      <c r="F45" s="547">
        <f t="shared" si="19"/>
        <v>32202.620329943951</v>
      </c>
      <c r="G45" s="576">
        <f>IF(Inputs!$B$30=VLOOKUP(Inputs!$B$4,'Default Data'!$A$1:$AJ$12,6,FALSE),VLOOKUP($B$38,'Forecast Fuel Cost Calculations'!$A$1:$N$12,8,FALSE),IF($B$38="Battery Electric",$B$40*$B$43,($B$40/Inputs!B29)*Inputs!$B$30))</f>
        <v>11234.931751877106</v>
      </c>
      <c r="H45" s="577">
        <f t="shared" si="2"/>
        <v>115379.85396928832</v>
      </c>
      <c r="I45" s="578">
        <f t="shared" si="12"/>
        <v>210000</v>
      </c>
      <c r="J45" s="547">
        <v>0</v>
      </c>
      <c r="K45" s="547">
        <f t="shared" si="3"/>
        <v>0</v>
      </c>
      <c r="L45" s="547">
        <f t="shared" si="4"/>
        <v>0</v>
      </c>
      <c r="M45" s="547">
        <v>0</v>
      </c>
      <c r="N45" s="579">
        <f t="shared" si="5"/>
        <v>0</v>
      </c>
      <c r="O45" s="547">
        <v>0</v>
      </c>
      <c r="P45" s="547">
        <f t="shared" si="13"/>
        <v>36.110351412916572</v>
      </c>
      <c r="Q45" s="547">
        <v>0</v>
      </c>
      <c r="R45" s="580">
        <f t="shared" si="0"/>
        <v>115379.85396928832</v>
      </c>
      <c r="S45" s="579">
        <f t="shared" si="14"/>
        <v>1580680.3317845429</v>
      </c>
      <c r="T45" s="547">
        <f t="shared" si="6"/>
        <v>4714.4248166090738</v>
      </c>
      <c r="U45" s="581">
        <f t="shared" si="20"/>
        <v>1611449.4696869592</v>
      </c>
      <c r="V45" s="582">
        <f t="shared" si="7"/>
        <v>40.312342299424046</v>
      </c>
      <c r="W45" s="583">
        <f t="shared" si="8"/>
        <v>0</v>
      </c>
      <c r="X45" s="583">
        <f t="shared" si="9"/>
        <v>4.97656220637959E-3</v>
      </c>
      <c r="Y45" s="582">
        <f t="shared" si="15"/>
        <v>282.18639609596835</v>
      </c>
      <c r="Z45" s="583">
        <f t="shared" si="16"/>
        <v>0</v>
      </c>
      <c r="AA45" s="584">
        <f t="shared" si="17"/>
        <v>3.4835935444657129E-2</v>
      </c>
      <c r="AB45" s="585">
        <f>IF(Inputs!$B$4="Battery Electric",'CFP Credit Estimator'!J28,(IF(Inputs!$B$4="CNG",'CFP Credit Estimator'!J164,0)))</f>
        <v>52.615241158847276</v>
      </c>
      <c r="AC45" s="586">
        <f>Inputs!$B$33</f>
        <v>111</v>
      </c>
      <c r="AD45" s="587">
        <f t="shared" si="11"/>
        <v>5840.2917686320479</v>
      </c>
    </row>
    <row r="46" spans="1:30" s="557" customFormat="1" ht="24.75" customHeight="1" x14ac:dyDescent="0.35">
      <c r="A46" s="572" t="s">
        <v>33</v>
      </c>
      <c r="B46" s="589">
        <f>B45*B40</f>
        <v>27900</v>
      </c>
      <c r="C46" s="554"/>
      <c r="D46" s="574" t="s">
        <v>17</v>
      </c>
      <c r="E46" s="580">
        <f t="shared" si="18"/>
        <v>73668.917132766466</v>
      </c>
      <c r="F46" s="547">
        <f t="shared" si="19"/>
        <v>32975.483217862609</v>
      </c>
      <c r="G46" s="576">
        <f>IF(Inputs!$B$30=VLOOKUP(Inputs!$B$4,'Default Data'!$A$1:$AJ$12,6,FALSE),VLOOKUP($B$38,'Forecast Fuel Cost Calculations'!$A$1:$N$12,9,FALSE),IF($B$38="Battery Electric",$B$40*$B$43,($B$40/Inputs!B30)*Inputs!$B$30))</f>
        <v>11755.42262084072</v>
      </c>
      <c r="H46" s="577">
        <f t="shared" si="2"/>
        <v>118399.8229714698</v>
      </c>
      <c r="I46" s="578">
        <f t="shared" si="12"/>
        <v>240000</v>
      </c>
      <c r="J46" s="547">
        <v>0</v>
      </c>
      <c r="K46" s="547">
        <f t="shared" si="3"/>
        <v>0</v>
      </c>
      <c r="L46" s="547">
        <f t="shared" si="4"/>
        <v>0</v>
      </c>
      <c r="M46" s="547">
        <v>0</v>
      </c>
      <c r="N46" s="579">
        <f t="shared" si="5"/>
        <v>0</v>
      </c>
      <c r="O46" s="547">
        <v>0</v>
      </c>
      <c r="P46" s="547">
        <f t="shared" si="13"/>
        <v>36.976999846826573</v>
      </c>
      <c r="Q46" s="547">
        <v>0</v>
      </c>
      <c r="R46" s="580">
        <f t="shared" si="0"/>
        <v>118399.8229714698</v>
      </c>
      <c r="S46" s="579">
        <f t="shared" si="14"/>
        <v>1699080.1547560126</v>
      </c>
      <c r="T46" s="547">
        <f t="shared" si="6"/>
        <v>4827.5710122076916</v>
      </c>
      <c r="U46" s="581">
        <f t="shared" si="20"/>
        <v>1734676.8636706367</v>
      </c>
      <c r="V46" s="582">
        <f t="shared" si="7"/>
        <v>40.312342299424046</v>
      </c>
      <c r="W46" s="583">
        <f t="shared" si="8"/>
        <v>0</v>
      </c>
      <c r="X46" s="583">
        <f t="shared" si="9"/>
        <v>4.97656220637959E-3</v>
      </c>
      <c r="Y46" s="582">
        <f t="shared" si="15"/>
        <v>322.49873839539237</v>
      </c>
      <c r="Z46" s="583">
        <f t="shared" si="16"/>
        <v>0</v>
      </c>
      <c r="AA46" s="584">
        <f t="shared" si="17"/>
        <v>3.981249765103672E-2</v>
      </c>
      <c r="AB46" s="585">
        <f>IF(Inputs!$B$4="Battery Electric",'CFP Credit Estimator'!J29,(IF(Inputs!$B$4="CNG",'CFP Credit Estimator'!J165,0)))</f>
        <v>52.615241158847276</v>
      </c>
      <c r="AC46" s="586">
        <f>Inputs!$B$33</f>
        <v>111</v>
      </c>
      <c r="AD46" s="587">
        <f t="shared" si="11"/>
        <v>5840.2917686320479</v>
      </c>
    </row>
    <row r="47" spans="1:30" s="557" customFormat="1" ht="18" customHeight="1" x14ac:dyDescent="0.35">
      <c r="A47" s="572" t="s">
        <v>296</v>
      </c>
      <c r="B47" s="589">
        <f>Inputs!B24*Inputs!B18*'35-40 foot transit bus'!E5</f>
        <v>0</v>
      </c>
      <c r="C47" s="554"/>
      <c r="D47" s="574" t="s">
        <v>18</v>
      </c>
      <c r="E47" s="580">
        <f t="shared" si="18"/>
        <v>75436.971143952862</v>
      </c>
      <c r="F47" s="547">
        <f t="shared" si="19"/>
        <v>33766.894815091313</v>
      </c>
      <c r="G47" s="576">
        <f>IF(Inputs!$B$30=VLOOKUP(Inputs!$B$4,'Default Data'!$A$1:$AJ$12,6,FALSE),VLOOKUP($B$38,'Forecast Fuel Cost Calculations'!$A$1:$N$12,10,FALSE),IF($B$38="Battery Electric",$B$40*$B$43,($B$40/Inputs!B31)*Inputs!$B$30))</f>
        <v>12145.615671710846</v>
      </c>
      <c r="H47" s="577">
        <f t="shared" si="2"/>
        <v>121349.48163075501</v>
      </c>
      <c r="I47" s="578">
        <f t="shared" si="12"/>
        <v>270000</v>
      </c>
      <c r="J47" s="547">
        <v>0</v>
      </c>
      <c r="K47" s="547">
        <f t="shared" si="3"/>
        <v>0</v>
      </c>
      <c r="L47" s="547">
        <f t="shared" si="4"/>
        <v>0</v>
      </c>
      <c r="M47" s="547">
        <v>0</v>
      </c>
      <c r="N47" s="579">
        <f t="shared" si="5"/>
        <v>0</v>
      </c>
      <c r="O47" s="547">
        <v>0</v>
      </c>
      <c r="P47" s="547">
        <f t="shared" si="13"/>
        <v>37.864447843150408</v>
      </c>
      <c r="Q47" s="547">
        <v>0</v>
      </c>
      <c r="R47" s="580">
        <f t="shared" si="0"/>
        <v>121349.48163075501</v>
      </c>
      <c r="S47" s="579">
        <f t="shared" si="14"/>
        <v>1820429.6363867675</v>
      </c>
      <c r="T47" s="547">
        <f t="shared" si="6"/>
        <v>4943.4327165006762</v>
      </c>
      <c r="U47" s="581">
        <f t="shared" si="20"/>
        <v>1860969.7780178925</v>
      </c>
      <c r="V47" s="582">
        <f t="shared" si="7"/>
        <v>40.312342299424046</v>
      </c>
      <c r="W47" s="583">
        <f t="shared" si="8"/>
        <v>0</v>
      </c>
      <c r="X47" s="583">
        <f t="shared" si="9"/>
        <v>4.97656220637959E-3</v>
      </c>
      <c r="Y47" s="582">
        <f t="shared" si="15"/>
        <v>362.81108069481638</v>
      </c>
      <c r="Z47" s="583">
        <f t="shared" si="16"/>
        <v>0</v>
      </c>
      <c r="AA47" s="584">
        <f t="shared" si="17"/>
        <v>4.4789059857416311E-2</v>
      </c>
      <c r="AB47" s="585">
        <f>IF(Inputs!$B$4="Battery Electric",'CFP Credit Estimator'!J30,(IF(Inputs!$B$4="CNG",'CFP Credit Estimator'!J166,0)))</f>
        <v>52.615241158847276</v>
      </c>
      <c r="AC47" s="586">
        <f>Inputs!$B$33</f>
        <v>111</v>
      </c>
      <c r="AD47" s="587">
        <f t="shared" si="11"/>
        <v>5840.2917686320479</v>
      </c>
    </row>
    <row r="48" spans="1:30" s="557" customFormat="1" ht="19.5" customHeight="1" x14ac:dyDescent="0.35">
      <c r="A48" s="572" t="s">
        <v>56</v>
      </c>
      <c r="B48" s="588">
        <f>Inputs!B27</f>
        <v>250000</v>
      </c>
      <c r="C48" s="554"/>
      <c r="D48" s="574" t="s">
        <v>19</v>
      </c>
      <c r="E48" s="580">
        <f t="shared" si="18"/>
        <v>77247.458451407729</v>
      </c>
      <c r="F48" s="547">
        <f t="shared" si="19"/>
        <v>34577.300290653504</v>
      </c>
      <c r="G48" s="576">
        <f>IF(Inputs!$B$30=VLOOKUP(Inputs!$B$4,'Default Data'!$A$1:$AJ$12,6,FALSE),VLOOKUP($B$38,'Forecast Fuel Cost Calculations'!$A$1:$N$12,11,FALSE),IF($B$38="Battery Electric",$B$40*$B$43,($B$40/Inputs!B32)*Inputs!$B$30))</f>
        <v>12503.650653167202</v>
      </c>
      <c r="H48" s="577">
        <f t="shared" si="2"/>
        <v>124328.40939522845</v>
      </c>
      <c r="I48" s="578">
        <f t="shared" si="12"/>
        <v>300000</v>
      </c>
      <c r="J48" s="547">
        <v>0</v>
      </c>
      <c r="K48" s="547">
        <f t="shared" si="3"/>
        <v>0</v>
      </c>
      <c r="L48" s="547">
        <f t="shared" si="4"/>
        <v>0</v>
      </c>
      <c r="M48" s="547">
        <v>0</v>
      </c>
      <c r="N48" s="579">
        <f t="shared" si="5"/>
        <v>0</v>
      </c>
      <c r="O48" s="547">
        <v>0</v>
      </c>
      <c r="P48" s="547">
        <f t="shared" si="13"/>
        <v>38.773194591386016</v>
      </c>
      <c r="Q48" s="547">
        <v>0</v>
      </c>
      <c r="R48" s="580">
        <f t="shared" si="0"/>
        <v>124328.40939522845</v>
      </c>
      <c r="S48" s="579">
        <f t="shared" si="14"/>
        <v>1944758.0457819959</v>
      </c>
      <c r="T48" s="547">
        <f t="shared" si="6"/>
        <v>5062.0751016966924</v>
      </c>
      <c r="U48" s="581">
        <f t="shared" si="20"/>
        <v>1990360.2625148175</v>
      </c>
      <c r="V48" s="582">
        <f t="shared" si="7"/>
        <v>40.312342299424046</v>
      </c>
      <c r="W48" s="583">
        <f t="shared" si="8"/>
        <v>0</v>
      </c>
      <c r="X48" s="583">
        <f t="shared" si="9"/>
        <v>4.97656220637959E-3</v>
      </c>
      <c r="Y48" s="582">
        <f t="shared" si="15"/>
        <v>403.1234229942404</v>
      </c>
      <c r="Z48" s="583">
        <f t="shared" si="16"/>
        <v>0</v>
      </c>
      <c r="AA48" s="584">
        <f t="shared" si="17"/>
        <v>4.9765622063795902E-2</v>
      </c>
      <c r="AB48" s="585">
        <f>IF(Inputs!$B$4="Battery Electric",'CFP Credit Estimator'!J31,(IF(Inputs!$B$4="CNG",'CFP Credit Estimator'!J167,0)))</f>
        <v>52.615241158847276</v>
      </c>
      <c r="AC48" s="586">
        <f>Inputs!$B$33</f>
        <v>111</v>
      </c>
      <c r="AD48" s="587">
        <f t="shared" si="11"/>
        <v>5840.2917686320479</v>
      </c>
    </row>
    <row r="49" spans="1:30" s="557" customFormat="1" ht="15.75" customHeight="1" x14ac:dyDescent="0.35">
      <c r="A49" s="572" t="s">
        <v>40</v>
      </c>
      <c r="B49" s="589">
        <f>Inputs!B25</f>
        <v>0</v>
      </c>
      <c r="C49" s="554"/>
      <c r="D49" s="574" t="s">
        <v>20</v>
      </c>
      <c r="E49" s="580">
        <f t="shared" si="18"/>
        <v>79101.397454241509</v>
      </c>
      <c r="F49" s="547">
        <f t="shared" si="19"/>
        <v>35407.155497629188</v>
      </c>
      <c r="G49" s="576">
        <f>IF(Inputs!$B$30=VLOOKUP(Inputs!$B$4,'Default Data'!$A$1:$AJ$12,6,FALSE),VLOOKUP($B$38,'Forecast Fuel Cost Calculations'!$A$1:$N$12,12,FALSE),IF($B$38="Battery Electric",$B$40*$B$43,($B$40/Inputs!B33)*Inputs!$B$30))</f>
        <v>12848.9505604029</v>
      </c>
      <c r="H49" s="577">
        <f t="shared" si="2"/>
        <v>127357.50351227359</v>
      </c>
      <c r="I49" s="578">
        <f t="shared" si="12"/>
        <v>330000</v>
      </c>
      <c r="J49" s="547">
        <v>0</v>
      </c>
      <c r="K49" s="547">
        <f t="shared" si="3"/>
        <v>0</v>
      </c>
      <c r="L49" s="547">
        <f t="shared" si="4"/>
        <v>0</v>
      </c>
      <c r="M49" s="547">
        <v>0</v>
      </c>
      <c r="N49" s="579">
        <f t="shared" si="5"/>
        <v>0</v>
      </c>
      <c r="O49" s="547">
        <v>0</v>
      </c>
      <c r="P49" s="547">
        <f t="shared" si="13"/>
        <v>39.703751261579278</v>
      </c>
      <c r="Q49" s="547">
        <v>0</v>
      </c>
      <c r="R49" s="580">
        <f t="shared" si="0"/>
        <v>127357.50351227359</v>
      </c>
      <c r="S49" s="579">
        <f t="shared" si="14"/>
        <v>2072115.5492942694</v>
      </c>
      <c r="T49" s="547">
        <f t="shared" si="6"/>
        <v>5183.5649041374136</v>
      </c>
      <c r="U49" s="581">
        <f t="shared" si="20"/>
        <v>2122901.3309312286</v>
      </c>
      <c r="V49" s="582">
        <f t="shared" si="7"/>
        <v>40.312342299424046</v>
      </c>
      <c r="W49" s="583">
        <f t="shared" si="8"/>
        <v>0</v>
      </c>
      <c r="X49" s="583">
        <f t="shared" si="9"/>
        <v>4.97656220637959E-3</v>
      </c>
      <c r="Y49" s="582">
        <f t="shared" si="15"/>
        <v>443.43576529366442</v>
      </c>
      <c r="Z49" s="583">
        <f t="shared" si="16"/>
        <v>0</v>
      </c>
      <c r="AA49" s="584">
        <f t="shared" si="17"/>
        <v>5.4742184270175492E-2</v>
      </c>
      <c r="AB49" s="585">
        <f>IF(Inputs!$B$4="Battery Electric",'CFP Credit Estimator'!J32,(IF(Inputs!$B$4="CNG",'CFP Credit Estimator'!J168,0)))</f>
        <v>52.615241158847276</v>
      </c>
      <c r="AC49" s="586">
        <f>Inputs!$B$33</f>
        <v>111</v>
      </c>
      <c r="AD49" s="587">
        <f t="shared" si="11"/>
        <v>5840.2917686320479</v>
      </c>
    </row>
    <row r="50" spans="1:30" s="557" customFormat="1" ht="19.5" customHeight="1" x14ac:dyDescent="0.35">
      <c r="A50" s="572" t="s">
        <v>41</v>
      </c>
      <c r="B50" s="589">
        <f>Inputs!B26</f>
        <v>0</v>
      </c>
      <c r="C50" s="554"/>
      <c r="D50" s="592" t="s">
        <v>21</v>
      </c>
      <c r="E50" s="593">
        <f t="shared" si="18"/>
        <v>80999.830993143303</v>
      </c>
      <c r="F50" s="594">
        <f t="shared" si="19"/>
        <v>36256.927229572291</v>
      </c>
      <c r="G50" s="697">
        <f>IF(Inputs!$B$30=VLOOKUP(Inputs!$B$4,'Default Data'!$A$1:$AJ$12,6,FALSE),VLOOKUP($B$38,'Forecast Fuel Cost Calculations'!A1:N13,13,FALSE),IF(B49="Battery Electric",B51*B54,(B51/Inputs!B35)*Inputs!B41))</f>
        <v>13234.985332701355</v>
      </c>
      <c r="H50" s="698">
        <f t="shared" si="2"/>
        <v>130491.74355541695</v>
      </c>
      <c r="I50" s="595">
        <f t="shared" si="12"/>
        <v>360000</v>
      </c>
      <c r="J50" s="594">
        <v>0</v>
      </c>
      <c r="K50" s="594">
        <f t="shared" si="3"/>
        <v>0</v>
      </c>
      <c r="L50" s="594">
        <f t="shared" si="4"/>
        <v>0</v>
      </c>
      <c r="M50" s="594">
        <v>0</v>
      </c>
      <c r="N50" s="548">
        <f t="shared" si="5"/>
        <v>0</v>
      </c>
      <c r="O50" s="594">
        <v>0</v>
      </c>
      <c r="P50" s="547">
        <f t="shared" si="13"/>
        <v>40.656641291857184</v>
      </c>
      <c r="Q50" s="548">
        <v>0</v>
      </c>
      <c r="R50" s="593">
        <f t="shared" si="0"/>
        <v>130491.74355541695</v>
      </c>
      <c r="S50" s="548">
        <f>S49+R50</f>
        <v>2202607.2928496865</v>
      </c>
      <c r="T50" s="594">
        <f t="shared" si="6"/>
        <v>5307.9704618367114</v>
      </c>
      <c r="U50" s="596">
        <f>U49+T50+R50</f>
        <v>2258701.044948482</v>
      </c>
      <c r="V50" s="597">
        <f t="shared" si="7"/>
        <v>40.312342299424046</v>
      </c>
      <c r="W50" s="598">
        <f t="shared" si="8"/>
        <v>0</v>
      </c>
      <c r="X50" s="598">
        <f t="shared" si="9"/>
        <v>4.97656220637959E-3</v>
      </c>
      <c r="Y50" s="597">
        <f t="shared" si="15"/>
        <v>483.74810759308843</v>
      </c>
      <c r="Z50" s="598">
        <f t="shared" si="16"/>
        <v>0</v>
      </c>
      <c r="AA50" s="599">
        <f t="shared" si="17"/>
        <v>5.9718746476555083E-2</v>
      </c>
      <c r="AB50" s="585">
        <f>IF(Inputs!$B$4="Battery Electric",'CFP Credit Estimator'!J33,(IF(Inputs!$B$4="CNG",'CFP Credit Estimator'!J169,0)))</f>
        <v>52.615241158847276</v>
      </c>
      <c r="AC50" s="586">
        <f>Inputs!$B$33</f>
        <v>111</v>
      </c>
      <c r="AD50" s="587">
        <f t="shared" si="11"/>
        <v>5840.2917686320479</v>
      </c>
    </row>
    <row r="51" spans="1:30" s="557" customFormat="1" ht="21" x14ac:dyDescent="0.35">
      <c r="A51" s="572" t="s">
        <v>58</v>
      </c>
      <c r="B51" s="600">
        <f>Inputs!B29</f>
        <v>0</v>
      </c>
      <c r="C51" s="554"/>
      <c r="D51" s="601"/>
      <c r="E51" s="549">
        <f>SUM(E39:E50)</f>
        <v>855992.78904078121</v>
      </c>
      <c r="F51" s="549">
        <f t="shared" ref="F51:J51" si="21">SUM(F39:F50)</f>
        <v>383157.197746714</v>
      </c>
      <c r="G51" s="549">
        <f t="shared" si="21"/>
        <v>125849.30606219135</v>
      </c>
      <c r="H51" s="549">
        <f>SUM(H39:H50)</f>
        <v>1364999.2928496867</v>
      </c>
      <c r="I51" s="602"/>
      <c r="J51" s="549">
        <f t="shared" si="21"/>
        <v>837608</v>
      </c>
      <c r="K51" s="549">
        <f t="shared" ref="K51" si="22">SUM(K39:K50)</f>
        <v>0</v>
      </c>
      <c r="L51" s="549">
        <f t="shared" ref="L51" si="23">SUM(L39:L50)</f>
        <v>0</v>
      </c>
      <c r="M51" s="549">
        <f t="shared" ref="M51:P51" si="24">SUM(M39:M50)</f>
        <v>0</v>
      </c>
      <c r="N51" s="549">
        <f>SUM(N39:N50)</f>
        <v>837608</v>
      </c>
      <c r="O51" s="549">
        <f t="shared" si="24"/>
        <v>105000</v>
      </c>
      <c r="P51" s="549">
        <f t="shared" si="24"/>
        <v>429.65264674926806</v>
      </c>
      <c r="Q51" s="549">
        <f>SUM(Q39:Q50)</f>
        <v>105000</v>
      </c>
      <c r="R51" s="603"/>
      <c r="S51" s="603"/>
      <c r="T51" s="603">
        <f>SUM(T39:T50)</f>
        <v>56093.752098795201</v>
      </c>
      <c r="U51" s="604"/>
      <c r="V51" s="605">
        <f>SUM(V39:V50)</f>
        <v>483.74810759308843</v>
      </c>
      <c r="W51" s="605">
        <f t="shared" ref="W51:X51" si="25">SUM(W39:W50)</f>
        <v>0</v>
      </c>
      <c r="X51" s="605">
        <f t="shared" si="25"/>
        <v>5.9718746476555083E-2</v>
      </c>
      <c r="AB51" s="585">
        <f>SUM(AB39:AB50)</f>
        <v>656.68648390616727</v>
      </c>
      <c r="AD51" s="587">
        <f>SUM(AD39:AD50)</f>
        <v>72892.199713584574</v>
      </c>
    </row>
    <row r="52" spans="1:30" s="557" customFormat="1" ht="21" x14ac:dyDescent="0.35">
      <c r="A52" s="572" t="s">
        <v>456</v>
      </c>
      <c r="B52" s="600">
        <f>' Summary'!P39</f>
        <v>31.320737160879318</v>
      </c>
      <c r="C52" s="554"/>
      <c r="D52" s="601"/>
      <c r="E52" s="549"/>
      <c r="F52" s="549"/>
      <c r="G52" s="549"/>
      <c r="H52" s="549"/>
      <c r="I52" s="602"/>
      <c r="J52" s="549"/>
      <c r="K52" s="549"/>
      <c r="L52" s="549"/>
      <c r="M52" s="549"/>
      <c r="N52" s="549"/>
      <c r="O52" s="549"/>
      <c r="P52" s="549"/>
      <c r="Q52" s="549"/>
      <c r="R52" s="603"/>
      <c r="S52" s="603"/>
      <c r="T52" s="603"/>
      <c r="U52" s="604"/>
      <c r="V52" s="605"/>
      <c r="W52" s="605"/>
      <c r="X52" s="605"/>
    </row>
    <row r="53" spans="1:30" s="557" customFormat="1" ht="21" x14ac:dyDescent="0.35">
      <c r="A53" s="572" t="s">
        <v>278</v>
      </c>
      <c r="B53" s="589"/>
      <c r="C53" s="554"/>
      <c r="D53" s="601"/>
      <c r="E53" s="601"/>
      <c r="F53" s="555"/>
      <c r="G53" s="555"/>
      <c r="H53" s="555"/>
      <c r="I53" s="606"/>
      <c r="J53" s="606"/>
      <c r="K53" s="607"/>
      <c r="L53" s="607"/>
      <c r="M53" s="607"/>
      <c r="N53" s="607"/>
      <c r="O53" s="607"/>
      <c r="P53" s="607"/>
      <c r="Q53" s="607"/>
      <c r="R53" s="603"/>
      <c r="S53" s="603"/>
      <c r="T53" s="603"/>
      <c r="U53" s="604"/>
      <c r="V53" s="604"/>
    </row>
    <row r="54" spans="1:30" s="557" customFormat="1" ht="21" x14ac:dyDescent="0.35">
      <c r="A54" s="608" t="s">
        <v>22</v>
      </c>
      <c r="B54" s="609">
        <f>Inputs!B12</f>
        <v>2.4E-2</v>
      </c>
      <c r="C54" s="554"/>
      <c r="D54" s="601"/>
      <c r="E54" s="601"/>
      <c r="F54" s="555"/>
      <c r="G54" s="555"/>
      <c r="H54" s="555"/>
      <c r="I54" s="606"/>
      <c r="J54" s="606"/>
      <c r="K54" s="607"/>
      <c r="L54" s="607"/>
      <c r="M54" s="607"/>
      <c r="N54" s="607"/>
      <c r="O54" s="607"/>
      <c r="P54" s="607"/>
      <c r="Q54" s="607"/>
      <c r="R54" s="603"/>
      <c r="S54" s="603"/>
      <c r="T54" s="603"/>
      <c r="U54" s="604"/>
      <c r="V54" s="604"/>
    </row>
    <row r="55" spans="1:30" s="557" customFormat="1" ht="21" x14ac:dyDescent="0.35">
      <c r="A55" s="559" t="s">
        <v>317</v>
      </c>
      <c r="B55" s="610">
        <f>B46+B47+B52</f>
        <v>27931.320737160881</v>
      </c>
      <c r="C55" s="554"/>
      <c r="D55" s="601"/>
      <c r="E55" s="601"/>
      <c r="F55" s="555"/>
      <c r="G55" s="555"/>
      <c r="H55" s="555"/>
      <c r="I55" s="606"/>
      <c r="J55" s="606"/>
      <c r="K55" s="607"/>
      <c r="L55" s="607"/>
      <c r="M55" s="607"/>
      <c r="N55" s="607"/>
      <c r="O55" s="607"/>
      <c r="P55" s="607"/>
      <c r="Q55" s="607"/>
      <c r="R55" s="603"/>
      <c r="S55" s="603"/>
      <c r="T55" s="603"/>
      <c r="U55" s="604"/>
      <c r="V55" s="604"/>
    </row>
    <row r="56" spans="1:30" s="557" customFormat="1" ht="21" x14ac:dyDescent="0.35">
      <c r="A56" s="611" t="s">
        <v>29</v>
      </c>
      <c r="B56" s="612">
        <f>SUM(G39:G50)</f>
        <v>125849.30606219135</v>
      </c>
      <c r="C56" s="554"/>
      <c r="D56" s="601"/>
      <c r="E56" s="601"/>
      <c r="F56" s="555"/>
      <c r="G56" s="555"/>
      <c r="H56" s="555"/>
      <c r="I56" s="606"/>
      <c r="J56" s="606"/>
      <c r="K56" s="607"/>
      <c r="L56" s="607"/>
      <c r="M56" s="607"/>
      <c r="N56" s="607"/>
      <c r="O56" s="607"/>
      <c r="P56" s="607"/>
      <c r="Q56" s="607"/>
      <c r="R56" s="603"/>
      <c r="S56" s="603"/>
      <c r="T56" s="603"/>
      <c r="U56" s="604"/>
      <c r="V56" s="604"/>
    </row>
    <row r="57" spans="1:30" s="557" customFormat="1" ht="21" x14ac:dyDescent="0.35">
      <c r="A57" s="559" t="s">
        <v>690</v>
      </c>
      <c r="B57" s="610"/>
      <c r="C57" s="554"/>
      <c r="D57" s="601"/>
      <c r="E57" s="601"/>
      <c r="F57" s="555"/>
      <c r="G57" s="555"/>
      <c r="H57" s="555"/>
      <c r="I57" s="606"/>
      <c r="J57" s="606"/>
      <c r="K57" s="607"/>
      <c r="L57" s="607"/>
      <c r="M57" s="607"/>
      <c r="N57" s="607"/>
      <c r="O57" s="607"/>
      <c r="P57" s="607"/>
      <c r="Q57" s="607"/>
      <c r="R57" s="603"/>
      <c r="S57" s="603"/>
      <c r="T57" s="603"/>
      <c r="U57" s="604"/>
      <c r="V57" s="604"/>
    </row>
    <row r="58" spans="1:30" s="557" customFormat="1" ht="21" x14ac:dyDescent="0.35">
      <c r="A58" s="572" t="s">
        <v>61</v>
      </c>
      <c r="B58" s="613">
        <f>VLOOKUP(B38,'Default Data'!A1:AJ12,21,FALSE)*B40</f>
        <v>40.312342299424046</v>
      </c>
      <c r="C58" s="554"/>
      <c r="D58" s="614"/>
      <c r="E58" s="614"/>
      <c r="F58" s="555"/>
      <c r="G58" s="555"/>
      <c r="H58" s="555"/>
      <c r="I58" s="606"/>
      <c r="J58" s="606"/>
      <c r="K58" s="607"/>
      <c r="L58" s="607"/>
      <c r="M58" s="607"/>
      <c r="N58" s="607"/>
      <c r="O58" s="607"/>
      <c r="P58" s="607"/>
      <c r="Q58" s="607"/>
      <c r="R58" s="603"/>
      <c r="S58" s="603"/>
      <c r="T58" s="603"/>
      <c r="U58" s="604"/>
      <c r="V58" s="604"/>
    </row>
    <row r="59" spans="1:30" s="557" customFormat="1" ht="21" x14ac:dyDescent="0.35">
      <c r="A59" s="572" t="s">
        <v>62</v>
      </c>
      <c r="B59" s="615">
        <f>VLOOKUP(B38,'Default Data'!A1:AJ12,23,FALSE)*$B$40</f>
        <v>0</v>
      </c>
      <c r="C59" s="554"/>
      <c r="D59" s="601"/>
      <c r="E59" s="601"/>
      <c r="F59" s="555"/>
      <c r="G59" s="555"/>
      <c r="H59" s="555"/>
      <c r="I59" s="606"/>
      <c r="J59" s="606"/>
      <c r="K59" s="607"/>
      <c r="L59" s="607"/>
      <c r="M59" s="607"/>
      <c r="N59" s="607"/>
      <c r="O59" s="607"/>
      <c r="P59" s="607"/>
      <c r="Q59" s="607"/>
      <c r="R59" s="603"/>
      <c r="S59" s="603"/>
      <c r="T59" s="603"/>
      <c r="U59" s="604"/>
      <c r="V59" s="604"/>
    </row>
    <row r="60" spans="1:30" s="557" customFormat="1" ht="21" x14ac:dyDescent="0.35">
      <c r="A60" s="616" t="s">
        <v>219</v>
      </c>
      <c r="B60" s="617">
        <f>VLOOKUP(B38,'Default Data'!A1:AJ12,25,FALSE)*B40</f>
        <v>4.97656220637959E-3</v>
      </c>
      <c r="C60" s="554"/>
      <c r="D60" s="618"/>
      <c r="E60" s="618"/>
      <c r="F60" s="607"/>
      <c r="G60" s="607"/>
      <c r="H60" s="607"/>
      <c r="I60" s="619"/>
      <c r="J60" s="619"/>
      <c r="K60" s="607"/>
      <c r="L60" s="607"/>
      <c r="M60" s="607"/>
      <c r="N60" s="607"/>
      <c r="O60" s="607"/>
      <c r="P60" s="607"/>
      <c r="Q60" s="607"/>
      <c r="R60" s="603"/>
      <c r="S60" s="603"/>
      <c r="T60" s="603"/>
      <c r="V60" s="620"/>
    </row>
    <row r="61" spans="1:30" s="557" customFormat="1" ht="21" x14ac:dyDescent="0.35">
      <c r="B61" s="553"/>
      <c r="C61" s="554"/>
      <c r="D61" s="554"/>
      <c r="E61" s="554"/>
      <c r="F61" s="555"/>
      <c r="G61" s="555"/>
      <c r="H61" s="555"/>
      <c r="I61" s="556"/>
      <c r="J61" s="556"/>
      <c r="K61" s="556"/>
      <c r="L61" s="556"/>
      <c r="M61" s="556"/>
      <c r="N61" s="556"/>
      <c r="O61" s="556"/>
      <c r="P61" s="556"/>
      <c r="Q61" s="556"/>
      <c r="R61" s="556"/>
      <c r="S61" s="556"/>
      <c r="T61" s="556"/>
    </row>
    <row r="62" spans="1:30" s="557" customFormat="1" ht="21" x14ac:dyDescent="0.35">
      <c r="A62" s="559" t="s">
        <v>671</v>
      </c>
      <c r="B62" s="610">
        <f>SUM(B63:B64)</f>
        <v>942608</v>
      </c>
      <c r="C62" s="554"/>
      <c r="D62" s="554"/>
      <c r="E62" s="554"/>
      <c r="F62" s="555"/>
      <c r="G62" s="555"/>
      <c r="H62" s="555"/>
      <c r="I62" s="556"/>
      <c r="J62" s="556"/>
      <c r="K62" s="556"/>
      <c r="L62" s="556"/>
      <c r="M62" s="556"/>
      <c r="N62" s="556"/>
      <c r="O62" s="556"/>
      <c r="P62" s="556"/>
      <c r="Q62" s="556"/>
      <c r="R62" s="556"/>
      <c r="S62" s="556"/>
      <c r="T62" s="556"/>
    </row>
    <row r="63" spans="1:30" s="557" customFormat="1" ht="21" x14ac:dyDescent="0.35">
      <c r="A63" s="621" t="s">
        <v>452</v>
      </c>
      <c r="B63" s="622">
        <f>(Inputs!B8*B39)</f>
        <v>837608</v>
      </c>
      <c r="C63" s="554"/>
      <c r="D63" s="554"/>
      <c r="E63" s="554"/>
      <c r="F63" s="555"/>
      <c r="G63" s="555"/>
      <c r="H63" s="555"/>
      <c r="I63" s="556"/>
      <c r="J63" s="556"/>
      <c r="K63" s="556"/>
      <c r="L63" s="556"/>
      <c r="M63" s="556"/>
      <c r="N63" s="556"/>
      <c r="O63" s="556"/>
      <c r="P63" s="556"/>
      <c r="Q63" s="556"/>
      <c r="R63" s="556"/>
      <c r="S63" s="556"/>
      <c r="T63" s="556"/>
    </row>
    <row r="64" spans="1:30" s="557" customFormat="1" ht="21" x14ac:dyDescent="0.35">
      <c r="A64" s="616" t="s">
        <v>453</v>
      </c>
      <c r="B64" s="623">
        <f>Inputs!B37*B39</f>
        <v>105000</v>
      </c>
      <c r="C64" s="554"/>
      <c r="D64" s="554"/>
      <c r="E64" s="554"/>
      <c r="F64" s="555"/>
      <c r="G64" s="555"/>
      <c r="H64" s="555"/>
      <c r="I64" s="556"/>
      <c r="J64" s="556"/>
      <c r="K64" s="556"/>
      <c r="L64" s="556"/>
      <c r="M64" s="556"/>
      <c r="N64" s="556"/>
      <c r="O64" s="556"/>
      <c r="P64" s="556"/>
      <c r="Q64" s="556"/>
      <c r="R64" s="556"/>
      <c r="S64" s="556"/>
      <c r="T64" s="556"/>
    </row>
    <row r="65" spans="1:20" s="557" customFormat="1" ht="21" x14ac:dyDescent="0.35">
      <c r="A65" s="618"/>
      <c r="B65" s="607"/>
      <c r="C65" s="554"/>
      <c r="D65" s="554"/>
      <c r="E65" s="554"/>
      <c r="F65" s="555"/>
      <c r="G65" s="555"/>
      <c r="H65" s="555"/>
      <c r="I65" s="556"/>
      <c r="J65" s="556"/>
      <c r="K65" s="556"/>
      <c r="L65" s="556"/>
      <c r="M65" s="556"/>
      <c r="N65" s="556"/>
      <c r="O65" s="556"/>
      <c r="P65" s="556"/>
      <c r="Q65" s="556"/>
      <c r="R65" s="556"/>
      <c r="S65" s="556"/>
      <c r="T65" s="556"/>
    </row>
    <row r="66" spans="1:20" s="557" customFormat="1" ht="21" x14ac:dyDescent="0.35">
      <c r="A66" s="559" t="s">
        <v>673</v>
      </c>
      <c r="B66" s="610"/>
      <c r="C66" s="554"/>
      <c r="D66" s="554"/>
      <c r="E66" s="554"/>
      <c r="F66" s="555"/>
      <c r="G66" s="555"/>
      <c r="H66" s="555"/>
      <c r="I66" s="556"/>
      <c r="J66" s="556"/>
      <c r="K66" s="556"/>
      <c r="L66" s="556"/>
      <c r="M66" s="556"/>
      <c r="N66" s="556"/>
      <c r="O66" s="556"/>
      <c r="P66" s="556"/>
      <c r="Q66" s="556"/>
      <c r="R66" s="556"/>
      <c r="S66" s="556"/>
      <c r="T66" s="556"/>
    </row>
    <row r="67" spans="1:20" s="557" customFormat="1" ht="21" x14ac:dyDescent="0.35">
      <c r="A67" s="621" t="s">
        <v>223</v>
      </c>
      <c r="B67" s="550">
        <f>SUMIF(Bustypes,Inputs!B4,'Default Data'!V2:V12)</f>
        <v>5.6437279219193663E-2</v>
      </c>
      <c r="C67" s="554"/>
      <c r="D67" s="554"/>
      <c r="E67" s="554"/>
      <c r="F67" s="555"/>
      <c r="G67" s="555"/>
      <c r="H67" s="555"/>
      <c r="I67" s="556"/>
      <c r="J67" s="556"/>
      <c r="K67" s="556"/>
      <c r="L67" s="556"/>
      <c r="M67" s="556"/>
      <c r="N67" s="556"/>
      <c r="O67" s="556"/>
      <c r="P67" s="556"/>
      <c r="Q67" s="556"/>
      <c r="R67" s="556"/>
      <c r="S67" s="556"/>
      <c r="T67" s="556"/>
    </row>
    <row r="68" spans="1:20" s="557" customFormat="1" ht="21" x14ac:dyDescent="0.35">
      <c r="A68" s="572" t="s">
        <v>62</v>
      </c>
      <c r="B68" s="551">
        <f>SUMIF(Bustypes,Inputs!B4,'Default Data'!X2:X12)</f>
        <v>0</v>
      </c>
      <c r="C68" s="554"/>
      <c r="D68" s="554"/>
      <c r="E68" s="554"/>
      <c r="F68" s="555"/>
      <c r="G68" s="555"/>
      <c r="H68" s="555"/>
      <c r="I68" s="556"/>
      <c r="J68" s="556"/>
      <c r="K68" s="556"/>
      <c r="L68" s="556"/>
      <c r="M68" s="556"/>
      <c r="N68" s="556"/>
      <c r="O68" s="556"/>
      <c r="P68" s="556"/>
      <c r="Q68" s="556"/>
      <c r="R68" s="556"/>
      <c r="S68" s="556"/>
      <c r="T68" s="556"/>
    </row>
    <row r="69" spans="1:20" s="557" customFormat="1" ht="21" x14ac:dyDescent="0.35">
      <c r="A69" s="616" t="s">
        <v>219</v>
      </c>
      <c r="B69" s="552">
        <f>SUMIF(Bustypes,Inputs!B4,'Default Data'!Z2:Z12)</f>
        <v>7.9866444199129874E-2</v>
      </c>
      <c r="C69" s="554"/>
      <c r="D69" s="554"/>
      <c r="E69" s="554"/>
      <c r="F69" s="555"/>
      <c r="G69" s="555"/>
      <c r="H69" s="555"/>
      <c r="I69" s="556"/>
      <c r="J69" s="556"/>
      <c r="K69" s="556"/>
      <c r="L69" s="556"/>
      <c r="M69" s="556"/>
      <c r="N69" s="556"/>
      <c r="O69" s="556"/>
      <c r="P69" s="556"/>
      <c r="Q69" s="556"/>
      <c r="R69" s="556"/>
      <c r="S69" s="556"/>
      <c r="T69" s="556"/>
    </row>
    <row r="70" spans="1:20" s="557" customFormat="1" ht="21" x14ac:dyDescent="0.35">
      <c r="A70" s="618" t="s">
        <v>677</v>
      </c>
      <c r="B70" s="607"/>
      <c r="C70" s="554"/>
      <c r="D70" s="554"/>
      <c r="E70" s="554"/>
      <c r="F70" s="555"/>
      <c r="G70" s="555"/>
      <c r="H70" s="555"/>
      <c r="I70" s="556"/>
      <c r="J70" s="556"/>
      <c r="K70" s="556"/>
      <c r="L70" s="556"/>
      <c r="M70" s="556"/>
      <c r="N70" s="556"/>
      <c r="O70" s="556"/>
      <c r="P70" s="556"/>
      <c r="Q70" s="556"/>
      <c r="R70" s="556"/>
      <c r="S70" s="556"/>
      <c r="T70" s="556"/>
    </row>
    <row r="71" spans="1:20" s="557" customFormat="1" ht="21" x14ac:dyDescent="0.35">
      <c r="A71" s="618" t="s">
        <v>684</v>
      </c>
      <c r="B71" s="624">
        <f>AB51</f>
        <v>656.68648390616727</v>
      </c>
      <c r="C71" s="554"/>
      <c r="D71" s="554"/>
      <c r="E71" s="554"/>
      <c r="F71" s="555"/>
      <c r="G71" s="555"/>
      <c r="H71" s="555"/>
      <c r="I71" s="556"/>
      <c r="J71" s="556"/>
      <c r="K71" s="556"/>
      <c r="L71" s="556"/>
      <c r="M71" s="556"/>
      <c r="N71" s="556"/>
      <c r="O71" s="556"/>
      <c r="P71" s="556"/>
      <c r="Q71" s="556"/>
      <c r="R71" s="556"/>
      <c r="S71" s="556"/>
      <c r="T71" s="556"/>
    </row>
    <row r="72" spans="1:20" s="557" customFormat="1" ht="21" x14ac:dyDescent="0.35">
      <c r="A72" s="618" t="s">
        <v>683</v>
      </c>
      <c r="B72" s="607">
        <f>B71*AC39</f>
        <v>72892.19971358456</v>
      </c>
      <c r="C72" s="554"/>
      <c r="D72" s="554"/>
      <c r="E72" s="554"/>
      <c r="F72" s="555"/>
      <c r="G72" s="555"/>
      <c r="H72" s="555"/>
      <c r="I72" s="556"/>
      <c r="J72" s="556"/>
      <c r="K72" s="556"/>
      <c r="L72" s="556"/>
      <c r="M72" s="556"/>
      <c r="N72" s="556"/>
      <c r="O72" s="556"/>
      <c r="P72" s="556"/>
      <c r="Q72" s="556"/>
      <c r="R72" s="556"/>
      <c r="S72" s="556"/>
      <c r="T72" s="556"/>
    </row>
    <row r="73" spans="1:20" s="618" customFormat="1" ht="21" x14ac:dyDescent="0.35">
      <c r="A73" s="618" t="s">
        <v>221</v>
      </c>
      <c r="B73" s="635"/>
      <c r="C73" s="636"/>
      <c r="D73" s="636"/>
      <c r="E73" s="636"/>
      <c r="F73" s="637"/>
      <c r="G73" s="637"/>
      <c r="H73" s="637"/>
      <c r="I73" s="604"/>
      <c r="J73" s="604"/>
      <c r="K73" s="604"/>
      <c r="L73" s="604"/>
      <c r="M73" s="604"/>
      <c r="N73" s="604"/>
      <c r="O73" s="604"/>
      <c r="P73" s="604"/>
      <c r="Q73" s="604"/>
      <c r="R73" s="604"/>
      <c r="S73" s="604"/>
      <c r="T73" s="604"/>
    </row>
  </sheetData>
  <sheetProtection password="FB64" sheet="1" objects="1" scenarios="1"/>
  <protectedRanges>
    <protectedRange sqref="B35" name="Summary Choice"/>
  </protectedRanges>
  <mergeCells count="5">
    <mergeCell ref="V37:X37"/>
    <mergeCell ref="Y37:AA37"/>
    <mergeCell ref="AB37:AD37"/>
    <mergeCell ref="A1:N1"/>
    <mergeCell ref="A2:N2"/>
  </mergeCells>
  <dataValidations disablePrompts="1" count="1">
    <dataValidation type="list" allowBlank="1" showInputMessage="1" showErrorMessage="1" sqref="B35">
      <formula1>"Basic Schedule, Detailed Schedule"</formula1>
    </dataValidation>
  </dataValidations>
  <printOptions horizontalCentered="1"/>
  <pageMargins left="0.625" right="0.7" top="0.92500000000000004" bottom="0.75" header="0.3" footer="0.3"/>
  <pageSetup paperSize="5" scale="30" fitToWidth="4" orientation="landscape" horizontalDpi="300" verticalDpi="300" r:id="rId1"/>
  <headerFooter>
    <oddHeader>&amp;L&amp;G</oddHead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'Default Data'!$Q$28:$Q$30</xm:f>
          </x14:formula1>
          <xm:sqref>B35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J25"/>
  <sheetViews>
    <sheetView showGridLines="0" view="pageLayout" zoomScale="40" zoomScaleNormal="75" zoomScalePageLayoutView="40" workbookViewId="0">
      <selection activeCell="X43" sqref="A1:XFD1048576"/>
    </sheetView>
  </sheetViews>
  <sheetFormatPr defaultColWidth="8.7109375" defaultRowHeight="15" x14ac:dyDescent="0.25"/>
  <cols>
    <col min="1" max="1" width="8.7109375" style="51"/>
    <col min="2" max="2" width="22.5703125" style="51" customWidth="1"/>
    <col min="3" max="3" width="10.5703125" style="51" customWidth="1"/>
    <col min="4" max="23" width="8.7109375" style="51"/>
    <col min="24" max="24" width="58.42578125" style="51" customWidth="1"/>
    <col min="25" max="25" width="8.7109375" style="51"/>
    <col min="26" max="26" width="9.140625" style="51" customWidth="1"/>
    <col min="27" max="16384" width="8.7109375" style="51"/>
  </cols>
  <sheetData>
    <row r="1" spans="1:36" s="285" customFormat="1" ht="138" customHeight="1" x14ac:dyDescent="0.45">
      <c r="A1" s="776" t="s">
        <v>743</v>
      </c>
      <c r="B1" s="777"/>
      <c r="C1" s="777"/>
      <c r="D1" s="777"/>
      <c r="E1" s="777"/>
      <c r="F1" s="777"/>
      <c r="G1" s="777"/>
      <c r="H1" s="777"/>
      <c r="I1" s="777"/>
      <c r="J1" s="786"/>
      <c r="K1" s="786"/>
      <c r="L1" s="786"/>
      <c r="M1" s="786"/>
      <c r="N1" s="786"/>
      <c r="O1" s="786"/>
      <c r="P1" s="786"/>
      <c r="Q1" s="786"/>
      <c r="R1" s="786"/>
      <c r="S1" s="786"/>
      <c r="T1" s="786"/>
      <c r="U1" s="786"/>
      <c r="V1" s="786"/>
      <c r="W1" s="786"/>
      <c r="X1" s="786"/>
      <c r="Y1" s="734"/>
      <c r="Z1" s="734"/>
      <c r="AA1" s="734"/>
      <c r="AB1" s="734"/>
      <c r="AC1" s="734"/>
      <c r="AD1" s="734"/>
      <c r="AE1" s="734"/>
      <c r="AF1" s="734"/>
      <c r="AG1" s="734"/>
      <c r="AH1" s="734"/>
      <c r="AI1" s="734"/>
      <c r="AJ1" s="734"/>
    </row>
    <row r="2" spans="1:36" s="285" customFormat="1" ht="134.1" customHeight="1" x14ac:dyDescent="0.45">
      <c r="A2" s="774" t="s">
        <v>755</v>
      </c>
      <c r="B2" s="775"/>
      <c r="C2" s="775"/>
      <c r="D2" s="775"/>
      <c r="E2" s="775"/>
      <c r="F2" s="775"/>
      <c r="G2" s="775"/>
      <c r="H2" s="775"/>
      <c r="I2" s="775"/>
      <c r="J2" s="775"/>
      <c r="K2" s="775"/>
      <c r="L2" s="775"/>
      <c r="M2" s="775"/>
      <c r="N2" s="775"/>
      <c r="O2" s="775"/>
      <c r="P2" s="775"/>
      <c r="Q2" s="775"/>
      <c r="R2" s="775"/>
      <c r="S2" s="775"/>
      <c r="T2" s="775"/>
      <c r="U2" s="775"/>
      <c r="V2" s="775"/>
      <c r="W2" s="775"/>
      <c r="X2" s="775"/>
      <c r="Y2" s="665"/>
      <c r="Z2" s="665"/>
      <c r="AA2" s="665"/>
      <c r="AB2" s="665"/>
      <c r="AC2" s="665"/>
      <c r="AD2" s="665"/>
      <c r="AE2" s="665"/>
      <c r="AF2" s="665"/>
      <c r="AG2" s="665"/>
      <c r="AH2" s="665"/>
      <c r="AI2" s="665"/>
      <c r="AJ2" s="665"/>
    </row>
    <row r="3" spans="1:36" ht="27" customHeight="1" x14ac:dyDescent="0.25"/>
    <row r="4" spans="1:36" x14ac:dyDescent="0.25">
      <c r="B4" s="51" t="s">
        <v>393</v>
      </c>
      <c r="C4" s="51" t="s">
        <v>401</v>
      </c>
      <c r="E4" s="51" t="s">
        <v>402</v>
      </c>
    </row>
    <row r="5" spans="1:36" x14ac:dyDescent="0.25">
      <c r="B5" s="51" t="s">
        <v>397</v>
      </c>
      <c r="C5" s="371">
        <f>'35-40 foot transit bus'!H24</f>
        <v>96.307194311761847</v>
      </c>
      <c r="D5" s="51" t="s">
        <v>396</v>
      </c>
      <c r="E5" s="51">
        <v>0</v>
      </c>
      <c r="F5" s="51" t="s">
        <v>396</v>
      </c>
    </row>
    <row r="6" spans="1:36" x14ac:dyDescent="0.25">
      <c r="B6" s="51" t="s">
        <v>398</v>
      </c>
      <c r="C6" s="371">
        <f>'35-40 foot transit bus'!H35</f>
        <v>87.268123173285915</v>
      </c>
      <c r="D6" s="51" t="s">
        <v>396</v>
      </c>
      <c r="E6" s="371">
        <f>'35-40 foot transit bus'!H36</f>
        <v>9.0390711384759328</v>
      </c>
      <c r="F6" s="51" t="s">
        <v>396</v>
      </c>
    </row>
    <row r="7" spans="1:36" x14ac:dyDescent="0.25">
      <c r="B7" s="51" t="s">
        <v>158</v>
      </c>
      <c r="C7" s="371">
        <f>'35-40 foot transit bus'!H48</f>
        <v>80.332690408855285</v>
      </c>
      <c r="D7" s="51" t="s">
        <v>396</v>
      </c>
      <c r="E7" s="371">
        <f>'35-40 foot transit bus'!H49</f>
        <v>15.974503902906562</v>
      </c>
      <c r="F7" s="51" t="s">
        <v>396</v>
      </c>
    </row>
    <row r="8" spans="1:36" x14ac:dyDescent="0.25">
      <c r="B8" s="51" t="s">
        <v>160</v>
      </c>
      <c r="C8" s="371">
        <f>'35-40 foot transit bus'!H61</f>
        <v>38.391400326326909</v>
      </c>
      <c r="D8" s="51" t="s">
        <v>396</v>
      </c>
      <c r="E8" s="371">
        <f>'35-40 foot transit bus'!H62</f>
        <v>57.915793985434938</v>
      </c>
      <c r="F8" s="51" t="s">
        <v>396</v>
      </c>
    </row>
    <row r="9" spans="1:36" x14ac:dyDescent="0.25">
      <c r="B9" s="51" t="s">
        <v>162</v>
      </c>
      <c r="C9" s="371">
        <f>'35-40 foot transit bus'!H73</f>
        <v>86.55595393207264</v>
      </c>
      <c r="D9" s="51" t="s">
        <v>396</v>
      </c>
      <c r="E9" s="371">
        <f>'35-40 foot transit bus'!H74</f>
        <v>9.7512403796892073</v>
      </c>
      <c r="F9" s="51" t="s">
        <v>396</v>
      </c>
    </row>
    <row r="10" spans="1:36" x14ac:dyDescent="0.25">
      <c r="B10" s="51" t="s">
        <v>171</v>
      </c>
      <c r="C10" s="371">
        <f>'35-40 foot transit bus'!H89</f>
        <v>37.533319226006</v>
      </c>
      <c r="D10" s="51" t="s">
        <v>396</v>
      </c>
      <c r="E10" s="371">
        <f>'35-40 foot transit bus'!H90</f>
        <v>58.773875085755847</v>
      </c>
      <c r="F10" s="51" t="s">
        <v>396</v>
      </c>
    </row>
    <row r="11" spans="1:36" x14ac:dyDescent="0.25">
      <c r="B11" s="51" t="s">
        <v>177</v>
      </c>
      <c r="C11" s="371">
        <f>'35-40 foot transit bus'!H109</f>
        <v>40.312342299424046</v>
      </c>
      <c r="D11" s="51" t="s">
        <v>396</v>
      </c>
      <c r="E11" s="371">
        <f>'35-40 foot transit bus'!H110</f>
        <v>55.994852012337802</v>
      </c>
      <c r="F11" s="51" t="s">
        <v>396</v>
      </c>
    </row>
    <row r="17" spans="2:5" x14ac:dyDescent="0.25">
      <c r="B17" s="51" t="s">
        <v>399</v>
      </c>
    </row>
    <row r="18" spans="2:5" x14ac:dyDescent="0.25">
      <c r="C18" s="51" t="s">
        <v>400</v>
      </c>
      <c r="E18" s="51" t="s">
        <v>402</v>
      </c>
    </row>
    <row r="19" spans="2:5" x14ac:dyDescent="0.25">
      <c r="B19" s="51" t="s">
        <v>397</v>
      </c>
      <c r="C19" s="371">
        <f>SUM('35-40 foot transit bus'!H24:S24)</f>
        <v>1155.6863317411419</v>
      </c>
      <c r="D19" s="51" t="s">
        <v>396</v>
      </c>
      <c r="E19" s="51">
        <f>0</f>
        <v>0</v>
      </c>
    </row>
    <row r="20" spans="2:5" x14ac:dyDescent="0.25">
      <c r="B20" s="51" t="s">
        <v>398</v>
      </c>
      <c r="C20" s="371">
        <f>SUM('35-40 foot transit bus'!H35:S35)</f>
        <v>1047.2174780794307</v>
      </c>
      <c r="D20" s="51" t="s">
        <v>396</v>
      </c>
      <c r="E20" s="371">
        <f>SUM('35-40 foot transit bus'!H36:S36)</f>
        <v>108.46885366171119</v>
      </c>
    </row>
    <row r="21" spans="2:5" x14ac:dyDescent="0.25">
      <c r="B21" s="51" t="s">
        <v>158</v>
      </c>
      <c r="C21" s="371">
        <f>SUM('35-40 foot transit bus'!H48:S48)</f>
        <v>963.99228490626365</v>
      </c>
      <c r="D21" s="51" t="s">
        <v>396</v>
      </c>
      <c r="E21" s="371">
        <f>SUM('35-40 foot transit bus'!H49:S49)</f>
        <v>191.6940468348788</v>
      </c>
    </row>
    <row r="22" spans="2:5" x14ac:dyDescent="0.25">
      <c r="B22" s="51" t="s">
        <v>160</v>
      </c>
      <c r="C22" s="371">
        <f>SUM('35-40 foot transit bus'!H61:S61)</f>
        <v>460.69680391592289</v>
      </c>
      <c r="D22" s="51" t="s">
        <v>396</v>
      </c>
      <c r="E22" s="371">
        <f>SUM('35-40 foot transit bus'!H62:S62)</f>
        <v>694.98952782521917</v>
      </c>
    </row>
    <row r="23" spans="2:5" x14ac:dyDescent="0.25">
      <c r="B23" s="51" t="s">
        <v>162</v>
      </c>
      <c r="C23" s="371">
        <f>SUM('35-40 foot transit bus'!H73:S73)</f>
        <v>1038.6714471848716</v>
      </c>
      <c r="D23" s="51" t="s">
        <v>396</v>
      </c>
      <c r="E23" s="371">
        <f>SUM('35-40 foot transit bus'!H74:S74)</f>
        <v>117.01488455627049</v>
      </c>
    </row>
    <row r="24" spans="2:5" x14ac:dyDescent="0.25">
      <c r="B24" s="51" t="s">
        <v>171</v>
      </c>
      <c r="C24" s="371">
        <f>SUM('35-40 foot transit bus'!H89:S89)</f>
        <v>450.39983071207212</v>
      </c>
      <c r="D24" s="51" t="s">
        <v>396</v>
      </c>
      <c r="E24" s="371">
        <f>SUM('35-40 foot transit bus'!H90:S90)</f>
        <v>705.28650102907022</v>
      </c>
    </row>
    <row r="25" spans="2:5" x14ac:dyDescent="0.25">
      <c r="B25" s="51" t="s">
        <v>177</v>
      </c>
      <c r="C25" s="371">
        <f>SUM('35-40 foot transit bus'!H109:S109)</f>
        <v>483.74810759308843</v>
      </c>
      <c r="D25" s="51" t="s">
        <v>396</v>
      </c>
      <c r="E25" s="371">
        <f>SUM('35-40 foot transit bus'!H110:S110)</f>
        <v>671.93822414805356</v>
      </c>
    </row>
  </sheetData>
  <sheetProtection password="FB64" sheet="1" objects="1" scenarios="1"/>
  <mergeCells count="2">
    <mergeCell ref="A1:X1"/>
    <mergeCell ref="A2:X2"/>
  </mergeCells>
  <pageMargins left="0.625" right="0.7" top="1.5125" bottom="0.75" header="0.3" footer="0.3"/>
  <pageSetup paperSize="5" scale="52" fitToWidth="4" orientation="landscape" horizontalDpi="300" verticalDpi="300" r:id="rId1"/>
  <headerFooter>
    <oddHeader>&amp;L&amp;G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AJ13"/>
  <sheetViews>
    <sheetView showGridLines="0" view="pageLayout" zoomScale="40" zoomScaleNormal="75" zoomScalePageLayoutView="40" workbookViewId="0">
      <selection activeCell="A3" sqref="A1:J12"/>
    </sheetView>
  </sheetViews>
  <sheetFormatPr defaultRowHeight="15" x14ac:dyDescent="0.25"/>
  <cols>
    <col min="1" max="10" width="35" customWidth="1"/>
  </cols>
  <sheetData>
    <row r="1" spans="1:36" s="285" customFormat="1" ht="106.5" customHeight="1" x14ac:dyDescent="0.45">
      <c r="A1" s="776" t="s">
        <v>744</v>
      </c>
      <c r="B1" s="777"/>
      <c r="C1" s="777"/>
      <c r="D1" s="777"/>
      <c r="E1" s="777"/>
      <c r="F1" s="777"/>
      <c r="G1" s="777"/>
      <c r="H1" s="777"/>
      <c r="I1" s="777"/>
      <c r="J1" s="735"/>
      <c r="K1" s="734"/>
      <c r="L1" s="734"/>
      <c r="M1" s="734"/>
      <c r="N1" s="734"/>
      <c r="O1" s="734"/>
      <c r="P1" s="734"/>
      <c r="Q1" s="734"/>
      <c r="R1" s="734"/>
      <c r="S1" s="734"/>
      <c r="T1" s="734"/>
      <c r="U1" s="734"/>
      <c r="V1" s="734"/>
      <c r="W1" s="734"/>
      <c r="X1" s="734"/>
      <c r="Y1" s="734"/>
      <c r="Z1" s="734"/>
      <c r="AA1" s="734"/>
      <c r="AB1" s="734"/>
      <c r="AC1" s="734"/>
      <c r="AD1" s="734"/>
      <c r="AE1" s="734"/>
      <c r="AF1" s="734"/>
      <c r="AG1" s="734"/>
      <c r="AH1" s="734"/>
      <c r="AI1" s="734"/>
      <c r="AJ1" s="734"/>
    </row>
    <row r="2" spans="1:36" s="285" customFormat="1" ht="52.5" customHeight="1" x14ac:dyDescent="0.45">
      <c r="A2" s="789" t="s">
        <v>739</v>
      </c>
      <c r="B2" s="790"/>
      <c r="C2" s="790"/>
      <c r="D2" s="790"/>
      <c r="E2" s="790"/>
      <c r="F2" s="790"/>
      <c r="G2" s="790"/>
      <c r="H2" s="790"/>
      <c r="I2" s="790"/>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row>
    <row r="3" spans="1:36" s="285" customFormat="1" ht="22.5" customHeight="1" x14ac:dyDescent="0.45">
      <c r="A3" s="739"/>
      <c r="B3" s="740"/>
      <c r="C3" s="740"/>
      <c r="D3" s="740"/>
      <c r="E3" s="740"/>
      <c r="F3" s="740"/>
      <c r="G3" s="740"/>
      <c r="H3" s="740"/>
      <c r="I3" s="740"/>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row>
    <row r="4" spans="1:36" ht="72" customHeight="1" x14ac:dyDescent="0.25">
      <c r="A4" s="787" t="s">
        <v>715</v>
      </c>
      <c r="B4" s="791"/>
      <c r="C4" s="791"/>
      <c r="D4" s="791"/>
      <c r="E4" s="791"/>
      <c r="F4" s="791"/>
      <c r="G4" s="791"/>
      <c r="H4" s="791"/>
      <c r="I4" s="791"/>
      <c r="J4" s="791"/>
    </row>
    <row r="5" spans="1:36" ht="72" customHeight="1" x14ac:dyDescent="0.25">
      <c r="A5" s="787" t="s">
        <v>716</v>
      </c>
      <c r="B5" s="791"/>
      <c r="C5" s="791"/>
      <c r="D5" s="791"/>
      <c r="E5" s="791"/>
      <c r="F5" s="791"/>
      <c r="G5" s="791"/>
      <c r="H5" s="791"/>
      <c r="I5" s="791"/>
      <c r="J5" s="791"/>
    </row>
    <row r="6" spans="1:36" ht="72" customHeight="1" x14ac:dyDescent="0.25">
      <c r="A6" s="787" t="s">
        <v>718</v>
      </c>
      <c r="B6" s="791"/>
      <c r="C6" s="791"/>
      <c r="D6" s="791"/>
      <c r="E6" s="791"/>
      <c r="F6" s="791"/>
      <c r="G6" s="791"/>
      <c r="H6" s="791"/>
      <c r="I6" s="791"/>
      <c r="J6" s="791"/>
    </row>
    <row r="7" spans="1:36" ht="72" customHeight="1" x14ac:dyDescent="0.25">
      <c r="A7" s="787" t="s">
        <v>717</v>
      </c>
      <c r="B7" s="791"/>
      <c r="C7" s="791"/>
      <c r="D7" s="791"/>
      <c r="E7" s="791"/>
      <c r="F7" s="791"/>
      <c r="G7" s="791"/>
      <c r="H7" s="791"/>
      <c r="I7" s="791"/>
      <c r="J7" s="791"/>
    </row>
    <row r="8" spans="1:36" ht="72" customHeight="1" x14ac:dyDescent="0.25">
      <c r="A8" s="787" t="s">
        <v>727</v>
      </c>
      <c r="B8" s="788"/>
      <c r="C8" s="788"/>
      <c r="D8" s="788"/>
      <c r="E8" s="788"/>
      <c r="F8" s="788"/>
      <c r="G8" s="788"/>
      <c r="H8" s="788"/>
      <c r="I8" s="788"/>
      <c r="J8" s="788"/>
    </row>
    <row r="9" spans="1:36" ht="72" customHeight="1" x14ac:dyDescent="0.25">
      <c r="A9" s="787" t="s">
        <v>719</v>
      </c>
      <c r="B9" s="791"/>
      <c r="C9" s="791"/>
      <c r="D9" s="791"/>
      <c r="E9" s="791"/>
      <c r="F9" s="791"/>
      <c r="G9" s="791"/>
      <c r="H9" s="791"/>
      <c r="I9" s="791"/>
      <c r="J9" s="791"/>
    </row>
    <row r="10" spans="1:36" ht="72" customHeight="1" x14ac:dyDescent="0.25">
      <c r="A10" s="792" t="s">
        <v>728</v>
      </c>
      <c r="B10" s="793"/>
      <c r="C10" s="793"/>
      <c r="D10" s="793"/>
      <c r="E10" s="793"/>
      <c r="F10" s="793"/>
      <c r="G10" s="793"/>
      <c r="H10" s="793"/>
      <c r="I10" s="793"/>
      <c r="J10" s="793"/>
    </row>
    <row r="11" spans="1:36" ht="72" customHeight="1" x14ac:dyDescent="0.25">
      <c r="A11" s="787" t="s">
        <v>720</v>
      </c>
      <c r="B11" s="791"/>
      <c r="C11" s="791"/>
      <c r="D11" s="791"/>
      <c r="E11" s="791"/>
      <c r="F11" s="791"/>
      <c r="G11" s="791"/>
      <c r="H11" s="791"/>
      <c r="I11" s="791"/>
      <c r="J11" s="791"/>
    </row>
    <row r="12" spans="1:36" ht="72" customHeight="1" x14ac:dyDescent="0.25">
      <c r="A12" s="787" t="s">
        <v>729</v>
      </c>
      <c r="B12" s="788"/>
      <c r="C12" s="788"/>
      <c r="D12" s="788"/>
      <c r="E12" s="788"/>
      <c r="F12" s="788"/>
      <c r="G12" s="788"/>
      <c r="H12" s="788"/>
      <c r="I12" s="788"/>
      <c r="J12" s="788"/>
    </row>
    <row r="13" spans="1:36" ht="28.5" x14ac:dyDescent="0.45">
      <c r="A13" s="736"/>
      <c r="B13" s="736"/>
      <c r="C13" s="736"/>
      <c r="D13" s="736"/>
      <c r="E13" s="736"/>
      <c r="F13" s="736"/>
      <c r="G13" s="736"/>
      <c r="H13" s="736"/>
      <c r="I13" s="736"/>
      <c r="J13" s="736"/>
    </row>
  </sheetData>
  <sheetProtection password="FB64" sheet="1" objects="1" scenarios="1"/>
  <mergeCells count="11">
    <mergeCell ref="A12:J12"/>
    <mergeCell ref="A1:I1"/>
    <mergeCell ref="A2:I2"/>
    <mergeCell ref="A4:J4"/>
    <mergeCell ref="A5:J5"/>
    <mergeCell ref="A6:J6"/>
    <mergeCell ref="A7:J7"/>
    <mergeCell ref="A8:J8"/>
    <mergeCell ref="A9:J9"/>
    <mergeCell ref="A10:J10"/>
    <mergeCell ref="A11:J11"/>
  </mergeCells>
  <pageMargins left="0.625" right="0.7" top="1.2533333333333334" bottom="0.75" header="0.3" footer="0.3"/>
  <pageSetup paperSize="5" scale="46" orientation="landscape" horizontalDpi="300" verticalDpi="300"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sheetPr>
  <dimension ref="A1:AL36"/>
  <sheetViews>
    <sheetView showGridLines="0" workbookViewId="0">
      <pane xSplit="1" ySplit="1" topLeftCell="B2" activePane="bottomRight" state="frozen"/>
      <selection activeCell="AC1" sqref="AC1"/>
      <selection pane="topRight" activeCell="AC1" sqref="AC1"/>
      <selection pane="bottomLeft" activeCell="AC1" sqref="AC1"/>
      <selection pane="bottomRight" activeCell="H12" sqref="H12"/>
    </sheetView>
  </sheetViews>
  <sheetFormatPr defaultColWidth="9.140625" defaultRowHeight="12.75" x14ac:dyDescent="0.2"/>
  <cols>
    <col min="1" max="1" width="33.5703125" style="1" customWidth="1"/>
    <col min="2" max="3" width="15.5703125" style="9" customWidth="1"/>
    <col min="4" max="4" width="14.85546875" style="1" customWidth="1"/>
    <col min="5" max="5" width="10.85546875" style="1" customWidth="1"/>
    <col min="6" max="6" width="10.85546875" style="10" customWidth="1"/>
    <col min="7" max="10" width="12" style="1" customWidth="1"/>
    <col min="11" max="13" width="12.5703125" style="1" customWidth="1"/>
    <col min="14" max="14" width="14.5703125" style="1" customWidth="1"/>
    <col min="15" max="15" width="13.42578125" style="1" customWidth="1"/>
    <col min="16" max="16" width="13.42578125" style="10" customWidth="1"/>
    <col min="17" max="20" width="12.42578125" style="1" customWidth="1"/>
    <col min="21" max="22" width="9.140625" style="1"/>
    <col min="23" max="23" width="10.42578125" style="1" customWidth="1"/>
    <col min="24" max="24" width="9.140625" style="1"/>
    <col min="25" max="25" width="13.140625" style="1" customWidth="1"/>
    <col min="26" max="28" width="10.5703125" style="1" customWidth="1"/>
    <col min="29" max="30" width="12.42578125" style="1" customWidth="1"/>
    <col min="31" max="33" width="10.5703125" style="1" customWidth="1"/>
    <col min="34" max="34" width="12" style="1" customWidth="1"/>
    <col min="35" max="35" width="17" style="1" customWidth="1"/>
    <col min="36" max="36" width="12.42578125" style="1" customWidth="1"/>
    <col min="37" max="37" width="13.5703125" style="1" customWidth="1"/>
    <col min="38" max="16384" width="9.140625" style="1"/>
  </cols>
  <sheetData>
    <row r="1" spans="1:37" s="4" customFormat="1" ht="76.5" x14ac:dyDescent="0.25">
      <c r="A1" s="24" t="s">
        <v>36</v>
      </c>
      <c r="B1" s="25" t="s">
        <v>9</v>
      </c>
      <c r="C1" s="25" t="s">
        <v>218</v>
      </c>
      <c r="D1" s="26" t="s">
        <v>4</v>
      </c>
      <c r="E1" s="26" t="s">
        <v>3</v>
      </c>
      <c r="F1" s="25" t="s">
        <v>689</v>
      </c>
      <c r="G1" s="26" t="s">
        <v>5</v>
      </c>
      <c r="H1" s="26" t="s">
        <v>279</v>
      </c>
      <c r="I1" s="26" t="s">
        <v>195</v>
      </c>
      <c r="J1" s="26" t="s">
        <v>200</v>
      </c>
      <c r="K1" s="26" t="s">
        <v>25</v>
      </c>
      <c r="L1" s="26" t="s">
        <v>295</v>
      </c>
      <c r="M1" s="26" t="s">
        <v>211</v>
      </c>
      <c r="N1" s="26" t="s">
        <v>34</v>
      </c>
      <c r="O1" s="25" t="s">
        <v>35</v>
      </c>
      <c r="P1" s="26" t="s">
        <v>55</v>
      </c>
      <c r="Q1" s="26" t="s">
        <v>57</v>
      </c>
      <c r="R1" s="155" t="s">
        <v>311</v>
      </c>
      <c r="S1" s="155" t="s">
        <v>461</v>
      </c>
      <c r="T1" s="155" t="s">
        <v>213</v>
      </c>
      <c r="U1" s="257" t="s">
        <v>202</v>
      </c>
      <c r="V1" s="257" t="s">
        <v>203</v>
      </c>
      <c r="W1" s="257" t="s">
        <v>304</v>
      </c>
      <c r="X1" s="257" t="s">
        <v>300</v>
      </c>
      <c r="Y1" s="257" t="s">
        <v>305</v>
      </c>
      <c r="Z1" s="257" t="s">
        <v>301</v>
      </c>
      <c r="AA1" s="257" t="s">
        <v>212</v>
      </c>
      <c r="AB1" s="257" t="s">
        <v>691</v>
      </c>
      <c r="AC1" s="257" t="s">
        <v>297</v>
      </c>
      <c r="AD1" s="257" t="s">
        <v>294</v>
      </c>
      <c r="AE1" s="257" t="s">
        <v>281</v>
      </c>
      <c r="AF1" s="257" t="s">
        <v>283</v>
      </c>
      <c r="AG1" s="269" t="s">
        <v>282</v>
      </c>
      <c r="AH1" s="4" t="s">
        <v>214</v>
      </c>
      <c r="AI1" s="4" t="s">
        <v>215</v>
      </c>
      <c r="AJ1" s="4" t="s">
        <v>284</v>
      </c>
    </row>
    <row r="2" spans="1:37" ht="12.75" customHeight="1" x14ac:dyDescent="0.2">
      <c r="A2" s="33" t="s">
        <v>189</v>
      </c>
      <c r="B2" s="180">
        <f>ROUND('Bus Price'!$B$12,0)</f>
        <v>479948</v>
      </c>
      <c r="C2" s="181">
        <v>12</v>
      </c>
      <c r="D2" s="56" t="s">
        <v>1</v>
      </c>
      <c r="E2" s="55">
        <v>40</v>
      </c>
      <c r="F2" s="34">
        <f>ROUND('35-40 foot transit bus'!$H$15,2)</f>
        <v>2.34</v>
      </c>
      <c r="G2" s="266">
        <f>ROUND('35-40 foot transit bus'!$J$6,2)*SUMIF('Default Data'!E22:E25,Inputs!B11,'Default Data'!G22:G25)</f>
        <v>4.1399999999999997</v>
      </c>
      <c r="H2" s="223">
        <f>' Summary'!$B$40/G2</f>
        <v>7246.3768115942039</v>
      </c>
      <c r="I2" s="265">
        <f>F2/G2</f>
        <v>0.56521739130434778</v>
      </c>
      <c r="J2" s="170">
        <f>ROUND('35-40 foot transit bus'!$H$20/'35-40 foot transit bus'!$E$8,5)</f>
        <v>1.2370000000000001E-2</v>
      </c>
      <c r="K2" s="54">
        <f>'35-40 foot transit bus'!$M$8*SUMIF('Default Data'!E22:E25,Inputs!B11,'Default Data'!F22:F25)</f>
        <v>1</v>
      </c>
      <c r="L2" s="54">
        <f>' Summary'!$B$42</f>
        <v>62400</v>
      </c>
      <c r="M2" s="54">
        <f>I2+J2+K2</f>
        <v>1.5775873913043479</v>
      </c>
      <c r="N2" s="35">
        <v>20000</v>
      </c>
      <c r="O2" s="37">
        <v>10500</v>
      </c>
      <c r="P2" s="36">
        <v>250000</v>
      </c>
      <c r="Q2" s="58">
        <v>0</v>
      </c>
      <c r="R2" s="281"/>
      <c r="S2" s="420">
        <f>'Maint-Fuel mpg'!$F$30*'Default Data'!H2</f>
        <v>144.92753623188409</v>
      </c>
      <c r="T2" s="157">
        <f>(B2+(N2+O2)*(ROUNDDOWN('35-40 foot transit bus'!$E$5*12/'Default Data'!P2,0))+Q2+R2)*Inputs!$B$18</f>
        <v>510448</v>
      </c>
      <c r="U2" s="258">
        <f>'35-40 foot transit bus'!$H$24/'35-40 foot transit bus'!$E$5</f>
        <v>3.2102398103920618E-3</v>
      </c>
      <c r="V2" s="259">
        <f>'Criteria Polutant Data'!$C$2*U2</f>
        <v>0.1348300720364666</v>
      </c>
      <c r="W2" s="275">
        <f>'Criteria Polutant Data'!C8</f>
        <v>1.1754536253089292E-6</v>
      </c>
      <c r="X2" s="260">
        <f>'Criteria Polutant Data'!$D$8</f>
        <v>1.174301911280214E-2</v>
      </c>
      <c r="Y2" s="277">
        <f>'Criteria Polutant Data'!C9</f>
        <v>1.6588540687931967E-7</v>
      </c>
      <c r="Z2" s="261">
        <f>'Criteria Polutant Data'!$D$9</f>
        <v>7.9866444199129874E-2</v>
      </c>
      <c r="AA2" s="259">
        <f>U2+V2+X2+Z2</f>
        <v>0.2296497751587907</v>
      </c>
      <c r="AB2" s="264">
        <f>(M2*'35-40 foot transit bus'!$E$8)+L2+S2</f>
        <v>109872.54927536233</v>
      </c>
      <c r="AC2" s="264">
        <f>AB2+(AB2*'Inflation-Road conditions'!$B$3)+(AB2*'Inflation-Road conditions'!$B$4)+(AB2*'Inflation-Road conditions'!$B$5)+(AB2*'Inflation-Road conditions'!$B$6)+(AB2*'Inflation-Road conditions'!$B$7)+(AB2*'Inflation-Road conditions'!$B$8)+(AB2*'Inflation-Road conditions'!$B$9)+(AB2*'Inflation-Road conditions'!$B$10)+(AB2*'Inflation-Road conditions'!$B$11)+(AB2*'Inflation-Road conditions'!$B$12)+(AB2*'Inflation-Road conditions'!$B$13)</f>
        <v>1507213.2995711232</v>
      </c>
      <c r="AD2" s="264">
        <f>AC2+T2</f>
        <v>2017661.2995711232</v>
      </c>
      <c r="AE2" s="261">
        <v>0</v>
      </c>
      <c r="AF2" s="261">
        <v>0</v>
      </c>
      <c r="AG2" s="270">
        <f>-(AE2*AF2)</f>
        <v>0</v>
      </c>
      <c r="AH2" s="168">
        <f>(AA2*'35-40 foot transit bus'!$E$5)+((AA2*'35-40 foot transit bus'!$E$5)*'Inflation-Road conditions'!$B$3)+((AA2*'35-40 foot transit bus'!$E$5)*'Inflation-Road conditions'!$B$4)+((AA2*'35-40 foot transit bus'!$E$5)*'Inflation-Road conditions'!$B$5)+((AA2*'35-40 foot transit bus'!$E$5)*'Inflation-Road conditions'!$B$6)+((AA2*'35-40 foot transit bus'!$E$5)*'Inflation-Road conditions'!$B$7)+((AA2*'35-40 foot transit bus'!$E$5)*'Inflation-Road conditions'!$B$8)+((AA2*'35-40 foot transit bus'!$E$5)*'Inflation-Road conditions'!$B$9)+((AA2*'35-40 foot transit bus'!$E$5)*'Inflation-Road conditions'!$B$10)+((AA2*'35-40 foot transit bus'!$E$5)*'Inflation-Road conditions'!$B$11)+((AA2*'35-40 foot transit bus'!$E$5)*'Inflation-Road conditions'!$B$12)+((AA2*'35-40 foot transit bus'!$E$5)*'Inflation-Road conditions'!$B$13)</f>
        <v>94508.919009981546</v>
      </c>
      <c r="AI2" s="169">
        <f t="shared" ref="AI2:AI12" si="0">T2+AC2+AH2</f>
        <v>2112170.2185811047</v>
      </c>
      <c r="AJ2" s="168">
        <f t="shared" ref="AJ2:AJ11" si="1">AI2-AG2</f>
        <v>2112170.2185811047</v>
      </c>
    </row>
    <row r="3" spans="1:37" ht="12.75" customHeight="1" x14ac:dyDescent="0.2">
      <c r="A3" s="12" t="s">
        <v>190</v>
      </c>
      <c r="B3" s="180">
        <f>ROUND('Bus Price'!$B$12,0)</f>
        <v>479948</v>
      </c>
      <c r="C3" s="181">
        <v>12</v>
      </c>
      <c r="D3" s="56" t="s">
        <v>1</v>
      </c>
      <c r="E3" s="55">
        <v>40</v>
      </c>
      <c r="F3" s="34">
        <f>ROUND('35-40 foot transit bus'!$H$25,2)</f>
        <v>2.37</v>
      </c>
      <c r="G3" s="266">
        <f>ROUND('35-40 foot transit bus'!$J$6,2)*SUMIF('Default Data'!E22:E25,Inputs!B11,'Default Data'!G22:G25)</f>
        <v>4.1399999999999997</v>
      </c>
      <c r="H3" s="223">
        <f>' Summary'!$B$40/G3</f>
        <v>7246.3768115942039</v>
      </c>
      <c r="I3" s="265">
        <f t="shared" ref="I3:I11" si="2">F3/G3</f>
        <v>0.57246376811594213</v>
      </c>
      <c r="J3" s="170">
        <f>ROUND('35-40 foot transit bus'!$H$30/'35-40 foot transit bus'!$E$8,5)</f>
        <v>1.1129999999999999E-2</v>
      </c>
      <c r="K3" s="54">
        <f>'35-40 foot transit bus'!$P$8*SUMIF('Default Data'!E22:E25,Inputs!B11,'Default Data'!F22:F25)</f>
        <v>0.99</v>
      </c>
      <c r="L3" s="54">
        <f>' Summary'!$B$42</f>
        <v>62400</v>
      </c>
      <c r="M3" s="54">
        <f t="shared" ref="M3:M12" si="3">I3+J3+K3</f>
        <v>1.5735937681159422</v>
      </c>
      <c r="N3" s="35">
        <v>20000</v>
      </c>
      <c r="O3" s="37">
        <v>10500</v>
      </c>
      <c r="P3" s="36">
        <v>250000</v>
      </c>
      <c r="Q3" s="58">
        <v>0</v>
      </c>
      <c r="R3" s="281"/>
      <c r="S3" s="420">
        <f>'Maint-Fuel mpg'!$F$30*'Default Data'!H3</f>
        <v>144.92753623188409</v>
      </c>
      <c r="T3" s="157">
        <f>(B3+(N3+O3)*(ROUNDDOWN('35-40 foot transit bus'!$E$5*12/'Default Data'!P3,0))+Q3+R3)*Inputs!$B$18</f>
        <v>510448</v>
      </c>
      <c r="U3" s="258">
        <f>'35-40 foot transit bus'!$H$35/'35-40 foot transit bus'!$E$5</f>
        <v>2.9089374391095303E-3</v>
      </c>
      <c r="V3" s="259">
        <f>'Criteria Polutant Data'!$C$2*U3</f>
        <v>0.12217537244260027</v>
      </c>
      <c r="W3" s="276">
        <f>W2*$L$28</f>
        <v>1.0651294795888076E-6</v>
      </c>
      <c r="X3" s="260">
        <f>X2*$L$28</f>
        <v>1.0640858615866782E-2</v>
      </c>
      <c r="Y3" s="277">
        <f>Y2*$L$28</f>
        <v>1.5031595742818896E-7</v>
      </c>
      <c r="Z3" s="260">
        <f>Z2*$L$28</f>
        <v>7.2370446876685923E-2</v>
      </c>
      <c r="AA3" s="259">
        <f t="shared" ref="AA3:AA11" si="4">U3+V3+X3+Z3</f>
        <v>0.20809561537426249</v>
      </c>
      <c r="AB3" s="264">
        <f>(M3*'35-40 foot transit bus'!$E$8)+L3+S3</f>
        <v>109752.74057971015</v>
      </c>
      <c r="AC3" s="264">
        <f>AB3+(AB3*'Inflation-Road conditions'!$B$3)+(AB3*'Inflation-Road conditions'!$B$4)+(AB3*'Inflation-Road conditions'!$B$5)+(AB3*'Inflation-Road conditions'!$B$6)+(AB3*'Inflation-Road conditions'!$B$7)+(AB3*'Inflation-Road conditions'!$B$8)+(AB3*'Inflation-Road conditions'!$B$9)+(AB3*'Inflation-Road conditions'!$B$10)+(AB3*'Inflation-Road conditions'!$B$11)+(AB3*'Inflation-Road conditions'!$B$12)+(AB3*'Inflation-Road conditions'!$B$13)</f>
        <v>1505569.7838733243</v>
      </c>
      <c r="AD3" s="264">
        <f t="shared" ref="AD3:AD11" si="5">AC3+T3</f>
        <v>2016017.7838733243</v>
      </c>
      <c r="AE3" s="261">
        <v>0</v>
      </c>
      <c r="AF3" s="261">
        <v>0</v>
      </c>
      <c r="AG3" s="270">
        <f t="shared" ref="AG3:AG12" si="6">-(AE3*AF3)</f>
        <v>0</v>
      </c>
      <c r="AH3" s="168">
        <f>(AA3*'35-40 foot transit bus'!$E$5)+((AA3*'35-40 foot transit bus'!$E$5)*'Inflation-Road conditions'!$B$3)+((AA3*'35-40 foot transit bus'!$E$5)*'Inflation-Road conditions'!$B$4)+((AA3*'35-40 foot transit bus'!$E$5)*'Inflation-Road conditions'!$B$5)+((AA3*'35-40 foot transit bus'!$E$5)*'Inflation-Road conditions'!$B$6)+((AA3*'35-40 foot transit bus'!$E$5)*'Inflation-Road conditions'!$B$7)+((AA3*'35-40 foot transit bus'!$E$5)*'Inflation-Road conditions'!$B$8)+((AA3*'35-40 foot transit bus'!$E$5)*'Inflation-Road conditions'!$B$9)+((AA3*'35-40 foot transit bus'!$E$5)*'Inflation-Road conditions'!$B$10)+((AA3*'35-40 foot transit bus'!$E$5)*'Inflation-Road conditions'!$B$11)+((AA3*'35-40 foot transit bus'!$E$5)*'Inflation-Road conditions'!$B$12)+((AA3*'35-40 foot transit bus'!$E$5)*'Inflation-Road conditions'!$B$13)</f>
        <v>85638.627976621472</v>
      </c>
      <c r="AI3" s="169">
        <f t="shared" si="0"/>
        <v>2101656.4118499458</v>
      </c>
      <c r="AJ3" s="168">
        <f t="shared" si="1"/>
        <v>2101656.4118499458</v>
      </c>
    </row>
    <row r="4" spans="1:37" ht="15" customHeight="1" x14ac:dyDescent="0.2">
      <c r="A4" s="33" t="s">
        <v>191</v>
      </c>
      <c r="B4" s="180">
        <f>ROUND('Bus Price'!$B$12,0)</f>
        <v>479948</v>
      </c>
      <c r="C4" s="181">
        <v>12</v>
      </c>
      <c r="D4" s="55" t="s">
        <v>194</v>
      </c>
      <c r="E4" s="55">
        <v>40</v>
      </c>
      <c r="F4" s="34">
        <f>ROUND('35-40 foot transit bus'!$H$38,2)</f>
        <v>2.46</v>
      </c>
      <c r="G4" s="266">
        <f>ROUND('35-40 foot transit bus'!$J$6,2)*SUMIF('Default Data'!E22:E25,Inputs!B11,'Default Data'!G22:G25)</f>
        <v>4.1399999999999997</v>
      </c>
      <c r="H4" s="223">
        <f>' Summary'!$B$40/G4</f>
        <v>7246.3768115942039</v>
      </c>
      <c r="I4" s="265">
        <f t="shared" si="2"/>
        <v>0.59420289855072472</v>
      </c>
      <c r="J4" s="170">
        <f>ROUND('35-40 foot transit bus'!$H$43/'35-40 foot transit bus'!$E$8,5)</f>
        <v>1.1129999999999999E-2</v>
      </c>
      <c r="K4" s="54">
        <f>'35-40 foot transit bus'!$P$9*SUMIF('Default Data'!E22:E25,Inputs!B11,'Default Data'!F22:F25)</f>
        <v>0.98</v>
      </c>
      <c r="L4" s="54">
        <f>' Summary'!$B$42</f>
        <v>62400</v>
      </c>
      <c r="M4" s="54">
        <f t="shared" si="3"/>
        <v>1.5853328985507247</v>
      </c>
      <c r="N4" s="35">
        <v>20000</v>
      </c>
      <c r="O4" s="37">
        <v>10500</v>
      </c>
      <c r="P4" s="36">
        <v>250000</v>
      </c>
      <c r="Q4" s="58">
        <v>0</v>
      </c>
      <c r="R4" s="281"/>
      <c r="S4" s="420">
        <f>'Maint-Fuel mpg'!$F$30*'Default Data'!H4</f>
        <v>144.92753623188409</v>
      </c>
      <c r="T4" s="157">
        <f>(B4+(N4+O4)*(ROUNDDOWN('35-40 foot transit bus'!$E$5*12/'Default Data'!P4,0))+Q4+R4)*Inputs!$B$18</f>
        <v>510448</v>
      </c>
      <c r="U4" s="258">
        <f>'35-40 foot transit bus'!$H$48/'35-40 foot transit bus'!$E$5</f>
        <v>2.6777563469618428E-3</v>
      </c>
      <c r="V4" s="259">
        <f>'Criteria Polutant Data'!$C$2*U4</f>
        <v>0.1124657665723974</v>
      </c>
      <c r="W4" s="276">
        <f t="shared" ref="W4:W9" si="7">W3*$L$28</f>
        <v>9.6515998918371457E-7</v>
      </c>
      <c r="X4" s="260">
        <f>X2*$N$29</f>
        <v>9.7952009254909309E-3</v>
      </c>
      <c r="Y4" s="277">
        <f t="shared" ref="Y4:Y9" si="8">Y3*$L$28</f>
        <v>1.3620780442724969E-7</v>
      </c>
      <c r="Z4" s="260">
        <f>Z2*$N$29</f>
        <v>6.6618972567465323E-2</v>
      </c>
      <c r="AA4" s="259">
        <f t="shared" si="4"/>
        <v>0.19155769641231549</v>
      </c>
      <c r="AB4" s="264">
        <f>(M4*'35-40 foot transit bus'!$E$8)+L4+S4</f>
        <v>110104.91449275363</v>
      </c>
      <c r="AC4" s="264">
        <f>AB4+(AB4*'Inflation-Road conditions'!$B$3)+(AB4*'Inflation-Road conditions'!$B$4)+(AB4*'Inflation-Road conditions'!$B$5)+(AB4*'Inflation-Road conditions'!$B$6)+(AB4*'Inflation-Road conditions'!$B$7)+(AB4*'Inflation-Road conditions'!$B$8)+(AB4*'Inflation-Road conditions'!$B$9)+(AB4*'Inflation-Road conditions'!$B$10)+(AB4*'Inflation-Road conditions'!$B$11)+(AB4*'Inflation-Road conditions'!$B$12)+(AB4*'Inflation-Road conditions'!$B$13)</f>
        <v>1510400.8468549508</v>
      </c>
      <c r="AD4" s="264">
        <f t="shared" si="5"/>
        <v>2020848.8468549508</v>
      </c>
      <c r="AE4" s="261">
        <v>0</v>
      </c>
      <c r="AF4" s="261">
        <v>0</v>
      </c>
      <c r="AG4" s="270">
        <f t="shared" si="6"/>
        <v>0</v>
      </c>
      <c r="AH4" s="168">
        <f>(AA4*'35-40 foot transit bus'!$E$5)+((AA4*'35-40 foot transit bus'!$E$5)*'Inflation-Road conditions'!$B$3)+((AA4*'35-40 foot transit bus'!$E$5)*'Inflation-Road conditions'!$B$4)+((AA4*'35-40 foot transit bus'!$E$5)*'Inflation-Road conditions'!$B$5)+((AA4*'35-40 foot transit bus'!$E$5)*'Inflation-Road conditions'!$B$6)+((AA4*'35-40 foot transit bus'!$E$5)*'Inflation-Road conditions'!$B$7)+((AA4*'35-40 foot transit bus'!$E$5)*'Inflation-Road conditions'!$B$8)+((AA4*'35-40 foot transit bus'!$E$5)*'Inflation-Road conditions'!$B$9)+((AA4*'35-40 foot transit bus'!$E$5)*'Inflation-Road conditions'!$B$10)+((AA4*'35-40 foot transit bus'!$E$5)*'Inflation-Road conditions'!$B$11)+((AA4*'35-40 foot transit bus'!$E$5)*'Inflation-Road conditions'!$B$12)+((AA4*'35-40 foot transit bus'!$E$5)*'Inflation-Road conditions'!$B$13)</f>
        <v>78832.695583752517</v>
      </c>
      <c r="AI4" s="169">
        <f t="shared" si="0"/>
        <v>2099681.5424387031</v>
      </c>
      <c r="AJ4" s="168">
        <f t="shared" si="1"/>
        <v>2099681.5424387031</v>
      </c>
    </row>
    <row r="5" spans="1:37" ht="15.75" customHeight="1" x14ac:dyDescent="0.25">
      <c r="A5" s="1" t="s">
        <v>192</v>
      </c>
      <c r="B5" s="180">
        <f>ROUND('Bus Price'!$B$12,0)</f>
        <v>479948</v>
      </c>
      <c r="C5" s="181">
        <v>12</v>
      </c>
      <c r="D5" s="55" t="s">
        <v>194</v>
      </c>
      <c r="E5" s="55">
        <v>40</v>
      </c>
      <c r="F5" s="34">
        <f>ROUND('35-40 foot transit bus'!$H$51,2)</f>
        <v>2.61</v>
      </c>
      <c r="G5" s="266">
        <f>ROUND('35-40 foot transit bus'!$J$6,2)*SUMIF('Default Data'!E22:E25,Inputs!B11,'Default Data'!G22:G25)</f>
        <v>4.1399999999999997</v>
      </c>
      <c r="H5" s="223">
        <f>' Summary'!$B$40/G5</f>
        <v>7246.3768115942039</v>
      </c>
      <c r="I5" s="265">
        <f t="shared" si="2"/>
        <v>0.63043478260869568</v>
      </c>
      <c r="J5" s="170">
        <f>ROUND('35-40 foot transit bus'!$H$56/'35-40 foot transit bus'!$E$8,5)</f>
        <v>9.8899999999999995E-3</v>
      </c>
      <c r="K5" s="54">
        <f>'35-40 foot transit bus'!$P$10*SUMIF('Default Data'!E22:E25,Inputs!B11,'Default Data'!F22:F25)</f>
        <v>0.95</v>
      </c>
      <c r="L5" s="54">
        <f>' Summary'!$B$42</f>
        <v>62400</v>
      </c>
      <c r="M5" s="54">
        <f t="shared" si="3"/>
        <v>1.5903247826086955</v>
      </c>
      <c r="N5" s="35">
        <v>20000</v>
      </c>
      <c r="O5" s="37">
        <v>10500</v>
      </c>
      <c r="P5" s="36">
        <v>250000</v>
      </c>
      <c r="Q5" s="58">
        <v>0</v>
      </c>
      <c r="R5" s="281"/>
      <c r="S5" s="420">
        <f>'Maint-Fuel mpg'!$F$30*'Default Data'!H5</f>
        <v>144.92753623188409</v>
      </c>
      <c r="T5" s="157">
        <f>(B5+(N5+O5)*(ROUNDDOWN('35-40 foot transit bus'!$E$5*12/'Default Data'!P5,0))+Q5+R5)*Inputs!$B$18</f>
        <v>510448</v>
      </c>
      <c r="U5" s="258">
        <f>'35-40 foot transit bus'!$H$61/'35-40 foot transit bus'!$E$5</f>
        <v>1.279713344210897E-3</v>
      </c>
      <c r="V5" s="259">
        <f>'Criteria Polutant Data'!$C$2*U5</f>
        <v>5.3747960456857674E-2</v>
      </c>
      <c r="W5" s="276">
        <f t="shared" si="7"/>
        <v>8.7457330077909951E-7</v>
      </c>
      <c r="X5" s="260">
        <f>X2*$N$30</f>
        <v>4.6811762197108871E-3</v>
      </c>
      <c r="Y5" s="277">
        <f t="shared" si="8"/>
        <v>1.2342379547929961E-7</v>
      </c>
      <c r="Z5" s="260">
        <f>Z2*$N$30</f>
        <v>3.1837544991325489E-2</v>
      </c>
      <c r="AA5" s="259">
        <f t="shared" si="4"/>
        <v>9.1546395012104945E-2</v>
      </c>
      <c r="AB5" s="264">
        <f>(M5*'35-40 foot transit bus'!$E$8)+L5+S5</f>
        <v>110254.67101449275</v>
      </c>
      <c r="AC5" s="264">
        <f>AB5+(AB5*'Inflation-Road conditions'!$B$3)+(AB5*'Inflation-Road conditions'!$B$4)+(AB5*'Inflation-Road conditions'!$B$5)+(AB5*'Inflation-Road conditions'!$B$6)+(AB5*'Inflation-Road conditions'!$B$7)+(AB5*'Inflation-Road conditions'!$B$8)+(AB5*'Inflation-Road conditions'!$B$9)+(AB5*'Inflation-Road conditions'!$B$10)+(AB5*'Inflation-Road conditions'!$B$11)+(AB5*'Inflation-Road conditions'!$B$12)+(AB5*'Inflation-Road conditions'!$B$13)</f>
        <v>1512455.1818344465</v>
      </c>
      <c r="AD5" s="264">
        <f t="shared" si="5"/>
        <v>2022903.1818344465</v>
      </c>
      <c r="AE5" s="271">
        <v>0</v>
      </c>
      <c r="AF5" s="261">
        <v>0</v>
      </c>
      <c r="AG5" s="270">
        <f t="shared" si="6"/>
        <v>0</v>
      </c>
      <c r="AH5" s="168">
        <f>(AA5*'35-40 foot transit bus'!$E$5)+((AA5*'35-40 foot transit bus'!$E$5)*'Inflation-Road conditions'!$B$3)+((AA5*'35-40 foot transit bus'!$E$5)*'Inflation-Road conditions'!$B$4)+((AA5*'35-40 foot transit bus'!$E$5)*'Inflation-Road conditions'!$B$5)+((AA5*'35-40 foot transit bus'!$E$5)*'Inflation-Road conditions'!$B$6)+((AA5*'35-40 foot transit bus'!$E$5)*'Inflation-Road conditions'!$B$7)+((AA5*'35-40 foot transit bus'!$E$5)*'Inflation-Road conditions'!$B$8)+((AA5*'35-40 foot transit bus'!$E$5)*'Inflation-Road conditions'!$B$9)+((AA5*'35-40 foot transit bus'!$E$5)*'Inflation-Road conditions'!$B$10)+((AA5*'35-40 foot transit bus'!$E$5)*'Inflation-Road conditions'!$B$11)+((AA5*'35-40 foot transit bus'!$E$5)*'Inflation-Road conditions'!$B$12)+((AA5*'35-40 foot transit bus'!$E$5)*'Inflation-Road conditions'!$B$13)</f>
        <v>37674.545188961922</v>
      </c>
      <c r="AI5" s="169">
        <f t="shared" si="0"/>
        <v>2060577.7270234085</v>
      </c>
      <c r="AJ5" s="168">
        <f t="shared" si="1"/>
        <v>2060577.7270234085</v>
      </c>
      <c r="AK5" s="51"/>
    </row>
    <row r="6" spans="1:37" ht="15" customHeight="1" x14ac:dyDescent="0.25">
      <c r="A6" s="33" t="s">
        <v>197</v>
      </c>
      <c r="B6" s="180">
        <f>ROUND('Bus Price'!$D$12,0)</f>
        <v>651545</v>
      </c>
      <c r="C6" s="181">
        <v>12</v>
      </c>
      <c r="D6" s="56" t="s">
        <v>1</v>
      </c>
      <c r="E6" s="55">
        <v>40</v>
      </c>
      <c r="F6" s="34">
        <f>ROUND('35-40 foot transit bus'!$H$15,2)</f>
        <v>2.34</v>
      </c>
      <c r="G6" s="266">
        <f>ROUND('35-40 foot transit bus'!$J$3,2)*SUMIF('Default Data'!E22:E25,Inputs!B11,'Default Data'!G22:G25)</f>
        <v>4.72</v>
      </c>
      <c r="H6" s="223">
        <f>' Summary'!$B$40/G6</f>
        <v>6355.9322033898306</v>
      </c>
      <c r="I6" s="265">
        <f t="shared" si="2"/>
        <v>0.49576271186440679</v>
      </c>
      <c r="J6" s="170">
        <f>ROUND('35-40 foot transit bus'!$H$20/'35-40 foot transit bus'!$E$8,5)</f>
        <v>1.2370000000000001E-2</v>
      </c>
      <c r="K6" s="53">
        <f>'35-40 foot transit bus'!$M$11*SUMIF('Default Data'!E22:E25,Inputs!B11,'Default Data'!F22:F25)</f>
        <v>0.96</v>
      </c>
      <c r="L6" s="54">
        <f>' Summary'!$B$42</f>
        <v>62400</v>
      </c>
      <c r="M6" s="54">
        <f t="shared" si="3"/>
        <v>1.4681327118644067</v>
      </c>
      <c r="N6" s="35">
        <v>15000</v>
      </c>
      <c r="O6" s="37">
        <v>31300</v>
      </c>
      <c r="P6" s="36">
        <v>250000</v>
      </c>
      <c r="Q6" s="58">
        <v>0</v>
      </c>
      <c r="R6" s="281"/>
      <c r="S6" s="420">
        <f>'Maint-Fuel mpg'!$F$30*'Default Data'!H6</f>
        <v>127.11864406779661</v>
      </c>
      <c r="T6" s="157">
        <f>(B6+(N6+O6)*(ROUNDDOWN('35-40 foot transit bus'!$E$5*12/'Default Data'!P6,0))+Q6+R6)*Inputs!$B$18</f>
        <v>697845</v>
      </c>
      <c r="U6" s="258">
        <f>U2*E27</f>
        <v>2.815761189623546E-3</v>
      </c>
      <c r="V6" s="259">
        <f>'Criteria Polutant Data'!$C$2*U6</f>
        <v>0.11826196996418893</v>
      </c>
      <c r="W6" s="276">
        <f t="shared" si="7"/>
        <v>7.924887759619484E-7</v>
      </c>
      <c r="X6" s="260">
        <f>X2*$N$31</f>
        <v>1.0300021001483233E-2</v>
      </c>
      <c r="Y6" s="277">
        <f t="shared" si="8"/>
        <v>1.1183965085240286E-7</v>
      </c>
      <c r="Z6" s="260">
        <f>Z2*$N$31</f>
        <v>7.0052347242457139E-2</v>
      </c>
      <c r="AA6" s="259">
        <f t="shared" si="4"/>
        <v>0.20143009939775286</v>
      </c>
      <c r="AB6" s="264">
        <f>(M6*'35-40 foot transit bus'!$E$8)+L6+S6</f>
        <v>106571.09999999999</v>
      </c>
      <c r="AC6" s="264">
        <f>AB6+(AB6*'Inflation-Road conditions'!$B$3)+(AB6*'Inflation-Road conditions'!$B$4)+(AB6*'Inflation-Road conditions'!$B$5)+(AB6*'Inflation-Road conditions'!$B$6)+(AB6*'Inflation-Road conditions'!$B$7)+(AB6*'Inflation-Road conditions'!$B$8)+(AB6*'Inflation-Road conditions'!$B$9)+(AB6*'Inflation-Road conditions'!$B$10)+(AB6*'Inflation-Road conditions'!$B$11)+(AB6*'Inflation-Road conditions'!$B$12)+(AB6*'Inflation-Road conditions'!$B$13)</f>
        <v>1461924.5692330773</v>
      </c>
      <c r="AD6" s="264">
        <f t="shared" si="5"/>
        <v>2159769.5692330776</v>
      </c>
      <c r="AE6" s="261">
        <v>0</v>
      </c>
      <c r="AF6" s="261">
        <v>0</v>
      </c>
      <c r="AG6" s="270">
        <f t="shared" si="6"/>
        <v>0</v>
      </c>
      <c r="AH6" s="168">
        <f>(AA6*'35-40 foot transit bus'!$E$5)+((AA6*'35-40 foot transit bus'!$E$5)*'Inflation-Road conditions'!$B$3)+((AA6*'35-40 foot transit bus'!$E$5)*'Inflation-Road conditions'!$B$4)+((AA6*'35-40 foot transit bus'!$E$5)*'Inflation-Road conditions'!$B$5)+((AA6*'35-40 foot transit bus'!$E$5)*'Inflation-Road conditions'!$B$6)+((AA6*'35-40 foot transit bus'!$E$5)*'Inflation-Road conditions'!$B$7)+((AA6*'35-40 foot transit bus'!$E$5)*'Inflation-Road conditions'!$B$8)+((AA6*'35-40 foot transit bus'!$E$5)*'Inflation-Road conditions'!$B$9)+((AA6*'35-40 foot transit bus'!$E$5)*'Inflation-Road conditions'!$B$10)+((AA6*'35-40 foot transit bus'!$E$5)*'Inflation-Road conditions'!$B$11)+((AA6*'35-40 foot transit bus'!$E$5)*'Inflation-Road conditions'!$B$12)+((AA6*'35-40 foot transit bus'!$E$5)*'Inflation-Road conditions'!$B$13)</f>
        <v>82895.534894348224</v>
      </c>
      <c r="AI6" s="169">
        <f t="shared" si="0"/>
        <v>2242665.1041274257</v>
      </c>
      <c r="AJ6" s="168">
        <f t="shared" si="1"/>
        <v>2242665.1041274257</v>
      </c>
      <c r="AK6" s="51"/>
    </row>
    <row r="7" spans="1:37" ht="15.75" customHeight="1" x14ac:dyDescent="0.25">
      <c r="A7" s="12" t="s">
        <v>196</v>
      </c>
      <c r="B7" s="180">
        <f>ROUND('Bus Price'!$D$12,0)</f>
        <v>651545</v>
      </c>
      <c r="C7" s="181">
        <v>12</v>
      </c>
      <c r="D7" s="56" t="s">
        <v>1</v>
      </c>
      <c r="E7" s="55">
        <v>40</v>
      </c>
      <c r="F7" s="34">
        <f>ROUND('35-40 foot transit bus'!$H$25,2)</f>
        <v>2.37</v>
      </c>
      <c r="G7" s="266">
        <f>ROUND('35-40 foot transit bus'!$J$3,2)*SUMIF('Default Data'!E22:E25,Inputs!B11,'Default Data'!G22:G25)</f>
        <v>4.72</v>
      </c>
      <c r="H7" s="223">
        <f>' Summary'!$B$40/G7</f>
        <v>6355.9322033898306</v>
      </c>
      <c r="I7" s="265">
        <f t="shared" si="2"/>
        <v>0.5021186440677966</v>
      </c>
      <c r="J7" s="170">
        <f>ROUND('35-40 foot transit bus'!$H$30/'35-40 foot transit bus'!$E$8,5)</f>
        <v>1.1129999999999999E-2</v>
      </c>
      <c r="K7" s="54">
        <f>(K6-0.01)*SUMIF('Default Data'!E22:E25,Inputs!B11,'Default Data'!F22:F25)</f>
        <v>0.95</v>
      </c>
      <c r="L7" s="54">
        <f>' Summary'!$B$42</f>
        <v>62400</v>
      </c>
      <c r="M7" s="54">
        <f t="shared" si="3"/>
        <v>1.4632486440677965</v>
      </c>
      <c r="N7" s="35">
        <v>15000</v>
      </c>
      <c r="O7" s="37">
        <v>31300</v>
      </c>
      <c r="P7" s="36">
        <v>250000</v>
      </c>
      <c r="Q7" s="58">
        <v>0</v>
      </c>
      <c r="R7" s="281"/>
      <c r="S7" s="420">
        <f>'Maint-Fuel mpg'!$F$30*'Default Data'!H7</f>
        <v>127.11864406779661</v>
      </c>
      <c r="T7" s="157">
        <f>(B7+(N7+O7)*(ROUNDDOWN('35-40 foot transit bus'!$E$5*12/'Default Data'!P7,0))+Q7+R7)*Inputs!$B$18</f>
        <v>697845</v>
      </c>
      <c r="U7" s="258">
        <f>U3*E28</f>
        <v>2.5514832622697994E-3</v>
      </c>
      <c r="V7" s="259">
        <f>'Criteria Polutant Data'!$C$2*U7</f>
        <v>0.10716229701533157</v>
      </c>
      <c r="W7" s="276">
        <f t="shared" si="7"/>
        <v>7.1810843009521247E-7</v>
      </c>
      <c r="X7" s="260">
        <f>X2*$N$32</f>
        <v>9.3332954808662029E-3</v>
      </c>
      <c r="Y7" s="277">
        <f t="shared" si="8"/>
        <v>1.0134275529458346E-7</v>
      </c>
      <c r="Z7" s="260">
        <f>Z2*$N$32</f>
        <v>6.3477468235059259E-2</v>
      </c>
      <c r="AA7" s="259">
        <f t="shared" si="4"/>
        <v>0.18252454399352683</v>
      </c>
      <c r="AB7" s="264">
        <f>(M7*'35-40 foot transit bus'!$E$8)+L7+S7</f>
        <v>106424.57796610169</v>
      </c>
      <c r="AC7" s="264">
        <f>AB7+(AB7*'Inflation-Road conditions'!$B$3)+(AB7*'Inflation-Road conditions'!$B$4)+(AB7*'Inflation-Road conditions'!$B$5)+(AB7*'Inflation-Road conditions'!$B$6)+(AB7*'Inflation-Road conditions'!$B$7)+(AB7*'Inflation-Road conditions'!$B$8)+(AB7*'Inflation-Road conditions'!$B$9)+(AB7*'Inflation-Road conditions'!$B$10)+(AB7*'Inflation-Road conditions'!$B$11)+(AB7*'Inflation-Road conditions'!$B$12)+(AB7*'Inflation-Road conditions'!$B$13)</f>
        <v>1459914.6044181329</v>
      </c>
      <c r="AD7" s="264">
        <f t="shared" si="5"/>
        <v>2157759.6044181329</v>
      </c>
      <c r="AE7" s="261">
        <v>0</v>
      </c>
      <c r="AF7" s="261">
        <v>0</v>
      </c>
      <c r="AG7" s="270">
        <f t="shared" si="6"/>
        <v>0</v>
      </c>
      <c r="AH7" s="168">
        <f>(AA7*'35-40 foot transit bus'!$E$5)+((AA7*'35-40 foot transit bus'!$E$5)*'Inflation-Road conditions'!$B$3)+((AA7*'35-40 foot transit bus'!$E$5)*'Inflation-Road conditions'!$B$4)+((AA7*'35-40 foot transit bus'!$E$5)*'Inflation-Road conditions'!$B$5)+((AA7*'35-40 foot transit bus'!$E$5)*'Inflation-Road conditions'!$B$6)+((AA7*'35-40 foot transit bus'!$E$5)*'Inflation-Road conditions'!$B$7)+((AA7*'35-40 foot transit bus'!$E$5)*'Inflation-Road conditions'!$B$8)+((AA7*'35-40 foot transit bus'!$E$5)*'Inflation-Road conditions'!$B$9)+((AA7*'35-40 foot transit bus'!$E$5)*'Inflation-Road conditions'!$B$10)+((AA7*'35-40 foot transit bus'!$E$5)*'Inflation-Road conditions'!$B$11)+((AA7*'35-40 foot transit bus'!$E$5)*'Inflation-Road conditions'!$B$12)+((AA7*'35-40 foot transit bus'!$E$5)*'Inflation-Road conditions'!$B$13)</f>
        <v>75115.237250680686</v>
      </c>
      <c r="AI7" s="169">
        <f t="shared" si="0"/>
        <v>2232874.8416688135</v>
      </c>
      <c r="AJ7" s="168">
        <f t="shared" si="1"/>
        <v>2232874.8416688135</v>
      </c>
      <c r="AK7" s="51"/>
    </row>
    <row r="8" spans="1:37" ht="15.75" customHeight="1" x14ac:dyDescent="0.25">
      <c r="A8" s="33" t="s">
        <v>198</v>
      </c>
      <c r="B8" s="180">
        <f>ROUND('Bus Price'!$D$12,0)</f>
        <v>651545</v>
      </c>
      <c r="C8" s="181">
        <v>12</v>
      </c>
      <c r="D8" s="55" t="s">
        <v>194</v>
      </c>
      <c r="E8" s="55">
        <v>40</v>
      </c>
      <c r="F8" s="34">
        <f>ROUND('35-40 foot transit bus'!$H$38,2)</f>
        <v>2.46</v>
      </c>
      <c r="G8" s="266">
        <f>ROUND('35-40 foot transit bus'!$J$3,2)*SUMIF('Default Data'!E22:E25,Inputs!B11,'Default Data'!G22:G25)</f>
        <v>4.72</v>
      </c>
      <c r="H8" s="223">
        <f>' Summary'!$B$40/G8</f>
        <v>6355.9322033898306</v>
      </c>
      <c r="I8" s="265">
        <f t="shared" si="2"/>
        <v>0.52118644067796616</v>
      </c>
      <c r="J8" s="170">
        <f>ROUND('35-40 foot transit bus'!$H$30/'35-40 foot transit bus'!$E$8,5)</f>
        <v>1.1129999999999999E-2</v>
      </c>
      <c r="K8" s="54">
        <f>(K6-0.02)*SUMIF('Default Data'!E22:E25,Inputs!B11,'Default Data'!F22:F25)</f>
        <v>0.94</v>
      </c>
      <c r="L8" s="54">
        <f>' Summary'!$B$42</f>
        <v>62400</v>
      </c>
      <c r="M8" s="54">
        <f t="shared" si="3"/>
        <v>1.4723164406779661</v>
      </c>
      <c r="N8" s="35">
        <v>15000</v>
      </c>
      <c r="O8" s="37">
        <v>31300</v>
      </c>
      <c r="P8" s="36">
        <v>250000</v>
      </c>
      <c r="Q8" s="58">
        <v>0</v>
      </c>
      <c r="R8" s="281"/>
      <c r="S8" s="420">
        <f>'Maint-Fuel mpg'!$F$30*'Default Data'!H8</f>
        <v>127.11864406779661</v>
      </c>
      <c r="T8" s="157">
        <f>(B8+(N8+O8)*(ROUNDDOWN('35-40 foot transit bus'!$E$5*12/'Default Data'!P8,0))+Q8+R8)*Inputs!$B$18</f>
        <v>697845</v>
      </c>
      <c r="U8" s="258">
        <f>U4*G29</f>
        <v>2.3487100161911079E-3</v>
      </c>
      <c r="V8" s="259">
        <f>'Criteria Polutant Data'!$C$2*U8</f>
        <v>9.864582068002653E-2</v>
      </c>
      <c r="W8" s="276">
        <f t="shared" si="7"/>
        <v>6.5070917471084943E-7</v>
      </c>
      <c r="X8" s="260">
        <f>X2*$N$33</f>
        <v>8.5915533541382327E-3</v>
      </c>
      <c r="Y8" s="277">
        <f t="shared" si="8"/>
        <v>9.1831063244750515E-8</v>
      </c>
      <c r="Z8" s="260">
        <f>Z2*$N$33</f>
        <v>5.8432742887564927E-2</v>
      </c>
      <c r="AA8" s="259">
        <f t="shared" si="4"/>
        <v>0.16801882693792081</v>
      </c>
      <c r="AB8" s="264">
        <f>(M8*'35-40 foot transit bus'!$E$8)+L8+S8</f>
        <v>106696.61186440678</v>
      </c>
      <c r="AC8" s="264">
        <f>AB8+(AB8*'Inflation-Road conditions'!$B$3)+(AB8*'Inflation-Road conditions'!$B$4)+(AB8*'Inflation-Road conditions'!$B$5)+(AB8*'Inflation-Road conditions'!$B$6)+(AB8*'Inflation-Road conditions'!$B$7)+(AB8*'Inflation-Road conditions'!$B$8)+(AB8*'Inflation-Road conditions'!$B$9)+(AB8*'Inflation-Road conditions'!$B$10)+(AB8*'Inflation-Road conditions'!$B$11)+(AB8*'Inflation-Road conditions'!$B$12)+(AB8*'Inflation-Road conditions'!$B$13)</f>
        <v>1463646.320048322</v>
      </c>
      <c r="AD8" s="264">
        <f t="shared" si="5"/>
        <v>2161491.320048322</v>
      </c>
      <c r="AE8" s="261">
        <v>0</v>
      </c>
      <c r="AF8" s="261">
        <v>0</v>
      </c>
      <c r="AG8" s="270">
        <f t="shared" si="6"/>
        <v>0</v>
      </c>
      <c r="AH8" s="168">
        <f>(AA8*'35-40 foot transit bus'!$E$5)+((AA8*'35-40 foot transit bus'!$E$5)*'Inflation-Road conditions'!$B$3)+((AA8*'35-40 foot transit bus'!$E$5)*'Inflation-Road conditions'!$B$4)+((AA8*'35-40 foot transit bus'!$E$5)*'Inflation-Road conditions'!$B$5)+((AA8*'35-40 foot transit bus'!$E$5)*'Inflation-Road conditions'!$B$6)+((AA8*'35-40 foot transit bus'!$E$5)*'Inflation-Road conditions'!$B$7)+((AA8*'35-40 foot transit bus'!$E$5)*'Inflation-Road conditions'!$B$8)+((AA8*'35-40 foot transit bus'!$E$5)*'Inflation-Road conditions'!$B$9)+((AA8*'35-40 foot transit bus'!$E$5)*'Inflation-Road conditions'!$B$10)+((AA8*'35-40 foot transit bus'!$E$5)*'Inflation-Road conditions'!$B$11)+((AA8*'35-40 foot transit bus'!$E$5)*'Inflation-Road conditions'!$B$12)+((AA8*'35-40 foot transit bus'!$E$5)*'Inflation-Road conditions'!$B$13)</f>
        <v>69145.627058630387</v>
      </c>
      <c r="AI8" s="169">
        <f t="shared" si="0"/>
        <v>2230636.9471069523</v>
      </c>
      <c r="AJ8" s="168">
        <f t="shared" si="1"/>
        <v>2230636.9471069523</v>
      </c>
      <c r="AK8" s="51"/>
    </row>
    <row r="9" spans="1:37" ht="15.75" customHeight="1" x14ac:dyDescent="0.25">
      <c r="A9" s="12" t="s">
        <v>199</v>
      </c>
      <c r="B9" s="180">
        <f>ROUND('Bus Price'!$D$12,0)</f>
        <v>651545</v>
      </c>
      <c r="C9" s="181">
        <v>12</v>
      </c>
      <c r="D9" s="55" t="s">
        <v>194</v>
      </c>
      <c r="E9" s="55">
        <v>40</v>
      </c>
      <c r="F9" s="34">
        <f>ROUND('35-40 foot transit bus'!$H$51,2)</f>
        <v>2.61</v>
      </c>
      <c r="G9" s="266">
        <f>ROUND('35-40 foot transit bus'!$J$3,2)*SUMIF('Default Data'!E22:E25,Inputs!B11,'Default Data'!G22:G25)</f>
        <v>4.72</v>
      </c>
      <c r="H9" s="223">
        <f>' Summary'!$B$40/G9</f>
        <v>6355.9322033898306</v>
      </c>
      <c r="I9" s="265">
        <f t="shared" si="2"/>
        <v>0.55296610169491522</v>
      </c>
      <c r="J9" s="170">
        <f>ROUND('35-40 foot transit bus'!$H$56/'35-40 foot transit bus'!$E$8,5)</f>
        <v>9.8899999999999995E-3</v>
      </c>
      <c r="K9" s="54">
        <f>(K6-0.05)*SUMIF('Default Data'!E22:E25,Inputs!B11,'Default Data'!F22:F25)</f>
        <v>0.90999999999999992</v>
      </c>
      <c r="L9" s="54">
        <f>' Summary'!$B$42</f>
        <v>62400</v>
      </c>
      <c r="M9" s="54">
        <f t="shared" si="3"/>
        <v>1.4728561016949151</v>
      </c>
      <c r="N9" s="35">
        <v>15000</v>
      </c>
      <c r="O9" s="37">
        <v>31300</v>
      </c>
      <c r="P9" s="36">
        <v>250000</v>
      </c>
      <c r="Q9" s="58">
        <v>0</v>
      </c>
      <c r="R9" s="281"/>
      <c r="S9" s="420">
        <f>'Maint-Fuel mpg'!$F$30*'Default Data'!H9</f>
        <v>127.11864406779661</v>
      </c>
      <c r="T9" s="157">
        <f>(B9+(N9+O9)*(ROUNDDOWN('35-40 foot transit bus'!$E$5*12/'Default Data'!P9,0))+Q9+R9)*Inputs!$B$18</f>
        <v>697845</v>
      </c>
      <c r="U9" s="258">
        <f>U5*G30</f>
        <v>1.1224604332697272E-3</v>
      </c>
      <c r="V9" s="259">
        <f>'Criteria Polutant Data'!$C$2*U9</f>
        <v>4.7143338197328542E-2</v>
      </c>
      <c r="W9" s="276">
        <f t="shared" si="7"/>
        <v>5.8963578800590609E-7</v>
      </c>
      <c r="X9" s="260">
        <f>X2*$N$34</f>
        <v>4.1059469384752264E-3</v>
      </c>
      <c r="Y9" s="277">
        <f t="shared" si="8"/>
        <v>8.3212106796864355E-8</v>
      </c>
      <c r="Z9" s="260">
        <f>Z2*$N$34</f>
        <v>2.7925304293238876E-2</v>
      </c>
      <c r="AA9" s="259">
        <f t="shared" si="4"/>
        <v>8.029704986231237E-2</v>
      </c>
      <c r="AB9" s="264">
        <f>(M9*'35-40 foot transit bus'!$E$8)+L9+S9</f>
        <v>106712.80169491525</v>
      </c>
      <c r="AC9" s="264">
        <f>AB9+(AB9*'Inflation-Road conditions'!$B$3)+(AB9*'Inflation-Road conditions'!$B$4)+(AB9*'Inflation-Road conditions'!$B$5)+(AB9*'Inflation-Road conditions'!$B$6)+(AB9*'Inflation-Road conditions'!$B$7)+(AB9*'Inflation-Road conditions'!$B$8)+(AB9*'Inflation-Road conditions'!$B$9)+(AB9*'Inflation-Road conditions'!$B$10)+(AB9*'Inflation-Road conditions'!$B$11)+(AB9*'Inflation-Road conditions'!$B$12)+(AB9*'Inflation-Road conditions'!$B$13)</f>
        <v>1463868.4094420888</v>
      </c>
      <c r="AD9" s="264">
        <f t="shared" si="5"/>
        <v>2161713.4094420886</v>
      </c>
      <c r="AE9" s="271">
        <v>0</v>
      </c>
      <c r="AF9" s="261">
        <v>0</v>
      </c>
      <c r="AG9" s="270">
        <f t="shared" si="6"/>
        <v>0</v>
      </c>
      <c r="AH9" s="168">
        <f>(AA9*'35-40 foot transit bus'!$E$5)+((AA9*'35-40 foot transit bus'!$E$5)*'Inflation-Road conditions'!$B$3)+((AA9*'35-40 foot transit bus'!$E$5)*'Inflation-Road conditions'!$B$4)+((AA9*'35-40 foot transit bus'!$E$5)*'Inflation-Road conditions'!$B$5)+((AA9*'35-40 foot transit bus'!$E$5)*'Inflation-Road conditions'!$B$6)+((AA9*'35-40 foot transit bus'!$E$5)*'Inflation-Road conditions'!$B$7)+((AA9*'35-40 foot transit bus'!$E$5)*'Inflation-Road conditions'!$B$8)+((AA9*'35-40 foot transit bus'!$E$5)*'Inflation-Road conditions'!$B$9)+((AA9*'35-40 foot transit bus'!$E$5)*'Inflation-Road conditions'!$B$10)+((AA9*'35-40 foot transit bus'!$E$5)*'Inflation-Road conditions'!$B$11)+((AA9*'35-40 foot transit bus'!$E$5)*'Inflation-Road conditions'!$B$12)+((AA9*'35-40 foot transit bus'!$E$5)*'Inflation-Road conditions'!$B$13)</f>
        <v>33045.045992013205</v>
      </c>
      <c r="AI9" s="169">
        <f t="shared" si="0"/>
        <v>2194758.4554341016</v>
      </c>
      <c r="AJ9" s="168">
        <f t="shared" si="1"/>
        <v>2194758.4554341016</v>
      </c>
      <c r="AK9" s="51"/>
    </row>
    <row r="10" spans="1:37" ht="15" x14ac:dyDescent="0.25">
      <c r="A10" s="38" t="s">
        <v>162</v>
      </c>
      <c r="B10" s="180">
        <f>ROUND('Bus Price'!$E$12,0)</f>
        <v>512174</v>
      </c>
      <c r="C10" s="181">
        <v>12</v>
      </c>
      <c r="D10" s="56" t="s">
        <v>162</v>
      </c>
      <c r="E10" s="55">
        <v>40</v>
      </c>
      <c r="F10" s="34">
        <f>ROUND('35-40 foot transit bus'!$H$66,2)</f>
        <v>1.27</v>
      </c>
      <c r="G10" s="266">
        <f>ROUND('35-40 foot transit bus'!$J$5,2)*SUMIF('Default Data'!E22:E25,Inputs!B11,'Default Data'!G22:G25)</f>
        <v>3.73</v>
      </c>
      <c r="H10" s="223">
        <f>' Summary'!$B$40/G10</f>
        <v>8042.8954423592495</v>
      </c>
      <c r="I10" s="265">
        <f t="shared" si="2"/>
        <v>0.34048257372654156</v>
      </c>
      <c r="J10" s="170">
        <v>0</v>
      </c>
      <c r="K10" s="54">
        <f>'35-40 foot transit bus'!$M$10*SUMIF('Default Data'!E22:E25,Inputs!B11,'Default Data'!F22:F25)</f>
        <v>1.0149999999999999</v>
      </c>
      <c r="L10" s="54">
        <f>' Summary'!$B$42</f>
        <v>62400</v>
      </c>
      <c r="M10" s="54">
        <f t="shared" si="3"/>
        <v>1.3554825737265415</v>
      </c>
      <c r="N10" s="282">
        <f>20000*1.1</f>
        <v>22000</v>
      </c>
      <c r="O10" s="165">
        <f>10500*1.1</f>
        <v>11550.000000000002</v>
      </c>
      <c r="P10" s="283">
        <v>250000</v>
      </c>
      <c r="Q10" s="167">
        <v>0</v>
      </c>
      <c r="R10" s="281">
        <f>IF(Inputs!B18&lt;5,50000,IF(Inputs!B18&gt;10,(1200000/Inputs!B18),(800000/Inputs!B18)))</f>
        <v>50000</v>
      </c>
      <c r="S10" s="420"/>
      <c r="T10" s="157">
        <f>(B10+(N10+O10)*(ROUNDDOWN('35-40 foot transit bus'!$E$5*12/'Default Data'!P10,0))+Q10+R10)*Inputs!$B$18</f>
        <v>595724</v>
      </c>
      <c r="U10" s="258">
        <f>'35-40 foot transit bus'!$H$73/'35-40 foot transit bus'!$E$5</f>
        <v>2.8851984644024213E-3</v>
      </c>
      <c r="V10" s="259">
        <f>'Criteria Polutant Data'!$C$2*U10</f>
        <v>0.1211783355049017</v>
      </c>
      <c r="W10" s="276">
        <f xml:space="preserve"> 'Criteria Polutant Data'!C11</f>
        <v>5.8319088356010822E-8</v>
      </c>
      <c r="X10" s="419">
        <f>'Criteria Polutant Data'!D11</f>
        <v>5.826194708666993E-4</v>
      </c>
      <c r="Y10" s="261">
        <f>'Criteria Polutant Data'!C12</f>
        <v>1.6588540687931967E-7</v>
      </c>
      <c r="Z10" s="419">
        <f>'Criteria Polutant Data'!D12</f>
        <v>7.9866444199129874E-2</v>
      </c>
      <c r="AA10" s="259">
        <f t="shared" si="4"/>
        <v>0.20451259763930069</v>
      </c>
      <c r="AB10" s="264">
        <f>(M10*'35-40 foot transit bus'!$E$8)+L10+S10</f>
        <v>103064.47721179624</v>
      </c>
      <c r="AC10" s="264">
        <f>IF(Inputs!$B$32="Yes",((AB10-'All Fuel Types Calc'!J122)+((AB10*'Inflation-Road conditions'!$B$3)-'All Fuel Types Calc'!J123)+((AB10*'Inflation-Road conditions'!$B$4)-'All Fuel Types Calc'!J124)+((AB10*'Inflation-Road conditions'!$B$5)-'All Fuel Types Calc'!J125)+((AB10*'Inflation-Road conditions'!$B$6)-'All Fuel Types Calc'!J126)+((AB10*'Inflation-Road conditions'!$B$7)-'All Fuel Types Calc'!J127)+((AB10*'Inflation-Road conditions'!$B$8)-'All Fuel Types Calc'!J128)+((AB10*'Inflation-Road conditions'!$B$9)-'All Fuel Types Calc'!J129)+((AB10*'Inflation-Road conditions'!$B$10)-'All Fuel Types Calc'!J130)+((AB10*'Inflation-Road conditions'!$B$11)-'All Fuel Types Calc'!J131)+((AB10*'Inflation-Road conditions'!$B$12)-'All Fuel Types Calc'!J132)+((AB10*'Inflation-Road conditions'!$B$13)-'All Fuel Types Calc'!J133)),AB10+(AB10*'Inflation-Road conditions'!$B$3)+(AB10*'Inflation-Road conditions'!$B$4)+(AB10*'Inflation-Road conditions'!$B$5)+(AB10*'Inflation-Road conditions'!$B$6)+(AB10*'Inflation-Road conditions'!$B$7)+(AB10*'Inflation-Road conditions'!$B$8)+(AB10*'Inflation-Road conditions'!$B$9)+(AB10*'Inflation-Road conditions'!$B$10)+(AB10*'Inflation-Road conditions'!$B$11)+(AB10*'Inflation-Road conditions'!$B$12)+(AB10*'Inflation-Road conditions'!$B$13))</f>
        <v>1411254.9609304415</v>
      </c>
      <c r="AD10" s="264">
        <f>AC10+T10</f>
        <v>2006978.9609304415</v>
      </c>
      <c r="AE10" s="271">
        <f>'CFP Credit Estimator'!L169</f>
        <v>23.120197721179576</v>
      </c>
      <c r="AF10" s="261">
        <f>Inputs!C33</f>
        <v>111</v>
      </c>
      <c r="AG10" s="270">
        <f t="shared" si="6"/>
        <v>-2566.341947050933</v>
      </c>
      <c r="AH10" s="168">
        <f>(AA10*'35-40 foot transit bus'!$E$5)+((AA10*'35-40 foot transit bus'!$E$5)*'Inflation-Road conditions'!$B$3)+((AA10*'35-40 foot transit bus'!$E$5)*'Inflation-Road conditions'!$B$4)+((AA10*'35-40 foot transit bus'!$E$5)*'Inflation-Road conditions'!$B$5)+((AA10*'35-40 foot transit bus'!$E$5)*'Inflation-Road conditions'!$B$6)+((AA10*'35-40 foot transit bus'!$E$5)*'Inflation-Road conditions'!$B$7)+((AA10*'35-40 foot transit bus'!$E$5)*'Inflation-Road conditions'!$B$8)+((AA10*'35-40 foot transit bus'!$E$5)*'Inflation-Road conditions'!$B$9)+((AA10*'35-40 foot transit bus'!$E$5)*'Inflation-Road conditions'!$B$10)+((AA10*'35-40 foot transit bus'!$E$5)*'Inflation-Road conditions'!$B$11)+((AA10*'35-40 foot transit bus'!$E$5)*'Inflation-Road conditions'!$B$12)+((AA10*'35-40 foot transit bus'!$E$5)*'Inflation-Road conditions'!$B$13)</f>
        <v>84164.090791942363</v>
      </c>
      <c r="AI10" s="169">
        <f t="shared" si="0"/>
        <v>2091143.0517223838</v>
      </c>
      <c r="AJ10" s="168">
        <f>AI10</f>
        <v>2091143.0517223838</v>
      </c>
      <c r="AK10" s="16"/>
    </row>
    <row r="11" spans="1:37" ht="15" x14ac:dyDescent="0.25">
      <c r="A11" s="38" t="s">
        <v>171</v>
      </c>
      <c r="B11" s="180">
        <f>ROUND('Bus Price'!$E$12,0)</f>
        <v>512174</v>
      </c>
      <c r="C11" s="181">
        <v>12</v>
      </c>
      <c r="D11" s="56" t="s">
        <v>171</v>
      </c>
      <c r="E11" s="55">
        <v>40</v>
      </c>
      <c r="F11" s="34">
        <f>ROUND('35-40 foot transit bus'!H82,2)</f>
        <v>0.43</v>
      </c>
      <c r="G11" s="266">
        <f>ROUND('35-40 foot transit bus'!$J$5,2)*SUMIF('Default Data'!E22:E25,Inputs!B11,'Default Data'!G22:G25)</f>
        <v>3.73</v>
      </c>
      <c r="H11" s="223">
        <f>' Summary'!$B$40/G11</f>
        <v>8042.8954423592495</v>
      </c>
      <c r="I11" s="265">
        <f t="shared" si="2"/>
        <v>0.11528150134048257</v>
      </c>
      <c r="J11" s="170">
        <v>0</v>
      </c>
      <c r="K11" s="54">
        <f>'35-40 foot transit bus'!$M$10*SUMIF('Default Data'!E22:E25,Inputs!B11,'Default Data'!F22:F25)</f>
        <v>1.0149999999999999</v>
      </c>
      <c r="L11" s="54">
        <f>' Summary'!$B$42</f>
        <v>62400</v>
      </c>
      <c r="M11" s="54">
        <f t="shared" si="3"/>
        <v>1.1302815013404826</v>
      </c>
      <c r="N11" s="282">
        <f>20000*1.1</f>
        <v>22000</v>
      </c>
      <c r="O11" s="165">
        <f>10500*1.1</f>
        <v>11550.000000000002</v>
      </c>
      <c r="P11" s="283">
        <v>250000</v>
      </c>
      <c r="Q11" s="167">
        <v>0</v>
      </c>
      <c r="R11" s="281">
        <f>IF(Inputs!B18&lt;5,50000,IF(Inputs!B18&gt;10,(1200000/Inputs!B18),(800000/Inputs!B18)))</f>
        <v>50000</v>
      </c>
      <c r="S11" s="420"/>
      <c r="T11" s="157">
        <f>(B11+(N11+O11)*(ROUNDDOWN('35-40 foot transit bus'!$E$5*12/'Default Data'!P11,0))+Q11+R11)*Inputs!$B$18</f>
        <v>595724</v>
      </c>
      <c r="U11" s="258">
        <f>'35-40 foot transit bus'!$H$89/'35-40 foot transit bus'!$E$5</f>
        <v>1.2511106408668667E-3</v>
      </c>
      <c r="V11" s="259">
        <f>'Criteria Polutant Data'!$C$2*U11</f>
        <v>5.2546646916408403E-2</v>
      </c>
      <c r="W11" s="278">
        <f>'Criteria Polutant Data'!C14</f>
        <v>5.8319088356010822E-8</v>
      </c>
      <c r="X11" s="279">
        <f>'Criteria Polutant Data'!D14</f>
        <v>5.826194708666993E-4</v>
      </c>
      <c r="Y11" s="162">
        <f>'Criteria Polutant Data'!C15</f>
        <v>1.6588540687931967E-7</v>
      </c>
      <c r="Z11" s="279">
        <f>'Criteria Polutant Data'!D15</f>
        <v>7.9866444199129874E-2</v>
      </c>
      <c r="AA11" s="259">
        <f t="shared" si="4"/>
        <v>0.13424682122727183</v>
      </c>
      <c r="AB11" s="264">
        <f>(M11*'35-40 foot transit bus'!$E$8)+L11+S11</f>
        <v>96308.445040214487</v>
      </c>
      <c r="AC11" s="264">
        <f>AB11+(AB11*'Inflation-Road conditions'!$B$3)+(AB11*'Inflation-Road conditions'!$B$4)+(AB11*'Inflation-Road conditions'!$B$5)+(AB11*'Inflation-Road conditions'!$B$6)+(AB11*'Inflation-Road conditions'!$B$7)+(AB11*'Inflation-Road conditions'!$B$8)+(AB11*'Inflation-Road conditions'!$B$9)+(AB11*'Inflation-Road conditions'!$B$10)+(AB11*'Inflation-Road conditions'!$B$11)+(AB11*'Inflation-Road conditions'!$B$12)+(AB11*'Inflation-Road conditions'!$B$13)</f>
        <v>1321143.1807396477</v>
      </c>
      <c r="AD11" s="264">
        <f t="shared" si="5"/>
        <v>1916867.1807396477</v>
      </c>
      <c r="AE11" s="271">
        <v>0</v>
      </c>
      <c r="AF11" s="261">
        <v>0</v>
      </c>
      <c r="AG11" s="270">
        <f t="shared" si="6"/>
        <v>0</v>
      </c>
      <c r="AH11" s="168">
        <f>(AA11*'35-40 foot transit bus'!$E$5)+((AA11*'35-40 foot transit bus'!$E$5)*'Inflation-Road conditions'!$B$3)+((AA11*'35-40 foot transit bus'!$E$5)*'Inflation-Road conditions'!$B$4)+((AA11*'35-40 foot transit bus'!$E$5)*'Inflation-Road conditions'!$B$5)+((AA11*'35-40 foot transit bus'!$E$5)*'Inflation-Road conditions'!$B$6)+((AA11*'35-40 foot transit bus'!$E$5)*'Inflation-Road conditions'!$B$7)+((AA11*'35-40 foot transit bus'!$E$5)*'Inflation-Road conditions'!$B$8)+((AA11*'35-40 foot transit bus'!$E$5)*'Inflation-Road conditions'!$B$9)+((AA11*'35-40 foot transit bus'!$E$5)*'Inflation-Road conditions'!$B$10)+((AA11*'35-40 foot transit bus'!$E$5)*'Inflation-Road conditions'!$B$11)+((AA11*'35-40 foot transit bus'!$E$5)*'Inflation-Road conditions'!$B$12)+((AA11*'35-40 foot transit bus'!$E$5)*'Inflation-Road conditions'!$B$13)</f>
        <v>55247.264866438272</v>
      </c>
      <c r="AI11" s="169">
        <f t="shared" si="0"/>
        <v>1972114.4456060859</v>
      </c>
      <c r="AJ11" s="168">
        <f t="shared" si="1"/>
        <v>1972114.4456060859</v>
      </c>
      <c r="AK11" s="16"/>
    </row>
    <row r="12" spans="1:37" ht="15" x14ac:dyDescent="0.25">
      <c r="A12" s="39" t="s">
        <v>222</v>
      </c>
      <c r="B12" s="180">
        <f>ROUND('Bus Price'!$C$12,0)</f>
        <v>837608</v>
      </c>
      <c r="C12" s="181">
        <v>12</v>
      </c>
      <c r="D12" s="56" t="s">
        <v>193</v>
      </c>
      <c r="E12" s="55">
        <v>40</v>
      </c>
      <c r="F12" s="268">
        <f>I12</f>
        <v>0.45961730000000001</v>
      </c>
      <c r="G12" s="266">
        <f>ROUND('35-40 foot transit bus'!J4,2)*SUMIF('Default Data'!E22:E25,Inputs!B11,'Default Data'!H22:H25)</f>
        <v>1.95</v>
      </c>
      <c r="H12" s="223">
        <f>' Summary'!$B$40*G12</f>
        <v>58500</v>
      </c>
      <c r="I12" s="265">
        <f>'35-40 foot transit bus'!$H$104</f>
        <v>0.45961730000000001</v>
      </c>
      <c r="J12" s="170">
        <v>0</v>
      </c>
      <c r="K12" s="182">
        <f>'35-40 foot transit bus'!M9*SUMIF('Default Data'!E22:E25,Inputs!B11,'Default Data'!F22:F25)</f>
        <v>0.93</v>
      </c>
      <c r="L12" s="54">
        <f>' Summary'!$B$42</f>
        <v>62400</v>
      </c>
      <c r="M12" s="54">
        <f t="shared" si="3"/>
        <v>1.3896173000000001</v>
      </c>
      <c r="N12" s="164">
        <v>0</v>
      </c>
      <c r="O12" s="165">
        <v>0</v>
      </c>
      <c r="P12" s="166">
        <v>250000</v>
      </c>
      <c r="Q12" s="163">
        <v>0</v>
      </c>
      <c r="R12" s="281">
        <f>'35-40 foot transit bus'!E11</f>
        <v>105000</v>
      </c>
      <c r="S12" s="420">
        <f>'Maint-Fuel mpg'!$F$35*'Default Data'!H12</f>
        <v>31.320737160879318</v>
      </c>
      <c r="T12" s="157">
        <f>(B12+(N12+O12)*(ROUNDDOWN('35-40 foot transit bus'!$E$5*12/'Default Data'!P12,0))+Q12+R12)*Inputs!$B$18</f>
        <v>942608</v>
      </c>
      <c r="U12" s="258">
        <f>'35-40 foot transit bus'!$H$109/'35-40 foot transit bus'!$E$5</f>
        <v>1.3437447433141349E-3</v>
      </c>
      <c r="V12" s="259">
        <f>'Criteria Polutant Data'!$C$2*U12</f>
        <v>5.6437279219193663E-2</v>
      </c>
      <c r="W12" s="276">
        <f>'Criteria Polutant Data'!C17</f>
        <v>0</v>
      </c>
      <c r="X12" s="419">
        <f xml:space="preserve"> 'Criteria Polutant Data'!D17</f>
        <v>0</v>
      </c>
      <c r="Y12" s="261">
        <f>'Criteria Polutant Data'!C18</f>
        <v>1.6588540687931967E-7</v>
      </c>
      <c r="Z12" s="419">
        <f>'Criteria Polutant Data'!D18</f>
        <v>7.9866444199129874E-2</v>
      </c>
      <c r="AA12" s="259">
        <f>U12+V12+X12+Z12</f>
        <v>0.13764746816163767</v>
      </c>
      <c r="AB12" s="264">
        <f>(M12*'35-40 foot transit bus'!$E$8)+L12+S12</f>
        <v>104119.83973716087</v>
      </c>
      <c r="AC12" s="264">
        <f>IF(Inputs!B32="Yes",((AB12-'All Fuel Types Calc'!L122)+((AB12*'Inflation-Road conditions'!B3)-'All Fuel Types Calc'!L123)+((AB12*'Inflation-Road conditions'!B4)-'All Fuel Types Calc'!L124)+((AB12*'Inflation-Road conditions'!B5)-'All Fuel Types Calc'!L125)+((AB12*'Inflation-Road conditions'!B6)-'All Fuel Types Calc'!L126)+(AB12*'Inflation-Road conditions'!B7)-'All Fuel Types Calc'!L127)+((AB12*'Inflation-Road conditions'!B8)-'All Fuel Types Calc'!L128)+((AB12*'Inflation-Road conditions'!B9)-'All Fuel Types Calc'!L129)-((AB12*'Inflation-Road conditions'!B10)-'All Fuel Types Calc'!L130)-((AB12*'Inflation-Road conditions'!B11)-'All Fuel Types Calc'!L131)+((AB12*'Inflation-Road conditions'!B12)-'All Fuel Types Calc'!L132)+((AB12*'Inflation-Road conditions'!B13)-'All Fuel Types Calc'!L133),((AB12)+(AB12*'Inflation-Road conditions'!B3))+(AB12*'Inflation-Road conditions'!B4)+(AB12*'Inflation-Road conditions'!B4)+(AB12*'Inflation-Road conditions'!B5)+(AB12*'Inflation-Road conditions'!B6)+(AB12*'Inflation-Road conditions'!B7)+(AB12*'Inflation-Road conditions'!B8)+(AB12*'Inflation-Road conditions'!B9)+(AB12*'Inflation-Road conditions'!B10)+(AB12*'Inflation-Road conditions'!B11)+(AB12*'Inflation-Road conditions'!B12)+(AB12*'Inflation-Road conditions'!B13))</f>
        <v>869232.99510828312</v>
      </c>
      <c r="AD12" s="264">
        <f>AC12+T12</f>
        <v>1811840.9951082831</v>
      </c>
      <c r="AE12" s="271">
        <f>IF(Inputs!B31="Yes",'CFP Credit Estimator'!L33,'CFP Credit Estimator'!L50)</f>
        <v>1127.5924140000002</v>
      </c>
      <c r="AF12" s="261">
        <f>Inputs!C33</f>
        <v>111</v>
      </c>
      <c r="AG12" s="270">
        <f t="shared" si="6"/>
        <v>-125162.75795400002</v>
      </c>
      <c r="AH12" s="168">
        <f>(AA12*'35-40 foot transit bus'!$E$5)+((AA12*'35-40 foot transit bus'!$E$5)*'Inflation-Road conditions'!$B$3)+((AA12*'35-40 foot transit bus'!$E$5)*'Inflation-Road conditions'!$B$4)+((AA12*'35-40 foot transit bus'!$E$5)*'Inflation-Road conditions'!$B$5)+((AA12*'35-40 foot transit bus'!$E$5)*'Inflation-Road conditions'!$B$6)+((AA12*'35-40 foot transit bus'!$E$5)*'Inflation-Road conditions'!$B$7)+((AA12*'35-40 foot transit bus'!$E$5)*'Inflation-Road conditions'!$B$8)+((AA12*'35-40 foot transit bus'!$E$5)*'Inflation-Road conditions'!$B$9)+((AA12*'35-40 foot transit bus'!$E$5)*'Inflation-Road conditions'!$B$10)+((AA12*'35-40 foot transit bus'!$E$5)*'Inflation-Road conditions'!$B$11)+((AA12*'35-40 foot transit bus'!$E$5)*'Inflation-Road conditions'!$B$12)+((AA12*'35-40 foot transit bus'!$E$5)*'Inflation-Road conditions'!$B$13)</f>
        <v>56646.750084654996</v>
      </c>
      <c r="AI12" s="169">
        <f t="shared" si="0"/>
        <v>1868487.745192938</v>
      </c>
      <c r="AJ12" s="168">
        <f>AI12</f>
        <v>1868487.745192938</v>
      </c>
      <c r="AK12" s="16"/>
    </row>
    <row r="13" spans="1:37" x14ac:dyDescent="0.2">
      <c r="B13" s="9" t="s">
        <v>445</v>
      </c>
      <c r="AC13" s="544"/>
      <c r="AD13" s="18"/>
    </row>
    <row r="17" spans="1:38" x14ac:dyDescent="0.2">
      <c r="U17" s="1">
        <f>(ROUNDDOWN('35-40 foot transit bus'!E5*12/'Default Data'!P2,0))</f>
        <v>1</v>
      </c>
    </row>
    <row r="20" spans="1:38" ht="15.75" thickBot="1" x14ac:dyDescent="0.3">
      <c r="E20" s="5"/>
      <c r="Z20" s="16"/>
      <c r="AA20" s="51"/>
      <c r="AB20" s="51"/>
      <c r="AC20" s="51"/>
      <c r="AD20" s="51"/>
      <c r="AE20" s="51"/>
      <c r="AF20" s="16"/>
      <c r="AG20" s="51"/>
      <c r="AH20" s="51"/>
      <c r="AI20" s="16"/>
      <c r="AJ20" s="16"/>
      <c r="AK20" s="16"/>
      <c r="AL20" s="16"/>
    </row>
    <row r="21" spans="1:38" ht="38.25" x14ac:dyDescent="0.25">
      <c r="A21" s="30" t="s">
        <v>26</v>
      </c>
      <c r="B21" s="31" t="s">
        <v>37</v>
      </c>
      <c r="C21" s="171"/>
      <c r="E21" s="27" t="s">
        <v>28</v>
      </c>
      <c r="F21" s="28" t="s">
        <v>31</v>
      </c>
      <c r="G21" s="29" t="s">
        <v>32</v>
      </c>
      <c r="H21" s="155" t="s">
        <v>761</v>
      </c>
      <c r="I21" s="155"/>
      <c r="J21" s="155"/>
      <c r="Z21" s="16"/>
      <c r="AA21" s="51"/>
      <c r="AB21" s="51"/>
      <c r="AC21" s="51"/>
      <c r="AD21" s="51"/>
      <c r="AE21" s="51"/>
      <c r="AF21" s="16"/>
      <c r="AG21" s="51"/>
      <c r="AH21" s="51"/>
      <c r="AI21" s="16"/>
      <c r="AJ21" s="16"/>
      <c r="AK21" s="16"/>
      <c r="AL21" s="16"/>
    </row>
    <row r="22" spans="1:38" x14ac:dyDescent="0.2">
      <c r="A22" s="32" t="s">
        <v>24</v>
      </c>
      <c r="B22" s="399">
        <f>Inputs!B12</f>
        <v>2.4E-2</v>
      </c>
      <c r="C22" s="172"/>
      <c r="E22" s="40" t="s">
        <v>299</v>
      </c>
      <c r="F22" s="41">
        <v>0.75</v>
      </c>
      <c r="G22" s="42">
        <v>1.2</v>
      </c>
      <c r="H22" s="156">
        <v>0.8</v>
      </c>
      <c r="I22" s="156"/>
      <c r="J22" s="156"/>
    </row>
    <row r="23" spans="1:38" x14ac:dyDescent="0.2">
      <c r="A23" s="32" t="s">
        <v>6</v>
      </c>
      <c r="B23" s="57">
        <v>30</v>
      </c>
      <c r="C23" s="172"/>
      <c r="E23" s="43" t="s">
        <v>38</v>
      </c>
      <c r="F23" s="44">
        <v>1</v>
      </c>
      <c r="G23" s="45">
        <v>1</v>
      </c>
      <c r="H23" s="156">
        <v>1</v>
      </c>
      <c r="I23" s="156"/>
      <c r="J23" s="156"/>
    </row>
    <row r="24" spans="1:38" x14ac:dyDescent="0.2">
      <c r="A24" s="17"/>
      <c r="B24" s="1" t="s">
        <v>51</v>
      </c>
      <c r="C24" s="173"/>
      <c r="E24" s="43" t="s">
        <v>39</v>
      </c>
      <c r="F24" s="44">
        <v>1.25</v>
      </c>
      <c r="G24" s="45">
        <v>0.8</v>
      </c>
      <c r="H24" s="156">
        <v>1.2</v>
      </c>
      <c r="I24" s="156"/>
      <c r="J24" s="156"/>
    </row>
    <row r="25" spans="1:38" ht="13.5" thickBot="1" x14ac:dyDescent="0.25">
      <c r="A25" s="794" t="s">
        <v>763</v>
      </c>
      <c r="B25" s="1"/>
      <c r="C25" s="174"/>
      <c r="E25" s="46" t="s">
        <v>298</v>
      </c>
      <c r="F25" s="47">
        <v>1.5</v>
      </c>
      <c r="G25" s="48">
        <v>0.66</v>
      </c>
      <c r="H25" s="156">
        <v>1.34</v>
      </c>
      <c r="I25" s="156"/>
      <c r="J25" s="156"/>
    </row>
    <row r="26" spans="1:38" x14ac:dyDescent="0.2">
      <c r="A26" s="795"/>
      <c r="C26" s="175"/>
      <c r="E26" s="8" t="s">
        <v>201</v>
      </c>
      <c r="J26" s="1" t="s">
        <v>209</v>
      </c>
    </row>
    <row r="27" spans="1:38" ht="16.5" customHeight="1" x14ac:dyDescent="0.2">
      <c r="A27" s="795"/>
      <c r="C27" s="8"/>
      <c r="D27" s="33" t="s">
        <v>197</v>
      </c>
      <c r="E27" s="159">
        <f>I6/I2</f>
        <v>0.87711864406779672</v>
      </c>
      <c r="F27" s="159"/>
      <c r="I27" s="33" t="s">
        <v>189</v>
      </c>
      <c r="J27" s="50"/>
      <c r="K27" s="50"/>
      <c r="L27" s="1">
        <v>1</v>
      </c>
      <c r="N27" s="10"/>
      <c r="P27" s="1"/>
    </row>
    <row r="28" spans="1:38" x14ac:dyDescent="0.2">
      <c r="A28" s="795"/>
      <c r="B28" s="2"/>
      <c r="C28" s="8"/>
      <c r="D28" s="1" t="s">
        <v>196</v>
      </c>
      <c r="E28" s="159">
        <f>I7/I3</f>
        <v>0.87711864406779649</v>
      </c>
      <c r="F28" s="159"/>
      <c r="I28" s="1" t="s">
        <v>190</v>
      </c>
      <c r="L28" s="1">
        <f>V3/V2</f>
        <v>0.90614334470989744</v>
      </c>
      <c r="N28" s="10"/>
      <c r="P28" s="1"/>
    </row>
    <row r="29" spans="1:38" ht="25.5" x14ac:dyDescent="0.2">
      <c r="A29" s="795"/>
      <c r="B29" s="1"/>
      <c r="C29" s="176"/>
      <c r="E29" s="7"/>
      <c r="F29" s="33" t="s">
        <v>198</v>
      </c>
      <c r="G29" s="159">
        <f>I8/I4</f>
        <v>0.8771186440677966</v>
      </c>
      <c r="H29" s="159"/>
      <c r="K29" s="33" t="s">
        <v>191</v>
      </c>
      <c r="L29" s="50"/>
      <c r="M29" s="50"/>
      <c r="N29" s="1">
        <f>V4/V2</f>
        <v>0.8341296928327645</v>
      </c>
    </row>
    <row r="30" spans="1:38" x14ac:dyDescent="0.2">
      <c r="A30" s="795"/>
      <c r="B30" s="1"/>
      <c r="F30" s="1" t="s">
        <v>199</v>
      </c>
      <c r="G30" s="159">
        <f>I9/I5</f>
        <v>0.87711864406779649</v>
      </c>
      <c r="H30" s="159"/>
      <c r="K30" s="1" t="s">
        <v>192</v>
      </c>
      <c r="N30" s="1">
        <f>V5/V2</f>
        <v>0.3986348122866894</v>
      </c>
    </row>
    <row r="31" spans="1:38" ht="25.5" x14ac:dyDescent="0.2">
      <c r="A31" s="795"/>
      <c r="B31" s="1"/>
      <c r="E31" s="2"/>
      <c r="K31" s="33" t="s">
        <v>197</v>
      </c>
      <c r="L31" s="50"/>
      <c r="M31" s="50"/>
      <c r="N31" s="1">
        <f>V6/V2</f>
        <v>0.8771186440677966</v>
      </c>
    </row>
    <row r="32" spans="1:38" s="2" customFormat="1" x14ac:dyDescent="0.2">
      <c r="A32" s="795"/>
      <c r="B32" s="1"/>
      <c r="F32" s="11"/>
      <c r="K32" s="1" t="s">
        <v>196</v>
      </c>
      <c r="L32" s="1"/>
      <c r="M32" s="1"/>
      <c r="N32" s="2">
        <f>V7/V2</f>
        <v>0.79479522184300322</v>
      </c>
      <c r="P32" s="10"/>
    </row>
    <row r="33" spans="1:14" ht="25.5" x14ac:dyDescent="0.2">
      <c r="A33" s="795"/>
      <c r="C33" s="1"/>
      <c r="K33" s="33" t="s">
        <v>198</v>
      </c>
      <c r="L33" s="50"/>
      <c r="M33" s="50"/>
      <c r="N33" s="1">
        <f>V8/V2</f>
        <v>0.73163070515416206</v>
      </c>
    </row>
    <row r="34" spans="1:14" x14ac:dyDescent="0.2">
      <c r="A34" s="796"/>
      <c r="C34" s="1"/>
      <c r="K34" s="1" t="s">
        <v>199</v>
      </c>
      <c r="N34" s="1">
        <f>V9/V2</f>
        <v>0.34965002603112155</v>
      </c>
    </row>
    <row r="35" spans="1:14" x14ac:dyDescent="0.2">
      <c r="C35" s="1"/>
    </row>
    <row r="36" spans="1:14" x14ac:dyDescent="0.2">
      <c r="C36" s="1"/>
    </row>
  </sheetData>
  <sheetProtection selectLockedCells="1" selectUnlockedCells="1"/>
  <mergeCells count="1">
    <mergeCell ref="A25:A34"/>
  </mergeCells>
  <pageMargins left="0.7" right="0.7" top="0.75" bottom="0.75" header="0.3" footer="0.3"/>
  <pageSetup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34"/>
  <sheetViews>
    <sheetView topLeftCell="D1" workbookViewId="0">
      <pane ySplit="1" topLeftCell="A2" activePane="bottomLeft" state="frozen"/>
      <selection pane="bottomLeft" activeCell="N2" sqref="N2:P14"/>
    </sheetView>
  </sheetViews>
  <sheetFormatPr defaultRowHeight="15" x14ac:dyDescent="0.25"/>
  <cols>
    <col min="1" max="1" width="25" customWidth="1"/>
    <col min="2" max="2" width="20.140625" customWidth="1"/>
    <col min="3" max="7" width="15.42578125" customWidth="1"/>
    <col min="8" max="8" width="14.42578125" customWidth="1"/>
    <col min="9" max="11" width="15.42578125" customWidth="1"/>
    <col min="12" max="12" width="14.42578125" customWidth="1"/>
    <col min="14" max="14" width="10.5703125" customWidth="1"/>
  </cols>
  <sheetData>
    <row r="1" spans="1:16" ht="26.25" x14ac:dyDescent="0.25">
      <c r="A1" s="60" t="s">
        <v>0</v>
      </c>
      <c r="B1" s="33" t="s">
        <v>189</v>
      </c>
      <c r="C1" s="12" t="s">
        <v>190</v>
      </c>
      <c r="D1" s="33" t="s">
        <v>191</v>
      </c>
      <c r="E1" s="1" t="s">
        <v>192</v>
      </c>
      <c r="F1" s="33" t="s">
        <v>197</v>
      </c>
      <c r="G1" s="12" t="s">
        <v>196</v>
      </c>
      <c r="H1" s="33" t="s">
        <v>198</v>
      </c>
      <c r="I1" s="12" t="s">
        <v>199</v>
      </c>
      <c r="J1" s="38" t="s">
        <v>162</v>
      </c>
      <c r="K1" s="38" t="s">
        <v>171</v>
      </c>
      <c r="L1" s="39" t="s">
        <v>222</v>
      </c>
      <c r="N1" s="541"/>
    </row>
    <row r="2" spans="1:16" x14ac:dyDescent="0.25">
      <c r="A2" s="13" t="s">
        <v>7</v>
      </c>
      <c r="B2" s="284">
        <f>Inputs!$B$18</f>
        <v>1</v>
      </c>
      <c r="C2" s="284">
        <f>Inputs!$B$18</f>
        <v>1</v>
      </c>
      <c r="D2" s="284">
        <f>Inputs!$B$18</f>
        <v>1</v>
      </c>
      <c r="E2" s="284">
        <f>Inputs!$B$18</f>
        <v>1</v>
      </c>
      <c r="F2" s="284">
        <f>Inputs!$B$18</f>
        <v>1</v>
      </c>
      <c r="G2" s="284">
        <f>Inputs!$B$18</f>
        <v>1</v>
      </c>
      <c r="H2" s="284">
        <f>Inputs!$B$18</f>
        <v>1</v>
      </c>
      <c r="I2" s="284">
        <f>Inputs!$B$18</f>
        <v>1</v>
      </c>
      <c r="J2" s="284">
        <f>Inputs!$B$18</f>
        <v>1</v>
      </c>
      <c r="K2" s="284">
        <f>Inputs!$B$18</f>
        <v>1</v>
      </c>
      <c r="L2" s="284">
        <f>Inputs!$B$18</f>
        <v>1</v>
      </c>
      <c r="N2" s="797" t="s">
        <v>763</v>
      </c>
      <c r="O2" s="797"/>
      <c r="P2" s="797"/>
    </row>
    <row r="3" spans="1:16" x14ac:dyDescent="0.25">
      <c r="A3" s="13" t="s">
        <v>54</v>
      </c>
      <c r="B3" s="21">
        <f>Inputs!$B$16*Inputs!$B$18</f>
        <v>30000</v>
      </c>
      <c r="C3" s="21">
        <f>Inputs!$B$16*Inputs!$B$18</f>
        <v>30000</v>
      </c>
      <c r="D3" s="21">
        <f>Inputs!$B$16*Inputs!$B$18</f>
        <v>30000</v>
      </c>
      <c r="E3" s="21">
        <f>Inputs!$B$16*Inputs!$B$18</f>
        <v>30000</v>
      </c>
      <c r="F3" s="21">
        <f>Inputs!$B$16*Inputs!$B$18</f>
        <v>30000</v>
      </c>
      <c r="G3" s="21">
        <f>Inputs!$B$16*Inputs!$B$18</f>
        <v>30000</v>
      </c>
      <c r="H3" s="21">
        <f>Inputs!$B$16*Inputs!$B$18</f>
        <v>30000</v>
      </c>
      <c r="I3" s="21">
        <f>Inputs!$B$16*Inputs!$B$18</f>
        <v>30000</v>
      </c>
      <c r="J3" s="21">
        <f>Inputs!$B$16*Inputs!$B$18</f>
        <v>30000</v>
      </c>
      <c r="K3" s="21">
        <f>Inputs!$B$16*Inputs!$B$18</f>
        <v>30000</v>
      </c>
      <c r="L3" s="21">
        <f>Inputs!$B$16*Inputs!$B$18</f>
        <v>30000</v>
      </c>
      <c r="N3" s="797"/>
      <c r="O3" s="797"/>
      <c r="P3" s="797"/>
    </row>
    <row r="4" spans="1:16" x14ac:dyDescent="0.25">
      <c r="A4" s="13" t="s">
        <v>53</v>
      </c>
      <c r="B4" s="21">
        <f>Inputs!$B$17*Inputs!$B$18</f>
        <v>2080</v>
      </c>
      <c r="C4" s="21">
        <f>Inputs!$B$17*Inputs!$B$18</f>
        <v>2080</v>
      </c>
      <c r="D4" s="21">
        <f>Inputs!$B$17*Inputs!$B$18</f>
        <v>2080</v>
      </c>
      <c r="E4" s="21">
        <f>Inputs!$B$17*Inputs!$B$18</f>
        <v>2080</v>
      </c>
      <c r="F4" s="21">
        <f>Inputs!$B$17*Inputs!$B$18</f>
        <v>2080</v>
      </c>
      <c r="G4" s="21">
        <f>Inputs!$B$17*Inputs!$B$18</f>
        <v>2080</v>
      </c>
      <c r="H4" s="21">
        <f>Inputs!$B$17*Inputs!$B$18</f>
        <v>2080</v>
      </c>
      <c r="I4" s="21">
        <f>Inputs!$B$17*Inputs!$B$18</f>
        <v>2080</v>
      </c>
      <c r="J4" s="21">
        <f>Inputs!$B$17*Inputs!$B$18</f>
        <v>2080</v>
      </c>
      <c r="K4" s="21">
        <f>Inputs!$B$17*Inputs!$B$18</f>
        <v>2080</v>
      </c>
      <c r="L4" s="21">
        <f>Inputs!$B$17*Inputs!$B$18</f>
        <v>2080</v>
      </c>
      <c r="N4" s="797"/>
      <c r="O4" s="797"/>
      <c r="P4" s="797"/>
    </row>
    <row r="5" spans="1:16" x14ac:dyDescent="0.25">
      <c r="A5" s="13" t="s">
        <v>52</v>
      </c>
      <c r="B5" s="20">
        <f>B4*Inputs!$B$10</f>
        <v>62400</v>
      </c>
      <c r="C5" s="20">
        <f>C4*Inputs!$B$10</f>
        <v>62400</v>
      </c>
      <c r="D5" s="20">
        <f>D4*Inputs!$B$10</f>
        <v>62400</v>
      </c>
      <c r="E5" s="20">
        <f>E4*Inputs!$B$10</f>
        <v>62400</v>
      </c>
      <c r="F5" s="20">
        <f>F4*Inputs!$B$10</f>
        <v>62400</v>
      </c>
      <c r="G5" s="20">
        <f>G4*Inputs!$B$10</f>
        <v>62400</v>
      </c>
      <c r="H5" s="20">
        <f>H4*Inputs!$B$10</f>
        <v>62400</v>
      </c>
      <c r="I5" s="20">
        <f>I4*Inputs!$B$10</f>
        <v>62400</v>
      </c>
      <c r="J5" s="20">
        <f>J4*Inputs!$B$10</f>
        <v>62400</v>
      </c>
      <c r="K5" s="20">
        <f>K4*Inputs!$B$10</f>
        <v>62400</v>
      </c>
      <c r="L5" s="20">
        <f>L4*Inputs!$B$10</f>
        <v>62400</v>
      </c>
      <c r="N5" s="797"/>
      <c r="O5" s="797"/>
      <c r="P5" s="797"/>
    </row>
    <row r="6" spans="1:16" x14ac:dyDescent="0.25">
      <c r="A6" s="13" t="s">
        <v>310</v>
      </c>
      <c r="B6" s="263">
        <f>VLOOKUP(B1,'Default Data'!$A$1:$AJ$12,9,FALSE)</f>
        <v>0.56521739130434778</v>
      </c>
      <c r="C6" s="263">
        <f>VLOOKUP(C1,'Default Data'!$A$1:$AJ$12,9,FALSE)</f>
        <v>0.57246376811594213</v>
      </c>
      <c r="D6" s="263">
        <f>VLOOKUP(D1,'Default Data'!$A$1:$AJ$12,9,FALSE)</f>
        <v>0.59420289855072472</v>
      </c>
      <c r="E6" s="263">
        <f>VLOOKUP(E1,'Default Data'!$A$1:$AJ$12,9,FALSE)</f>
        <v>0.63043478260869568</v>
      </c>
      <c r="F6" s="263">
        <f>VLOOKUP(F1,'Default Data'!$A$1:$AJ$12,9,FALSE)</f>
        <v>0.49576271186440679</v>
      </c>
      <c r="G6" s="263">
        <f>VLOOKUP(G1,'Default Data'!$A$1:$AJ$12,9,FALSE)</f>
        <v>0.5021186440677966</v>
      </c>
      <c r="H6" s="263">
        <f>VLOOKUP(H1,'Default Data'!$A$1:$AJ$12,9,FALSE)</f>
        <v>0.52118644067796616</v>
      </c>
      <c r="I6" s="263">
        <f>VLOOKUP(I1,'Default Data'!$A$1:$AJ$12,9,FALSE)</f>
        <v>0.55296610169491522</v>
      </c>
      <c r="J6" s="263">
        <f>VLOOKUP(J1,'Default Data'!$A$1:$AJ$12,9,FALSE)</f>
        <v>0.34048257372654156</v>
      </c>
      <c r="K6" s="263">
        <f>VLOOKUP(K1,'Default Data'!$A$1:$AJ$12,9,FALSE)</f>
        <v>0.11528150134048257</v>
      </c>
      <c r="L6" s="263">
        <f>VLOOKUP(L1,'Default Data'!$A$1:$AJ$12,9,FALSE)</f>
        <v>0.45961730000000001</v>
      </c>
      <c r="N6" s="797"/>
      <c r="O6" s="797"/>
      <c r="P6" s="797"/>
    </row>
    <row r="7" spans="1:16" x14ac:dyDescent="0.25">
      <c r="A7" s="13" t="s">
        <v>29</v>
      </c>
      <c r="B7" s="20">
        <f>B6*B3</f>
        <v>16956.521739130432</v>
      </c>
      <c r="C7" s="20">
        <f t="shared" ref="C7:L7" si="0">C6*C3</f>
        <v>17173.913043478264</v>
      </c>
      <c r="D7" s="20">
        <f t="shared" si="0"/>
        <v>17826.08695652174</v>
      </c>
      <c r="E7" s="20">
        <f t="shared" si="0"/>
        <v>18913.043478260872</v>
      </c>
      <c r="F7" s="20">
        <f t="shared" si="0"/>
        <v>14872.881355932204</v>
      </c>
      <c r="G7" s="20">
        <f t="shared" si="0"/>
        <v>15063.559322033898</v>
      </c>
      <c r="H7" s="20">
        <f t="shared" si="0"/>
        <v>15635.593220338984</v>
      </c>
      <c r="I7" s="20">
        <f t="shared" si="0"/>
        <v>16588.983050847455</v>
      </c>
      <c r="J7" s="20">
        <f t="shared" si="0"/>
        <v>10214.477211796248</v>
      </c>
      <c r="K7" s="20">
        <f t="shared" si="0"/>
        <v>3458.4450402144771</v>
      </c>
      <c r="L7" s="20">
        <f t="shared" si="0"/>
        <v>13788.519</v>
      </c>
      <c r="N7" s="797"/>
      <c r="O7" s="797"/>
      <c r="P7" s="797"/>
    </row>
    <row r="8" spans="1:16" x14ac:dyDescent="0.25">
      <c r="A8" s="13" t="s">
        <v>30</v>
      </c>
      <c r="B8" s="14">
        <f>VLOOKUP(B1,'Default Data'!$A$1:$AJ$12,11,FALSE)</f>
        <v>1</v>
      </c>
      <c r="C8" s="14">
        <f>VLOOKUP(C1,'Default Data'!$A$1:$AJ$12,11,FALSE)</f>
        <v>0.99</v>
      </c>
      <c r="D8" s="14">
        <f>VLOOKUP(D1,'Default Data'!$A$1:$AJ$12,11,FALSE)</f>
        <v>0.98</v>
      </c>
      <c r="E8" s="14">
        <f>VLOOKUP(E1,'Default Data'!$A$1:$AJ$12,11,FALSE)</f>
        <v>0.95</v>
      </c>
      <c r="F8" s="14">
        <f>VLOOKUP(F1,'Default Data'!$A$1:$AJ$12,11,FALSE)</f>
        <v>0.96</v>
      </c>
      <c r="G8" s="14">
        <f>VLOOKUP(G1,'Default Data'!$A$1:$AJ$12,11,FALSE)</f>
        <v>0.95</v>
      </c>
      <c r="H8" s="14">
        <f>VLOOKUP(H1,'Default Data'!$A$1:$AJ$12,11,FALSE)</f>
        <v>0.94</v>
      </c>
      <c r="I8" s="14">
        <f>VLOOKUP(I1,'Default Data'!$A$1:$AJ$12,11,FALSE)</f>
        <v>0.90999999999999992</v>
      </c>
      <c r="J8" s="14">
        <f>VLOOKUP(J1,'Default Data'!$A$1:$AJ$12,11,FALSE)</f>
        <v>1.0149999999999999</v>
      </c>
      <c r="K8" s="14">
        <f>VLOOKUP(K1,'Default Data'!$A$1:$AJ$12,11,FALSE)</f>
        <v>1.0149999999999999</v>
      </c>
      <c r="L8" s="14">
        <f>VLOOKUP(L1,'Default Data'!$A$1:$AJ$12,11,FALSE)</f>
        <v>0.93</v>
      </c>
      <c r="N8" s="797"/>
      <c r="O8" s="797"/>
      <c r="P8" s="797"/>
    </row>
    <row r="9" spans="1:16" x14ac:dyDescent="0.25">
      <c r="A9" s="13" t="s">
        <v>33</v>
      </c>
      <c r="B9" s="20">
        <f>B8*B3</f>
        <v>30000</v>
      </c>
      <c r="C9" s="20">
        <f t="shared" ref="C9:L9" si="1">C8*C3</f>
        <v>29700</v>
      </c>
      <c r="D9" s="20">
        <f t="shared" si="1"/>
        <v>29400</v>
      </c>
      <c r="E9" s="20">
        <f t="shared" si="1"/>
        <v>28500</v>
      </c>
      <c r="F9" s="20">
        <f t="shared" si="1"/>
        <v>28800</v>
      </c>
      <c r="G9" s="20">
        <f t="shared" si="1"/>
        <v>28500</v>
      </c>
      <c r="H9" s="20">
        <f t="shared" si="1"/>
        <v>28200</v>
      </c>
      <c r="I9" s="20">
        <f t="shared" si="1"/>
        <v>27299.999999999996</v>
      </c>
      <c r="J9" s="20">
        <f t="shared" si="1"/>
        <v>30449.999999999996</v>
      </c>
      <c r="K9" s="20">
        <f t="shared" si="1"/>
        <v>30449.999999999996</v>
      </c>
      <c r="L9" s="20">
        <f t="shared" si="1"/>
        <v>27900</v>
      </c>
      <c r="N9" s="797"/>
      <c r="O9" s="797"/>
      <c r="P9" s="797"/>
    </row>
    <row r="10" spans="1:16" x14ac:dyDescent="0.25">
      <c r="A10" s="1" t="s">
        <v>296</v>
      </c>
      <c r="B10" s="503">
        <f>VLOOKUP(B1,'Default Data'!$A$1:$AJ$12,10,FALSE)*$B$3</f>
        <v>371.1</v>
      </c>
      <c r="C10" s="503">
        <f>VLOOKUP(C1,'Default Data'!$A$1:$AJ$12,10,FALSE)*$B$3</f>
        <v>333.9</v>
      </c>
      <c r="D10" s="503">
        <f>VLOOKUP(D1,'Default Data'!$A$1:$AJ$12,10,FALSE)*$B$3</f>
        <v>333.9</v>
      </c>
      <c r="E10" s="503">
        <f>VLOOKUP(E1,'Default Data'!$A$1:$AJ$12,10,FALSE)*$B$3</f>
        <v>296.7</v>
      </c>
      <c r="F10" s="503">
        <f>VLOOKUP(F1,'Default Data'!$A$1:$AJ$12,10,FALSE)*$B$3</f>
        <v>371.1</v>
      </c>
      <c r="G10" s="503">
        <f>VLOOKUP(G1,'Default Data'!$A$1:$AJ$12,10,FALSE)*$B$3</f>
        <v>333.9</v>
      </c>
      <c r="H10" s="503">
        <f>VLOOKUP(H1,'Default Data'!$A$1:$AJ$12,10,FALSE)*$B$3</f>
        <v>333.9</v>
      </c>
      <c r="I10" s="503">
        <f>VLOOKUP(I1,'Default Data'!$A$1:$AJ$12,10,FALSE)*$B$3</f>
        <v>296.7</v>
      </c>
      <c r="J10" s="503">
        <f>VLOOKUP(J1,'Default Data'!$A$1:$AJ$12,10,FALSE)*$B$3</f>
        <v>0</v>
      </c>
      <c r="K10" s="503">
        <f>VLOOKUP(K1,'Default Data'!$A$1:$AJ$12,10,FALSE)*$B$3</f>
        <v>0</v>
      </c>
      <c r="L10" s="503">
        <f>VLOOKUP(L1,'Default Data'!$A$1:$AJ$12,10,FALSE)*$B$3</f>
        <v>0</v>
      </c>
      <c r="N10" s="797"/>
      <c r="O10" s="797"/>
      <c r="P10" s="797"/>
    </row>
    <row r="11" spans="1:16" s="51" customFormat="1" x14ac:dyDescent="0.25">
      <c r="A11" s="1" t="s">
        <v>681</v>
      </c>
      <c r="B11" s="503">
        <f>'Default Data'!$S2</f>
        <v>144.92753623188409</v>
      </c>
      <c r="C11" s="503">
        <f>'Default Data'!$S3</f>
        <v>144.92753623188409</v>
      </c>
      <c r="D11" s="503">
        <f>'Default Data'!$S4</f>
        <v>144.92753623188409</v>
      </c>
      <c r="E11" s="503">
        <f>'Default Data'!$S5</f>
        <v>144.92753623188409</v>
      </c>
      <c r="F11" s="503">
        <f>'Default Data'!$S6</f>
        <v>127.11864406779661</v>
      </c>
      <c r="G11" s="503">
        <f>'Default Data'!$S7</f>
        <v>127.11864406779661</v>
      </c>
      <c r="H11" s="503">
        <f>'Default Data'!$S8</f>
        <v>127.11864406779661</v>
      </c>
      <c r="I11" s="503">
        <f>'Default Data'!$S9</f>
        <v>127.11864406779661</v>
      </c>
      <c r="J11" s="503">
        <f>'Default Data'!$S10</f>
        <v>0</v>
      </c>
      <c r="K11" s="503">
        <f>'Default Data'!$S11</f>
        <v>0</v>
      </c>
      <c r="L11" s="503">
        <f>'Default Data'!$S12</f>
        <v>31.320737160879318</v>
      </c>
      <c r="N11" s="797"/>
      <c r="O11" s="797"/>
      <c r="P11" s="797"/>
    </row>
    <row r="12" spans="1:16" x14ac:dyDescent="0.25">
      <c r="A12" s="13" t="s">
        <v>56</v>
      </c>
      <c r="B12" s="21">
        <f>VLOOKUP(B1,'Default Data'!$A$1:$AJ$12,16,FALSE)</f>
        <v>250000</v>
      </c>
      <c r="C12" s="21">
        <f>VLOOKUP(C1,'Default Data'!$A$1:$AJ$12,16,FALSE)</f>
        <v>250000</v>
      </c>
      <c r="D12" s="21">
        <f>VLOOKUP(D1,'Default Data'!$A$1:$AJ$12,16,FALSE)</f>
        <v>250000</v>
      </c>
      <c r="E12" s="21">
        <f>VLOOKUP(E1,'Default Data'!$A$1:$AJ$12,16,FALSE)</f>
        <v>250000</v>
      </c>
      <c r="F12" s="21">
        <f>VLOOKUP(F1,'Default Data'!$A$1:$AJ$12,16,FALSE)</f>
        <v>250000</v>
      </c>
      <c r="G12" s="21">
        <f>VLOOKUP(G1,'Default Data'!$A$1:$AJ$12,16,FALSE)</f>
        <v>250000</v>
      </c>
      <c r="H12" s="21">
        <f>VLOOKUP(H1,'Default Data'!$A$1:$AJ$12,16,FALSE)</f>
        <v>250000</v>
      </c>
      <c r="I12" s="21">
        <f>VLOOKUP(I1,'Default Data'!$A$1:$AJ$12,16,FALSE)</f>
        <v>250000</v>
      </c>
      <c r="J12" s="21">
        <f>VLOOKUP(J1,'Default Data'!$A$1:$AJ$12,16,FALSE)</f>
        <v>250000</v>
      </c>
      <c r="K12" s="21">
        <f>VLOOKUP(K1,'Default Data'!$A$1:$AJ$12,16,FALSE)</f>
        <v>250000</v>
      </c>
      <c r="L12" s="21">
        <f>VLOOKUP(L1,'Default Data'!$A$1:$AJ$12,16,FALSE)</f>
        <v>250000</v>
      </c>
      <c r="N12" s="797"/>
      <c r="O12" s="797"/>
      <c r="P12" s="797"/>
    </row>
    <row r="13" spans="1:16" x14ac:dyDescent="0.25">
      <c r="A13" s="13" t="s">
        <v>40</v>
      </c>
      <c r="B13" s="20">
        <f>VLOOKUP(B1,'Default Data'!$A$1:$AJ$12,14,FALSE)</f>
        <v>20000</v>
      </c>
      <c r="C13" s="20">
        <f>VLOOKUP(C1,'Default Data'!$A$1:$AJ$12,14,FALSE)</f>
        <v>20000</v>
      </c>
      <c r="D13" s="20">
        <f>VLOOKUP(D1,'Default Data'!$A$1:$AJ$12,14,FALSE)</f>
        <v>20000</v>
      </c>
      <c r="E13" s="20">
        <f>VLOOKUP(E1,'Default Data'!$A$1:$AJ$12,14,FALSE)</f>
        <v>20000</v>
      </c>
      <c r="F13" s="20">
        <f>VLOOKUP(F1,'Default Data'!$A$1:$AJ$12,14,FALSE)</f>
        <v>15000</v>
      </c>
      <c r="G13" s="20">
        <f>VLOOKUP(G1,'Default Data'!$A$1:$AJ$12,14,FALSE)</f>
        <v>15000</v>
      </c>
      <c r="H13" s="20">
        <f>VLOOKUP(H1,'Default Data'!$A$1:$AJ$12,14,FALSE)</f>
        <v>15000</v>
      </c>
      <c r="I13" s="20">
        <f>VLOOKUP(I1,'Default Data'!$A$1:$AJ$12,14,FALSE)</f>
        <v>15000</v>
      </c>
      <c r="J13" s="20">
        <f>VLOOKUP(J1,'Default Data'!$A$1:$AJ$12,14,FALSE)</f>
        <v>22000</v>
      </c>
      <c r="K13" s="20">
        <f>VLOOKUP(K1,'Default Data'!$A$1:$AJ$12,14,FALSE)</f>
        <v>22000</v>
      </c>
      <c r="L13" s="20">
        <f>VLOOKUP(L1,'Default Data'!$A$1:$AJ$12,14,FALSE)</f>
        <v>0</v>
      </c>
      <c r="N13" s="798"/>
      <c r="O13" s="798"/>
      <c r="P13" s="798"/>
    </row>
    <row r="14" spans="1:16" x14ac:dyDescent="0.25">
      <c r="A14" s="13" t="s">
        <v>41</v>
      </c>
      <c r="B14" s="20">
        <f>VLOOKUP(B1,'Default Data'!$A$1:$AJ$12,15,FALSE)</f>
        <v>10500</v>
      </c>
      <c r="C14" s="20">
        <f>VLOOKUP(C1,'Default Data'!$A$1:$AJ$12,15,FALSE)</f>
        <v>10500</v>
      </c>
      <c r="D14" s="20">
        <f>VLOOKUP(D1,'Default Data'!$A$1:$AJ$12,15,FALSE)</f>
        <v>10500</v>
      </c>
      <c r="E14" s="20">
        <f>VLOOKUP(E1,'Default Data'!$A$1:$AJ$12,15,FALSE)</f>
        <v>10500</v>
      </c>
      <c r="F14" s="20">
        <f>VLOOKUP(F1,'Default Data'!$A$1:$AJ$12,15,FALSE)</f>
        <v>31300</v>
      </c>
      <c r="G14" s="20">
        <f>VLOOKUP(G1,'Default Data'!$A$1:$AJ$12,15,FALSE)</f>
        <v>31300</v>
      </c>
      <c r="H14" s="20">
        <f>VLOOKUP(H1,'Default Data'!$A$1:$AJ$12,15,FALSE)</f>
        <v>31300</v>
      </c>
      <c r="I14" s="20">
        <f>VLOOKUP(I1,'Default Data'!$A$1:$AJ$12,15,FALSE)</f>
        <v>31300</v>
      </c>
      <c r="J14" s="20">
        <f>VLOOKUP(J1,'Default Data'!$A$1:$AJ$12,15,FALSE)</f>
        <v>11550.000000000002</v>
      </c>
      <c r="K14" s="20">
        <f>VLOOKUP(K1,'Default Data'!$A$1:$AJ$12,15,FALSE)</f>
        <v>11550.000000000002</v>
      </c>
      <c r="L14" s="20">
        <f>VLOOKUP(L1,'Default Data'!$A$1:$AJ$12,15,FALSE)</f>
        <v>0</v>
      </c>
      <c r="N14" s="798"/>
      <c r="O14" s="798"/>
      <c r="P14" s="798"/>
    </row>
    <row r="15" spans="1:16" x14ac:dyDescent="0.25">
      <c r="A15" s="1" t="s">
        <v>58</v>
      </c>
      <c r="B15" s="19">
        <f>VLOOKUP(B1,'Default Data'!$A$1:$AJ$12,17,FALSE)</f>
        <v>0</v>
      </c>
      <c r="C15" s="19">
        <f>VLOOKUP(C1,'Default Data'!$A$1:$AJ$12,17,FALSE)</f>
        <v>0</v>
      </c>
      <c r="D15" s="19">
        <f>VLOOKUP(D1,'Default Data'!$A$1:$AJ$12,17,FALSE)</f>
        <v>0</v>
      </c>
      <c r="E15" s="19">
        <f>VLOOKUP(E1,'Default Data'!$A$1:$AJ$12,17,FALSE)</f>
        <v>0</v>
      </c>
      <c r="F15" s="19">
        <f>VLOOKUP(F1,'Default Data'!$A$1:$AJ$12,17,FALSE)</f>
        <v>0</v>
      </c>
      <c r="G15" s="19">
        <f>VLOOKUP(G1,'Default Data'!$A$1:$AJ$12,17,FALSE)</f>
        <v>0</v>
      </c>
      <c r="H15" s="19">
        <f>VLOOKUP(H1,'Default Data'!$A$1:$AJ$12,17,FALSE)</f>
        <v>0</v>
      </c>
      <c r="I15" s="19">
        <f>VLOOKUP(I1,'Default Data'!$A$1:$AJ$12,17,FALSE)</f>
        <v>0</v>
      </c>
      <c r="J15" s="19">
        <f>VLOOKUP(J1,'Default Data'!$A$1:$AJ$12,17,FALSE)</f>
        <v>0</v>
      </c>
      <c r="K15" s="19">
        <f>VLOOKUP(K1,'Default Data'!$A$1:$AJ$12,17,FALSE)</f>
        <v>0</v>
      </c>
      <c r="L15" s="19">
        <f>VLOOKUP(L1,'Default Data'!$A$1:$AJ$12,17,FALSE)</f>
        <v>0</v>
      </c>
    </row>
    <row r="16" spans="1:16" x14ac:dyDescent="0.25">
      <c r="A16" s="12" t="s">
        <v>278</v>
      </c>
      <c r="B16" s="272">
        <f>$B$3/VLOOKUP(B1,'Default Data'!$A$1:$AJ$12,7,FALSE)</f>
        <v>7246.3768115942039</v>
      </c>
      <c r="C16" s="272">
        <f>$B$3/VLOOKUP(C1,'Default Data'!$A$1:$AJ$12,7,FALSE)</f>
        <v>7246.3768115942039</v>
      </c>
      <c r="D16" s="272">
        <f>$B$3/VLOOKUP(D1,'Default Data'!$A$1:$AJ$12,7,FALSE)</f>
        <v>7246.3768115942039</v>
      </c>
      <c r="E16" s="272">
        <f>$B$3/VLOOKUP(E1,'Default Data'!$A$1:$AJ$12,7,FALSE)</f>
        <v>7246.3768115942039</v>
      </c>
      <c r="F16" s="272">
        <f>$B$3/VLOOKUP(F1,'Default Data'!$A$1:$AJ$12,7,FALSE)</f>
        <v>6355.9322033898306</v>
      </c>
      <c r="G16" s="272">
        <f>$B$3/VLOOKUP(G1,'Default Data'!$A$1:$AJ$12,7,FALSE)</f>
        <v>6355.9322033898306</v>
      </c>
      <c r="H16" s="272">
        <f>$B$3/VLOOKUP(H1,'Default Data'!$A$1:$AJ$12,7,FALSE)</f>
        <v>6355.9322033898306</v>
      </c>
      <c r="I16" s="272">
        <f>$B$3/VLOOKUP(I1,'Default Data'!$A$1:$AJ$12,7,FALSE)</f>
        <v>6355.9322033898306</v>
      </c>
      <c r="J16" s="272">
        <f>$B$3/VLOOKUP(J1,'Default Data'!$A$1:$AJ$12,7,FALSE)</f>
        <v>8042.8954423592495</v>
      </c>
      <c r="K16" s="272">
        <f>$B$3/VLOOKUP(K1,'Default Data'!$A$1:$AJ$12,7,FALSE)</f>
        <v>8042.8954423592495</v>
      </c>
      <c r="L16" s="272">
        <f>$B$3/VLOOKUP(L1,'Default Data'!$A$1:$AJ$12,7,FALSE)</f>
        <v>15384.615384615385</v>
      </c>
    </row>
    <row r="17" spans="1:13" x14ac:dyDescent="0.25">
      <c r="A17" s="49" t="s">
        <v>22</v>
      </c>
      <c r="B17" s="61">
        <f>Inputs!$B$12</f>
        <v>2.4E-2</v>
      </c>
      <c r="C17" s="61">
        <f>Inputs!$B$12</f>
        <v>2.4E-2</v>
      </c>
      <c r="D17" s="61">
        <f>Inputs!$B$12</f>
        <v>2.4E-2</v>
      </c>
      <c r="E17" s="61">
        <f>Inputs!$B$12</f>
        <v>2.4E-2</v>
      </c>
      <c r="F17" s="61">
        <f>Inputs!$B$12</f>
        <v>2.4E-2</v>
      </c>
      <c r="G17" s="61">
        <f>Inputs!$B$12</f>
        <v>2.4E-2</v>
      </c>
      <c r="H17" s="61">
        <f>Inputs!$B$12</f>
        <v>2.4E-2</v>
      </c>
      <c r="I17" s="61">
        <f>Inputs!$B$12</f>
        <v>2.4E-2</v>
      </c>
      <c r="J17" s="61">
        <f>Inputs!$B$12</f>
        <v>2.4E-2</v>
      </c>
      <c r="K17" s="61">
        <f>Inputs!$B$12</f>
        <v>2.4E-2</v>
      </c>
      <c r="L17" s="61">
        <f>Inputs!$B$12</f>
        <v>2.4E-2</v>
      </c>
    </row>
    <row r="18" spans="1:13" x14ac:dyDescent="0.25">
      <c r="A18" s="12" t="s">
        <v>61</v>
      </c>
      <c r="B18" s="272">
        <f>VLOOKUP(B1,'Default Data'!$A$1:$AJ$12,21,FALSE)*$B$3</f>
        <v>96.307194311761847</v>
      </c>
      <c r="C18" s="272">
        <f>VLOOKUP(C1,'Default Data'!$A$1:$AJ$12,21,FALSE)*$B$3</f>
        <v>87.268123173285915</v>
      </c>
      <c r="D18" s="272">
        <f>VLOOKUP(D1,'Default Data'!$A$1:$AJ$12,21,FALSE)*$B$3</f>
        <v>80.332690408855285</v>
      </c>
      <c r="E18" s="272">
        <f>VLOOKUP(E1,'Default Data'!$A$1:$AJ$12,21,FALSE)*$B$3</f>
        <v>38.391400326326909</v>
      </c>
      <c r="F18" s="272">
        <f>VLOOKUP(F1,'Default Data'!$A$1:$AJ$12,21,FALSE)*$B$3</f>
        <v>84.472835688706382</v>
      </c>
      <c r="G18" s="272">
        <f>VLOOKUP(G1,'Default Data'!$A$1:$AJ$12,21,FALSE)*$B$3</f>
        <v>76.544497868093984</v>
      </c>
      <c r="H18" s="272">
        <f>VLOOKUP(H1,'Default Data'!$A$1:$AJ$12,21,FALSE)*$B$3</f>
        <v>70.461300485733233</v>
      </c>
      <c r="I18" s="272">
        <f>VLOOKUP(I1,'Default Data'!$A$1:$AJ$12,21,FALSE)*$B$3</f>
        <v>33.673812998091819</v>
      </c>
      <c r="J18" s="272">
        <f>VLOOKUP(J1,'Default Data'!$A$1:$AJ$12,21,FALSE)*$B$3</f>
        <v>86.55595393207264</v>
      </c>
      <c r="K18" s="272">
        <f>VLOOKUP(K1,'Default Data'!$A$1:$AJ$12,21,FALSE)*$B$3</f>
        <v>37.533319226006</v>
      </c>
      <c r="L18" s="272">
        <f>VLOOKUP(L1,'Default Data'!$A$1:$AJ$12,21,FALSE)*$B$3</f>
        <v>40.312342299424046</v>
      </c>
    </row>
    <row r="19" spans="1:13" x14ac:dyDescent="0.25">
      <c r="A19" s="12" t="s">
        <v>62</v>
      </c>
      <c r="B19" s="280">
        <f>VLOOKUP(B1,'Default Data'!$A$1:$AJ$12,23,FALSE)*$B$3</f>
        <v>3.526360875926788E-2</v>
      </c>
      <c r="C19" s="280">
        <f>VLOOKUP(C1,'Default Data'!$A$1:$AJ$12,23,FALSE)*$B$3</f>
        <v>3.1953884387664229E-2</v>
      </c>
      <c r="D19" s="280">
        <f>VLOOKUP(D1,'Default Data'!$A$1:$AJ$12,23,FALSE)*$B$3</f>
        <v>2.8954799675511438E-2</v>
      </c>
      <c r="E19" s="280">
        <f>VLOOKUP(E1,'Default Data'!$A$1:$AJ$12,23,FALSE)*$B$3</f>
        <v>2.6237199023372987E-2</v>
      </c>
      <c r="F19" s="280">
        <f>VLOOKUP(F1,'Default Data'!$A$1:$AJ$12,23,FALSE)*$B$3</f>
        <v>2.3774663278858452E-2</v>
      </c>
      <c r="G19" s="280">
        <f>VLOOKUP(G1,'Default Data'!$A$1:$AJ$12,23,FALSE)*$B$3</f>
        <v>2.1543252902856375E-2</v>
      </c>
      <c r="H19" s="280">
        <f>VLOOKUP(H1,'Default Data'!$A$1:$AJ$12,23,FALSE)*$B$3</f>
        <v>1.9521275241325482E-2</v>
      </c>
      <c r="I19" s="280">
        <f>VLOOKUP(I1,'Default Data'!$A$1:$AJ$12,23,FALSE)*$B$3</f>
        <v>1.7689073640177182E-2</v>
      </c>
      <c r="J19" s="280">
        <f>VLOOKUP(J1,'Default Data'!$A$1:$AJ$12,23,FALSE)*$B$3</f>
        <v>1.7495726506803247E-3</v>
      </c>
      <c r="K19" s="280">
        <f>VLOOKUP(K1,'Default Data'!$A$1:$AJ$12,23,FALSE)*$B$3</f>
        <v>1.7495726506803247E-3</v>
      </c>
      <c r="L19" s="280">
        <f>VLOOKUP(L1,'Default Data'!$A$1:$AJ$12,23,FALSE)*$B$3</f>
        <v>0</v>
      </c>
    </row>
    <row r="20" spans="1:13" x14ac:dyDescent="0.25">
      <c r="A20" s="1" t="s">
        <v>219</v>
      </c>
      <c r="B20" s="273">
        <f>VLOOKUP(B1,'Default Data'!$A$1:$AJ$12,25,FALSE)*B3</f>
        <v>4.97656220637959E-3</v>
      </c>
      <c r="C20" s="273">
        <f>VLOOKUP(C1,'Default Data'!$A$1:$AJ$12,25,FALSE)*C3</f>
        <v>4.5094787228456687E-3</v>
      </c>
      <c r="D20" s="273">
        <f>VLOOKUP(D1,'Default Data'!$A$1:$AJ$12,25,FALSE)*D3</f>
        <v>4.0862341328174907E-3</v>
      </c>
      <c r="E20" s="273">
        <f>VLOOKUP(E1,'Default Data'!$A$1:$AJ$12,25,FALSE)*E3</f>
        <v>3.7027138643789884E-3</v>
      </c>
      <c r="F20" s="273">
        <f>VLOOKUP(F1,'Default Data'!$A$1:$AJ$12,25,FALSE)*F3</f>
        <v>3.3551895255720856E-3</v>
      </c>
      <c r="G20" s="273">
        <f>VLOOKUP(G1,'Default Data'!$A$1:$AJ$12,25,FALSE)*G3</f>
        <v>3.0402826588375037E-3</v>
      </c>
      <c r="H20" s="273">
        <f>VLOOKUP(H1,'Default Data'!$A$1:$AJ$12,25,FALSE)*H3</f>
        <v>2.7549318973425154E-3</v>
      </c>
      <c r="I20" s="273">
        <f>VLOOKUP(I1,'Default Data'!$A$1:$AJ$12,25,FALSE)*I3</f>
        <v>2.4963632039059305E-3</v>
      </c>
      <c r="J20" s="273">
        <f>VLOOKUP(J1,'Default Data'!$A$1:$AJ$12,25,FALSE)*J3</f>
        <v>4.97656220637959E-3</v>
      </c>
      <c r="K20" s="273">
        <f>VLOOKUP(K1,'Default Data'!$A$1:$AJ$12,25,FALSE)*K3</f>
        <v>4.97656220637959E-3</v>
      </c>
      <c r="L20" s="273">
        <f>VLOOKUP(L1,'Default Data'!$A$1:$AJ$12,25,FALSE)*L3</f>
        <v>4.97656220637959E-3</v>
      </c>
      <c r="M20" s="273"/>
    </row>
    <row r="21" spans="1:13" x14ac:dyDescent="0.25">
      <c r="A21" s="1"/>
      <c r="B21" s="6"/>
      <c r="C21" s="6"/>
      <c r="D21" s="6"/>
      <c r="E21" s="6"/>
      <c r="F21" s="6"/>
      <c r="G21" s="6"/>
      <c r="H21" s="6"/>
      <c r="I21" s="6"/>
      <c r="J21" s="6"/>
      <c r="K21" s="6"/>
      <c r="L21" s="6"/>
    </row>
    <row r="22" spans="1:13" x14ac:dyDescent="0.25">
      <c r="A22" s="23" t="s">
        <v>8</v>
      </c>
      <c r="B22" s="59">
        <f>SUM(B23:B24)</f>
        <v>479948</v>
      </c>
      <c r="C22" s="59">
        <f t="shared" ref="C22:K22" si="2">SUM(C23:C24)</f>
        <v>479948</v>
      </c>
      <c r="D22" s="59">
        <f t="shared" si="2"/>
        <v>479948</v>
      </c>
      <c r="E22" s="59">
        <f t="shared" si="2"/>
        <v>479948</v>
      </c>
      <c r="F22" s="59">
        <f t="shared" si="2"/>
        <v>651545</v>
      </c>
      <c r="G22" s="59">
        <f t="shared" si="2"/>
        <v>651545</v>
      </c>
      <c r="H22" s="59">
        <f t="shared" si="2"/>
        <v>651545</v>
      </c>
      <c r="I22" s="59">
        <f t="shared" si="2"/>
        <v>651545</v>
      </c>
      <c r="J22" s="59">
        <f t="shared" si="2"/>
        <v>562174</v>
      </c>
      <c r="K22" s="59">
        <f t="shared" si="2"/>
        <v>562174</v>
      </c>
      <c r="L22" s="59">
        <f>SUM(L23:L24)</f>
        <v>942608</v>
      </c>
    </row>
    <row r="23" spans="1:13" x14ac:dyDescent="0.25">
      <c r="A23" s="13" t="s">
        <v>9</v>
      </c>
      <c r="B23" s="20">
        <f>VLOOKUP(B1,'Default Data'!$A$1:$AJ$12,2,FALSE)*B2</f>
        <v>479948</v>
      </c>
      <c r="C23" s="20">
        <f>VLOOKUP(C1,'Default Data'!$A$1:$AJ$12,2,FALSE)*C2</f>
        <v>479948</v>
      </c>
      <c r="D23" s="20">
        <f>VLOOKUP(D1,'Default Data'!$A$1:$AJ$12,2,FALSE)*D2</f>
        <v>479948</v>
      </c>
      <c r="E23" s="20">
        <f>VLOOKUP(E1,'Default Data'!$A$1:$AJ$12,2,FALSE)*E2</f>
        <v>479948</v>
      </c>
      <c r="F23" s="20">
        <f>VLOOKUP(F1,'Default Data'!$A$1:$AJ$12,2,FALSE)*F2</f>
        <v>651545</v>
      </c>
      <c r="G23" s="20">
        <f>VLOOKUP(G1,'Default Data'!$A$1:$AJ$12,2,FALSE)*G2</f>
        <v>651545</v>
      </c>
      <c r="H23" s="20">
        <f>VLOOKUP(H1,'Default Data'!$A$1:$AJ$12,2,FALSE)*H2</f>
        <v>651545</v>
      </c>
      <c r="I23" s="20">
        <f>VLOOKUP(I1,'Default Data'!$A$1:$AJ$12,2,FALSE)*I2</f>
        <v>651545</v>
      </c>
      <c r="J23" s="20">
        <f>VLOOKUP(J1,'Default Data'!$A$1:$AJ$12,2,FALSE)*J2</f>
        <v>512174</v>
      </c>
      <c r="K23" s="20">
        <f>VLOOKUP(K1,'Default Data'!$A$1:$AJ$12,2,FALSE)*K2</f>
        <v>512174</v>
      </c>
      <c r="L23" s="20">
        <f>VLOOKUP(L1,'Default Data'!$A$1:$AJ$12,2,FALSE)*L2</f>
        <v>837608</v>
      </c>
    </row>
    <row r="24" spans="1:13" x14ac:dyDescent="0.25">
      <c r="A24" s="13" t="s">
        <v>27</v>
      </c>
      <c r="B24" s="20">
        <f>VLOOKUP(B1,'Default Data'!$A$1:$AJ$12,18,FALSE)*B2</f>
        <v>0</v>
      </c>
      <c r="C24" s="20">
        <f>VLOOKUP(C1,'Default Data'!$A$1:$AJ$12,18,FALSE)*C2</f>
        <v>0</v>
      </c>
      <c r="D24" s="20">
        <f>VLOOKUP(D1,'Default Data'!$A$1:$AJ$12,18,FALSE)*D2</f>
        <v>0</v>
      </c>
      <c r="E24" s="20">
        <f>VLOOKUP(E1,'Default Data'!$A$1:$AJ$12,18,FALSE)*E2</f>
        <v>0</v>
      </c>
      <c r="F24" s="20">
        <f>VLOOKUP(F1,'Default Data'!$A$1:$AJ$12,18,FALSE)*F2</f>
        <v>0</v>
      </c>
      <c r="G24" s="20">
        <f>VLOOKUP(G1,'Default Data'!$A$1:$AJ$12,18,FALSE)*G2</f>
        <v>0</v>
      </c>
      <c r="H24" s="20">
        <f>VLOOKUP(H1,'Default Data'!$A$1:$AJ$12,18,FALSE)*H2</f>
        <v>0</v>
      </c>
      <c r="I24" s="20">
        <f>VLOOKUP(I1,'Default Data'!$A$1:$AJ$12,18,FALSE)*I2</f>
        <v>0</v>
      </c>
      <c r="J24" s="20">
        <f>VLOOKUP(J1,'Default Data'!$A$1:$AJ$12,18,FALSE)*J2</f>
        <v>50000</v>
      </c>
      <c r="K24" s="20">
        <f>VLOOKUP(K1,'Default Data'!$A$1:$AJ$12,18,FALSE)*K2</f>
        <v>50000</v>
      </c>
      <c r="L24" s="20">
        <f>VLOOKUP(L1,'Default Data'!$A$1:$AJ$12,18,FALSE)*L2</f>
        <v>105000</v>
      </c>
    </row>
    <row r="25" spans="1:13" s="51" customFormat="1" x14ac:dyDescent="0.25">
      <c r="A25" s="12"/>
      <c r="B25" s="17"/>
      <c r="C25" s="17"/>
      <c r="D25" s="17"/>
      <c r="E25" s="17"/>
      <c r="F25" s="17"/>
      <c r="G25" s="17"/>
      <c r="H25" s="17"/>
      <c r="I25" s="17"/>
      <c r="J25" s="17"/>
      <c r="K25" s="17"/>
      <c r="L25" s="17"/>
    </row>
    <row r="26" spans="1:13" s="51" customFormat="1" x14ac:dyDescent="0.25">
      <c r="A26" s="23" t="s">
        <v>312</v>
      </c>
      <c r="B26" s="59">
        <f>SUM(B27:B29)</f>
        <v>30500</v>
      </c>
      <c r="C26" s="59">
        <f t="shared" ref="C26:L26" si="3">SUM(C27:C29)</f>
        <v>30500</v>
      </c>
      <c r="D26" s="59">
        <f t="shared" si="3"/>
        <v>30500</v>
      </c>
      <c r="E26" s="59">
        <f t="shared" si="3"/>
        <v>30500</v>
      </c>
      <c r="F26" s="59">
        <f t="shared" si="3"/>
        <v>46300</v>
      </c>
      <c r="G26" s="59">
        <f t="shared" si="3"/>
        <v>46300</v>
      </c>
      <c r="H26" s="59">
        <f t="shared" si="3"/>
        <v>46300</v>
      </c>
      <c r="I26" s="59">
        <f t="shared" si="3"/>
        <v>46300</v>
      </c>
      <c r="J26" s="59">
        <f t="shared" si="3"/>
        <v>33550</v>
      </c>
      <c r="K26" s="59">
        <f t="shared" si="3"/>
        <v>33550</v>
      </c>
      <c r="L26" s="59">
        <f t="shared" si="3"/>
        <v>0</v>
      </c>
    </row>
    <row r="27" spans="1:13" s="51" customFormat="1" x14ac:dyDescent="0.25">
      <c r="A27" s="13" t="s">
        <v>34</v>
      </c>
      <c r="B27" s="17">
        <f>TRUNC((B3*12)/B12)*B13</f>
        <v>20000</v>
      </c>
      <c r="C27" s="17">
        <f t="shared" ref="C27:L27" si="4">TRUNC((C3*12)/C12)*C13</f>
        <v>20000</v>
      </c>
      <c r="D27" s="17">
        <f t="shared" si="4"/>
        <v>20000</v>
      </c>
      <c r="E27" s="17">
        <f t="shared" si="4"/>
        <v>20000</v>
      </c>
      <c r="F27" s="17">
        <f t="shared" si="4"/>
        <v>15000</v>
      </c>
      <c r="G27" s="17">
        <f t="shared" si="4"/>
        <v>15000</v>
      </c>
      <c r="H27" s="17">
        <f t="shared" si="4"/>
        <v>15000</v>
      </c>
      <c r="I27" s="17">
        <f t="shared" si="4"/>
        <v>15000</v>
      </c>
      <c r="J27" s="17">
        <f t="shared" si="4"/>
        <v>22000</v>
      </c>
      <c r="K27" s="17">
        <f t="shared" si="4"/>
        <v>22000</v>
      </c>
      <c r="L27" s="17">
        <f t="shared" si="4"/>
        <v>0</v>
      </c>
    </row>
    <row r="28" spans="1:13" s="51" customFormat="1" x14ac:dyDescent="0.25">
      <c r="A28" s="13" t="s">
        <v>35</v>
      </c>
      <c r="B28" s="17">
        <f>TRUNC((B3*12)/B12)*B14</f>
        <v>10500</v>
      </c>
      <c r="C28" s="17">
        <f t="shared" ref="C28:L28" si="5">TRUNC((C3*12)/C12)*C14</f>
        <v>10500</v>
      </c>
      <c r="D28" s="17">
        <f t="shared" si="5"/>
        <v>10500</v>
      </c>
      <c r="E28" s="17">
        <f t="shared" si="5"/>
        <v>10500</v>
      </c>
      <c r="F28" s="17">
        <f t="shared" si="5"/>
        <v>31300</v>
      </c>
      <c r="G28" s="17">
        <f t="shared" si="5"/>
        <v>31300</v>
      </c>
      <c r="H28" s="17">
        <f t="shared" si="5"/>
        <v>31300</v>
      </c>
      <c r="I28" s="17">
        <f t="shared" si="5"/>
        <v>31300</v>
      </c>
      <c r="J28" s="17">
        <f t="shared" si="5"/>
        <v>11550.000000000002</v>
      </c>
      <c r="K28" s="17">
        <f t="shared" si="5"/>
        <v>11550.000000000002</v>
      </c>
      <c r="L28" s="17">
        <f t="shared" si="5"/>
        <v>0</v>
      </c>
    </row>
    <row r="29" spans="1:13" x14ac:dyDescent="0.25">
      <c r="A29" s="13" t="s">
        <v>57</v>
      </c>
      <c r="B29" s="17">
        <f>TRUNC((B3*12)/B12)*B15</f>
        <v>0</v>
      </c>
      <c r="C29" s="17">
        <f t="shared" ref="C29:L29" si="6">TRUNC((C3*12)/C12)*C15</f>
        <v>0</v>
      </c>
      <c r="D29" s="17">
        <f t="shared" si="6"/>
        <v>0</v>
      </c>
      <c r="E29" s="17">
        <f t="shared" si="6"/>
        <v>0</v>
      </c>
      <c r="F29" s="17">
        <f t="shared" si="6"/>
        <v>0</v>
      </c>
      <c r="G29" s="17">
        <f t="shared" si="6"/>
        <v>0</v>
      </c>
      <c r="H29" s="17">
        <f t="shared" si="6"/>
        <v>0</v>
      </c>
      <c r="I29" s="17">
        <f t="shared" si="6"/>
        <v>0</v>
      </c>
      <c r="J29" s="17">
        <f t="shared" si="6"/>
        <v>0</v>
      </c>
      <c r="K29" s="17">
        <f t="shared" si="6"/>
        <v>0</v>
      </c>
      <c r="L29" s="17">
        <f t="shared" si="6"/>
        <v>0</v>
      </c>
    </row>
    <row r="30" spans="1:13" s="51" customFormat="1" x14ac:dyDescent="0.25">
      <c r="A30" s="13"/>
      <c r="B30" s="17"/>
      <c r="C30" s="17"/>
      <c r="D30" s="17"/>
      <c r="E30" s="17"/>
      <c r="F30" s="17"/>
      <c r="G30" s="17"/>
      <c r="H30" s="17"/>
      <c r="I30" s="17"/>
      <c r="J30" s="17"/>
      <c r="K30" s="17"/>
      <c r="L30" s="17"/>
    </row>
    <row r="31" spans="1:13" s="51" customFormat="1" x14ac:dyDescent="0.25">
      <c r="A31" s="13" t="s">
        <v>316</v>
      </c>
      <c r="B31" s="17">
        <f>B22+B26</f>
        <v>510448</v>
      </c>
      <c r="C31" s="17">
        <f t="shared" ref="C31:K31" si="7">C22+C26</f>
        <v>510448</v>
      </c>
      <c r="D31" s="17">
        <f t="shared" si="7"/>
        <v>510448</v>
      </c>
      <c r="E31" s="17">
        <f t="shared" si="7"/>
        <v>510448</v>
      </c>
      <c r="F31" s="17">
        <f t="shared" si="7"/>
        <v>697845</v>
      </c>
      <c r="G31" s="17">
        <f t="shared" si="7"/>
        <v>697845</v>
      </c>
      <c r="H31" s="17">
        <f t="shared" si="7"/>
        <v>697845</v>
      </c>
      <c r="I31" s="17">
        <f t="shared" si="7"/>
        <v>697845</v>
      </c>
      <c r="J31" s="17">
        <f t="shared" si="7"/>
        <v>595724</v>
      </c>
      <c r="K31" s="17">
        <f t="shared" si="7"/>
        <v>595724</v>
      </c>
      <c r="L31" s="17">
        <f>L22+L26</f>
        <v>942608</v>
      </c>
    </row>
    <row r="32" spans="1:13" s="51" customFormat="1" x14ac:dyDescent="0.25">
      <c r="A32" s="13"/>
      <c r="B32" s="17"/>
      <c r="C32" s="17"/>
      <c r="D32" s="17"/>
      <c r="E32" s="17"/>
      <c r="F32" s="17"/>
      <c r="G32" s="17"/>
      <c r="H32" s="17"/>
      <c r="I32" s="17"/>
      <c r="J32" s="17"/>
      <c r="K32" s="17"/>
      <c r="L32" s="17"/>
    </row>
    <row r="33" spans="1:12" x14ac:dyDescent="0.25">
      <c r="A33" s="23" t="s">
        <v>220</v>
      </c>
      <c r="B33" s="59"/>
      <c r="C33" s="59"/>
      <c r="D33" s="59"/>
      <c r="E33" s="59"/>
      <c r="F33" s="59"/>
      <c r="G33" s="59"/>
      <c r="H33" s="59"/>
      <c r="I33" s="59"/>
      <c r="J33" s="59"/>
      <c r="K33" s="59"/>
      <c r="L33" s="59"/>
    </row>
    <row r="34" spans="1:12" x14ac:dyDescent="0.25">
      <c r="A34" s="177" t="s">
        <v>223</v>
      </c>
      <c r="B34" s="267">
        <f>SUMIF(Bustypes,B1,'Default Data'!$V$2:$V$12)</f>
        <v>0.1348300720364666</v>
      </c>
      <c r="C34" s="267">
        <f>SUMIF(Bustypes,C1,'Default Data'!$V$2:$V$12)</f>
        <v>0.12217537244260027</v>
      </c>
      <c r="D34" s="267">
        <f>SUMIF(Bustypes,D1,'Default Data'!$V$2:$V$12)</f>
        <v>0.1124657665723974</v>
      </c>
      <c r="E34" s="267">
        <f>SUMIF(Bustypes,E1,'Default Data'!$V$2:$V$12)</f>
        <v>5.3747960456857674E-2</v>
      </c>
      <c r="F34" s="267">
        <f>SUMIF(Bustypes,F1,'Default Data'!$V$2:$V$12)</f>
        <v>0.11826196996418893</v>
      </c>
      <c r="G34" s="267">
        <f>SUMIF(Bustypes,G1,'Default Data'!$V$2:$V$12)</f>
        <v>0.10716229701533157</v>
      </c>
      <c r="H34" s="267">
        <f>SUMIF(Bustypes,H1,'Default Data'!$V$2:$V$12)</f>
        <v>9.864582068002653E-2</v>
      </c>
      <c r="I34" s="267">
        <f>SUMIF(Bustypes,I1,'Default Data'!$V$2:$V$12)</f>
        <v>4.7143338197328542E-2</v>
      </c>
      <c r="J34" s="267">
        <f>SUMIF(Bustypes,J1,'Default Data'!$V$2:$V$12)</f>
        <v>0.1211783355049017</v>
      </c>
      <c r="K34" s="267">
        <f>SUMIF(Bustypes,K1,'Default Data'!$V$2:$V$12)</f>
        <v>5.2546646916408403E-2</v>
      </c>
      <c r="L34" s="267">
        <f>SUMIF(Bustypes,L1,'Default Data'!$V$2:$V$12)</f>
        <v>5.6437279219193663E-2</v>
      </c>
    </row>
    <row r="35" spans="1:12" x14ac:dyDescent="0.25">
      <c r="A35" s="13" t="s">
        <v>62</v>
      </c>
      <c r="B35" s="178">
        <f>SUMIF(Bustypes,B1,'Default Data'!$X$2:$X$12)</f>
        <v>1.174301911280214E-2</v>
      </c>
      <c r="C35" s="178">
        <f>SUMIF(Bustypes,C1,'Default Data'!$X$2:$X$12)</f>
        <v>1.0640858615866782E-2</v>
      </c>
      <c r="D35" s="178">
        <f>SUMIF(Bustypes,D1,'Default Data'!$X$2:$X$12)</f>
        <v>9.7952009254909309E-3</v>
      </c>
      <c r="E35" s="178">
        <f>SUMIF(Bustypes,E1,'Default Data'!$X$2:$X$12)</f>
        <v>4.6811762197108871E-3</v>
      </c>
      <c r="F35" s="178">
        <f>SUMIF(Bustypes,F1,'Default Data'!$X$2:$X$12)</f>
        <v>1.0300021001483233E-2</v>
      </c>
      <c r="G35" s="178">
        <f>SUMIF(Bustypes,G1,'Default Data'!$X$2:$X$12)</f>
        <v>9.3332954808662029E-3</v>
      </c>
      <c r="H35" s="178">
        <f>SUMIF(Bustypes,H1,'Default Data'!$X$2:$X$12)</f>
        <v>8.5915533541382327E-3</v>
      </c>
      <c r="I35" s="178">
        <f>SUMIF(Bustypes,I1,'Default Data'!$X$2:$X$12)</f>
        <v>4.1059469384752264E-3</v>
      </c>
      <c r="J35" s="178">
        <f>SUMIF(Bustypes,J1,'Default Data'!$X$2:$X$12)</f>
        <v>5.826194708666993E-4</v>
      </c>
      <c r="K35" s="178">
        <f>SUMIF(Bustypes,K1,'Default Data'!$X$2:$X$12)</f>
        <v>5.826194708666993E-4</v>
      </c>
      <c r="L35" s="178">
        <f>SUMIF(Bustypes,L1,'Default Data'!$X$2:$X$12)</f>
        <v>0</v>
      </c>
    </row>
    <row r="36" spans="1:12" x14ac:dyDescent="0.25">
      <c r="A36" s="15" t="s">
        <v>219</v>
      </c>
      <c r="B36" s="179">
        <f>SUMIF(Bustypes,B1,'Default Data'!$Z$2:$Z$12)</f>
        <v>7.9866444199129874E-2</v>
      </c>
      <c r="C36" s="179">
        <f>SUMIF(Bustypes,C1,'Default Data'!$Z$2:$Z$12)</f>
        <v>7.2370446876685923E-2</v>
      </c>
      <c r="D36" s="179">
        <f>SUMIF(Bustypes,D1,'Default Data'!$Z$2:$Z$12)</f>
        <v>6.6618972567465323E-2</v>
      </c>
      <c r="E36" s="179">
        <f>SUMIF(Bustypes,E1,'Default Data'!$Z$2:$Z$12)</f>
        <v>3.1837544991325489E-2</v>
      </c>
      <c r="F36" s="179">
        <f>SUMIF(Bustypes,F1,'Default Data'!$Z$2:$Z$12)</f>
        <v>7.0052347242457139E-2</v>
      </c>
      <c r="G36" s="179">
        <f>SUMIF(Bustypes,G1,'Default Data'!$Z$2:$Z$12)</f>
        <v>6.3477468235059259E-2</v>
      </c>
      <c r="H36" s="179">
        <f>SUMIF(Bustypes,H1,'Default Data'!$Z$2:$Z$12)</f>
        <v>5.8432742887564927E-2</v>
      </c>
      <c r="I36" s="179">
        <f>SUMIF(Bustypes,I1,'Default Data'!$Z$2:$Z$12)</f>
        <v>2.7925304293238876E-2</v>
      </c>
      <c r="J36" s="179">
        <f>SUMIF(Bustypes,J1,'Default Data'!$Z$2:$Z$12)</f>
        <v>7.9866444199129874E-2</v>
      </c>
      <c r="K36" s="179">
        <f>SUMIF(Bustypes,K1,'Default Data'!$Z$2:$Z$12)</f>
        <v>7.9866444199129874E-2</v>
      </c>
      <c r="L36" s="179">
        <f>SUMIF(Bustypes,L1,'Default Data'!$Z$2:$Z$12)</f>
        <v>7.9866444199129874E-2</v>
      </c>
    </row>
    <row r="38" spans="1:12" x14ac:dyDescent="0.25">
      <c r="A38" s="23" t="s">
        <v>317</v>
      </c>
    </row>
    <row r="39" spans="1:12" x14ac:dyDescent="0.25">
      <c r="A39" s="285" t="s">
        <v>10</v>
      </c>
      <c r="B39" s="59">
        <f>B5+B9+B10+B11</f>
        <v>92916.027536231893</v>
      </c>
      <c r="C39" s="59">
        <f t="shared" ref="C39:L39" si="8">C5+C9+C10+C11</f>
        <v>92578.827536231882</v>
      </c>
      <c r="D39" s="59">
        <f t="shared" si="8"/>
        <v>92278.827536231882</v>
      </c>
      <c r="E39" s="59">
        <f t="shared" si="8"/>
        <v>91341.627536231885</v>
      </c>
      <c r="F39" s="59">
        <f t="shared" si="8"/>
        <v>91698.218644067805</v>
      </c>
      <c r="G39" s="59">
        <f t="shared" si="8"/>
        <v>91361.018644067794</v>
      </c>
      <c r="H39" s="59">
        <f t="shared" si="8"/>
        <v>91061.018644067794</v>
      </c>
      <c r="I39" s="59">
        <f t="shared" si="8"/>
        <v>90123.818644067796</v>
      </c>
      <c r="J39" s="59">
        <f t="shared" si="8"/>
        <v>92850</v>
      </c>
      <c r="K39" s="59">
        <f t="shared" si="8"/>
        <v>92850</v>
      </c>
      <c r="L39" s="59">
        <f t="shared" si="8"/>
        <v>90331.320737160873</v>
      </c>
    </row>
    <row r="40" spans="1:12" x14ac:dyDescent="0.25">
      <c r="A40" s="285" t="s">
        <v>11</v>
      </c>
      <c r="B40" s="90">
        <f>B39*(1+$B$17)</f>
        <v>95146.01219710146</v>
      </c>
      <c r="C40" s="90">
        <f t="shared" ref="C40:L50" si="9">C39*(1+$B$17)</f>
        <v>94800.719397101449</v>
      </c>
      <c r="D40" s="90">
        <f t="shared" si="9"/>
        <v>94493.519397101452</v>
      </c>
      <c r="E40" s="90">
        <f t="shared" si="9"/>
        <v>93533.826597101448</v>
      </c>
      <c r="F40" s="90">
        <f t="shared" si="9"/>
        <v>93898.975891525435</v>
      </c>
      <c r="G40" s="90">
        <f t="shared" si="9"/>
        <v>93553.683091525425</v>
      </c>
      <c r="H40" s="90">
        <f t="shared" si="9"/>
        <v>93246.483091525428</v>
      </c>
      <c r="I40" s="90">
        <f t="shared" si="9"/>
        <v>92286.790291525424</v>
      </c>
      <c r="J40" s="90">
        <f t="shared" si="9"/>
        <v>95078.400000000009</v>
      </c>
      <c r="K40" s="90">
        <f t="shared" si="9"/>
        <v>95078.400000000009</v>
      </c>
      <c r="L40" s="90">
        <f t="shared" si="9"/>
        <v>92499.272434852741</v>
      </c>
    </row>
    <row r="41" spans="1:12" x14ac:dyDescent="0.25">
      <c r="A41" s="285" t="s">
        <v>12</v>
      </c>
      <c r="B41" s="90">
        <f>B40*(1+$B$17)</f>
        <v>97429.516489831891</v>
      </c>
      <c r="C41" s="90">
        <f t="shared" si="9"/>
        <v>97075.936662631881</v>
      </c>
      <c r="D41" s="90">
        <f t="shared" si="9"/>
        <v>96761.363862631886</v>
      </c>
      <c r="E41" s="90">
        <f t="shared" si="9"/>
        <v>95778.638435431887</v>
      </c>
      <c r="F41" s="90">
        <f t="shared" si="9"/>
        <v>96152.551312922049</v>
      </c>
      <c r="G41" s="90">
        <f t="shared" si="9"/>
        <v>95798.971485722039</v>
      </c>
      <c r="H41" s="90">
        <f t="shared" si="9"/>
        <v>95484.398685722044</v>
      </c>
      <c r="I41" s="90">
        <f t="shared" si="9"/>
        <v>94501.673258522031</v>
      </c>
      <c r="J41" s="90">
        <f t="shared" si="9"/>
        <v>97360.281600000017</v>
      </c>
      <c r="K41" s="90">
        <f t="shared" si="9"/>
        <v>97360.281600000017</v>
      </c>
      <c r="L41" s="90">
        <f t="shared" si="9"/>
        <v>94719.254973289208</v>
      </c>
    </row>
    <row r="42" spans="1:12" x14ac:dyDescent="0.25">
      <c r="A42" s="285" t="s">
        <v>13</v>
      </c>
      <c r="B42" s="90">
        <f t="shared" ref="B42:B50" si="10">B41*(1+$B$17)</f>
        <v>99767.824885587863</v>
      </c>
      <c r="C42" s="90">
        <f t="shared" si="9"/>
        <v>99405.759142535055</v>
      </c>
      <c r="D42" s="90">
        <f t="shared" si="9"/>
        <v>99083.636595335047</v>
      </c>
      <c r="E42" s="90">
        <f t="shared" si="9"/>
        <v>98077.325757882252</v>
      </c>
      <c r="F42" s="90">
        <f t="shared" si="9"/>
        <v>98460.212544432186</v>
      </c>
      <c r="G42" s="90">
        <f t="shared" si="9"/>
        <v>98098.146801379364</v>
      </c>
      <c r="H42" s="90">
        <f t="shared" si="9"/>
        <v>97776.02425417937</v>
      </c>
      <c r="I42" s="90">
        <f t="shared" si="9"/>
        <v>96769.713416726561</v>
      </c>
      <c r="J42" s="90">
        <f t="shared" si="9"/>
        <v>99696.928358400022</v>
      </c>
      <c r="K42" s="90">
        <f t="shared" si="9"/>
        <v>99696.928358400022</v>
      </c>
      <c r="L42" s="90">
        <f t="shared" si="9"/>
        <v>96992.517092648151</v>
      </c>
    </row>
    <row r="43" spans="1:12" x14ac:dyDescent="0.25">
      <c r="A43" s="285" t="s">
        <v>14</v>
      </c>
      <c r="B43" s="90">
        <f t="shared" si="10"/>
        <v>102162.25268284198</v>
      </c>
      <c r="C43" s="90">
        <f t="shared" si="9"/>
        <v>101791.4973619559</v>
      </c>
      <c r="D43" s="90">
        <f t="shared" si="9"/>
        <v>101461.64387362309</v>
      </c>
      <c r="E43" s="90">
        <f t="shared" si="9"/>
        <v>100431.18157607142</v>
      </c>
      <c r="F43" s="90">
        <f t="shared" si="9"/>
        <v>100823.25764549855</v>
      </c>
      <c r="G43" s="90">
        <f t="shared" si="9"/>
        <v>100452.50232461248</v>
      </c>
      <c r="H43" s="90">
        <f t="shared" si="9"/>
        <v>100122.64883627968</v>
      </c>
      <c r="I43" s="90">
        <f t="shared" si="9"/>
        <v>99092.186538727998</v>
      </c>
      <c r="J43" s="90">
        <f t="shared" si="9"/>
        <v>102089.65463900163</v>
      </c>
      <c r="K43" s="90">
        <f t="shared" si="9"/>
        <v>102089.65463900163</v>
      </c>
      <c r="L43" s="90">
        <f t="shared" si="9"/>
        <v>99320.337502871713</v>
      </c>
    </row>
    <row r="44" spans="1:12" x14ac:dyDescent="0.25">
      <c r="A44" s="285" t="s">
        <v>15</v>
      </c>
      <c r="B44" s="90">
        <f t="shared" si="10"/>
        <v>104614.14674723019</v>
      </c>
      <c r="C44" s="90">
        <f t="shared" si="9"/>
        <v>104234.49329864285</v>
      </c>
      <c r="D44" s="90">
        <f t="shared" si="9"/>
        <v>103896.72332659004</v>
      </c>
      <c r="E44" s="90">
        <f t="shared" si="9"/>
        <v>102841.52993389714</v>
      </c>
      <c r="F44" s="90">
        <f t="shared" si="9"/>
        <v>103243.01582899052</v>
      </c>
      <c r="G44" s="90">
        <f t="shared" si="9"/>
        <v>102863.36238040318</v>
      </c>
      <c r="H44" s="90">
        <f t="shared" si="9"/>
        <v>102525.59240835039</v>
      </c>
      <c r="I44" s="90">
        <f t="shared" si="9"/>
        <v>101470.39901565747</v>
      </c>
      <c r="J44" s="90">
        <f t="shared" si="9"/>
        <v>104539.80635033768</v>
      </c>
      <c r="K44" s="90">
        <f t="shared" si="9"/>
        <v>104539.80635033768</v>
      </c>
      <c r="L44" s="90">
        <f t="shared" si="9"/>
        <v>101704.02560294063</v>
      </c>
    </row>
    <row r="45" spans="1:12" x14ac:dyDescent="0.25">
      <c r="A45" s="285" t="s">
        <v>16</v>
      </c>
      <c r="B45" s="90">
        <f t="shared" si="10"/>
        <v>107124.88626916372</v>
      </c>
      <c r="C45" s="90">
        <f t="shared" si="9"/>
        <v>106736.12113781027</v>
      </c>
      <c r="D45" s="90">
        <f t="shared" si="9"/>
        <v>106390.24468642821</v>
      </c>
      <c r="E45" s="90">
        <f t="shared" si="9"/>
        <v>105309.72665231067</v>
      </c>
      <c r="F45" s="90">
        <f t="shared" si="9"/>
        <v>105720.84820888629</v>
      </c>
      <c r="G45" s="90">
        <f t="shared" si="9"/>
        <v>105332.08307753286</v>
      </c>
      <c r="H45" s="90">
        <f t="shared" si="9"/>
        <v>104986.2066261508</v>
      </c>
      <c r="I45" s="90">
        <f t="shared" si="9"/>
        <v>103905.68859203326</v>
      </c>
      <c r="J45" s="90">
        <f t="shared" si="9"/>
        <v>107048.76170274579</v>
      </c>
      <c r="K45" s="90">
        <f t="shared" si="9"/>
        <v>107048.76170274579</v>
      </c>
      <c r="L45" s="90">
        <f t="shared" si="9"/>
        <v>104144.92221741121</v>
      </c>
    </row>
    <row r="46" spans="1:12" x14ac:dyDescent="0.25">
      <c r="A46" s="285" t="s">
        <v>17</v>
      </c>
      <c r="B46" s="90">
        <f t="shared" si="10"/>
        <v>109695.88353962365</v>
      </c>
      <c r="C46" s="90">
        <f t="shared" si="9"/>
        <v>109297.78804511772</v>
      </c>
      <c r="D46" s="90">
        <f t="shared" si="9"/>
        <v>108943.6105589025</v>
      </c>
      <c r="E46" s="90">
        <f t="shared" si="9"/>
        <v>107837.16009196613</v>
      </c>
      <c r="F46" s="90">
        <f t="shared" si="9"/>
        <v>108258.14856589957</v>
      </c>
      <c r="G46" s="90">
        <f t="shared" si="9"/>
        <v>107860.05307139366</v>
      </c>
      <c r="H46" s="90">
        <f t="shared" si="9"/>
        <v>107505.87558517842</v>
      </c>
      <c r="I46" s="90">
        <f t="shared" si="9"/>
        <v>106399.42511824206</v>
      </c>
      <c r="J46" s="90">
        <f t="shared" si="9"/>
        <v>109617.93198361169</v>
      </c>
      <c r="K46" s="90">
        <f t="shared" si="9"/>
        <v>109617.93198361169</v>
      </c>
      <c r="L46" s="90">
        <f t="shared" si="9"/>
        <v>106644.40035062908</v>
      </c>
    </row>
    <row r="47" spans="1:12" x14ac:dyDescent="0.25">
      <c r="A47" s="285" t="s">
        <v>18</v>
      </c>
      <c r="B47" s="90">
        <f t="shared" si="10"/>
        <v>112328.58474457462</v>
      </c>
      <c r="C47" s="90">
        <f t="shared" si="9"/>
        <v>111920.93495820055</v>
      </c>
      <c r="D47" s="90">
        <f t="shared" si="9"/>
        <v>111558.25721231615</v>
      </c>
      <c r="E47" s="90">
        <f t="shared" si="9"/>
        <v>110425.25193417331</v>
      </c>
      <c r="F47" s="90">
        <f t="shared" si="9"/>
        <v>110856.34413148116</v>
      </c>
      <c r="G47" s="90">
        <f t="shared" si="9"/>
        <v>110448.69434510711</v>
      </c>
      <c r="H47" s="90">
        <f t="shared" si="9"/>
        <v>110086.01659922271</v>
      </c>
      <c r="I47" s="90">
        <f t="shared" si="9"/>
        <v>108953.01132107987</v>
      </c>
      <c r="J47" s="90">
        <f t="shared" si="9"/>
        <v>112248.76235121838</v>
      </c>
      <c r="K47" s="90">
        <f t="shared" si="9"/>
        <v>112248.76235121838</v>
      </c>
      <c r="L47" s="90">
        <f t="shared" si="9"/>
        <v>109203.86595904418</v>
      </c>
    </row>
    <row r="48" spans="1:12" x14ac:dyDescent="0.25">
      <c r="A48" s="285" t="s">
        <v>19</v>
      </c>
      <c r="B48" s="90">
        <f t="shared" si="10"/>
        <v>115024.47077844442</v>
      </c>
      <c r="C48" s="90">
        <f t="shared" si="9"/>
        <v>114607.03739719737</v>
      </c>
      <c r="D48" s="90">
        <f t="shared" si="9"/>
        <v>114235.65538541174</v>
      </c>
      <c r="E48" s="90">
        <f t="shared" si="9"/>
        <v>113075.45798059348</v>
      </c>
      <c r="F48" s="90">
        <f t="shared" si="9"/>
        <v>113516.89639063671</v>
      </c>
      <c r="G48" s="90">
        <f t="shared" si="9"/>
        <v>113099.46300938968</v>
      </c>
      <c r="H48" s="90">
        <f t="shared" si="9"/>
        <v>112728.08099760406</v>
      </c>
      <c r="I48" s="90">
        <f t="shared" si="9"/>
        <v>111567.88359278579</v>
      </c>
      <c r="J48" s="90">
        <f t="shared" si="9"/>
        <v>114942.73264764762</v>
      </c>
      <c r="K48" s="90">
        <f t="shared" si="9"/>
        <v>114942.73264764762</v>
      </c>
      <c r="L48" s="90">
        <f t="shared" si="9"/>
        <v>111824.75874206124</v>
      </c>
    </row>
    <row r="49" spans="1:12" x14ac:dyDescent="0.25">
      <c r="A49" s="285" t="s">
        <v>20</v>
      </c>
      <c r="B49" s="90">
        <f t="shared" si="10"/>
        <v>117785.05807712709</v>
      </c>
      <c r="C49" s="90">
        <f t="shared" si="9"/>
        <v>117357.60629473011</v>
      </c>
      <c r="D49" s="90">
        <f t="shared" si="9"/>
        <v>116977.31111466163</v>
      </c>
      <c r="E49" s="90">
        <f t="shared" si="9"/>
        <v>115789.26897212773</v>
      </c>
      <c r="F49" s="90">
        <f t="shared" si="9"/>
        <v>116241.301904012</v>
      </c>
      <c r="G49" s="90">
        <f t="shared" si="9"/>
        <v>115813.85012161503</v>
      </c>
      <c r="H49" s="90">
        <f t="shared" si="9"/>
        <v>115433.55494154656</v>
      </c>
      <c r="I49" s="90">
        <f t="shared" si="9"/>
        <v>114245.51279901265</v>
      </c>
      <c r="J49" s="90">
        <f t="shared" si="9"/>
        <v>117701.35823119116</v>
      </c>
      <c r="K49" s="90">
        <f t="shared" si="9"/>
        <v>117701.35823119116</v>
      </c>
      <c r="L49" s="90">
        <f t="shared" si="9"/>
        <v>114508.55295187072</v>
      </c>
    </row>
    <row r="50" spans="1:12" x14ac:dyDescent="0.25">
      <c r="A50" s="285" t="s">
        <v>21</v>
      </c>
      <c r="B50" s="90">
        <f t="shared" si="10"/>
        <v>120611.89947097814</v>
      </c>
      <c r="C50" s="90">
        <f t="shared" si="9"/>
        <v>120174.18884580364</v>
      </c>
      <c r="D50" s="90">
        <f t="shared" si="9"/>
        <v>119784.76658141351</v>
      </c>
      <c r="E50" s="90">
        <f t="shared" si="9"/>
        <v>118568.21142745879</v>
      </c>
      <c r="F50" s="90">
        <f t="shared" si="9"/>
        <v>119031.09314970829</v>
      </c>
      <c r="G50" s="90">
        <f t="shared" si="9"/>
        <v>118593.38252453379</v>
      </c>
      <c r="H50" s="90">
        <f t="shared" si="9"/>
        <v>118203.96026014368</v>
      </c>
      <c r="I50" s="90">
        <f t="shared" si="9"/>
        <v>116987.40510618896</v>
      </c>
      <c r="J50" s="90">
        <f t="shared" si="9"/>
        <v>120526.19082873975</v>
      </c>
      <c r="K50" s="90">
        <f t="shared" si="9"/>
        <v>120526.19082873975</v>
      </c>
      <c r="L50" s="90">
        <f t="shared" si="9"/>
        <v>117256.75822271562</v>
      </c>
    </row>
    <row r="51" spans="1:12" x14ac:dyDescent="0.25">
      <c r="A51" s="285" t="s">
        <v>313</v>
      </c>
      <c r="B51" s="90">
        <f>SUM(B39:B50)</f>
        <v>1274606.5634187369</v>
      </c>
      <c r="C51" s="90">
        <f t="shared" ref="C51:L51" si="11">SUM(C39:C50)</f>
        <v>1269980.9100779588</v>
      </c>
      <c r="D51" s="90">
        <f t="shared" si="11"/>
        <v>1265865.5601306472</v>
      </c>
      <c r="E51" s="90">
        <f t="shared" si="11"/>
        <v>1253009.2068952462</v>
      </c>
      <c r="F51" s="90">
        <f t="shared" si="11"/>
        <v>1257900.8642180606</v>
      </c>
      <c r="G51" s="90">
        <f t="shared" si="11"/>
        <v>1253275.2108772825</v>
      </c>
      <c r="H51" s="90">
        <f t="shared" si="11"/>
        <v>1249159.8609299709</v>
      </c>
      <c r="I51" s="90">
        <f t="shared" si="11"/>
        <v>1236303.5076945699</v>
      </c>
      <c r="J51" s="90">
        <f t="shared" si="11"/>
        <v>1273700.8086928935</v>
      </c>
      <c r="K51" s="90">
        <f t="shared" si="11"/>
        <v>1273700.8086928935</v>
      </c>
      <c r="L51" s="90">
        <f t="shared" si="11"/>
        <v>1239149.9867874954</v>
      </c>
    </row>
    <row r="52" spans="1:12" s="51" customFormat="1" x14ac:dyDescent="0.25">
      <c r="A52" s="285"/>
      <c r="B52" s="286"/>
      <c r="C52" s="286"/>
      <c r="D52" s="286"/>
      <c r="E52" s="286"/>
      <c r="F52" s="286"/>
      <c r="G52" s="286"/>
      <c r="H52" s="286"/>
      <c r="I52" s="286"/>
      <c r="J52" s="286"/>
      <c r="K52" s="286"/>
      <c r="L52" s="286"/>
    </row>
    <row r="53" spans="1:12" s="51" customFormat="1" x14ac:dyDescent="0.25">
      <c r="A53" s="285" t="s">
        <v>319</v>
      </c>
      <c r="B53" s="286"/>
      <c r="C53" s="286"/>
      <c r="D53" s="286"/>
      <c r="E53" s="286"/>
      <c r="F53" s="286"/>
      <c r="G53" s="286"/>
      <c r="H53" s="286"/>
      <c r="I53" s="286"/>
      <c r="J53" s="286"/>
      <c r="K53" s="286"/>
      <c r="L53" s="286"/>
    </row>
    <row r="54" spans="1:12" s="51" customFormat="1" x14ac:dyDescent="0.25">
      <c r="A54" s="285" t="s">
        <v>10</v>
      </c>
      <c r="B54" s="286">
        <f>B7*(1+$B$17)</f>
        <v>17363.478260869564</v>
      </c>
      <c r="C54" s="286">
        <f t="shared" ref="C54:L54" si="12">C7*(1+$B$17)</f>
        <v>17586.086956521744</v>
      </c>
      <c r="D54" s="286">
        <f t="shared" si="12"/>
        <v>18253.913043478264</v>
      </c>
      <c r="E54" s="286">
        <f t="shared" si="12"/>
        <v>19366.956521739132</v>
      </c>
      <c r="F54" s="286">
        <f t="shared" si="12"/>
        <v>15229.830508474577</v>
      </c>
      <c r="G54" s="286">
        <f t="shared" si="12"/>
        <v>15425.084745762711</v>
      </c>
      <c r="H54" s="286">
        <f t="shared" si="12"/>
        <v>16010.84745762712</v>
      </c>
      <c r="I54" s="286">
        <f t="shared" si="12"/>
        <v>16987.118644067796</v>
      </c>
      <c r="J54" s="286">
        <f t="shared" si="12"/>
        <v>10459.624664879359</v>
      </c>
      <c r="K54" s="286">
        <f t="shared" si="12"/>
        <v>3541.4477211796248</v>
      </c>
      <c r="L54" s="286">
        <f t="shared" si="12"/>
        <v>14119.443456000001</v>
      </c>
    </row>
    <row r="55" spans="1:12" s="51" customFormat="1" x14ac:dyDescent="0.25">
      <c r="A55" s="285" t="s">
        <v>11</v>
      </c>
      <c r="B55" s="286">
        <f>B54*(1+$B$17)</f>
        <v>17780.201739130433</v>
      </c>
      <c r="C55" s="286">
        <f t="shared" ref="C55:L55" si="13">C54*(1+$B$17)</f>
        <v>18008.153043478265</v>
      </c>
      <c r="D55" s="286">
        <f t="shared" si="13"/>
        <v>18692.006956521742</v>
      </c>
      <c r="E55" s="286">
        <f t="shared" si="13"/>
        <v>19831.763478260873</v>
      </c>
      <c r="F55" s="286">
        <f t="shared" si="13"/>
        <v>15595.346440677968</v>
      </c>
      <c r="G55" s="286">
        <f t="shared" si="13"/>
        <v>15795.286779661017</v>
      </c>
      <c r="H55" s="286">
        <f t="shared" si="13"/>
        <v>16395.107796610173</v>
      </c>
      <c r="I55" s="286">
        <f t="shared" si="13"/>
        <v>17394.809491525422</v>
      </c>
      <c r="J55" s="286">
        <f t="shared" si="13"/>
        <v>10710.655656836463</v>
      </c>
      <c r="K55" s="286">
        <f t="shared" si="13"/>
        <v>3626.4424664879357</v>
      </c>
      <c r="L55" s="286">
        <f t="shared" si="13"/>
        <v>14458.310098944001</v>
      </c>
    </row>
    <row r="56" spans="1:12" s="51" customFormat="1" x14ac:dyDescent="0.25">
      <c r="A56" s="285" t="s">
        <v>12</v>
      </c>
      <c r="B56" s="286">
        <f t="shared" ref="B56:B65" si="14">B55*(1+$B$17)</f>
        <v>18206.926580869564</v>
      </c>
      <c r="C56" s="286">
        <f t="shared" ref="C56:C65" si="15">C55*(1+$B$17)</f>
        <v>18440.348716521745</v>
      </c>
      <c r="D56" s="286">
        <f t="shared" ref="D56:D65" si="16">D55*(1+$B$17)</f>
        <v>19140.615123478263</v>
      </c>
      <c r="E56" s="286">
        <f t="shared" ref="E56:E65" si="17">E55*(1+$B$17)</f>
        <v>20307.725801739136</v>
      </c>
      <c r="F56" s="286">
        <f t="shared" ref="F56:F65" si="18">F55*(1+$B$17)</f>
        <v>15969.634755254239</v>
      </c>
      <c r="G56" s="286">
        <f t="shared" ref="G56:G65" si="19">G55*(1+$B$17)</f>
        <v>16174.373662372882</v>
      </c>
      <c r="H56" s="286">
        <f t="shared" ref="H56:H65" si="20">H55*(1+$B$17)</f>
        <v>16788.590383728817</v>
      </c>
      <c r="I56" s="286">
        <f t="shared" ref="I56:I65" si="21">I55*(1+$B$17)</f>
        <v>17812.284919322032</v>
      </c>
      <c r="J56" s="286">
        <f t="shared" ref="J56:J65" si="22">J55*(1+$B$17)</f>
        <v>10967.711392600539</v>
      </c>
      <c r="K56" s="286">
        <f t="shared" ref="K56:K65" si="23">K55*(1+$B$17)</f>
        <v>3713.4770856836462</v>
      </c>
      <c r="L56" s="286">
        <f t="shared" ref="L56:L65" si="24">L55*(1+$B$17)</f>
        <v>14805.309541318657</v>
      </c>
    </row>
    <row r="57" spans="1:12" s="51" customFormat="1" x14ac:dyDescent="0.25">
      <c r="A57" s="285" t="s">
        <v>13</v>
      </c>
      <c r="B57" s="286">
        <f t="shared" si="14"/>
        <v>18643.892818810433</v>
      </c>
      <c r="C57" s="286">
        <f t="shared" si="15"/>
        <v>18882.917085718265</v>
      </c>
      <c r="D57" s="286">
        <f t="shared" si="16"/>
        <v>19599.989886441741</v>
      </c>
      <c r="E57" s="286">
        <f t="shared" si="17"/>
        <v>20795.111220980874</v>
      </c>
      <c r="F57" s="286">
        <f t="shared" si="18"/>
        <v>16352.905989380341</v>
      </c>
      <c r="G57" s="286">
        <f t="shared" si="19"/>
        <v>16562.558630269832</v>
      </c>
      <c r="H57" s="286">
        <f t="shared" si="20"/>
        <v>17191.516552938308</v>
      </c>
      <c r="I57" s="286">
        <f t="shared" si="21"/>
        <v>18239.779757385761</v>
      </c>
      <c r="J57" s="286">
        <f t="shared" si="22"/>
        <v>11230.936466022951</v>
      </c>
      <c r="K57" s="286">
        <f t="shared" si="23"/>
        <v>3802.6005357400536</v>
      </c>
      <c r="L57" s="286">
        <f t="shared" si="24"/>
        <v>15160.636970310305</v>
      </c>
    </row>
    <row r="58" spans="1:12" s="51" customFormat="1" x14ac:dyDescent="0.25">
      <c r="A58" s="285" t="s">
        <v>14</v>
      </c>
      <c r="B58" s="286">
        <f t="shared" si="14"/>
        <v>19091.346246461882</v>
      </c>
      <c r="C58" s="286">
        <f t="shared" si="15"/>
        <v>19336.107095775504</v>
      </c>
      <c r="D58" s="286">
        <f t="shared" si="16"/>
        <v>20070.389643716342</v>
      </c>
      <c r="E58" s="286">
        <f t="shared" si="17"/>
        <v>21294.193890284416</v>
      </c>
      <c r="F58" s="286">
        <f t="shared" si="18"/>
        <v>16745.375733125467</v>
      </c>
      <c r="G58" s="286">
        <f t="shared" si="19"/>
        <v>16960.06003739631</v>
      </c>
      <c r="H58" s="286">
        <f t="shared" si="20"/>
        <v>17604.11295020883</v>
      </c>
      <c r="I58" s="286">
        <f t="shared" si="21"/>
        <v>18677.53447156302</v>
      </c>
      <c r="J58" s="286">
        <f t="shared" si="22"/>
        <v>11500.478941207502</v>
      </c>
      <c r="K58" s="286">
        <f t="shared" si="23"/>
        <v>3893.8629485978149</v>
      </c>
      <c r="L58" s="286">
        <f t="shared" si="24"/>
        <v>15524.492257597753</v>
      </c>
    </row>
    <row r="59" spans="1:12" s="51" customFormat="1" x14ac:dyDescent="0.25">
      <c r="A59" s="285" t="s">
        <v>15</v>
      </c>
      <c r="B59" s="286">
        <f t="shared" si="14"/>
        <v>19549.538556376967</v>
      </c>
      <c r="C59" s="286">
        <f t="shared" si="15"/>
        <v>19800.173666074115</v>
      </c>
      <c r="D59" s="286">
        <f t="shared" si="16"/>
        <v>20552.078995165535</v>
      </c>
      <c r="E59" s="286">
        <f t="shared" si="17"/>
        <v>21805.254543651241</v>
      </c>
      <c r="F59" s="286">
        <f t="shared" si="18"/>
        <v>17147.264750720478</v>
      </c>
      <c r="G59" s="286">
        <f t="shared" si="19"/>
        <v>17367.101478293822</v>
      </c>
      <c r="H59" s="286">
        <f t="shared" si="20"/>
        <v>18026.611661013842</v>
      </c>
      <c r="I59" s="286">
        <f t="shared" si="21"/>
        <v>19125.795298880534</v>
      </c>
      <c r="J59" s="286">
        <f t="shared" si="22"/>
        <v>11776.490435796482</v>
      </c>
      <c r="K59" s="286">
        <f t="shared" si="23"/>
        <v>3987.3156593641625</v>
      </c>
      <c r="L59" s="286">
        <f t="shared" si="24"/>
        <v>15897.080071780099</v>
      </c>
    </row>
    <row r="60" spans="1:12" s="51" customFormat="1" x14ac:dyDescent="0.25">
      <c r="A60" s="285" t="s">
        <v>16</v>
      </c>
      <c r="B60" s="286">
        <f t="shared" si="14"/>
        <v>20018.727481730013</v>
      </c>
      <c r="C60" s="286">
        <f t="shared" si="15"/>
        <v>20275.377834059895</v>
      </c>
      <c r="D60" s="286">
        <f t="shared" si="16"/>
        <v>21045.328891049507</v>
      </c>
      <c r="E60" s="286">
        <f t="shared" si="17"/>
        <v>22328.580652698871</v>
      </c>
      <c r="F60" s="286">
        <f t="shared" si="18"/>
        <v>17558.799104737769</v>
      </c>
      <c r="G60" s="286">
        <f t="shared" si="19"/>
        <v>17783.911913772874</v>
      </c>
      <c r="H60" s="286">
        <f t="shared" si="20"/>
        <v>18459.250340878174</v>
      </c>
      <c r="I60" s="286">
        <f t="shared" si="21"/>
        <v>19584.814386053666</v>
      </c>
      <c r="J60" s="286">
        <f t="shared" si="22"/>
        <v>12059.126206255598</v>
      </c>
      <c r="K60" s="286">
        <f t="shared" si="23"/>
        <v>4083.0112351889024</v>
      </c>
      <c r="L60" s="286">
        <f t="shared" si="24"/>
        <v>16278.609993502821</v>
      </c>
    </row>
    <row r="61" spans="1:12" s="51" customFormat="1" x14ac:dyDescent="0.25">
      <c r="A61" s="285" t="s">
        <v>17</v>
      </c>
      <c r="B61" s="286">
        <f t="shared" si="14"/>
        <v>20499.176941291535</v>
      </c>
      <c r="C61" s="286">
        <f t="shared" si="15"/>
        <v>20761.986902077333</v>
      </c>
      <c r="D61" s="286">
        <f t="shared" si="16"/>
        <v>21550.416784434696</v>
      </c>
      <c r="E61" s="286">
        <f t="shared" si="17"/>
        <v>22864.466588363644</v>
      </c>
      <c r="F61" s="286">
        <f t="shared" si="18"/>
        <v>17980.210283251476</v>
      </c>
      <c r="G61" s="286">
        <f t="shared" si="19"/>
        <v>18210.725799703425</v>
      </c>
      <c r="H61" s="286">
        <f t="shared" si="20"/>
        <v>18902.272349059251</v>
      </c>
      <c r="I61" s="286">
        <f t="shared" si="21"/>
        <v>20054.849931318953</v>
      </c>
      <c r="J61" s="286">
        <f t="shared" si="22"/>
        <v>12348.545235205733</v>
      </c>
      <c r="K61" s="286">
        <f t="shared" si="23"/>
        <v>4181.0035048334366</v>
      </c>
      <c r="L61" s="286">
        <f t="shared" si="24"/>
        <v>16669.29663334689</v>
      </c>
    </row>
    <row r="62" spans="1:12" s="51" customFormat="1" x14ac:dyDescent="0.25">
      <c r="A62" s="285" t="s">
        <v>18</v>
      </c>
      <c r="B62" s="286">
        <f t="shared" si="14"/>
        <v>20991.157187882531</v>
      </c>
      <c r="C62" s="286">
        <f t="shared" si="15"/>
        <v>21260.274587727188</v>
      </c>
      <c r="D62" s="286">
        <f t="shared" si="16"/>
        <v>22067.626787261128</v>
      </c>
      <c r="E62" s="286">
        <f t="shared" si="17"/>
        <v>23413.213786484372</v>
      </c>
      <c r="F62" s="286">
        <f t="shared" si="18"/>
        <v>18411.735330049512</v>
      </c>
      <c r="G62" s="286">
        <f t="shared" si="19"/>
        <v>18647.783218896308</v>
      </c>
      <c r="H62" s="286">
        <f t="shared" si="20"/>
        <v>19355.926885436675</v>
      </c>
      <c r="I62" s="286">
        <f t="shared" si="21"/>
        <v>20536.16632967061</v>
      </c>
      <c r="J62" s="286">
        <f t="shared" si="22"/>
        <v>12644.910320850671</v>
      </c>
      <c r="K62" s="286">
        <f t="shared" si="23"/>
        <v>4281.3475889494393</v>
      </c>
      <c r="L62" s="286">
        <f t="shared" si="24"/>
        <v>17069.359752547218</v>
      </c>
    </row>
    <row r="63" spans="1:12" s="51" customFormat="1" x14ac:dyDescent="0.25">
      <c r="A63" s="285" t="s">
        <v>19</v>
      </c>
      <c r="B63" s="286">
        <f t="shared" si="14"/>
        <v>21494.944960391713</v>
      </c>
      <c r="C63" s="286">
        <f t="shared" si="15"/>
        <v>21770.521177832641</v>
      </c>
      <c r="D63" s="286">
        <f t="shared" si="16"/>
        <v>22597.249830155397</v>
      </c>
      <c r="E63" s="286">
        <f t="shared" si="17"/>
        <v>23975.130917359998</v>
      </c>
      <c r="F63" s="286">
        <f t="shared" si="18"/>
        <v>18853.616977970702</v>
      </c>
      <c r="G63" s="286">
        <f t="shared" si="19"/>
        <v>19095.330016149819</v>
      </c>
      <c r="H63" s="286">
        <f t="shared" si="20"/>
        <v>19820.469130687154</v>
      </c>
      <c r="I63" s="286">
        <f t="shared" si="21"/>
        <v>21029.034321582705</v>
      </c>
      <c r="J63" s="286">
        <f t="shared" si="22"/>
        <v>12948.388168551088</v>
      </c>
      <c r="K63" s="286">
        <f t="shared" si="23"/>
        <v>4384.0999310842262</v>
      </c>
      <c r="L63" s="286">
        <f t="shared" si="24"/>
        <v>17479.024386608351</v>
      </c>
    </row>
    <row r="64" spans="1:12" s="51" customFormat="1" x14ac:dyDescent="0.25">
      <c r="A64" s="285" t="s">
        <v>20</v>
      </c>
      <c r="B64" s="286">
        <f t="shared" si="14"/>
        <v>22010.823639441114</v>
      </c>
      <c r="C64" s="286">
        <f t="shared" si="15"/>
        <v>22293.013686100625</v>
      </c>
      <c r="D64" s="286">
        <f t="shared" si="16"/>
        <v>23139.583826079128</v>
      </c>
      <c r="E64" s="286">
        <f t="shared" si="17"/>
        <v>24550.534059376638</v>
      </c>
      <c r="F64" s="286">
        <f t="shared" si="18"/>
        <v>19306.103785441999</v>
      </c>
      <c r="G64" s="286">
        <f t="shared" si="19"/>
        <v>19553.617936537416</v>
      </c>
      <c r="H64" s="286">
        <f t="shared" si="20"/>
        <v>20296.160389823646</v>
      </c>
      <c r="I64" s="286">
        <f t="shared" si="21"/>
        <v>21533.731145300691</v>
      </c>
      <c r="J64" s="286">
        <f t="shared" si="22"/>
        <v>13259.149484596313</v>
      </c>
      <c r="K64" s="286">
        <f t="shared" si="23"/>
        <v>4489.318329430248</v>
      </c>
      <c r="L64" s="286">
        <f t="shared" si="24"/>
        <v>17898.520971886952</v>
      </c>
    </row>
    <row r="65" spans="1:12" s="51" customFormat="1" x14ac:dyDescent="0.25">
      <c r="A65" s="285" t="s">
        <v>21</v>
      </c>
      <c r="B65" s="286">
        <f t="shared" si="14"/>
        <v>22539.0834067877</v>
      </c>
      <c r="C65" s="286">
        <f t="shared" si="15"/>
        <v>22828.04601456704</v>
      </c>
      <c r="D65" s="286">
        <f t="shared" si="16"/>
        <v>23694.933837905028</v>
      </c>
      <c r="E65" s="286">
        <f t="shared" si="17"/>
        <v>25139.746876801677</v>
      </c>
      <c r="F65" s="286">
        <f t="shared" si="18"/>
        <v>19769.450276292606</v>
      </c>
      <c r="G65" s="286">
        <f t="shared" si="19"/>
        <v>20022.904767014315</v>
      </c>
      <c r="H65" s="286">
        <f t="shared" si="20"/>
        <v>20783.268239179415</v>
      </c>
      <c r="I65" s="286">
        <f t="shared" si="21"/>
        <v>22050.540692787908</v>
      </c>
      <c r="J65" s="286">
        <f t="shared" si="22"/>
        <v>13577.369072226626</v>
      </c>
      <c r="K65" s="286">
        <f t="shared" si="23"/>
        <v>4597.0619693365743</v>
      </c>
      <c r="L65" s="286">
        <f t="shared" si="24"/>
        <v>18328.08547521224</v>
      </c>
    </row>
    <row r="66" spans="1:12" s="51" customFormat="1" x14ac:dyDescent="0.25">
      <c r="A66" s="285" t="s">
        <v>318</v>
      </c>
      <c r="B66" s="286">
        <f>SUM(B54:B65)</f>
        <v>238189.2978200434</v>
      </c>
      <c r="C66" s="286">
        <f t="shared" ref="C66:L66" si="25">SUM(C54:C65)</f>
        <v>241243.00676645437</v>
      </c>
      <c r="D66" s="286">
        <f t="shared" si="25"/>
        <v>250404.13360568677</v>
      </c>
      <c r="E66" s="286">
        <f t="shared" si="25"/>
        <v>265672.67833774083</v>
      </c>
      <c r="F66" s="286">
        <f t="shared" si="25"/>
        <v>208920.2739353771</v>
      </c>
      <c r="G66" s="286">
        <f t="shared" si="25"/>
        <v>211598.73898583074</v>
      </c>
      <c r="H66" s="286">
        <f t="shared" si="25"/>
        <v>219634.1341371914</v>
      </c>
      <c r="I66" s="286">
        <f t="shared" si="25"/>
        <v>233026.45938945911</v>
      </c>
      <c r="J66" s="286">
        <f t="shared" si="25"/>
        <v>143483.38604502933</v>
      </c>
      <c r="K66" s="286">
        <f t="shared" si="25"/>
        <v>48580.988975876062</v>
      </c>
      <c r="L66" s="286">
        <f t="shared" si="25"/>
        <v>193688.16960905533</v>
      </c>
    </row>
    <row r="67" spans="1:12" s="51" customFormat="1" x14ac:dyDescent="0.25">
      <c r="A67" s="285"/>
      <c r="B67" s="286"/>
      <c r="C67" s="286"/>
      <c r="D67" s="286"/>
      <c r="E67" s="286"/>
      <c r="F67" s="286"/>
      <c r="G67" s="286"/>
      <c r="H67" s="286"/>
      <c r="I67" s="286"/>
      <c r="J67" s="286"/>
      <c r="K67" s="286"/>
      <c r="L67" s="286"/>
    </row>
    <row r="68" spans="1:12" s="51" customFormat="1" x14ac:dyDescent="0.25">
      <c r="A68" s="285" t="s">
        <v>320</v>
      </c>
      <c r="B68" s="286"/>
      <c r="C68" s="286"/>
      <c r="D68" s="286"/>
      <c r="E68" s="286"/>
      <c r="F68" s="286"/>
      <c r="G68" s="286"/>
      <c r="H68" s="286"/>
      <c r="I68" s="286"/>
      <c r="J68" s="286"/>
      <c r="K68" s="286"/>
      <c r="L68" s="286"/>
    </row>
    <row r="69" spans="1:12" s="51" customFormat="1" x14ac:dyDescent="0.25">
      <c r="A69" s="285" t="s">
        <v>10</v>
      </c>
      <c r="B69" s="90">
        <f>'35-40 foot transit bus'!$H$15*(' Summary'!$B$40/'35-40 foot transit bus'!$J$6)</f>
        <v>16934.089642581428</v>
      </c>
      <c r="C69" s="90">
        <f>'35-40 foot transit bus'!$H$25*(' Summary'!$B$40/'35-40 foot transit bus'!$J$6)</f>
        <v>17151.480946929256</v>
      </c>
      <c r="D69" s="90">
        <f>'35-40 foot transit bus'!$H$38*(' Summary'!$B$40/'35-40 foot transit bus'!$J$6)</f>
        <v>17803.654859972736</v>
      </c>
      <c r="E69" s="90">
        <f>'35-40 foot transit bus'!$H$51*(' Summary'!$B$40/'35-40 foot transit bus'!$J$6)</f>
        <v>18890.611381711864</v>
      </c>
      <c r="F69" s="90">
        <f>'35-40 foot transit bus'!$H$15*(' Summary'!$B$40/'35-40 foot transit bus'!$J$3)</f>
        <v>14853.205745823539</v>
      </c>
      <c r="G69" s="90">
        <f>'35-40 foot transit bus'!$H$25*(' Summary'!$B$40/'35-40 foot transit bus'!$J$3)</f>
        <v>15043.883711925237</v>
      </c>
      <c r="H69" s="90">
        <f>'35-40 foot transit bus'!$H$38*(' Summary'!$B$40/'35-40 foot transit bus'!$J$3)</f>
        <v>15615.917610230321</v>
      </c>
      <c r="I69" s="90">
        <f>'35-40 foot transit bus'!$H$51*(' Summary'!$B$40/'35-40 foot transit bus'!$J$3)</f>
        <v>16569.307440738794</v>
      </c>
      <c r="J69" s="90">
        <f>'35-40 foot transit bus'!$H$66*(' Summary'!$B$40/'35-40 foot transit bus'!$J$5)</f>
        <v>10263.707460997621</v>
      </c>
      <c r="K69" s="90">
        <f>'35-40 foot transit bus'!$H$82*(' Summary'!$B$40/'35-40 foot transit bus'!$J$5)</f>
        <v>3500.4224368430305</v>
      </c>
      <c r="L69" s="90">
        <f>IF(Inputs!$B$32="Yes",('35-40 foot transit bus'!H$104*' Summary'!$B$40)-'All Fuel Types Calc'!$L122,'35-40 foot transit bus'!H$104*' Summary'!$B$40)</f>
        <v>7087.9683513679529</v>
      </c>
    </row>
    <row r="70" spans="1:12" s="51" customFormat="1" x14ac:dyDescent="0.25">
      <c r="A70" s="285" t="s">
        <v>11</v>
      </c>
      <c r="B70" s="90">
        <f>'35-40 foot transit bus'!$I$15*(' Summary'!$B$40/'35-40 foot transit bus'!$J$6)</f>
        <v>17540.099408863225</v>
      </c>
      <c r="C70" s="90">
        <f>'35-40 foot transit bus'!$I$25*(' Summary'!$B$40/'35-40 foot transit bus'!$J$6)</f>
        <v>17757.490713211053</v>
      </c>
      <c r="D70" s="90">
        <f>'35-40 foot transit bus'!$I$38*(' Summary'!$B$40/'35-40 foot transit bus'!$J$6)</f>
        <v>18409.664626254529</v>
      </c>
      <c r="E70" s="90">
        <f>'35-40 foot transit bus'!$I$51*(' Summary'!$B$40/'35-40 foot transit bus'!$J$6)</f>
        <v>19496.621147993661</v>
      </c>
      <c r="F70" s="90">
        <f>'35-40 foot transit bus'!$I$15*(' Summary'!$B$40/'35-40 foot transit bus'!$J$3)</f>
        <v>15384.748210316471</v>
      </c>
      <c r="G70" s="90">
        <f>'35-40 foot transit bus'!$I$25*(' Summary'!$B$40/'35-40 foot transit bus'!$J$3)</f>
        <v>15575.426176418168</v>
      </c>
      <c r="H70" s="90">
        <f>'35-40 foot transit bus'!$I$38*(' Summary'!$B$40/'35-40 foot transit bus'!$J$3)</f>
        <v>16147.460074723253</v>
      </c>
      <c r="I70" s="90">
        <f>'35-40 foot transit bus'!$I$51*(' Summary'!$B$40/'35-40 foot transit bus'!$J$3)</f>
        <v>17100.849905231727</v>
      </c>
      <c r="J70" s="90">
        <f>'35-40 foot transit bus'!$I$66*(' Summary'!$B$40/'35-40 foot transit bus'!$J$5)</f>
        <v>9931.8157067510547</v>
      </c>
      <c r="K70" s="90">
        <f>'35-40 foot transit bus'!$I$82*(' Summary'!$B$40/'35-40 foot transit bus'!$J$5)</f>
        <v>3168.5306825964649</v>
      </c>
      <c r="L70" s="90">
        <f>IF(Inputs!$B$32="Yes",('35-40 foot transit bus'!I$104*' Summary'!$B$40)-'All Fuel Types Calc'!$L123,'35-40 foot transit bus'!I$104*' Summary'!$B$40)</f>
        <v>7557.0730308825605</v>
      </c>
    </row>
    <row r="71" spans="1:12" s="51" customFormat="1" x14ac:dyDescent="0.25">
      <c r="A71" s="285" t="s">
        <v>12</v>
      </c>
      <c r="B71" s="90">
        <f>'35-40 foot transit bus'!$J$15*(' Summary'!$B$40/'35-40 foot transit bus'!$J$6)</f>
        <v>18395.701938457991</v>
      </c>
      <c r="C71" s="90">
        <f>'35-40 foot transit bus'!$J$25*(' Summary'!$B$40/'35-40 foot transit bus'!$J$6)</f>
        <v>18613.093242805819</v>
      </c>
      <c r="D71" s="90">
        <f>'35-40 foot transit bus'!$J$38*(' Summary'!$B$40/'35-40 foot transit bus'!$J$6)</f>
        <v>19265.267155849295</v>
      </c>
      <c r="E71" s="90">
        <f>'35-40 foot transit bus'!$J$51*(' Summary'!$B$40/'35-40 foot transit bus'!$J$6)</f>
        <v>20352.223677588423</v>
      </c>
      <c r="F71" s="90">
        <f>'35-40 foot transit bus'!$J$15*(' Summary'!$B$40/'35-40 foot transit bus'!$J$3)</f>
        <v>16135.213140935608</v>
      </c>
      <c r="G71" s="90">
        <f>'35-40 foot transit bus'!$J$25*(' Summary'!$B$40/'35-40 foot transit bus'!$J$3)</f>
        <v>16325.891107037303</v>
      </c>
      <c r="H71" s="90">
        <f>'35-40 foot transit bus'!$J$38*(' Summary'!$B$40/'35-40 foot transit bus'!$J$3)</f>
        <v>16897.925005342389</v>
      </c>
      <c r="I71" s="90">
        <f>'35-40 foot transit bus'!$J$51*(' Summary'!$B$40/'35-40 foot transit bus'!$J$3)</f>
        <v>17851.314835850862</v>
      </c>
      <c r="J71" s="90">
        <f>'35-40 foot transit bus'!$J$66*(' Summary'!$B$40/'35-40 foot transit bus'!$J$5)</f>
        <v>10005.605121101429</v>
      </c>
      <c r="K71" s="90">
        <f>'35-40 foot transit bus'!$J$82*(' Summary'!$B$40/'35-40 foot transit bus'!$J$5)</f>
        <v>3242.3200969468385</v>
      </c>
      <c r="L71" s="90">
        <f>IF(Inputs!$B$32="Yes",('35-40 foot transit bus'!J$104*' Summary'!$B$40)-'All Fuel Types Calc'!$L124,'35-40 foot transit bus'!J$104*' Summary'!$B$40)</f>
        <v>8232.2081933653881</v>
      </c>
    </row>
    <row r="72" spans="1:12" s="51" customFormat="1" x14ac:dyDescent="0.25">
      <c r="A72" s="285" t="s">
        <v>13</v>
      </c>
      <c r="B72" s="90">
        <f>'35-40 foot transit bus'!$K$15*(' Summary'!$B$40/'35-40 foot transit bus'!$J$6)</f>
        <v>19050.155577480589</v>
      </c>
      <c r="C72" s="90">
        <f>'35-40 foot transit bus'!$K$25*(' Summary'!$B$40/'35-40 foot transit bus'!$J$6)</f>
        <v>19267.546881828417</v>
      </c>
      <c r="D72" s="90">
        <f>'35-40 foot transit bus'!$K$38*(' Summary'!$B$40/'35-40 foot transit bus'!$J$6)</f>
        <v>19919.720794871897</v>
      </c>
      <c r="E72" s="90">
        <f>'35-40 foot transit bus'!$K$51*(' Summary'!$B$40/'35-40 foot transit bus'!$J$6)</f>
        <v>21006.677316611025</v>
      </c>
      <c r="F72" s="90">
        <f>'35-40 foot transit bus'!$K$15*(' Summary'!$B$40/'35-40 foot transit bus'!$J$3)</f>
        <v>16709.246629400346</v>
      </c>
      <c r="G72" s="90">
        <f>'35-40 foot transit bus'!$K$25*(' Summary'!$B$40/'35-40 foot transit bus'!$J$3)</f>
        <v>16899.924595502041</v>
      </c>
      <c r="H72" s="90">
        <f>'35-40 foot transit bus'!$K$38*(' Summary'!$B$40/'35-40 foot transit bus'!$J$3)</f>
        <v>17471.958493807128</v>
      </c>
      <c r="I72" s="90">
        <f>'35-40 foot transit bus'!$K$51*(' Summary'!$B$40/'35-40 foot transit bus'!$J$3)</f>
        <v>18425.348324315601</v>
      </c>
      <c r="J72" s="90">
        <f>'35-40 foot transit bus'!$K$66*(' Summary'!$B$40/'35-40 foot transit bus'!$J$5)</f>
        <v>10351.581323722072</v>
      </c>
      <c r="K72" s="90">
        <f>'35-40 foot transit bus'!$K$82*(' Summary'!$B$40/'35-40 foot transit bus'!$J$5)</f>
        <v>3588.2962995674811</v>
      </c>
      <c r="L72" s="90">
        <f>IF(Inputs!$B$32="Yes",('35-40 foot transit bus'!K$104*' Summary'!$B$40)-'All Fuel Types Calc'!$L125,'35-40 foot transit bus'!K$104*' Summary'!$B$40)</f>
        <v>8971.9696519289246</v>
      </c>
    </row>
    <row r="73" spans="1:12" s="51" customFormat="1" x14ac:dyDescent="0.25">
      <c r="A73" s="285" t="s">
        <v>14</v>
      </c>
      <c r="B73" s="90">
        <f>'35-40 foot transit bus'!$L$15*(' Summary'!$B$40/'35-40 foot transit bus'!$J$6)</f>
        <v>19970.752643425425</v>
      </c>
      <c r="C73" s="90">
        <f>'35-40 foot transit bus'!$L$25*(' Summary'!$B$40/'35-40 foot transit bus'!$J$6)</f>
        <v>20188.143947773253</v>
      </c>
      <c r="D73" s="90">
        <f>'35-40 foot transit bus'!$L$38*(' Summary'!$B$40/'35-40 foot transit bus'!$J$6)</f>
        <v>20840.317860816729</v>
      </c>
      <c r="E73" s="90">
        <f>'35-40 foot transit bus'!$L$51*(' Summary'!$B$40/'35-40 foot transit bus'!$J$6)</f>
        <v>21927.274382555857</v>
      </c>
      <c r="F73" s="90">
        <f>'35-40 foot transit bus'!$L$15*(' Summary'!$B$40/'35-40 foot transit bus'!$J$3)</f>
        <v>17516.719479614669</v>
      </c>
      <c r="G73" s="90">
        <f>'35-40 foot transit bus'!$L$25*(' Summary'!$B$40/'35-40 foot transit bus'!$J$3)</f>
        <v>17707.397445716368</v>
      </c>
      <c r="H73" s="90">
        <f>'35-40 foot transit bus'!$L$38*(' Summary'!$B$40/'35-40 foot transit bus'!$J$3)</f>
        <v>18279.43134402145</v>
      </c>
      <c r="I73" s="90">
        <f>'35-40 foot transit bus'!$L$51*(' Summary'!$B$40/'35-40 foot transit bus'!$J$3)</f>
        <v>19232.821174529923</v>
      </c>
      <c r="J73" s="90">
        <f>'35-40 foot transit bus'!$L$66*(' Summary'!$B$40/'35-40 foot transit bus'!$J$5)</f>
        <v>10527.118665032483</v>
      </c>
      <c r="K73" s="90">
        <f>'35-40 foot transit bus'!$L$82*(' Summary'!$B$40/'35-40 foot transit bus'!$J$5)</f>
        <v>3763.8336408778928</v>
      </c>
      <c r="L73" s="90">
        <f>IF(Inputs!$B$32="Yes",('35-40 foot transit bus'!L$104*' Summary'!$B$40)-'All Fuel Types Calc'!$L126,'35-40 foot transit bus'!L$104*' Summary'!$B$40)</f>
        <v>9688.4844607969972</v>
      </c>
    </row>
    <row r="74" spans="1:12" s="51" customFormat="1" x14ac:dyDescent="0.25">
      <c r="A74" s="285" t="s">
        <v>15</v>
      </c>
      <c r="B74" s="90">
        <f>'35-40 foot transit bus'!$M$15*(' Summary'!$B$40/'35-40 foot transit bus'!$J$6)</f>
        <v>20639.571619303591</v>
      </c>
      <c r="C74" s="90">
        <f>'35-40 foot transit bus'!$M$25*(' Summary'!$B$40/'35-40 foot transit bus'!$J$6)</f>
        <v>20856.962923651419</v>
      </c>
      <c r="D74" s="90">
        <f>'35-40 foot transit bus'!$M$38*(' Summary'!$B$40/'35-40 foot transit bus'!$J$6)</f>
        <v>21509.136836694895</v>
      </c>
      <c r="E74" s="90">
        <f>'35-40 foot transit bus'!$M$51*(' Summary'!$B$40/'35-40 foot transit bus'!$J$6)</f>
        <v>22596.093358434027</v>
      </c>
      <c r="F74" s="90">
        <f>'35-40 foot transit bus'!$M$15*(' Summary'!$B$40/'35-40 foot transit bus'!$J$3)</f>
        <v>18103.353072863742</v>
      </c>
      <c r="G74" s="90">
        <f>'35-40 foot transit bus'!$M$25*(' Summary'!$B$40/'35-40 foot transit bus'!$J$3)</f>
        <v>18294.031038965437</v>
      </c>
      <c r="H74" s="90">
        <f>'35-40 foot transit bus'!$M$38*(' Summary'!$B$40/'35-40 foot transit bus'!$J$3)</f>
        <v>18866.064937270523</v>
      </c>
      <c r="I74" s="90">
        <f>'35-40 foot transit bus'!$M$51*(' Summary'!$B$40/'35-40 foot transit bus'!$J$3)</f>
        <v>19819.454767778996</v>
      </c>
      <c r="J74" s="90">
        <f>'35-40 foot transit bus'!$M$66*(' Summary'!$B$40/'35-40 foot transit bus'!$J$5)</f>
        <v>10860.722227781522</v>
      </c>
      <c r="K74" s="90">
        <f>'35-40 foot transit bus'!$M$82*(' Summary'!$B$40/'35-40 foot transit bus'!$J$5)</f>
        <v>4097.4372036269306</v>
      </c>
      <c r="L74" s="90">
        <f>IF(Inputs!$B$32="Yes",('35-40 foot transit bus'!M$104*' Summary'!$B$40)-'All Fuel Types Calc'!$L127,'35-40 foot transit bus'!M$104*' Summary'!$B$40)</f>
        <v>10588.045783149388</v>
      </c>
    </row>
    <row r="75" spans="1:12" s="51" customFormat="1" x14ac:dyDescent="0.25">
      <c r="A75" s="285" t="s">
        <v>16</v>
      </c>
      <c r="B75" s="90">
        <f>'35-40 foot transit bus'!$N$15*(' Summary'!$B$40/'35-40 foot transit bus'!$J$6)</f>
        <v>21648.119312526822</v>
      </c>
      <c r="C75" s="90">
        <f>'35-40 foot transit bus'!$N$25*(' Summary'!$B$40/'35-40 foot transit bus'!$J$6)</f>
        <v>21865.51061687465</v>
      </c>
      <c r="D75" s="90">
        <f>'35-40 foot transit bus'!$N$38*(' Summary'!$B$40/'35-40 foot transit bus'!$J$6)</f>
        <v>22517.68452991813</v>
      </c>
      <c r="E75" s="90">
        <f>'35-40 foot transit bus'!$N$51*(' Summary'!$B$40/'35-40 foot transit bus'!$J$6)</f>
        <v>23604.641051657258</v>
      </c>
      <c r="F75" s="90">
        <f>'35-40 foot transit bus'!$N$15*(' Summary'!$B$40/'35-40 foot transit bus'!$J$3)</f>
        <v>18987.969058021405</v>
      </c>
      <c r="G75" s="90">
        <f>'35-40 foot transit bus'!$N$25*(' Summary'!$B$40/'35-40 foot transit bus'!$J$3)</f>
        <v>19178.647024123104</v>
      </c>
      <c r="H75" s="90">
        <f>'35-40 foot transit bus'!$N$38*(' Summary'!$B$40/'35-40 foot transit bus'!$J$3)</f>
        <v>19750.680922428186</v>
      </c>
      <c r="I75" s="90">
        <f>'35-40 foot transit bus'!$N$51*(' Summary'!$B$40/'35-40 foot transit bus'!$J$3)</f>
        <v>20704.070752936659</v>
      </c>
      <c r="J75" s="90">
        <f>'35-40 foot transit bus'!$N$66*(' Summary'!$B$40/'35-40 foot transit bus'!$J$5)</f>
        <v>11147.599986503183</v>
      </c>
      <c r="K75" s="90">
        <f>'35-40 foot transit bus'!$N$82*(' Summary'!$B$40/'35-40 foot transit bus'!$J$5)</f>
        <v>4384.3149623485924</v>
      </c>
      <c r="L75" s="90">
        <f>IF(Inputs!$B$32="Yes",('35-40 foot transit bus'!N$104*' Summary'!$B$40)-'All Fuel Types Calc'!$L128,'35-40 foot transit bus'!N$104*' Summary'!$B$40)</f>
        <v>11234.931751877106</v>
      </c>
    </row>
    <row r="76" spans="1:12" s="51" customFormat="1" x14ac:dyDescent="0.25">
      <c r="A76" s="285" t="s">
        <v>17</v>
      </c>
      <c r="B76" s="90">
        <f>'35-40 foot transit bus'!$O$15*(' Summary'!$B$40/'35-40 foot transit bus'!$J$6)</f>
        <v>22308.106464897442</v>
      </c>
      <c r="C76" s="90">
        <f>'35-40 foot transit bus'!$O$25*(' Summary'!$B$40/'35-40 foot transit bus'!$J$6)</f>
        <v>22525.49776924527</v>
      </c>
      <c r="D76" s="90">
        <f>'35-40 foot transit bus'!$O$38*(' Summary'!$B$40/'35-40 foot transit bus'!$J$6)</f>
        <v>23177.67168228875</v>
      </c>
      <c r="E76" s="90">
        <f>'35-40 foot transit bus'!$O$51*(' Summary'!$B$40/'35-40 foot transit bus'!$J$6)</f>
        <v>24264.628204027878</v>
      </c>
      <c r="F76" s="90">
        <f>'35-40 foot transit bus'!$O$15*(' Summary'!$B$40/'35-40 foot transit bus'!$J$3)</f>
        <v>19566.856094210889</v>
      </c>
      <c r="G76" s="90">
        <f>'35-40 foot transit bus'!$O$25*(' Summary'!$B$40/'35-40 foot transit bus'!$J$3)</f>
        <v>19757.534060312588</v>
      </c>
      <c r="H76" s="90">
        <f>'35-40 foot transit bus'!$O$38*(' Summary'!$B$40/'35-40 foot transit bus'!$J$3)</f>
        <v>20329.56795861767</v>
      </c>
      <c r="I76" s="90">
        <f>'35-40 foot transit bus'!$O$51*(' Summary'!$B$40/'35-40 foot transit bus'!$J$3)</f>
        <v>21282.957789126143</v>
      </c>
      <c r="J76" s="90">
        <f>'35-40 foot transit bus'!$O$66*(' Summary'!$B$40/'35-40 foot transit bus'!$J$5)</f>
        <v>11352.518242452288</v>
      </c>
      <c r="K76" s="90">
        <f>'35-40 foot transit bus'!$O$82*(' Summary'!$B$40/'35-40 foot transit bus'!$J$5)</f>
        <v>4589.2332182976988</v>
      </c>
      <c r="L76" s="90">
        <f>IF(Inputs!$B$32="Yes",('35-40 foot transit bus'!O$104*' Summary'!$B$40)-'All Fuel Types Calc'!$L129,'35-40 foot transit bus'!O$104*' Summary'!$B$40)</f>
        <v>11755.42262084072</v>
      </c>
    </row>
    <row r="77" spans="1:12" s="51" customFormat="1" x14ac:dyDescent="0.25">
      <c r="A77" s="285" t="s">
        <v>18</v>
      </c>
      <c r="B77" s="90">
        <f>'35-40 foot transit bus'!$P$15*(' Summary'!$B$40/'35-40 foot transit bus'!$J$6)</f>
        <v>23323.47614603395</v>
      </c>
      <c r="C77" s="90">
        <f>'35-40 foot transit bus'!$P$25*(' Summary'!$B$40/'35-40 foot transit bus'!$J$6)</f>
        <v>23540.867450381782</v>
      </c>
      <c r="D77" s="90">
        <f>'35-40 foot transit bus'!$P$38*(' Summary'!$B$40/'35-40 foot transit bus'!$J$6)</f>
        <v>24193.041363425258</v>
      </c>
      <c r="E77" s="90">
        <f>'35-40 foot transit bus'!$P$51*(' Summary'!$B$40/'35-40 foot transit bus'!$J$6)</f>
        <v>25279.997885164386</v>
      </c>
      <c r="F77" s="90">
        <f>'35-40 foot transit bus'!$P$15*(' Summary'!$B$40/'35-40 foot transit bus'!$J$3)</f>
        <v>20457.455772156896</v>
      </c>
      <c r="G77" s="90">
        <f>'35-40 foot transit bus'!$P$25*(' Summary'!$B$40/'35-40 foot transit bus'!$J$3)</f>
        <v>20648.133738258592</v>
      </c>
      <c r="H77" s="90">
        <f>'35-40 foot transit bus'!$P$38*(' Summary'!$B$40/'35-40 foot transit bus'!$J$3)</f>
        <v>21220.167636563678</v>
      </c>
      <c r="I77" s="90">
        <f>'35-40 foot transit bus'!$P$51*(' Summary'!$B$40/'35-40 foot transit bus'!$J$3)</f>
        <v>22173.557467072151</v>
      </c>
      <c r="J77" s="90">
        <f>'35-40 foot transit bus'!$P$66*(' Summary'!$B$40/'35-40 foot transit bus'!$J$5)</f>
        <v>11458.652422133891</v>
      </c>
      <c r="K77" s="90">
        <f>'35-40 foot transit bus'!$P$82*(' Summary'!$B$40/'35-40 foot transit bus'!$J$5)</f>
        <v>4695.3673979793011</v>
      </c>
      <c r="L77" s="90">
        <f>IF(Inputs!$B$32="Yes",('35-40 foot transit bus'!P$104*' Summary'!$B$40)-'All Fuel Types Calc'!$L130,'35-40 foot transit bus'!P$104*' Summary'!$B$40)</f>
        <v>12145.615671710846</v>
      </c>
    </row>
    <row r="78" spans="1:12" s="51" customFormat="1" x14ac:dyDescent="0.25">
      <c r="A78" s="285" t="s">
        <v>19</v>
      </c>
      <c r="B78" s="90">
        <f>'35-40 foot transit bus'!$Q$15*(' Summary'!$B$40/'35-40 foot transit bus'!$J$6)</f>
        <v>24211.913071557388</v>
      </c>
      <c r="C78" s="90">
        <f>'35-40 foot transit bus'!$Q$25*(' Summary'!$B$40/'35-40 foot transit bus'!$J$6)</f>
        <v>24429.304375905216</v>
      </c>
      <c r="D78" s="90">
        <f>'35-40 foot transit bus'!$Q$38*(' Summary'!$B$40/'35-40 foot transit bus'!$J$6)</f>
        <v>25081.478288948692</v>
      </c>
      <c r="E78" s="90">
        <f>'35-40 foot transit bus'!$Q$51*(' Summary'!$B$40/'35-40 foot transit bus'!$J$6)</f>
        <v>26168.434810687824</v>
      </c>
      <c r="F78" s="90">
        <f>'35-40 foot transit bus'!$Q$15*(' Summary'!$B$40/'35-40 foot transit bus'!$J$3)</f>
        <v>21236.720363611774</v>
      </c>
      <c r="G78" s="90">
        <f>'35-40 foot transit bus'!$Q$25*(' Summary'!$B$40/'35-40 foot transit bus'!$J$3)</f>
        <v>21427.398329713473</v>
      </c>
      <c r="H78" s="90">
        <f>'35-40 foot transit bus'!$Q$38*(' Summary'!$B$40/'35-40 foot transit bus'!$J$3)</f>
        <v>21999.432228018555</v>
      </c>
      <c r="I78" s="90">
        <f>'35-40 foot transit bus'!$Q$51*(' Summary'!$B$40/'35-40 foot transit bus'!$J$3)</f>
        <v>22952.822058527028</v>
      </c>
      <c r="J78" s="90">
        <f>'35-40 foot transit bus'!$Q$66*(' Summary'!$B$40/'35-40 foot transit bus'!$J$5)</f>
        <v>11471.23955120035</v>
      </c>
      <c r="K78" s="90">
        <f>'35-40 foot transit bus'!$Q$82*(' Summary'!$B$40/'35-40 foot transit bus'!$J$5)</f>
        <v>4707.9545270457602</v>
      </c>
      <c r="L78" s="90">
        <f>IF(Inputs!$B$32="Yes",('35-40 foot transit bus'!Q$104*' Summary'!$B$40)-'All Fuel Types Calc'!$L131,'35-40 foot transit bus'!Q$104*' Summary'!$B$40)</f>
        <v>12503.650653167202</v>
      </c>
    </row>
    <row r="79" spans="1:12" s="51" customFormat="1" x14ac:dyDescent="0.25">
      <c r="A79" s="285" t="s">
        <v>20</v>
      </c>
      <c r="B79" s="90">
        <f>'35-40 foot transit bus'!$R$15*(' Summary'!$B$40/'35-40 foot transit bus'!$J$6)</f>
        <v>25438.823490817147</v>
      </c>
      <c r="C79" s="90">
        <f>'35-40 foot transit bus'!$R$25*(' Summary'!$B$40/'35-40 foot transit bus'!$J$6)</f>
        <v>25656.214795164975</v>
      </c>
      <c r="D79" s="90">
        <f>'35-40 foot transit bus'!$R$38*(' Summary'!$B$40/'35-40 foot transit bus'!$J$6)</f>
        <v>26308.388708208455</v>
      </c>
      <c r="E79" s="90">
        <f>'35-40 foot transit bus'!$R$51*(' Summary'!$B$40/'35-40 foot transit bus'!$J$6)</f>
        <v>27395.345229947583</v>
      </c>
      <c r="F79" s="90">
        <f>'35-40 foot transit bus'!$R$15*(' Summary'!$B$40/'35-40 foot transit bus'!$J$3)</f>
        <v>22312.866366945545</v>
      </c>
      <c r="G79" s="90">
        <f>'35-40 foot transit bus'!$R$25*(' Summary'!$B$40/'35-40 foot transit bus'!$J$3)</f>
        <v>22503.544333047244</v>
      </c>
      <c r="H79" s="90">
        <f>'35-40 foot transit bus'!$R$38*(' Summary'!$B$40/'35-40 foot transit bus'!$J$3)</f>
        <v>23075.578231352327</v>
      </c>
      <c r="I79" s="90">
        <f>'35-40 foot transit bus'!$R$51*(' Summary'!$B$40/'35-40 foot transit bus'!$J$3)</f>
        <v>24028.9680618608</v>
      </c>
      <c r="J79" s="90">
        <f>'35-40 foot transit bus'!$R$66*(' Summary'!$B$40/'35-40 foot transit bus'!$J$5)</f>
        <v>12387.546627995276</v>
      </c>
      <c r="K79" s="90">
        <f>'35-40 foot transit bus'!$R$82*(' Summary'!$B$40/'35-40 foot transit bus'!$J$5)</f>
        <v>5624.2616038406859</v>
      </c>
      <c r="L79" s="90">
        <f>IF(Inputs!$B$32="Yes",('35-40 foot transit bus'!R$104*' Summary'!$B$40)-'All Fuel Types Calc'!$L132,'35-40 foot transit bus'!R$104*' Summary'!$B$40)</f>
        <v>12848.9505604029</v>
      </c>
    </row>
    <row r="80" spans="1:12" s="51" customFormat="1" x14ac:dyDescent="0.25">
      <c r="A80" s="285" t="s">
        <v>21</v>
      </c>
      <c r="B80" s="90">
        <f>'35-40 foot transit bus'!$S$15*(' Summary'!$B$40/'35-40 foot transit bus'!$J$6)</f>
        <v>26416.765525836425</v>
      </c>
      <c r="C80" s="90">
        <f>'35-40 foot transit bus'!$S$25*(' Summary'!$B$40/'35-40 foot transit bus'!$J$6)</f>
        <v>26634.156830184253</v>
      </c>
      <c r="D80" s="90">
        <f>'35-40 foot transit bus'!$S$38*(' Summary'!$B$40/'35-40 foot transit bus'!$J$6)</f>
        <v>27286.330743227729</v>
      </c>
      <c r="E80" s="90">
        <f>'35-40 foot transit bus'!$S$51*(' Summary'!$B$40/'35-40 foot transit bus'!$J$6)</f>
        <v>28373.287264966861</v>
      </c>
      <c r="F80" s="90">
        <f>'35-40 foot transit bus'!$S$15*(' Summary'!$B$40/'35-40 foot transit bus'!$J$3)</f>
        <v>23170.637558678554</v>
      </c>
      <c r="G80" s="90">
        <f>'35-40 foot transit bus'!$S$25*(' Summary'!$B$40/'35-40 foot transit bus'!$J$3)</f>
        <v>23361.315524780253</v>
      </c>
      <c r="H80" s="90">
        <f>'35-40 foot transit bus'!$S$38*(' Summary'!$B$40/'35-40 foot transit bus'!$J$3)</f>
        <v>23933.349423085336</v>
      </c>
      <c r="I80" s="90">
        <f>'35-40 foot transit bus'!$S$51*(' Summary'!$B$40/'35-40 foot transit bus'!$J$3)</f>
        <v>24886.739253593809</v>
      </c>
      <c r="J80" s="90">
        <f>'35-40 foot transit bus'!$S$66*(' Summary'!$B$40/'35-40 foot transit bus'!$J$5)</f>
        <v>12381.118109734185</v>
      </c>
      <c r="K80" s="90">
        <f>'35-40 foot transit bus'!$S$82*(' Summary'!$B$40/'35-40 foot transit bus'!$J$5)</f>
        <v>5617.8330855795957</v>
      </c>
      <c r="L80" s="90">
        <f>IF(Inputs!$B$32="Yes",('35-40 foot transit bus'!S$104*' Summary'!$B$40)-'All Fuel Types Calc'!$L133,'35-40 foot transit bus'!S$104*' Summary'!$B$40)</f>
        <v>13234.985332701355</v>
      </c>
    </row>
    <row r="81" spans="1:12" x14ac:dyDescent="0.25">
      <c r="A81" s="51" t="s">
        <v>320</v>
      </c>
      <c r="B81" s="90">
        <f t="shared" ref="B81:L81" si="26">SUM(B69:B80)</f>
        <v>255877.57484178146</v>
      </c>
      <c r="C81" s="90">
        <f t="shared" si="26"/>
        <v>258486.27049395532</v>
      </c>
      <c r="D81" s="90">
        <f t="shared" si="26"/>
        <v>266312.35745047708</v>
      </c>
      <c r="E81" s="90">
        <f t="shared" si="26"/>
        <v>279355.83571134665</v>
      </c>
      <c r="F81" s="90">
        <f t="shared" si="26"/>
        <v>224434.99149257943</v>
      </c>
      <c r="G81" s="90">
        <f t="shared" si="26"/>
        <v>226723.12708579979</v>
      </c>
      <c r="H81" s="90">
        <f t="shared" si="26"/>
        <v>233587.53386546083</v>
      </c>
      <c r="I81" s="90">
        <f t="shared" si="26"/>
        <v>245028.21183156251</v>
      </c>
      <c r="J81" s="90">
        <f t="shared" si="26"/>
        <v>132139.22544540538</v>
      </c>
      <c r="K81" s="90">
        <f t="shared" si="26"/>
        <v>50979.805155550268</v>
      </c>
      <c r="L81" s="90">
        <f t="shared" si="26"/>
        <v>125849.30606219135</v>
      </c>
    </row>
    <row r="82" spans="1:12" s="51" customFormat="1" x14ac:dyDescent="0.25">
      <c r="B82" s="90"/>
      <c r="C82" s="90"/>
      <c r="D82" s="90"/>
      <c r="E82" s="90"/>
      <c r="F82" s="90"/>
      <c r="G82" s="90"/>
      <c r="H82" s="90"/>
      <c r="I82" s="90"/>
      <c r="J82" s="90"/>
      <c r="K82" s="90"/>
      <c r="L82" s="90"/>
    </row>
    <row r="83" spans="1:12" s="51" customFormat="1" x14ac:dyDescent="0.25">
      <c r="A83" s="285" t="s">
        <v>581</v>
      </c>
      <c r="B83" s="416">
        <f>B81+B51</f>
        <v>1530484.1382605184</v>
      </c>
      <c r="C83" s="416">
        <f t="shared" ref="C83:K83" si="27">C81+C51</f>
        <v>1528467.1805719142</v>
      </c>
      <c r="D83" s="416">
        <f t="shared" si="27"/>
        <v>1532177.9175811242</v>
      </c>
      <c r="E83" s="416">
        <f t="shared" si="27"/>
        <v>1532365.0426065929</v>
      </c>
      <c r="F83" s="416">
        <f t="shared" si="27"/>
        <v>1482335.8557106401</v>
      </c>
      <c r="G83" s="416">
        <f t="shared" si="27"/>
        <v>1479998.3379630824</v>
      </c>
      <c r="H83" s="416">
        <f t="shared" si="27"/>
        <v>1482747.3947954318</v>
      </c>
      <c r="I83" s="416">
        <f t="shared" si="27"/>
        <v>1481331.7195261323</v>
      </c>
      <c r="J83" s="416">
        <f>IF(Inputs!B32="Yes",(J81+J51)-J134,J81+J51)</f>
        <v>1403273.6921912478</v>
      </c>
      <c r="K83" s="416">
        <f t="shared" si="27"/>
        <v>1324680.6138484438</v>
      </c>
      <c r="L83" s="416">
        <f>IF(Inputs!B32="Yes",(L81+L51)-L134,L81+L51)</f>
        <v>1292107.0931361022</v>
      </c>
    </row>
    <row r="84" spans="1:12" x14ac:dyDescent="0.25">
      <c r="A84" s="285" t="s">
        <v>294</v>
      </c>
      <c r="B84" s="286">
        <f>B51+B26+B22+IF(Inputs!$B$30=VLOOKUP(Inputs!$B$4,'Default Data'!$A$1:$AJ$12,6,FALSE),'All Fuel Types Calc'!B81,'All Fuel Types Calc'!B66)</f>
        <v>2040932.1382605184</v>
      </c>
      <c r="C84" s="286">
        <f>C51+C26+C22+IF(Inputs!$B$30=VLOOKUP(Inputs!$B$4,'Default Data'!$A$1:$AJ$12,6,FALSE),'All Fuel Types Calc'!C81,'All Fuel Types Calc'!C66)</f>
        <v>2038915.1805719142</v>
      </c>
      <c r="D84" s="286">
        <f>D51+D26+D22+IF(Inputs!$B$30=VLOOKUP(Inputs!$B$4,'Default Data'!$A$1:$AJ$12,6,FALSE),'All Fuel Types Calc'!D81,'All Fuel Types Calc'!D66)</f>
        <v>2042625.9175811242</v>
      </c>
      <c r="E84" s="286">
        <f>E51+E26+E22+IF(Inputs!$B$30=VLOOKUP(Inputs!$B$4,'Default Data'!$A$1:$AJ$12,6,FALSE),'All Fuel Types Calc'!E81,'All Fuel Types Calc'!E66)</f>
        <v>2042813.0426065929</v>
      </c>
      <c r="F84" s="286">
        <f>F51+F26+F22+IF(Inputs!$B$30=VLOOKUP(Inputs!$B$4,'Default Data'!$A$1:$AJ$12,6,FALSE),'All Fuel Types Calc'!F81,'All Fuel Types Calc'!F66)</f>
        <v>2180180.8557106401</v>
      </c>
      <c r="G84" s="286">
        <f>G51+G26+G22+IF(Inputs!$B$30=VLOOKUP(Inputs!$B$4,'Default Data'!$A$1:$AJ$12,6,FALSE),'All Fuel Types Calc'!G81,'All Fuel Types Calc'!G66)</f>
        <v>2177843.3379630824</v>
      </c>
      <c r="H84" s="286">
        <f>H51+H26+H22+IF(Inputs!$B$30=VLOOKUP(Inputs!$B$4,'Default Data'!$A$1:$AJ$12,6,FALSE),'All Fuel Types Calc'!H81,'All Fuel Types Calc'!H66)</f>
        <v>2180592.3947954318</v>
      </c>
      <c r="I84" s="286">
        <f>I51+I26+I22+IF(Inputs!$B$30=VLOOKUP(Inputs!$B$4,'Default Data'!$A$1:$AJ$12,6,FALSE),'All Fuel Types Calc'!I81,'All Fuel Types Calc'!I66)</f>
        <v>2179176.7195261326</v>
      </c>
      <c r="J84" s="286">
        <f>J51+J26+J22+IF(Inputs!$B$30=VLOOKUP(Inputs!$B$4,'Default Data'!$A$1:$AJ$12,6,FALSE),'All Fuel Types Calc'!J81,'All Fuel Types Calc'!J66)</f>
        <v>2001564.0341382988</v>
      </c>
      <c r="K84" s="286">
        <f>K51+K26+K22+IF(Inputs!$B$30=VLOOKUP(Inputs!$B$4,'Default Data'!$A$1:$AJ$12,6,FALSE),'All Fuel Types Calc'!K81,'All Fuel Types Calc'!K66)</f>
        <v>1920404.6138484438</v>
      </c>
      <c r="L84" s="286">
        <f>IF(Inputs!B32="Yes",((L51+L26+L22+L81)-L134),L51+L26+L22+L81)</f>
        <v>2234715.093136102</v>
      </c>
    </row>
    <row r="86" spans="1:12" x14ac:dyDescent="0.25">
      <c r="A86" s="285" t="s">
        <v>314</v>
      </c>
    </row>
    <row r="87" spans="1:12" x14ac:dyDescent="0.25">
      <c r="A87" s="177" t="s">
        <v>223</v>
      </c>
      <c r="B87" s="286">
        <f>B34*$B$3</f>
        <v>4044.9021610939981</v>
      </c>
      <c r="C87" s="286">
        <f t="shared" ref="C87:L87" si="28">C34*$B$3</f>
        <v>3665.2611732780078</v>
      </c>
      <c r="D87" s="286">
        <f t="shared" si="28"/>
        <v>3373.9729971719221</v>
      </c>
      <c r="E87" s="286">
        <f t="shared" si="28"/>
        <v>1612.4388137057301</v>
      </c>
      <c r="F87" s="286">
        <f t="shared" si="28"/>
        <v>3547.8590989256681</v>
      </c>
      <c r="G87" s="286">
        <f t="shared" si="28"/>
        <v>3214.8689104599471</v>
      </c>
      <c r="H87" s="286">
        <f t="shared" si="28"/>
        <v>2959.3746204007957</v>
      </c>
      <c r="I87" s="286">
        <f t="shared" si="28"/>
        <v>1414.3001459198563</v>
      </c>
      <c r="J87" s="286">
        <f t="shared" si="28"/>
        <v>3635.3500651470513</v>
      </c>
      <c r="K87" s="286">
        <f t="shared" si="28"/>
        <v>1576.3994074922521</v>
      </c>
      <c r="L87" s="286">
        <f t="shared" si="28"/>
        <v>1693.1183765758099</v>
      </c>
    </row>
    <row r="88" spans="1:12" x14ac:dyDescent="0.25">
      <c r="A88" s="13" t="s">
        <v>62</v>
      </c>
      <c r="B88" s="286">
        <f>B35*$B$3</f>
        <v>352.2905733840642</v>
      </c>
      <c r="C88" s="286">
        <f t="shared" ref="C88:L88" si="29">C35*$B$3</f>
        <v>319.22575847600348</v>
      </c>
      <c r="D88" s="286">
        <f t="shared" si="29"/>
        <v>293.85602776472791</v>
      </c>
      <c r="E88" s="286">
        <f t="shared" si="29"/>
        <v>140.43528659132662</v>
      </c>
      <c r="F88" s="286">
        <f t="shared" si="29"/>
        <v>309.00063004449697</v>
      </c>
      <c r="G88" s="286">
        <f t="shared" si="29"/>
        <v>279.99886442598608</v>
      </c>
      <c r="H88" s="286">
        <f t="shared" si="29"/>
        <v>257.74660062414699</v>
      </c>
      <c r="I88" s="286">
        <f t="shared" si="29"/>
        <v>123.17840815425679</v>
      </c>
      <c r="J88" s="286">
        <f t="shared" si="29"/>
        <v>17.478584126000978</v>
      </c>
      <c r="K88" s="286">
        <f t="shared" si="29"/>
        <v>17.478584126000978</v>
      </c>
      <c r="L88" s="286">
        <f t="shared" si="29"/>
        <v>0</v>
      </c>
    </row>
    <row r="89" spans="1:12" x14ac:dyDescent="0.25">
      <c r="A89" s="15" t="s">
        <v>219</v>
      </c>
      <c r="B89" s="286">
        <f>B36*$B$3</f>
        <v>2395.9933259738964</v>
      </c>
      <c r="C89" s="286">
        <f t="shared" ref="C89:L89" si="30">C36*$B$3</f>
        <v>2171.1134063005775</v>
      </c>
      <c r="D89" s="286">
        <f t="shared" si="30"/>
        <v>1998.5691770239598</v>
      </c>
      <c r="E89" s="286">
        <f t="shared" si="30"/>
        <v>955.12634973976469</v>
      </c>
      <c r="F89" s="286">
        <f t="shared" si="30"/>
        <v>2101.5704172737142</v>
      </c>
      <c r="G89" s="286">
        <f t="shared" si="30"/>
        <v>1904.3240470517778</v>
      </c>
      <c r="H89" s="286">
        <f t="shared" si="30"/>
        <v>1752.9822866269478</v>
      </c>
      <c r="I89" s="286">
        <f t="shared" si="30"/>
        <v>837.75912879716623</v>
      </c>
      <c r="J89" s="286">
        <f t="shared" si="30"/>
        <v>2395.9933259738964</v>
      </c>
      <c r="K89" s="286">
        <f t="shared" si="30"/>
        <v>2395.9933259738964</v>
      </c>
      <c r="L89" s="286">
        <f t="shared" si="30"/>
        <v>2395.9933259738964</v>
      </c>
    </row>
    <row r="90" spans="1:12" x14ac:dyDescent="0.25">
      <c r="A90" s="285" t="s">
        <v>10</v>
      </c>
      <c r="B90" s="286">
        <f>SUM(B87:B89)</f>
        <v>6793.1860604519588</v>
      </c>
      <c r="C90" s="286">
        <f t="shared" ref="C90:L90" si="31">SUM(C87:C89)</f>
        <v>6155.600338054589</v>
      </c>
      <c r="D90" s="286">
        <f t="shared" si="31"/>
        <v>5666.3982019606101</v>
      </c>
      <c r="E90" s="286">
        <f t="shared" si="31"/>
        <v>2708.0004500368213</v>
      </c>
      <c r="F90" s="286">
        <f t="shared" si="31"/>
        <v>5958.4301462438798</v>
      </c>
      <c r="G90" s="286">
        <f t="shared" si="31"/>
        <v>5399.1918219377112</v>
      </c>
      <c r="H90" s="286">
        <f t="shared" si="31"/>
        <v>4970.1035076518911</v>
      </c>
      <c r="I90" s="286">
        <f t="shared" si="31"/>
        <v>2375.2376828712795</v>
      </c>
      <c r="J90" s="286">
        <f t="shared" si="31"/>
        <v>6048.8219752469486</v>
      </c>
      <c r="K90" s="286">
        <f t="shared" si="31"/>
        <v>3989.8713175921494</v>
      </c>
      <c r="L90" s="286">
        <f t="shared" si="31"/>
        <v>4089.111702549706</v>
      </c>
    </row>
    <row r="91" spans="1:12" x14ac:dyDescent="0.25">
      <c r="A91" s="285" t="s">
        <v>11</v>
      </c>
      <c r="B91" s="502">
        <f>B90*(1+($B$17))</f>
        <v>6956.2225259028064</v>
      </c>
      <c r="C91" s="502">
        <f t="shared" ref="C91:L101" si="32">C90*(1+($B$17))</f>
        <v>6303.3347461678995</v>
      </c>
      <c r="D91" s="502">
        <f t="shared" si="32"/>
        <v>5802.3917588076647</v>
      </c>
      <c r="E91" s="502">
        <f t="shared" si="32"/>
        <v>2772.992460837705</v>
      </c>
      <c r="F91" s="502">
        <f t="shared" si="32"/>
        <v>6101.4324697537331</v>
      </c>
      <c r="G91" s="502">
        <f t="shared" si="32"/>
        <v>5528.7724256642168</v>
      </c>
      <c r="H91" s="502">
        <f t="shared" si="32"/>
        <v>5089.3859918355365</v>
      </c>
      <c r="I91" s="502">
        <f t="shared" si="32"/>
        <v>2432.24338726019</v>
      </c>
      <c r="J91" s="502">
        <f t="shared" si="32"/>
        <v>6193.9937026528751</v>
      </c>
      <c r="K91" s="502">
        <f t="shared" si="32"/>
        <v>4085.628229214361</v>
      </c>
      <c r="L91" s="502">
        <f t="shared" si="32"/>
        <v>4187.2503834108993</v>
      </c>
    </row>
    <row r="92" spans="1:12" x14ac:dyDescent="0.25">
      <c r="A92" s="285" t="s">
        <v>12</v>
      </c>
      <c r="B92" s="502">
        <f t="shared" ref="B92:B101" si="33">B91*(1+($B$17))</f>
        <v>7123.1718665244744</v>
      </c>
      <c r="C92" s="502">
        <f t="shared" si="32"/>
        <v>6454.614780075929</v>
      </c>
      <c r="D92" s="502">
        <f t="shared" si="32"/>
        <v>5941.6491610190487</v>
      </c>
      <c r="E92" s="502">
        <f t="shared" si="32"/>
        <v>2839.5442798978102</v>
      </c>
      <c r="F92" s="502">
        <f t="shared" si="32"/>
        <v>6247.8668490278233</v>
      </c>
      <c r="G92" s="502">
        <f t="shared" si="32"/>
        <v>5661.462963880158</v>
      </c>
      <c r="H92" s="502">
        <f t="shared" si="32"/>
        <v>5211.5312556395893</v>
      </c>
      <c r="I92" s="502">
        <f t="shared" si="32"/>
        <v>2490.6172285544349</v>
      </c>
      <c r="J92" s="502">
        <f t="shared" si="32"/>
        <v>6342.6495515165443</v>
      </c>
      <c r="K92" s="502">
        <f t="shared" si="32"/>
        <v>4183.6833067155058</v>
      </c>
      <c r="L92" s="502">
        <f t="shared" si="32"/>
        <v>4287.7443926127607</v>
      </c>
    </row>
    <row r="93" spans="1:12" x14ac:dyDescent="0.25">
      <c r="A93" s="285" t="s">
        <v>13</v>
      </c>
      <c r="B93" s="502">
        <f t="shared" si="33"/>
        <v>7294.1279913210619</v>
      </c>
      <c r="C93" s="502">
        <f t="shared" si="32"/>
        <v>6609.5255347977518</v>
      </c>
      <c r="D93" s="502">
        <f t="shared" si="32"/>
        <v>6084.2487408835059</v>
      </c>
      <c r="E93" s="502">
        <f t="shared" si="32"/>
        <v>2907.6933426153578</v>
      </c>
      <c r="F93" s="502">
        <f t="shared" si="32"/>
        <v>6397.8156534044911</v>
      </c>
      <c r="G93" s="502">
        <f t="shared" si="32"/>
        <v>5797.3380750132819</v>
      </c>
      <c r="H93" s="502">
        <f t="shared" si="32"/>
        <v>5336.6080057749396</v>
      </c>
      <c r="I93" s="502">
        <f t="shared" si="32"/>
        <v>2550.3920420397412</v>
      </c>
      <c r="J93" s="502">
        <f t="shared" si="32"/>
        <v>6494.8731407529413</v>
      </c>
      <c r="K93" s="502">
        <f t="shared" si="32"/>
        <v>4284.0917060766778</v>
      </c>
      <c r="L93" s="502">
        <f t="shared" si="32"/>
        <v>4390.6502580354672</v>
      </c>
    </row>
    <row r="94" spans="1:12" x14ac:dyDescent="0.25">
      <c r="A94" s="285" t="s">
        <v>14</v>
      </c>
      <c r="B94" s="502">
        <f t="shared" si="33"/>
        <v>7469.1870631127676</v>
      </c>
      <c r="C94" s="502">
        <f t="shared" si="32"/>
        <v>6768.1541476328975</v>
      </c>
      <c r="D94" s="502">
        <f t="shared" si="32"/>
        <v>6230.2707106647104</v>
      </c>
      <c r="E94" s="502">
        <f t="shared" si="32"/>
        <v>2977.4779828381265</v>
      </c>
      <c r="F94" s="502">
        <f t="shared" si="32"/>
        <v>6551.3632290861988</v>
      </c>
      <c r="G94" s="502">
        <f t="shared" si="32"/>
        <v>5936.4741888136004</v>
      </c>
      <c r="H94" s="502">
        <f t="shared" si="32"/>
        <v>5464.6865979135382</v>
      </c>
      <c r="I94" s="502">
        <f t="shared" si="32"/>
        <v>2611.6014510486953</v>
      </c>
      <c r="J94" s="502">
        <f t="shared" si="32"/>
        <v>6650.7500961310116</v>
      </c>
      <c r="K94" s="502">
        <f t="shared" si="32"/>
        <v>4386.9099070225184</v>
      </c>
      <c r="L94" s="502">
        <f t="shared" si="32"/>
        <v>4496.0258642283188</v>
      </c>
    </row>
    <row r="95" spans="1:12" x14ac:dyDescent="0.25">
      <c r="A95" s="285" t="s">
        <v>15</v>
      </c>
      <c r="B95" s="502">
        <f t="shared" si="33"/>
        <v>7648.4475526274746</v>
      </c>
      <c r="C95" s="502">
        <f t="shared" si="32"/>
        <v>6930.5898471760875</v>
      </c>
      <c r="D95" s="502">
        <f t="shared" si="32"/>
        <v>6379.7972077206632</v>
      </c>
      <c r="E95" s="502">
        <f t="shared" si="32"/>
        <v>3048.9374544262419</v>
      </c>
      <c r="F95" s="502">
        <f t="shared" si="32"/>
        <v>6708.5959465842679</v>
      </c>
      <c r="G95" s="502">
        <f t="shared" si="32"/>
        <v>6078.9495693451272</v>
      </c>
      <c r="H95" s="502">
        <f t="shared" si="32"/>
        <v>5595.8390762634635</v>
      </c>
      <c r="I95" s="502">
        <f t="shared" si="32"/>
        <v>2674.2798858738638</v>
      </c>
      <c r="J95" s="502">
        <f t="shared" si="32"/>
        <v>6810.3680984381563</v>
      </c>
      <c r="K95" s="502">
        <f t="shared" si="32"/>
        <v>4492.195744791059</v>
      </c>
      <c r="L95" s="502">
        <f t="shared" si="32"/>
        <v>4603.9304849697983</v>
      </c>
    </row>
    <row r="96" spans="1:12" x14ac:dyDescent="0.25">
      <c r="A96" s="285" t="s">
        <v>16</v>
      </c>
      <c r="B96" s="502">
        <f t="shared" ref="B96:L96" si="34">B95*(1+($B$17))</f>
        <v>7832.0102938905338</v>
      </c>
      <c r="C96" s="502">
        <f t="shared" si="34"/>
        <v>7096.9240035083139</v>
      </c>
      <c r="D96" s="502">
        <f t="shared" si="34"/>
        <v>6532.9123407059597</v>
      </c>
      <c r="E96" s="502">
        <f t="shared" si="34"/>
        <v>3122.1119533324718</v>
      </c>
      <c r="F96" s="502">
        <f t="shared" si="34"/>
        <v>6869.6022493022901</v>
      </c>
      <c r="G96" s="502">
        <f t="shared" si="34"/>
        <v>6224.8443590094103</v>
      </c>
      <c r="H96" s="502">
        <f t="shared" si="34"/>
        <v>5730.1392140937869</v>
      </c>
      <c r="I96" s="502">
        <f t="shared" si="34"/>
        <v>2738.4626031348366</v>
      </c>
      <c r="J96" s="502">
        <f t="shared" si="34"/>
        <v>6973.8169328006725</v>
      </c>
      <c r="K96" s="502">
        <f t="shared" si="34"/>
        <v>4600.0084426660442</v>
      </c>
      <c r="L96" s="502">
        <f t="shared" si="34"/>
        <v>4714.4248166090738</v>
      </c>
    </row>
    <row r="97" spans="1:12" x14ac:dyDescent="0.25">
      <c r="A97" s="285" t="s">
        <v>17</v>
      </c>
      <c r="B97" s="502">
        <f t="shared" si="33"/>
        <v>8019.9785409439064</v>
      </c>
      <c r="C97" s="502">
        <f t="shared" si="32"/>
        <v>7267.2501795925136</v>
      </c>
      <c r="D97" s="502">
        <f t="shared" si="32"/>
        <v>6689.702236882903</v>
      </c>
      <c r="E97" s="502">
        <f t="shared" si="32"/>
        <v>3197.0426402124513</v>
      </c>
      <c r="F97" s="502">
        <f t="shared" si="32"/>
        <v>7034.4727032855453</v>
      </c>
      <c r="G97" s="502">
        <f t="shared" si="32"/>
        <v>6374.2406236256365</v>
      </c>
      <c r="H97" s="502">
        <f t="shared" si="32"/>
        <v>5867.6625552320384</v>
      </c>
      <c r="I97" s="502">
        <f t="shared" si="32"/>
        <v>2804.1857056100725</v>
      </c>
      <c r="J97" s="502">
        <f t="shared" si="32"/>
        <v>7141.1885391878886</v>
      </c>
      <c r="K97" s="502">
        <f t="shared" si="32"/>
        <v>4710.4086452900292</v>
      </c>
      <c r="L97" s="502">
        <f t="shared" si="32"/>
        <v>4827.5710122076916</v>
      </c>
    </row>
    <row r="98" spans="1:12" x14ac:dyDescent="0.25">
      <c r="A98" s="285" t="s">
        <v>18</v>
      </c>
      <c r="B98" s="502">
        <f t="shared" si="33"/>
        <v>8212.4580259265604</v>
      </c>
      <c r="C98" s="502">
        <f t="shared" si="32"/>
        <v>7441.6641839027343</v>
      </c>
      <c r="D98" s="502">
        <f t="shared" si="32"/>
        <v>6850.2550905680928</v>
      </c>
      <c r="E98" s="502">
        <f t="shared" si="32"/>
        <v>3273.77166357755</v>
      </c>
      <c r="F98" s="502">
        <f t="shared" si="32"/>
        <v>7203.3000481643985</v>
      </c>
      <c r="G98" s="502">
        <f t="shared" si="32"/>
        <v>6527.2223985926521</v>
      </c>
      <c r="H98" s="502">
        <f t="shared" si="32"/>
        <v>6008.4864565576072</v>
      </c>
      <c r="I98" s="502">
        <f t="shared" si="32"/>
        <v>2871.4861625447143</v>
      </c>
      <c r="J98" s="502">
        <f t="shared" si="32"/>
        <v>7312.577064128398</v>
      </c>
      <c r="K98" s="502">
        <f t="shared" si="32"/>
        <v>4823.4584527769903</v>
      </c>
      <c r="L98" s="502">
        <f t="shared" si="32"/>
        <v>4943.4327165006762</v>
      </c>
    </row>
    <row r="99" spans="1:12" x14ac:dyDescent="0.25">
      <c r="A99" s="285" t="s">
        <v>19</v>
      </c>
      <c r="B99" s="502">
        <f t="shared" si="33"/>
        <v>8409.5570185487977</v>
      </c>
      <c r="C99" s="502">
        <f t="shared" si="32"/>
        <v>7620.2641243163998</v>
      </c>
      <c r="D99" s="502">
        <f t="shared" si="32"/>
        <v>7014.6612127417275</v>
      </c>
      <c r="E99" s="502">
        <f t="shared" si="32"/>
        <v>3352.3421835034114</v>
      </c>
      <c r="F99" s="502">
        <f t="shared" si="32"/>
        <v>7376.1792493203438</v>
      </c>
      <c r="G99" s="502">
        <f t="shared" si="32"/>
        <v>6683.875736158876</v>
      </c>
      <c r="H99" s="502">
        <f t="shared" si="32"/>
        <v>6152.6901315149898</v>
      </c>
      <c r="I99" s="502">
        <f t="shared" si="32"/>
        <v>2940.4018304457873</v>
      </c>
      <c r="J99" s="502">
        <f t="shared" si="32"/>
        <v>7488.0789136674794</v>
      </c>
      <c r="K99" s="502">
        <f t="shared" si="32"/>
        <v>4939.2214556436384</v>
      </c>
      <c r="L99" s="502">
        <f t="shared" si="32"/>
        <v>5062.0751016966924</v>
      </c>
    </row>
    <row r="100" spans="1:12" x14ac:dyDescent="0.25">
      <c r="A100" s="285" t="s">
        <v>20</v>
      </c>
      <c r="B100" s="502">
        <f t="shared" si="33"/>
        <v>8611.3863869939687</v>
      </c>
      <c r="C100" s="502">
        <f t="shared" si="32"/>
        <v>7803.1504632999931</v>
      </c>
      <c r="D100" s="502">
        <f t="shared" si="32"/>
        <v>7183.0130818475291</v>
      </c>
      <c r="E100" s="502">
        <f t="shared" si="32"/>
        <v>3432.7983959074932</v>
      </c>
      <c r="F100" s="502">
        <f t="shared" si="32"/>
        <v>7553.2075513040327</v>
      </c>
      <c r="G100" s="502">
        <f t="shared" si="32"/>
        <v>6844.2887538266896</v>
      </c>
      <c r="H100" s="502">
        <f t="shared" si="32"/>
        <v>6300.3546946713495</v>
      </c>
      <c r="I100" s="502">
        <f t="shared" si="32"/>
        <v>3010.9714743764862</v>
      </c>
      <c r="J100" s="502">
        <f t="shared" si="32"/>
        <v>7667.7928075954987</v>
      </c>
      <c r="K100" s="502">
        <f t="shared" si="32"/>
        <v>5057.7627705790856</v>
      </c>
      <c r="L100" s="502">
        <f t="shared" si="32"/>
        <v>5183.5649041374136</v>
      </c>
    </row>
    <row r="101" spans="1:12" x14ac:dyDescent="0.25">
      <c r="A101" s="285" t="s">
        <v>21</v>
      </c>
      <c r="B101" s="502">
        <f t="shared" si="33"/>
        <v>8818.0596602818241</v>
      </c>
      <c r="C101" s="502">
        <f t="shared" si="32"/>
        <v>7990.4260744191934</v>
      </c>
      <c r="D101" s="502">
        <f t="shared" si="32"/>
        <v>7355.4053958118702</v>
      </c>
      <c r="E101" s="502">
        <f t="shared" si="32"/>
        <v>3515.1855574092729</v>
      </c>
      <c r="F101" s="502">
        <f t="shared" si="32"/>
        <v>7734.4845325353299</v>
      </c>
      <c r="G101" s="502">
        <f t="shared" si="32"/>
        <v>7008.5516839185302</v>
      </c>
      <c r="H101" s="502">
        <f t="shared" si="32"/>
        <v>6451.5632073434617</v>
      </c>
      <c r="I101" s="502">
        <f t="shared" si="32"/>
        <v>3083.2347897615218</v>
      </c>
      <c r="J101" s="502">
        <f t="shared" si="32"/>
        <v>7851.8198349777913</v>
      </c>
      <c r="K101" s="502">
        <f t="shared" si="32"/>
        <v>5179.1490770729833</v>
      </c>
      <c r="L101" s="502">
        <f t="shared" si="32"/>
        <v>5307.9704618367114</v>
      </c>
    </row>
    <row r="102" spans="1:12" x14ac:dyDescent="0.25">
      <c r="A102" s="285" t="s">
        <v>315</v>
      </c>
      <c r="B102" s="286">
        <f t="shared" ref="B102:L102" si="35">SUM(B90:B101)</f>
        <v>93187.792986526139</v>
      </c>
      <c r="C102" s="286">
        <f t="shared" si="35"/>
        <v>84441.498422944307</v>
      </c>
      <c r="D102" s="286">
        <f t="shared" si="35"/>
        <v>77730.705139614278</v>
      </c>
      <c r="E102" s="286">
        <f t="shared" si="35"/>
        <v>37147.898364594708</v>
      </c>
      <c r="F102" s="286">
        <f t="shared" si="35"/>
        <v>81736.75062801232</v>
      </c>
      <c r="G102" s="286">
        <f t="shared" si="35"/>
        <v>74065.212599785897</v>
      </c>
      <c r="H102" s="286">
        <f t="shared" si="35"/>
        <v>68179.050694492194</v>
      </c>
      <c r="I102" s="286">
        <f t="shared" si="35"/>
        <v>32583.114243521621</v>
      </c>
      <c r="J102" s="286">
        <f t="shared" si="35"/>
        <v>82976.73065709621</v>
      </c>
      <c r="K102" s="286">
        <f t="shared" si="35"/>
        <v>54732.389055441046</v>
      </c>
      <c r="L102" s="286">
        <f t="shared" si="35"/>
        <v>56093.752098795201</v>
      </c>
    </row>
    <row r="103" spans="1:12" x14ac:dyDescent="0.25">
      <c r="B103" s="286"/>
      <c r="C103" s="286"/>
      <c r="D103" s="286"/>
      <c r="E103" s="286"/>
      <c r="F103" s="286"/>
      <c r="G103" s="286"/>
      <c r="H103" s="286"/>
      <c r="I103" s="286"/>
      <c r="J103" s="286"/>
      <c r="K103" s="286"/>
      <c r="L103" s="286"/>
    </row>
    <row r="104" spans="1:12" x14ac:dyDescent="0.25">
      <c r="A104" s="285" t="s">
        <v>215</v>
      </c>
      <c r="B104" s="286">
        <f t="shared" ref="B104:L104" si="36">B84+B102</f>
        <v>2134119.9312470444</v>
      </c>
      <c r="C104" s="286">
        <f t="shared" si="36"/>
        <v>2123356.6789948586</v>
      </c>
      <c r="D104" s="286">
        <f t="shared" si="36"/>
        <v>2120356.6227207384</v>
      </c>
      <c r="E104" s="286">
        <f t="shared" si="36"/>
        <v>2079960.9409711875</v>
      </c>
      <c r="F104" s="286">
        <f t="shared" si="36"/>
        <v>2261917.6063386523</v>
      </c>
      <c r="G104" s="286">
        <f t="shared" si="36"/>
        <v>2251908.5505628684</v>
      </c>
      <c r="H104" s="286">
        <f t="shared" si="36"/>
        <v>2248771.4454899239</v>
      </c>
      <c r="I104" s="286">
        <f t="shared" si="36"/>
        <v>2211759.8337696544</v>
      </c>
      <c r="J104" s="286">
        <f t="shared" si="36"/>
        <v>2084540.7647953951</v>
      </c>
      <c r="K104" s="286">
        <f t="shared" si="36"/>
        <v>1975137.002903885</v>
      </c>
      <c r="L104" s="286">
        <f t="shared" si="36"/>
        <v>2290808.845234897</v>
      </c>
    </row>
    <row r="106" spans="1:12" s="51" customFormat="1" x14ac:dyDescent="0.25">
      <c r="A106" s="542" t="s">
        <v>677</v>
      </c>
    </row>
    <row r="107" spans="1:12" x14ac:dyDescent="0.25">
      <c r="A107" s="285" t="s">
        <v>674</v>
      </c>
    </row>
    <row r="108" spans="1:12" x14ac:dyDescent="0.25">
      <c r="A108" s="285" t="s">
        <v>10</v>
      </c>
      <c r="B108" s="152">
        <v>0</v>
      </c>
      <c r="C108" s="152">
        <v>0</v>
      </c>
      <c r="D108" s="152">
        <v>0</v>
      </c>
      <c r="E108" s="152">
        <v>0</v>
      </c>
      <c r="F108" s="152">
        <v>0</v>
      </c>
      <c r="G108" s="152">
        <v>0</v>
      </c>
      <c r="H108" s="152">
        <v>0</v>
      </c>
      <c r="I108" s="152">
        <v>0</v>
      </c>
      <c r="J108" s="371">
        <f>'CFP Credit Estimator'!J158</f>
        <v>7.067156501340472</v>
      </c>
      <c r="K108" s="152">
        <v>0</v>
      </c>
      <c r="L108" s="371">
        <f>'CFP Credit Estimator'!J22</f>
        <v>60.365321158847273</v>
      </c>
    </row>
    <row r="109" spans="1:12" x14ac:dyDescent="0.25">
      <c r="A109" s="285" t="s">
        <v>11</v>
      </c>
      <c r="B109" s="152">
        <v>0</v>
      </c>
      <c r="C109" s="152">
        <v>0</v>
      </c>
      <c r="D109" s="152">
        <v>0</v>
      </c>
      <c r="E109" s="152">
        <v>0</v>
      </c>
      <c r="F109" s="152">
        <v>0</v>
      </c>
      <c r="G109" s="152">
        <v>0</v>
      </c>
      <c r="H109" s="152">
        <v>0</v>
      </c>
      <c r="I109" s="152">
        <v>0</v>
      </c>
      <c r="J109" s="371">
        <f>'CFP Credit Estimator'!J159</f>
        <v>6.1316571715817689</v>
      </c>
      <c r="K109" s="152">
        <v>0</v>
      </c>
      <c r="L109" s="371">
        <f>'CFP Credit Estimator'!J23</f>
        <v>59.333381158847274</v>
      </c>
    </row>
    <row r="110" spans="1:12" x14ac:dyDescent="0.25">
      <c r="A110" s="285" t="s">
        <v>12</v>
      </c>
      <c r="B110" s="152">
        <v>0</v>
      </c>
      <c r="C110" s="152">
        <v>0</v>
      </c>
      <c r="D110" s="152">
        <v>0</v>
      </c>
      <c r="E110" s="152">
        <v>0</v>
      </c>
      <c r="F110" s="152">
        <v>0</v>
      </c>
      <c r="G110" s="152">
        <v>0</v>
      </c>
      <c r="H110" s="152">
        <v>0</v>
      </c>
      <c r="I110" s="152">
        <v>0</v>
      </c>
      <c r="J110" s="371">
        <f>'CFP Credit Estimator'!J160</f>
        <v>4.7188622654155443</v>
      </c>
      <c r="K110" s="152">
        <v>0</v>
      </c>
      <c r="L110" s="371">
        <f>'CFP Credit Estimator'!J24</f>
        <v>57.774941158847277</v>
      </c>
    </row>
    <row r="111" spans="1:12" x14ac:dyDescent="0.25">
      <c r="A111" s="285" t="s">
        <v>13</v>
      </c>
      <c r="B111" s="152">
        <v>0</v>
      </c>
      <c r="C111" s="152">
        <v>0</v>
      </c>
      <c r="D111" s="152">
        <v>0</v>
      </c>
      <c r="E111" s="152">
        <v>0</v>
      </c>
      <c r="F111" s="152">
        <v>0</v>
      </c>
      <c r="G111" s="152">
        <v>0</v>
      </c>
      <c r="H111" s="152">
        <v>0</v>
      </c>
      <c r="I111" s="152">
        <v>0</v>
      </c>
      <c r="J111" s="371">
        <f>'CFP Credit Estimator'!J161</f>
        <v>3.2965214477211662</v>
      </c>
      <c r="K111" s="152">
        <v>0</v>
      </c>
      <c r="L111" s="371">
        <f>'CFP Credit Estimator'!J25</f>
        <v>56.227031158847282</v>
      </c>
    </row>
    <row r="112" spans="1:12" x14ac:dyDescent="0.25">
      <c r="A112" s="285" t="s">
        <v>14</v>
      </c>
      <c r="B112" s="152">
        <v>0</v>
      </c>
      <c r="C112" s="152">
        <v>0</v>
      </c>
      <c r="D112" s="152">
        <v>0</v>
      </c>
      <c r="E112" s="152">
        <v>0</v>
      </c>
      <c r="F112" s="152">
        <v>0</v>
      </c>
      <c r="G112" s="152">
        <v>0</v>
      </c>
      <c r="H112" s="152">
        <v>0</v>
      </c>
      <c r="I112" s="152">
        <v>0</v>
      </c>
      <c r="J112" s="371">
        <f>'CFP Credit Estimator'!J162</f>
        <v>1.883726541554956</v>
      </c>
      <c r="K112" s="152">
        <v>0</v>
      </c>
      <c r="L112" s="371">
        <f>'CFP Credit Estimator'!J26</f>
        <v>54.679121158847273</v>
      </c>
    </row>
    <row r="113" spans="1:12" x14ac:dyDescent="0.25">
      <c r="A113" s="285" t="s">
        <v>15</v>
      </c>
      <c r="B113" s="152">
        <v>0</v>
      </c>
      <c r="C113" s="152">
        <v>0</v>
      </c>
      <c r="D113" s="152">
        <v>0</v>
      </c>
      <c r="E113" s="152">
        <v>0</v>
      </c>
      <c r="F113" s="152">
        <v>0</v>
      </c>
      <c r="G113" s="152">
        <v>0</v>
      </c>
      <c r="H113" s="152">
        <v>0</v>
      </c>
      <c r="I113" s="152">
        <v>0</v>
      </c>
      <c r="J113" s="371">
        <f>'CFP Credit Estimator'!J163</f>
        <v>3.1819705093804841E-3</v>
      </c>
      <c r="K113" s="152">
        <v>0</v>
      </c>
      <c r="L113" s="371">
        <f>'CFP Credit Estimator'!J27</f>
        <v>52.615241158847276</v>
      </c>
    </row>
    <row r="114" spans="1:12" x14ac:dyDescent="0.25">
      <c r="A114" s="285" t="s">
        <v>16</v>
      </c>
      <c r="B114" s="152">
        <v>0</v>
      </c>
      <c r="C114" s="152">
        <v>0</v>
      </c>
      <c r="D114" s="152">
        <v>0</v>
      </c>
      <c r="E114" s="152">
        <v>0</v>
      </c>
      <c r="F114" s="152">
        <v>0</v>
      </c>
      <c r="G114" s="152">
        <v>0</v>
      </c>
      <c r="H114" s="152">
        <v>0</v>
      </c>
      <c r="I114" s="152">
        <v>0</v>
      </c>
      <c r="J114" s="371">
        <f>'CFP Credit Estimator'!J164</f>
        <v>3.1819705093804841E-3</v>
      </c>
      <c r="K114" s="152">
        <v>0</v>
      </c>
      <c r="L114" s="371">
        <f>'CFP Credit Estimator'!J28</f>
        <v>52.615241158847276</v>
      </c>
    </row>
    <row r="115" spans="1:12" x14ac:dyDescent="0.25">
      <c r="A115" s="285" t="s">
        <v>17</v>
      </c>
      <c r="B115" s="152">
        <v>0</v>
      </c>
      <c r="C115" s="152">
        <v>0</v>
      </c>
      <c r="D115" s="152">
        <v>0</v>
      </c>
      <c r="E115" s="152">
        <v>0</v>
      </c>
      <c r="F115" s="152">
        <v>0</v>
      </c>
      <c r="G115" s="152">
        <v>0</v>
      </c>
      <c r="H115" s="152">
        <v>0</v>
      </c>
      <c r="I115" s="152">
        <v>0</v>
      </c>
      <c r="J115" s="371">
        <f>'CFP Credit Estimator'!J165</f>
        <v>3.1819705093804841E-3</v>
      </c>
      <c r="K115" s="152">
        <v>0</v>
      </c>
      <c r="L115" s="371">
        <f>'CFP Credit Estimator'!J29</f>
        <v>52.615241158847276</v>
      </c>
    </row>
    <row r="116" spans="1:12" x14ac:dyDescent="0.25">
      <c r="A116" s="285" t="s">
        <v>18</v>
      </c>
      <c r="B116" s="152">
        <v>0</v>
      </c>
      <c r="C116" s="152">
        <v>0</v>
      </c>
      <c r="D116" s="152">
        <v>0</v>
      </c>
      <c r="E116" s="152">
        <v>0</v>
      </c>
      <c r="F116" s="152">
        <v>0</v>
      </c>
      <c r="G116" s="152">
        <v>0</v>
      </c>
      <c r="H116" s="152">
        <v>0</v>
      </c>
      <c r="I116" s="152">
        <v>0</v>
      </c>
      <c r="J116" s="371">
        <f>'CFP Credit Estimator'!J166</f>
        <v>3.1819705093804841E-3</v>
      </c>
      <c r="K116" s="152">
        <v>0</v>
      </c>
      <c r="L116" s="371">
        <f>'CFP Credit Estimator'!J30</f>
        <v>52.615241158847276</v>
      </c>
    </row>
    <row r="117" spans="1:12" x14ac:dyDescent="0.25">
      <c r="A117" s="285" t="s">
        <v>19</v>
      </c>
      <c r="B117" s="152">
        <v>0</v>
      </c>
      <c r="C117" s="152">
        <v>0</v>
      </c>
      <c r="D117" s="152">
        <v>0</v>
      </c>
      <c r="E117" s="152">
        <v>0</v>
      </c>
      <c r="F117" s="152">
        <v>0</v>
      </c>
      <c r="G117" s="152">
        <v>0</v>
      </c>
      <c r="H117" s="152">
        <v>0</v>
      </c>
      <c r="I117" s="152">
        <v>0</v>
      </c>
      <c r="J117" s="371">
        <f>'CFP Credit Estimator'!J167</f>
        <v>3.1819705093804841E-3</v>
      </c>
      <c r="K117" s="152">
        <v>0</v>
      </c>
      <c r="L117" s="371">
        <f>'CFP Credit Estimator'!J31</f>
        <v>52.615241158847276</v>
      </c>
    </row>
    <row r="118" spans="1:12" x14ac:dyDescent="0.25">
      <c r="A118" s="285" t="s">
        <v>20</v>
      </c>
      <c r="B118" s="152">
        <v>0</v>
      </c>
      <c r="C118" s="152">
        <v>0</v>
      </c>
      <c r="D118" s="152">
        <v>0</v>
      </c>
      <c r="E118" s="152">
        <v>0</v>
      </c>
      <c r="F118" s="152">
        <v>0</v>
      </c>
      <c r="G118" s="152">
        <v>0</v>
      </c>
      <c r="H118" s="152">
        <v>0</v>
      </c>
      <c r="I118" s="152">
        <v>0</v>
      </c>
      <c r="J118" s="371">
        <f>'CFP Credit Estimator'!J168</f>
        <v>3.1819705093804841E-3</v>
      </c>
      <c r="K118" s="152">
        <v>0</v>
      </c>
      <c r="L118" s="371">
        <f>'CFP Credit Estimator'!J32</f>
        <v>52.615241158847276</v>
      </c>
    </row>
    <row r="119" spans="1:12" x14ac:dyDescent="0.25">
      <c r="A119" s="285" t="s">
        <v>21</v>
      </c>
      <c r="B119" s="152">
        <v>0</v>
      </c>
      <c r="C119" s="152">
        <v>0</v>
      </c>
      <c r="D119" s="152">
        <v>0</v>
      </c>
      <c r="E119" s="152">
        <v>0</v>
      </c>
      <c r="F119" s="152">
        <v>0</v>
      </c>
      <c r="G119" s="152">
        <v>0</v>
      </c>
      <c r="H119" s="152">
        <v>0</v>
      </c>
      <c r="I119" s="152">
        <v>0</v>
      </c>
      <c r="J119" s="371">
        <f>'CFP Credit Estimator'!J169</f>
        <v>3.1819705093804841E-3</v>
      </c>
      <c r="K119" s="152">
        <v>0</v>
      </c>
      <c r="L119" s="371">
        <f>'CFP Credit Estimator'!J33</f>
        <v>52.615241158847276</v>
      </c>
    </row>
    <row r="121" spans="1:12" x14ac:dyDescent="0.25">
      <c r="A121" s="285" t="s">
        <v>676</v>
      </c>
      <c r="B121" s="51"/>
      <c r="C121" s="51"/>
      <c r="D121" s="51"/>
      <c r="E121" s="51"/>
      <c r="F121" s="51"/>
      <c r="G121" s="51"/>
      <c r="H121" s="51"/>
      <c r="I121" s="51"/>
      <c r="J121" s="51"/>
      <c r="K121" s="51"/>
      <c r="L121" s="51"/>
    </row>
    <row r="122" spans="1:12" x14ac:dyDescent="0.25">
      <c r="A122" s="285" t="s">
        <v>10</v>
      </c>
      <c r="B122" s="152">
        <v>0</v>
      </c>
      <c r="C122" s="152">
        <v>0</v>
      </c>
      <c r="D122" s="152">
        <v>0</v>
      </c>
      <c r="E122" s="152">
        <v>0</v>
      </c>
      <c r="F122" s="152">
        <v>0</v>
      </c>
      <c r="G122" s="152">
        <v>0</v>
      </c>
      <c r="H122" s="152">
        <v>0</v>
      </c>
      <c r="I122" s="152">
        <v>0</v>
      </c>
      <c r="J122" s="90">
        <f>J108*Inputs!$C$33</f>
        <v>784.4543716487924</v>
      </c>
      <c r="K122" s="152">
        <v>0</v>
      </c>
      <c r="L122" s="90">
        <f>L108*Inputs!$C$33</f>
        <v>6700.5506486320473</v>
      </c>
    </row>
    <row r="123" spans="1:12" x14ac:dyDescent="0.25">
      <c r="A123" s="285" t="s">
        <v>11</v>
      </c>
      <c r="B123" s="152">
        <v>0</v>
      </c>
      <c r="C123" s="152">
        <v>0</v>
      </c>
      <c r="D123" s="152">
        <v>0</v>
      </c>
      <c r="E123" s="152">
        <v>0</v>
      </c>
      <c r="F123" s="152">
        <v>0</v>
      </c>
      <c r="G123" s="152">
        <v>0</v>
      </c>
      <c r="H123" s="152">
        <v>0</v>
      </c>
      <c r="I123" s="152">
        <v>0</v>
      </c>
      <c r="J123" s="90">
        <f>J109*Inputs!$C$33</f>
        <v>680.61394604557631</v>
      </c>
      <c r="K123" s="152">
        <v>0</v>
      </c>
      <c r="L123" s="90">
        <f>L109*Inputs!$C$33</f>
        <v>6586.0053086320477</v>
      </c>
    </row>
    <row r="124" spans="1:12" x14ac:dyDescent="0.25">
      <c r="A124" s="285" t="s">
        <v>12</v>
      </c>
      <c r="B124" s="152">
        <v>0</v>
      </c>
      <c r="C124" s="152">
        <v>0</v>
      </c>
      <c r="D124" s="152">
        <v>0</v>
      </c>
      <c r="E124" s="152">
        <v>0</v>
      </c>
      <c r="F124" s="152">
        <v>0</v>
      </c>
      <c r="G124" s="152">
        <v>0</v>
      </c>
      <c r="H124" s="152">
        <v>0</v>
      </c>
      <c r="I124" s="152">
        <v>0</v>
      </c>
      <c r="J124" s="90">
        <f>J110*Inputs!$C$33</f>
        <v>523.79371146112544</v>
      </c>
      <c r="K124" s="152">
        <v>0</v>
      </c>
      <c r="L124" s="90">
        <f>L110*Inputs!$C$33</f>
        <v>6413.0184686320481</v>
      </c>
    </row>
    <row r="125" spans="1:12" x14ac:dyDescent="0.25">
      <c r="A125" s="285" t="s">
        <v>13</v>
      </c>
      <c r="B125" s="152">
        <v>0</v>
      </c>
      <c r="C125" s="152">
        <v>0</v>
      </c>
      <c r="D125" s="152">
        <v>0</v>
      </c>
      <c r="E125" s="152">
        <v>0</v>
      </c>
      <c r="F125" s="152">
        <v>0</v>
      </c>
      <c r="G125" s="152">
        <v>0</v>
      </c>
      <c r="H125" s="152">
        <v>0</v>
      </c>
      <c r="I125" s="152">
        <v>0</v>
      </c>
      <c r="J125" s="90">
        <f>J111*Inputs!$C$33</f>
        <v>365.91388069704942</v>
      </c>
      <c r="K125" s="152">
        <v>0</v>
      </c>
      <c r="L125" s="90">
        <f>L111*Inputs!$C$33</f>
        <v>6241.2004586320481</v>
      </c>
    </row>
    <row r="126" spans="1:12" x14ac:dyDescent="0.25">
      <c r="A126" s="285" t="s">
        <v>14</v>
      </c>
      <c r="B126" s="152">
        <v>0</v>
      </c>
      <c r="C126" s="152">
        <v>0</v>
      </c>
      <c r="D126" s="152">
        <v>0</v>
      </c>
      <c r="E126" s="152">
        <v>0</v>
      </c>
      <c r="F126" s="152">
        <v>0</v>
      </c>
      <c r="G126" s="152">
        <v>0</v>
      </c>
      <c r="H126" s="152">
        <v>0</v>
      </c>
      <c r="I126" s="152">
        <v>0</v>
      </c>
      <c r="J126" s="90">
        <f>J112*Inputs!$C$33</f>
        <v>209.09364611260011</v>
      </c>
      <c r="K126" s="152">
        <v>0</v>
      </c>
      <c r="L126" s="90">
        <f>L112*Inputs!$C$33</f>
        <v>6069.3824486320473</v>
      </c>
    </row>
    <row r="127" spans="1:12" x14ac:dyDescent="0.25">
      <c r="A127" s="285" t="s">
        <v>15</v>
      </c>
      <c r="B127" s="152">
        <v>0</v>
      </c>
      <c r="C127" s="152">
        <v>0</v>
      </c>
      <c r="D127" s="152">
        <v>0</v>
      </c>
      <c r="E127" s="152">
        <v>0</v>
      </c>
      <c r="F127" s="152">
        <v>0</v>
      </c>
      <c r="G127" s="152">
        <v>0</v>
      </c>
      <c r="H127" s="152">
        <v>0</v>
      </c>
      <c r="I127" s="152">
        <v>0</v>
      </c>
      <c r="J127" s="90">
        <f>J113*Inputs!$C$33</f>
        <v>0.35319872654123374</v>
      </c>
      <c r="K127" s="152">
        <v>0</v>
      </c>
      <c r="L127" s="90">
        <f>L113*Inputs!$C$33</f>
        <v>5840.2917686320479</v>
      </c>
    </row>
    <row r="128" spans="1:12" x14ac:dyDescent="0.25">
      <c r="A128" s="285" t="s">
        <v>16</v>
      </c>
      <c r="B128" s="152">
        <v>0</v>
      </c>
      <c r="C128" s="152">
        <v>0</v>
      </c>
      <c r="D128" s="152">
        <v>0</v>
      </c>
      <c r="E128" s="152">
        <v>0</v>
      </c>
      <c r="F128" s="152">
        <v>0</v>
      </c>
      <c r="G128" s="152">
        <v>0</v>
      </c>
      <c r="H128" s="152">
        <v>0</v>
      </c>
      <c r="I128" s="152">
        <v>0</v>
      </c>
      <c r="J128" s="90">
        <f>J114*Inputs!$C$33</f>
        <v>0.35319872654123374</v>
      </c>
      <c r="K128" s="152">
        <v>0</v>
      </c>
      <c r="L128" s="90">
        <f>L114*Inputs!$C$33</f>
        <v>5840.2917686320479</v>
      </c>
    </row>
    <row r="129" spans="1:12" x14ac:dyDescent="0.25">
      <c r="A129" s="285" t="s">
        <v>17</v>
      </c>
      <c r="B129" s="152">
        <v>0</v>
      </c>
      <c r="C129" s="152">
        <v>0</v>
      </c>
      <c r="D129" s="152">
        <v>0</v>
      </c>
      <c r="E129" s="152">
        <v>0</v>
      </c>
      <c r="F129" s="152">
        <v>0</v>
      </c>
      <c r="G129" s="152">
        <v>0</v>
      </c>
      <c r="H129" s="152">
        <v>0</v>
      </c>
      <c r="I129" s="152">
        <v>0</v>
      </c>
      <c r="J129" s="90">
        <f>J115*Inputs!$C$33</f>
        <v>0.35319872654123374</v>
      </c>
      <c r="K129" s="152">
        <v>0</v>
      </c>
      <c r="L129" s="90">
        <f>L115*Inputs!$C$33</f>
        <v>5840.2917686320479</v>
      </c>
    </row>
    <row r="130" spans="1:12" x14ac:dyDescent="0.25">
      <c r="A130" s="285" t="s">
        <v>18</v>
      </c>
      <c r="B130" s="152">
        <v>0</v>
      </c>
      <c r="C130" s="152">
        <v>0</v>
      </c>
      <c r="D130" s="152">
        <v>0</v>
      </c>
      <c r="E130" s="152">
        <v>0</v>
      </c>
      <c r="F130" s="152">
        <v>0</v>
      </c>
      <c r="G130" s="152">
        <v>0</v>
      </c>
      <c r="H130" s="152">
        <v>0</v>
      </c>
      <c r="I130" s="152">
        <v>0</v>
      </c>
      <c r="J130" s="90">
        <f>J116*Inputs!$C$33</f>
        <v>0.35319872654123374</v>
      </c>
      <c r="K130" s="152">
        <v>0</v>
      </c>
      <c r="L130" s="90">
        <f>L116*Inputs!$C$33</f>
        <v>5840.2917686320479</v>
      </c>
    </row>
    <row r="131" spans="1:12" x14ac:dyDescent="0.25">
      <c r="A131" s="285" t="s">
        <v>19</v>
      </c>
      <c r="B131" s="152">
        <v>0</v>
      </c>
      <c r="C131" s="152">
        <v>0</v>
      </c>
      <c r="D131" s="152">
        <v>0</v>
      </c>
      <c r="E131" s="152">
        <v>0</v>
      </c>
      <c r="F131" s="152">
        <v>0</v>
      </c>
      <c r="G131" s="152">
        <v>0</v>
      </c>
      <c r="H131" s="152">
        <v>0</v>
      </c>
      <c r="I131" s="152">
        <v>0</v>
      </c>
      <c r="J131" s="90">
        <f>J117*Inputs!$C$33</f>
        <v>0.35319872654123374</v>
      </c>
      <c r="K131" s="152">
        <v>0</v>
      </c>
      <c r="L131" s="90">
        <f>L117*Inputs!$C$33</f>
        <v>5840.2917686320479</v>
      </c>
    </row>
    <row r="132" spans="1:12" x14ac:dyDescent="0.25">
      <c r="A132" s="285" t="s">
        <v>20</v>
      </c>
      <c r="B132" s="152">
        <v>0</v>
      </c>
      <c r="C132" s="152">
        <v>0</v>
      </c>
      <c r="D132" s="152">
        <v>0</v>
      </c>
      <c r="E132" s="152">
        <v>0</v>
      </c>
      <c r="F132" s="152">
        <v>0</v>
      </c>
      <c r="G132" s="152">
        <v>0</v>
      </c>
      <c r="H132" s="152">
        <v>0</v>
      </c>
      <c r="I132" s="152">
        <v>0</v>
      </c>
      <c r="J132" s="90">
        <f>J118*Inputs!$C$33</f>
        <v>0.35319872654123374</v>
      </c>
      <c r="K132" s="152">
        <v>0</v>
      </c>
      <c r="L132" s="90">
        <f>L118*Inputs!$C$33</f>
        <v>5840.2917686320479</v>
      </c>
    </row>
    <row r="133" spans="1:12" x14ac:dyDescent="0.25">
      <c r="A133" s="285" t="s">
        <v>21</v>
      </c>
      <c r="B133" s="152">
        <v>0</v>
      </c>
      <c r="C133" s="152">
        <v>0</v>
      </c>
      <c r="D133" s="152">
        <v>0</v>
      </c>
      <c r="E133" s="152">
        <v>0</v>
      </c>
      <c r="F133" s="152">
        <v>0</v>
      </c>
      <c r="G133" s="152">
        <v>0</v>
      </c>
      <c r="H133" s="152">
        <v>0</v>
      </c>
      <c r="I133" s="152">
        <v>0</v>
      </c>
      <c r="J133" s="90">
        <f>J119*Inputs!$C$33</f>
        <v>0.35319872654123374</v>
      </c>
      <c r="K133" s="152">
        <v>0</v>
      </c>
      <c r="L133" s="90">
        <f>L119*Inputs!$C$33</f>
        <v>5840.2917686320479</v>
      </c>
    </row>
    <row r="134" spans="1:12" x14ac:dyDescent="0.25">
      <c r="J134" s="416">
        <f>SUM(J122:J133)</f>
        <v>2566.3419470509339</v>
      </c>
      <c r="L134" s="416">
        <f>SUM(L122:L133)</f>
        <v>72892.199713584574</v>
      </c>
    </row>
  </sheetData>
  <mergeCells count="1">
    <mergeCell ref="N2:P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7"/>
  <sheetViews>
    <sheetView workbookViewId="0">
      <selection activeCell="B12" sqref="B12"/>
    </sheetView>
  </sheetViews>
  <sheetFormatPr defaultRowHeight="15" x14ac:dyDescent="0.25"/>
  <cols>
    <col min="1" max="1" width="15.42578125" customWidth="1"/>
    <col min="2" max="2" width="13.5703125" customWidth="1"/>
    <col min="3" max="4" width="13" customWidth="1"/>
    <col min="5" max="5" width="13.140625" customWidth="1"/>
    <col min="6" max="6" width="13.5703125" customWidth="1"/>
    <col min="7" max="7" width="13.85546875" customWidth="1"/>
    <col min="8" max="8" width="13.42578125" customWidth="1"/>
    <col min="9" max="9" width="13.140625" customWidth="1"/>
    <col min="10" max="10" width="13.5703125" customWidth="1"/>
    <col min="11" max="13" width="13.42578125" customWidth="1"/>
    <col min="14" max="14" width="15.42578125" customWidth="1"/>
  </cols>
  <sheetData>
    <row r="1" spans="1:14" x14ac:dyDescent="0.25">
      <c r="A1" t="s">
        <v>309</v>
      </c>
      <c r="B1" s="51">
        <v>1</v>
      </c>
      <c r="C1" s="51">
        <v>2</v>
      </c>
      <c r="D1" s="51">
        <v>3</v>
      </c>
      <c r="E1" s="51">
        <v>4</v>
      </c>
      <c r="F1" s="51">
        <v>5</v>
      </c>
      <c r="G1" s="51">
        <v>6</v>
      </c>
      <c r="H1" s="51">
        <v>7</v>
      </c>
      <c r="I1" s="51">
        <v>8</v>
      </c>
      <c r="J1" s="51">
        <v>9</v>
      </c>
      <c r="K1" s="51">
        <v>10</v>
      </c>
      <c r="L1" s="51">
        <v>11</v>
      </c>
      <c r="M1" s="51">
        <v>12</v>
      </c>
      <c r="N1" t="s">
        <v>323</v>
      </c>
    </row>
    <row r="2" spans="1:14" x14ac:dyDescent="0.25">
      <c r="A2" s="33" t="s">
        <v>189</v>
      </c>
      <c r="B2" s="90">
        <f>'35-40 foot transit bus'!$H$15*(' Summary'!$B$40/'35-40 foot transit bus'!$J$6)</f>
        <v>16934.089642581428</v>
      </c>
      <c r="C2" s="90">
        <f>'35-40 foot transit bus'!$I$15*(' Summary'!$B$40/'35-40 foot transit bus'!$J$6)</f>
        <v>17540.099408863225</v>
      </c>
      <c r="D2" s="90">
        <f>'35-40 foot transit bus'!$J$15*(' Summary'!$B$40/'35-40 foot transit bus'!$J$6)</f>
        <v>18395.701938457991</v>
      </c>
      <c r="E2" s="90">
        <f>'35-40 foot transit bus'!$K$15*(' Summary'!$B$40/'35-40 foot transit bus'!$J$6)</f>
        <v>19050.155577480589</v>
      </c>
      <c r="F2" s="90">
        <f>'35-40 foot transit bus'!$L$15*(' Summary'!$B$40/'35-40 foot transit bus'!$J$6)</f>
        <v>19970.752643425425</v>
      </c>
      <c r="G2" s="90">
        <f>'35-40 foot transit bus'!$M$15*(' Summary'!$B$40/'35-40 foot transit bus'!$J$6)</f>
        <v>20639.571619303591</v>
      </c>
      <c r="H2" s="90">
        <f>'35-40 foot transit bus'!$N$15*(' Summary'!$B$40/'35-40 foot transit bus'!$J$6)</f>
        <v>21648.119312526822</v>
      </c>
      <c r="I2" s="90">
        <f>'35-40 foot transit bus'!$O$15*(' Summary'!$B$40/'35-40 foot transit bus'!$J$6)</f>
        <v>22308.106464897442</v>
      </c>
      <c r="J2" s="90">
        <f>'35-40 foot transit bus'!$P$15*(' Summary'!$B$40/'35-40 foot transit bus'!$J$6)</f>
        <v>23323.47614603395</v>
      </c>
      <c r="K2" s="90">
        <f>'35-40 foot transit bus'!$Q$15*(' Summary'!$B$40/'35-40 foot transit bus'!$J$6)</f>
        <v>24211.913071557388</v>
      </c>
      <c r="L2" s="90">
        <f>'35-40 foot transit bus'!$R$15*(' Summary'!$B$40/'35-40 foot transit bus'!$J$6)</f>
        <v>25438.823490817147</v>
      </c>
      <c r="M2" s="90">
        <f>'35-40 foot transit bus'!$S$15*(' Summary'!$B$40/'35-40 foot transit bus'!$J$6)</f>
        <v>26416.765525836425</v>
      </c>
      <c r="N2" s="90">
        <f>SUM(B2:M2)</f>
        <v>255877.57484178146</v>
      </c>
    </row>
    <row r="3" spans="1:14" x14ac:dyDescent="0.25">
      <c r="A3" s="12" t="s">
        <v>190</v>
      </c>
      <c r="B3" s="90">
        <f>'35-40 foot transit bus'!$H$25*(' Summary'!$B$40/'35-40 foot transit bus'!$J$6)</f>
        <v>17151.480946929256</v>
      </c>
      <c r="C3" s="90">
        <f>'35-40 foot transit bus'!$I$25*(' Summary'!$B$40/'35-40 foot transit bus'!$J$6)</f>
        <v>17757.490713211053</v>
      </c>
      <c r="D3" s="90">
        <f>'35-40 foot transit bus'!$J$25*(' Summary'!$B$40/'35-40 foot transit bus'!$J$6)</f>
        <v>18613.093242805819</v>
      </c>
      <c r="E3" s="90">
        <f>'35-40 foot transit bus'!$K$25*(' Summary'!$B$40/'35-40 foot transit bus'!$J$6)</f>
        <v>19267.546881828417</v>
      </c>
      <c r="F3" s="90">
        <f>'35-40 foot transit bus'!$L$25*(' Summary'!$B$40/'35-40 foot transit bus'!$J$6)</f>
        <v>20188.143947773253</v>
      </c>
      <c r="G3" s="90">
        <f>'35-40 foot transit bus'!$M$25*(' Summary'!$B$40/'35-40 foot transit bus'!$J$6)</f>
        <v>20856.962923651419</v>
      </c>
      <c r="H3" s="90">
        <f>'35-40 foot transit bus'!$N$25*(' Summary'!$B$40/'35-40 foot transit bus'!$J$6)</f>
        <v>21865.51061687465</v>
      </c>
      <c r="I3" s="90">
        <f>'35-40 foot transit bus'!$O$25*(' Summary'!$B$40/'35-40 foot transit bus'!$J$6)</f>
        <v>22525.49776924527</v>
      </c>
      <c r="J3" s="90">
        <f>'35-40 foot transit bus'!$P$25*(' Summary'!$B$40/'35-40 foot transit bus'!$J$6)</f>
        <v>23540.867450381782</v>
      </c>
      <c r="K3" s="90">
        <f>'35-40 foot transit bus'!$Q$25*(' Summary'!$B$40/'35-40 foot transit bus'!$J$6)</f>
        <v>24429.304375905216</v>
      </c>
      <c r="L3" s="90">
        <f>'35-40 foot transit bus'!$R$25*(' Summary'!$B$40/'35-40 foot transit bus'!$J$6)</f>
        <v>25656.214795164975</v>
      </c>
      <c r="M3" s="90">
        <f>'35-40 foot transit bus'!$S$25*(' Summary'!$B$40/'35-40 foot transit bus'!$J$6)</f>
        <v>26634.156830184253</v>
      </c>
      <c r="N3" s="90">
        <f t="shared" ref="N3:N12" si="0">SUM(B3:M3)</f>
        <v>258486.27049395532</v>
      </c>
    </row>
    <row r="4" spans="1:14" x14ac:dyDescent="0.25">
      <c r="A4" s="33" t="s">
        <v>191</v>
      </c>
      <c r="B4" s="90">
        <f>'35-40 foot transit bus'!$H$38*(' Summary'!$B$40/'35-40 foot transit bus'!$J$6)</f>
        <v>17803.654859972736</v>
      </c>
      <c r="C4" s="90">
        <f>'35-40 foot transit bus'!$I$38*(' Summary'!$B$40/'35-40 foot transit bus'!$J$6)</f>
        <v>18409.664626254529</v>
      </c>
      <c r="D4" s="90">
        <f>'35-40 foot transit bus'!$J$38*(' Summary'!$B$40/'35-40 foot transit bus'!$J$6)</f>
        <v>19265.267155849295</v>
      </c>
      <c r="E4" s="90">
        <f>'35-40 foot transit bus'!$K$38*(' Summary'!$B$40/'35-40 foot transit bus'!$J$6)</f>
        <v>19919.720794871897</v>
      </c>
      <c r="F4" s="90">
        <f>'35-40 foot transit bus'!$L$38*(' Summary'!$B$40/'35-40 foot transit bus'!$J$6)</f>
        <v>20840.317860816729</v>
      </c>
      <c r="G4" s="90">
        <f>'35-40 foot transit bus'!$M$38*(' Summary'!$B$40/'35-40 foot transit bus'!$J$6)</f>
        <v>21509.136836694895</v>
      </c>
      <c r="H4" s="90">
        <f>'35-40 foot transit bus'!$N$38*(' Summary'!$B$40/'35-40 foot transit bus'!$J$6)</f>
        <v>22517.68452991813</v>
      </c>
      <c r="I4" s="90">
        <f>'35-40 foot transit bus'!$O$38*(' Summary'!$B$40/'35-40 foot transit bus'!$J$6)</f>
        <v>23177.67168228875</v>
      </c>
      <c r="J4" s="90">
        <f>'35-40 foot transit bus'!$P$38*(' Summary'!$B$40/'35-40 foot transit bus'!$J$6)</f>
        <v>24193.041363425258</v>
      </c>
      <c r="K4" s="90">
        <f>'35-40 foot transit bus'!$Q$38*(' Summary'!$B$40/'35-40 foot transit bus'!$J$6)</f>
        <v>25081.478288948692</v>
      </c>
      <c r="L4" s="90">
        <f>'35-40 foot transit bus'!$R$38*(' Summary'!$B$40/'35-40 foot transit bus'!$J$6)</f>
        <v>26308.388708208455</v>
      </c>
      <c r="M4" s="90">
        <f>'35-40 foot transit bus'!$S$38*(' Summary'!$B$40/'35-40 foot transit bus'!$J$6)</f>
        <v>27286.330743227729</v>
      </c>
      <c r="N4" s="90">
        <f t="shared" si="0"/>
        <v>266312.35745047708</v>
      </c>
    </row>
    <row r="5" spans="1:14" x14ac:dyDescent="0.25">
      <c r="A5" s="1" t="s">
        <v>192</v>
      </c>
      <c r="B5" s="90">
        <f>'35-40 foot transit bus'!$H$51*(' Summary'!$B$40/'35-40 foot transit bus'!$J$6)</f>
        <v>18890.611381711864</v>
      </c>
      <c r="C5" s="90">
        <f>'35-40 foot transit bus'!$I$51*(' Summary'!$B$40/'35-40 foot transit bus'!$J$6)</f>
        <v>19496.621147993661</v>
      </c>
      <c r="D5" s="90">
        <f>'35-40 foot transit bus'!$J$51*(' Summary'!$B$40/'35-40 foot transit bus'!$J$6)</f>
        <v>20352.223677588423</v>
      </c>
      <c r="E5" s="90">
        <f>'35-40 foot transit bus'!$K$51*(' Summary'!$B$40/'35-40 foot transit bus'!$J$6)</f>
        <v>21006.677316611025</v>
      </c>
      <c r="F5" s="90">
        <f>'35-40 foot transit bus'!$L$51*(' Summary'!$B$40/'35-40 foot transit bus'!$J$6)</f>
        <v>21927.274382555857</v>
      </c>
      <c r="G5" s="90">
        <f>'35-40 foot transit bus'!$M$51*(' Summary'!$B$40/'35-40 foot transit bus'!$J$6)</f>
        <v>22596.093358434027</v>
      </c>
      <c r="H5" s="90">
        <f>'35-40 foot transit bus'!$N$51*(' Summary'!$B$40/'35-40 foot transit bus'!$J$6)</f>
        <v>23604.641051657258</v>
      </c>
      <c r="I5" s="90">
        <f>'35-40 foot transit bus'!$O$51*(' Summary'!$B$40/'35-40 foot transit bus'!$J$6)</f>
        <v>24264.628204027878</v>
      </c>
      <c r="J5" s="90">
        <f>'35-40 foot transit bus'!$P$51*(' Summary'!$B$40/'35-40 foot transit bus'!$J$6)</f>
        <v>25279.997885164386</v>
      </c>
      <c r="K5" s="90">
        <f>'35-40 foot transit bus'!$Q$51*(' Summary'!$B$40/'35-40 foot transit bus'!$J$6)</f>
        <v>26168.434810687824</v>
      </c>
      <c r="L5" s="90">
        <f>'35-40 foot transit bus'!$R$51*(' Summary'!$B$40/'35-40 foot transit bus'!$J$6)</f>
        <v>27395.345229947583</v>
      </c>
      <c r="M5" s="90">
        <f>'35-40 foot transit bus'!$S$51*(' Summary'!$B$40/'35-40 foot transit bus'!$J$6)</f>
        <v>28373.287264966861</v>
      </c>
      <c r="N5" s="90">
        <f t="shared" si="0"/>
        <v>279355.83571134665</v>
      </c>
    </row>
    <row r="6" spans="1:14" x14ac:dyDescent="0.25">
      <c r="A6" s="33" t="s">
        <v>197</v>
      </c>
      <c r="B6" s="90">
        <f>'35-40 foot transit bus'!$H$15*(' Summary'!$B$40/'35-40 foot transit bus'!$J$3)</f>
        <v>14853.205745823539</v>
      </c>
      <c r="C6" s="90">
        <f>'35-40 foot transit bus'!$I$15*(' Summary'!$B$40/'35-40 foot transit bus'!$J$3)</f>
        <v>15384.748210316471</v>
      </c>
      <c r="D6" s="90">
        <f>'35-40 foot transit bus'!$J$15*(' Summary'!$B$40/'35-40 foot transit bus'!$J$3)</f>
        <v>16135.213140935608</v>
      </c>
      <c r="E6" s="90">
        <f>'35-40 foot transit bus'!$K$15*(' Summary'!$B$40/'35-40 foot transit bus'!$J$3)</f>
        <v>16709.246629400346</v>
      </c>
      <c r="F6" s="90">
        <f>'35-40 foot transit bus'!$L$15*(' Summary'!$B$40/'35-40 foot transit bus'!$J$3)</f>
        <v>17516.719479614669</v>
      </c>
      <c r="G6" s="90">
        <f>'35-40 foot transit bus'!$M$15*(' Summary'!$B$40/'35-40 foot transit bus'!$J$3)</f>
        <v>18103.353072863742</v>
      </c>
      <c r="H6" s="90">
        <f>'35-40 foot transit bus'!$N$15*(' Summary'!$B$40/'35-40 foot transit bus'!$J$3)</f>
        <v>18987.969058021405</v>
      </c>
      <c r="I6" s="90">
        <f>'35-40 foot transit bus'!$O$15*(' Summary'!$B$40/'35-40 foot transit bus'!$J$3)</f>
        <v>19566.856094210889</v>
      </c>
      <c r="J6" s="90">
        <f>'35-40 foot transit bus'!$P$15*(' Summary'!$B$40/'35-40 foot transit bus'!$J$3)</f>
        <v>20457.455772156896</v>
      </c>
      <c r="K6" s="90">
        <f>'35-40 foot transit bus'!$Q$15*(' Summary'!$B$40/'35-40 foot transit bus'!$J$3)</f>
        <v>21236.720363611774</v>
      </c>
      <c r="L6" s="90">
        <f>'35-40 foot transit bus'!$R$15*(' Summary'!$B$40/'35-40 foot transit bus'!$J$3)</f>
        <v>22312.866366945545</v>
      </c>
      <c r="M6" s="90">
        <f>'35-40 foot transit bus'!$S$15*(' Summary'!$B$40/'35-40 foot transit bus'!$J$3)</f>
        <v>23170.637558678554</v>
      </c>
      <c r="N6" s="90">
        <f t="shared" si="0"/>
        <v>224434.99149257943</v>
      </c>
    </row>
    <row r="7" spans="1:14" x14ac:dyDescent="0.25">
      <c r="A7" s="12" t="s">
        <v>196</v>
      </c>
      <c r="B7" s="90">
        <f>'35-40 foot transit bus'!$H$25*(' Summary'!$B$40/'35-40 foot transit bus'!$J$3)</f>
        <v>15043.883711925237</v>
      </c>
      <c r="C7" s="90">
        <f>'35-40 foot transit bus'!$I$25*(' Summary'!$B$40/'35-40 foot transit bus'!$J$3)</f>
        <v>15575.426176418168</v>
      </c>
      <c r="D7" s="90">
        <f>'35-40 foot transit bus'!$J$25*(' Summary'!$B$40/'35-40 foot transit bus'!$J$3)</f>
        <v>16325.891107037303</v>
      </c>
      <c r="E7" s="90">
        <f>'35-40 foot transit bus'!$K$25*(' Summary'!$B$40/'35-40 foot transit bus'!$J$3)</f>
        <v>16899.924595502041</v>
      </c>
      <c r="F7" s="90">
        <f>'35-40 foot transit bus'!$L$25*(' Summary'!$B$40/'35-40 foot transit bus'!$J$3)</f>
        <v>17707.397445716368</v>
      </c>
      <c r="G7" s="90">
        <f>'35-40 foot transit bus'!$M$25*(' Summary'!$B$40/'35-40 foot transit bus'!$J$3)</f>
        <v>18294.031038965437</v>
      </c>
      <c r="H7" s="90">
        <f>'35-40 foot transit bus'!$N$25*(' Summary'!$B$40/'35-40 foot transit bus'!$J$3)</f>
        <v>19178.647024123104</v>
      </c>
      <c r="I7" s="90">
        <f>'35-40 foot transit bus'!$O$25*(' Summary'!$B$40/'35-40 foot transit bus'!$J$3)</f>
        <v>19757.534060312588</v>
      </c>
      <c r="J7" s="90">
        <f>'35-40 foot transit bus'!$P$25*(' Summary'!$B$40/'35-40 foot transit bus'!$J$3)</f>
        <v>20648.133738258592</v>
      </c>
      <c r="K7" s="90">
        <f>'35-40 foot transit bus'!$Q$25*(' Summary'!$B$40/'35-40 foot transit bus'!$J$3)</f>
        <v>21427.398329713473</v>
      </c>
      <c r="L7" s="90">
        <f>'35-40 foot transit bus'!$R$25*(' Summary'!$B$40/'35-40 foot transit bus'!$J$3)</f>
        <v>22503.544333047244</v>
      </c>
      <c r="M7" s="90">
        <f>'35-40 foot transit bus'!$S$25*(' Summary'!$B$40/'35-40 foot transit bus'!$J$3)</f>
        <v>23361.315524780253</v>
      </c>
      <c r="N7" s="90">
        <f t="shared" si="0"/>
        <v>226723.12708579979</v>
      </c>
    </row>
    <row r="8" spans="1:14" ht="26.25" x14ac:dyDescent="0.25">
      <c r="A8" s="33" t="s">
        <v>198</v>
      </c>
      <c r="B8" s="90">
        <f>'35-40 foot transit bus'!$H$38*(' Summary'!$B$40/'35-40 foot transit bus'!$J$3)</f>
        <v>15615.917610230321</v>
      </c>
      <c r="C8" s="90">
        <f>'35-40 foot transit bus'!$I$38*(' Summary'!$B$40/'35-40 foot transit bus'!$J$3)</f>
        <v>16147.460074723253</v>
      </c>
      <c r="D8" s="90">
        <f>'35-40 foot transit bus'!$J$38*(' Summary'!$B$40/'35-40 foot transit bus'!$J$3)</f>
        <v>16897.925005342389</v>
      </c>
      <c r="E8" s="90">
        <f>'35-40 foot transit bus'!$K$38*(' Summary'!$B$40/'35-40 foot transit bus'!$J$3)</f>
        <v>17471.958493807128</v>
      </c>
      <c r="F8" s="90">
        <f>'35-40 foot transit bus'!$L$38*(' Summary'!$B$40/'35-40 foot transit bus'!$J$3)</f>
        <v>18279.43134402145</v>
      </c>
      <c r="G8" s="90">
        <f>'35-40 foot transit bus'!$M$38*(' Summary'!$B$40/'35-40 foot transit bus'!$J$3)</f>
        <v>18866.064937270523</v>
      </c>
      <c r="H8" s="90">
        <f>'35-40 foot transit bus'!$N$38*(' Summary'!$B$40/'35-40 foot transit bus'!$J$3)</f>
        <v>19750.680922428186</v>
      </c>
      <c r="I8" s="90">
        <f>'35-40 foot transit bus'!$O$38*(' Summary'!$B$40/'35-40 foot transit bus'!$J$3)</f>
        <v>20329.56795861767</v>
      </c>
      <c r="J8" s="90">
        <f>'35-40 foot transit bus'!$P$38*(' Summary'!$B$40/'35-40 foot transit bus'!$J$3)</f>
        <v>21220.167636563678</v>
      </c>
      <c r="K8" s="90">
        <f>'35-40 foot transit bus'!$Q$38*(' Summary'!$B$40/'35-40 foot transit bus'!$J$3)</f>
        <v>21999.432228018555</v>
      </c>
      <c r="L8" s="90">
        <f>'35-40 foot transit bus'!$R$38*(' Summary'!$B$40/'35-40 foot transit bus'!$J$3)</f>
        <v>23075.578231352327</v>
      </c>
      <c r="M8" s="90">
        <f>'35-40 foot transit bus'!$S$38*(' Summary'!$B$40/'35-40 foot transit bus'!$J$3)</f>
        <v>23933.349423085336</v>
      </c>
      <c r="N8" s="90">
        <f t="shared" si="0"/>
        <v>233587.53386546083</v>
      </c>
    </row>
    <row r="9" spans="1:14" x14ac:dyDescent="0.25">
      <c r="A9" s="12" t="s">
        <v>199</v>
      </c>
      <c r="B9" s="90">
        <f>'35-40 foot transit bus'!$H$51*(' Summary'!$B$40/'35-40 foot transit bus'!$J$3)</f>
        <v>16569.307440738794</v>
      </c>
      <c r="C9" s="90">
        <f>'35-40 foot transit bus'!$I$51*(' Summary'!$B$40/'35-40 foot transit bus'!$J$3)</f>
        <v>17100.849905231727</v>
      </c>
      <c r="D9" s="90">
        <f>'35-40 foot transit bus'!$J$51*(' Summary'!$B$40/'35-40 foot transit bus'!$J$3)</f>
        <v>17851.314835850862</v>
      </c>
      <c r="E9" s="90">
        <f>'35-40 foot transit bus'!$K$51*(' Summary'!$B$40/'35-40 foot transit bus'!$J$3)</f>
        <v>18425.348324315601</v>
      </c>
      <c r="F9" s="90">
        <f>'35-40 foot transit bus'!$L$51*(' Summary'!$B$40/'35-40 foot transit bus'!$J$3)</f>
        <v>19232.821174529923</v>
      </c>
      <c r="G9" s="90">
        <f>'35-40 foot transit bus'!$M$51*(' Summary'!$B$40/'35-40 foot transit bus'!$J$3)</f>
        <v>19819.454767778996</v>
      </c>
      <c r="H9" s="90">
        <f>'35-40 foot transit bus'!$N$51*(' Summary'!$B$40/'35-40 foot transit bus'!$J$3)</f>
        <v>20704.070752936659</v>
      </c>
      <c r="I9" s="90">
        <f>'35-40 foot transit bus'!$O$51*(' Summary'!$B$40/'35-40 foot transit bus'!$J$3)</f>
        <v>21282.957789126143</v>
      </c>
      <c r="J9" s="90">
        <f>'35-40 foot transit bus'!$P$51*(' Summary'!$B$40/'35-40 foot transit bus'!$J$3)</f>
        <v>22173.557467072151</v>
      </c>
      <c r="K9" s="90">
        <f>'35-40 foot transit bus'!$Q$51*(' Summary'!$B$40/'35-40 foot transit bus'!$J$3)</f>
        <v>22952.822058527028</v>
      </c>
      <c r="L9" s="90">
        <f>'35-40 foot transit bus'!$R$51*(' Summary'!$B$40/'35-40 foot transit bus'!$J$3)</f>
        <v>24028.9680618608</v>
      </c>
      <c r="M9" s="90">
        <f>'35-40 foot transit bus'!$S$51*(' Summary'!$B$40/'35-40 foot transit bus'!$J$3)</f>
        <v>24886.739253593809</v>
      </c>
      <c r="N9" s="90">
        <f t="shared" si="0"/>
        <v>245028.21183156251</v>
      </c>
    </row>
    <row r="10" spans="1:14" x14ac:dyDescent="0.25">
      <c r="A10" s="38" t="s">
        <v>162</v>
      </c>
      <c r="B10" s="90">
        <f>'35-40 foot transit bus'!$H$66*(' Summary'!$B$40/'35-40 foot transit bus'!$J$5)</f>
        <v>10263.707460997621</v>
      </c>
      <c r="C10" s="90">
        <f>'35-40 foot transit bus'!$I$66*(' Summary'!$B$40/'35-40 foot transit bus'!$J$5)</f>
        <v>9931.8157067510547</v>
      </c>
      <c r="D10" s="90">
        <f>'35-40 foot transit bus'!$J$66*(' Summary'!$B$40/'35-40 foot transit bus'!$J$5)</f>
        <v>10005.605121101429</v>
      </c>
      <c r="E10" s="90">
        <f>'35-40 foot transit bus'!$K$66*(' Summary'!$B$40/'35-40 foot transit bus'!$J$5)</f>
        <v>10351.581323722072</v>
      </c>
      <c r="F10" s="90">
        <f>'35-40 foot transit bus'!$L$66*(' Summary'!$B$40/'35-40 foot transit bus'!$J$5)</f>
        <v>10527.118665032483</v>
      </c>
      <c r="G10" s="90">
        <f>'35-40 foot transit bus'!$M$66*(' Summary'!$B$40/'35-40 foot transit bus'!$J$5)</f>
        <v>10860.722227781522</v>
      </c>
      <c r="H10" s="90">
        <f>'35-40 foot transit bus'!$N$66*(' Summary'!$B$40/'35-40 foot transit bus'!$J$5)</f>
        <v>11147.599986503183</v>
      </c>
      <c r="I10" s="90">
        <f>'35-40 foot transit bus'!$O$66*(' Summary'!$B$40/'35-40 foot transit bus'!$J$5)</f>
        <v>11352.518242452288</v>
      </c>
      <c r="J10" s="90">
        <f>'35-40 foot transit bus'!$P$66*(' Summary'!$B$40/'35-40 foot transit bus'!$J$5)</f>
        <v>11458.652422133891</v>
      </c>
      <c r="K10" s="90">
        <f>'35-40 foot transit bus'!$Q$66*(' Summary'!$B$40/'35-40 foot transit bus'!$J$5)</f>
        <v>11471.23955120035</v>
      </c>
      <c r="L10" s="90">
        <f>'35-40 foot transit bus'!$R$66*(' Summary'!$B$40/'35-40 foot transit bus'!$J$5)</f>
        <v>12387.546627995276</v>
      </c>
      <c r="M10" s="90">
        <f>'35-40 foot transit bus'!$S$66*(' Summary'!$B$40/'35-40 foot transit bus'!$J$5)</f>
        <v>12381.118109734185</v>
      </c>
      <c r="N10" s="90">
        <f t="shared" si="0"/>
        <v>132139.22544540538</v>
      </c>
    </row>
    <row r="11" spans="1:14" x14ac:dyDescent="0.25">
      <c r="A11" s="38" t="s">
        <v>171</v>
      </c>
      <c r="B11" s="90">
        <f>'35-40 foot transit bus'!$H$82*(' Summary'!$B$40/'35-40 foot transit bus'!$J$5)</f>
        <v>3500.4224368430305</v>
      </c>
      <c r="C11" s="90">
        <f>'35-40 foot transit bus'!$I$82*(' Summary'!$B$40/'35-40 foot transit bus'!$J$5)</f>
        <v>3168.5306825964649</v>
      </c>
      <c r="D11" s="90">
        <f>'35-40 foot transit bus'!$J$82*(' Summary'!$B$40/'35-40 foot transit bus'!$J$5)</f>
        <v>3242.3200969468385</v>
      </c>
      <c r="E11" s="90">
        <f>'35-40 foot transit bus'!$K$82*(' Summary'!$B$40/'35-40 foot transit bus'!$J$5)</f>
        <v>3588.2962995674811</v>
      </c>
      <c r="F11" s="90">
        <f>'35-40 foot transit bus'!$L$82*(' Summary'!$B$40/'35-40 foot transit bus'!$J$5)</f>
        <v>3763.8336408778928</v>
      </c>
      <c r="G11" s="90">
        <f>'35-40 foot transit bus'!$M$82*(' Summary'!$B$40/'35-40 foot transit bus'!$J$5)</f>
        <v>4097.4372036269306</v>
      </c>
      <c r="H11" s="90">
        <f>'35-40 foot transit bus'!$N$82*(' Summary'!$B$40/'35-40 foot transit bus'!$J$5)</f>
        <v>4384.3149623485924</v>
      </c>
      <c r="I11" s="90">
        <f>'35-40 foot transit bus'!$O$82*(' Summary'!$B$40/'35-40 foot transit bus'!$J$5)</f>
        <v>4589.2332182976988</v>
      </c>
      <c r="J11" s="90">
        <f>'35-40 foot transit bus'!$P$82*(' Summary'!$B$40/'35-40 foot transit bus'!$J$5)</f>
        <v>4695.3673979793011</v>
      </c>
      <c r="K11" s="90">
        <f>'35-40 foot transit bus'!$Q$82*(' Summary'!$B$40/'35-40 foot transit bus'!$J$5)</f>
        <v>4707.9545270457602</v>
      </c>
      <c r="L11" s="90">
        <f>'35-40 foot transit bus'!$R$82*(' Summary'!$B$40/'35-40 foot transit bus'!$J$5)</f>
        <v>5624.2616038406859</v>
      </c>
      <c r="M11" s="90">
        <f>'35-40 foot transit bus'!$S$82*(' Summary'!$B$40/'35-40 foot transit bus'!$J$5)</f>
        <v>5617.8330855795957</v>
      </c>
      <c r="N11" s="90">
        <f t="shared" si="0"/>
        <v>50979.805155550268</v>
      </c>
    </row>
    <row r="12" spans="1:14" x14ac:dyDescent="0.25">
      <c r="A12" s="39" t="s">
        <v>222</v>
      </c>
      <c r="B12" s="90">
        <f>IF(Inputs!$B$32="Yes",(('35-40 foot transit bus'!H$104*'35-40 foot transit bus'!$E$8)-'All Fuel Types Calc'!$L122),'35-40 foot transit bus'!H$104*'35-40 foot transit bus'!$E$8)</f>
        <v>7087.9683513679529</v>
      </c>
      <c r="C12" s="90">
        <f>IF(Inputs!$B$32="Yes",(('35-40 foot transit bus'!I$104*'35-40 foot transit bus'!$E$8)-'All Fuel Types Calc'!$L123),'35-40 foot transit bus'!I$104*'35-40 foot transit bus'!$E$8)</f>
        <v>7557.0730308825605</v>
      </c>
      <c r="D12" s="90">
        <f>IF(Inputs!$B$32="Yes",(('35-40 foot transit bus'!J$104*'35-40 foot transit bus'!$E$8)-'All Fuel Types Calc'!$L124),'35-40 foot transit bus'!J$104*'35-40 foot transit bus'!$E$8)</f>
        <v>8232.2081933653881</v>
      </c>
      <c r="E12" s="90">
        <f>IF(Inputs!$B$32="Yes",(('35-40 foot transit bus'!K$104*'35-40 foot transit bus'!$E$8)-'All Fuel Types Calc'!$L125),'35-40 foot transit bus'!K$104*'35-40 foot transit bus'!$E$8)</f>
        <v>8971.9696519289246</v>
      </c>
      <c r="F12" s="90">
        <f>IF(Inputs!$B$32="Yes",(('35-40 foot transit bus'!L$104*'35-40 foot transit bus'!$E$8)-'All Fuel Types Calc'!$L126),'35-40 foot transit bus'!L$104*'35-40 foot transit bus'!$E$8)</f>
        <v>9688.4844607969972</v>
      </c>
      <c r="G12" s="90">
        <f>IF(Inputs!$B$32="Yes",(('35-40 foot transit bus'!M$104*'35-40 foot transit bus'!$E$8)-'All Fuel Types Calc'!$L127),'35-40 foot transit bus'!M$104*'35-40 foot transit bus'!$E$8)</f>
        <v>10588.045783149388</v>
      </c>
      <c r="H12" s="90">
        <f>IF(Inputs!$B$32="Yes",(('35-40 foot transit bus'!N$104*'35-40 foot transit bus'!$E$8)-'All Fuel Types Calc'!$L128),'35-40 foot transit bus'!N$104*'35-40 foot transit bus'!$E$8)</f>
        <v>11234.931751877106</v>
      </c>
      <c r="I12" s="90">
        <f>IF(Inputs!$B$32="Yes",(('35-40 foot transit bus'!O$104*'35-40 foot transit bus'!$E$8)-'All Fuel Types Calc'!$L129),'35-40 foot transit bus'!O$104*'35-40 foot transit bus'!$E$8)</f>
        <v>11755.42262084072</v>
      </c>
      <c r="J12" s="90">
        <f>IF(Inputs!$B$32="Yes",(('35-40 foot transit bus'!P$104*'35-40 foot transit bus'!$E$8)-'All Fuel Types Calc'!$L130),'35-40 foot transit bus'!P$104*'35-40 foot transit bus'!$E$8)</f>
        <v>12145.615671710846</v>
      </c>
      <c r="K12" s="90">
        <f>IF(Inputs!$B$32="Yes",(('35-40 foot transit bus'!Q$104*'35-40 foot transit bus'!$E$8)-'All Fuel Types Calc'!$L131),'35-40 foot transit bus'!Q$104*'35-40 foot transit bus'!$E$8)</f>
        <v>12503.650653167202</v>
      </c>
      <c r="L12" s="90">
        <f>IF(Inputs!$B$32="Yes",(('35-40 foot transit bus'!R$104*'35-40 foot transit bus'!$E$8)-'All Fuel Types Calc'!$L132),'35-40 foot transit bus'!R$104*'35-40 foot transit bus'!$E$8)</f>
        <v>12848.9505604029</v>
      </c>
      <c r="M12" s="90">
        <f>IF(Inputs!$B$32="Yes",(('35-40 foot transit bus'!S$104*'35-40 foot transit bus'!$E$8)-'All Fuel Types Calc'!$L133),'35-40 foot transit bus'!S$104*'35-40 foot transit bus'!$E$8)</f>
        <v>13234.985332701355</v>
      </c>
      <c r="N12" s="90">
        <f t="shared" si="0"/>
        <v>125849.30606219135</v>
      </c>
    </row>
    <row r="13" spans="1:14" x14ac:dyDescent="0.25">
      <c r="A13" s="51"/>
    </row>
    <row r="15" spans="1:14" x14ac:dyDescent="0.25">
      <c r="A15" s="797" t="s">
        <v>763</v>
      </c>
      <c r="B15" s="797"/>
    </row>
    <row r="16" spans="1:14" x14ac:dyDescent="0.25">
      <c r="A16" s="797"/>
      <c r="B16" s="797"/>
    </row>
    <row r="17" spans="1:2" x14ac:dyDescent="0.25">
      <c r="A17" s="797"/>
      <c r="B17" s="797"/>
    </row>
    <row r="18" spans="1:2" x14ac:dyDescent="0.25">
      <c r="A18" s="797"/>
      <c r="B18" s="797"/>
    </row>
    <row r="19" spans="1:2" x14ac:dyDescent="0.25">
      <c r="A19" s="797"/>
      <c r="B19" s="797"/>
    </row>
    <row r="20" spans="1:2" x14ac:dyDescent="0.25">
      <c r="A20" s="797"/>
      <c r="B20" s="797"/>
    </row>
    <row r="21" spans="1:2" x14ac:dyDescent="0.25">
      <c r="A21" s="797"/>
      <c r="B21" s="797"/>
    </row>
    <row r="22" spans="1:2" x14ac:dyDescent="0.25">
      <c r="A22" s="797"/>
      <c r="B22" s="797"/>
    </row>
    <row r="23" spans="1:2" x14ac:dyDescent="0.25">
      <c r="A23" s="797"/>
      <c r="B23" s="797"/>
    </row>
    <row r="24" spans="1:2" x14ac:dyDescent="0.25">
      <c r="A24" s="797"/>
      <c r="B24" s="797"/>
    </row>
    <row r="25" spans="1:2" x14ac:dyDescent="0.25">
      <c r="A25" s="797"/>
      <c r="B25" s="797"/>
    </row>
    <row r="26" spans="1:2" x14ac:dyDescent="0.25">
      <c r="A26" s="797"/>
      <c r="B26" s="797"/>
    </row>
    <row r="27" spans="1:2" x14ac:dyDescent="0.25">
      <c r="A27" s="797"/>
      <c r="B27" s="797"/>
    </row>
  </sheetData>
  <mergeCells count="1">
    <mergeCell ref="A15:B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D93C"/>
  </sheetPr>
  <dimension ref="A1:J21"/>
  <sheetViews>
    <sheetView workbookViewId="0">
      <selection activeCell="G1" sqref="G1:J13"/>
    </sheetView>
  </sheetViews>
  <sheetFormatPr defaultRowHeight="15" x14ac:dyDescent="0.25"/>
  <cols>
    <col min="2" max="2" width="8.42578125" customWidth="1"/>
  </cols>
  <sheetData>
    <row r="1" spans="1:10" x14ac:dyDescent="0.25">
      <c r="A1" t="s">
        <v>210</v>
      </c>
      <c r="D1" s="262">
        <f>' Summary'!X1</f>
        <v>0</v>
      </c>
      <c r="G1" s="797" t="s">
        <v>763</v>
      </c>
      <c r="H1" s="797"/>
      <c r="I1" s="797"/>
      <c r="J1" s="797"/>
    </row>
    <row r="2" spans="1:10" x14ac:dyDescent="0.25">
      <c r="A2">
        <v>2020</v>
      </c>
      <c r="B2" s="1">
        <v>1</v>
      </c>
      <c r="G2" s="797"/>
      <c r="H2" s="797"/>
      <c r="I2" s="797"/>
      <c r="J2" s="797"/>
    </row>
    <row r="3" spans="1:10" x14ac:dyDescent="0.25">
      <c r="A3">
        <v>2021</v>
      </c>
      <c r="B3" s="1">
        <f>B2*(1+' Summary'!$B$54)</f>
        <v>1.024</v>
      </c>
      <c r="G3" s="797"/>
      <c r="H3" s="797"/>
      <c r="I3" s="797"/>
      <c r="J3" s="797"/>
    </row>
    <row r="4" spans="1:10" x14ac:dyDescent="0.25">
      <c r="A4" s="51">
        <v>2022</v>
      </c>
      <c r="B4" s="1">
        <f>B3*(1+' Summary'!$B$54)</f>
        <v>1.048576</v>
      </c>
      <c r="G4" s="797"/>
      <c r="H4" s="797"/>
      <c r="I4" s="797"/>
      <c r="J4" s="797"/>
    </row>
    <row r="5" spans="1:10" x14ac:dyDescent="0.25">
      <c r="A5" s="51">
        <v>2023</v>
      </c>
      <c r="B5" s="1">
        <f>B4*(1+' Summary'!$B$54)</f>
        <v>1.0737418240000001</v>
      </c>
      <c r="G5" s="797"/>
      <c r="H5" s="797"/>
      <c r="I5" s="797"/>
      <c r="J5" s="797"/>
    </row>
    <row r="6" spans="1:10" x14ac:dyDescent="0.25">
      <c r="A6" s="51">
        <v>2024</v>
      </c>
      <c r="B6" s="1">
        <f>B5*(1+' Summary'!$B$54)</f>
        <v>1.0995116277760002</v>
      </c>
      <c r="G6" s="797"/>
      <c r="H6" s="797"/>
      <c r="I6" s="797"/>
      <c r="J6" s="797"/>
    </row>
    <row r="7" spans="1:10" x14ac:dyDescent="0.25">
      <c r="A7" s="51">
        <v>2025</v>
      </c>
      <c r="B7" s="1">
        <f>B6*(1+' Summary'!$B$54)</f>
        <v>1.1258999068426243</v>
      </c>
      <c r="G7" s="797"/>
      <c r="H7" s="797"/>
      <c r="I7" s="797"/>
      <c r="J7" s="797"/>
    </row>
    <row r="8" spans="1:10" x14ac:dyDescent="0.25">
      <c r="A8" s="51">
        <v>2026</v>
      </c>
      <c r="B8" s="1">
        <f>B7*(1+' Summary'!$B$54)</f>
        <v>1.1529215046068473</v>
      </c>
      <c r="G8" s="797"/>
      <c r="H8" s="797"/>
      <c r="I8" s="797"/>
      <c r="J8" s="797"/>
    </row>
    <row r="9" spans="1:10" x14ac:dyDescent="0.25">
      <c r="A9" s="51">
        <v>2027</v>
      </c>
      <c r="B9" s="1">
        <f>B8*(1+' Summary'!$B$54)</f>
        <v>1.1805916207174116</v>
      </c>
      <c r="G9" s="797"/>
      <c r="H9" s="797"/>
      <c r="I9" s="797"/>
      <c r="J9" s="797"/>
    </row>
    <row r="10" spans="1:10" x14ac:dyDescent="0.25">
      <c r="A10" s="51">
        <v>2028</v>
      </c>
      <c r="B10" s="1">
        <f>B9*(1+' Summary'!$B$54)</f>
        <v>1.2089258196146295</v>
      </c>
      <c r="G10" s="797"/>
      <c r="H10" s="797"/>
      <c r="I10" s="797"/>
      <c r="J10" s="797"/>
    </row>
    <row r="11" spans="1:10" x14ac:dyDescent="0.25">
      <c r="A11" s="51">
        <v>2029</v>
      </c>
      <c r="B11" s="1">
        <f>B10*(1+' Summary'!$B$54)</f>
        <v>1.2379400392853808</v>
      </c>
      <c r="G11" s="797"/>
      <c r="H11" s="797"/>
      <c r="I11" s="797"/>
      <c r="J11" s="797"/>
    </row>
    <row r="12" spans="1:10" x14ac:dyDescent="0.25">
      <c r="A12" s="51">
        <v>2030</v>
      </c>
      <c r="B12" s="1">
        <f>B11*(1+' Summary'!$B$54)</f>
        <v>1.26765060022823</v>
      </c>
      <c r="G12" s="797"/>
      <c r="H12" s="797"/>
      <c r="I12" s="797"/>
      <c r="J12" s="797"/>
    </row>
    <row r="13" spans="1:10" x14ac:dyDescent="0.25">
      <c r="A13" s="51">
        <v>2031</v>
      </c>
      <c r="B13" s="1">
        <f>B12*(1+' Summary'!$B$54)</f>
        <v>1.2980742146337074</v>
      </c>
      <c r="G13" s="797"/>
      <c r="H13" s="797"/>
      <c r="I13" s="797"/>
      <c r="J13" s="797"/>
    </row>
    <row r="14" spans="1:10" x14ac:dyDescent="0.25">
      <c r="B14" s="1"/>
    </row>
    <row r="15" spans="1:10" x14ac:dyDescent="0.25">
      <c r="B15" t="s">
        <v>745</v>
      </c>
    </row>
    <row r="16" spans="1:10" x14ac:dyDescent="0.25">
      <c r="C16" t="s">
        <v>746</v>
      </c>
      <c r="E16" t="s">
        <v>751</v>
      </c>
    </row>
    <row r="17" spans="2:6" x14ac:dyDescent="0.25">
      <c r="B17" s="72" t="s">
        <v>746</v>
      </c>
      <c r="C17" t="s">
        <v>749</v>
      </c>
      <c r="D17" s="51" t="s">
        <v>750</v>
      </c>
      <c r="E17" s="51" t="s">
        <v>749</v>
      </c>
      <c r="F17" s="51" t="s">
        <v>750</v>
      </c>
    </row>
    <row r="18" spans="2:6" x14ac:dyDescent="0.25">
      <c r="B18" s="72" t="s">
        <v>299</v>
      </c>
      <c r="C18" s="77">
        <v>1</v>
      </c>
      <c r="D18" s="51">
        <v>4.1399999999999997</v>
      </c>
      <c r="E18" s="152">
        <v>0.93</v>
      </c>
      <c r="F18" s="85">
        <v>1.95</v>
      </c>
    </row>
    <row r="19" spans="2:6" x14ac:dyDescent="0.25">
      <c r="B19" s="72" t="s">
        <v>723</v>
      </c>
      <c r="C19" s="77">
        <v>1.25</v>
      </c>
      <c r="D19" s="51">
        <v>3.31</v>
      </c>
      <c r="E19" s="152">
        <v>1.1599999999999999</v>
      </c>
      <c r="F19" s="712">
        <v>1.56</v>
      </c>
    </row>
    <row r="20" spans="2:6" x14ac:dyDescent="0.25">
      <c r="B20" s="72" t="s">
        <v>747</v>
      </c>
      <c r="C20" s="77">
        <v>1.5</v>
      </c>
      <c r="D20" s="51">
        <v>2.73</v>
      </c>
      <c r="E20" s="152">
        <v>1.4</v>
      </c>
      <c r="F20" s="712">
        <v>1.2869999999999999</v>
      </c>
    </row>
    <row r="21" spans="2:6" x14ac:dyDescent="0.25">
      <c r="B21" s="72" t="s">
        <v>748</v>
      </c>
      <c r="C21" s="77">
        <v>2</v>
      </c>
      <c r="D21" s="51">
        <v>2.0699999999999998</v>
      </c>
      <c r="E21" s="152">
        <v>1.86</v>
      </c>
      <c r="F21" s="712">
        <v>0.97499999999999998</v>
      </c>
    </row>
  </sheetData>
  <mergeCells count="1">
    <mergeCell ref="G1:J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8E4B1655CB0E42A7C97752920E3DCC" ma:contentTypeVersion="8" ma:contentTypeDescription="Create a new document." ma:contentTypeScope="" ma:versionID="612b0f3f5685e3f2804bc1852fddf3a4">
  <xsd:schema xmlns:xsd="http://www.w3.org/2001/XMLSchema" xmlns:xs="http://www.w3.org/2001/XMLSchema" xmlns:p="http://schemas.microsoft.com/office/2006/metadata/properties" xmlns:ns2="de3da1f1-8f19-4ff9-9b76-47fe9a490803" xmlns:ns3="6ec60af1-6d1e-4575-bf73-1b6e791fcd10" targetNamespace="http://schemas.microsoft.com/office/2006/metadata/properties" ma:root="true" ma:fieldsID="0b9d77f1500c3b25eedc680553b8579c" ns2:_="" ns3:_="">
    <xsd:import namespace="de3da1f1-8f19-4ff9-9b76-47fe9a490803"/>
    <xsd:import namespace="6ec60af1-6d1e-4575-bf73-1b6e791fcd10"/>
    <xsd:element name="properties">
      <xsd:complexType>
        <xsd:sequence>
          <xsd:element name="documentManagement">
            <xsd:complexType>
              <xsd:all>
                <xsd:element ref="ns2:Publication_x0020_Type"/>
                <xsd:element ref="ns3:SharedWithUsers" minOccurs="0"/>
                <xsd:element ref="ns2:Retention_x0020_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3da1f1-8f19-4ff9-9b76-47fe9a490803" elementFormDefault="qualified">
    <xsd:import namespace="http://schemas.microsoft.com/office/2006/documentManagement/types"/>
    <xsd:import namespace="http://schemas.microsoft.com/office/infopath/2007/PartnerControls"/>
    <xsd:element name="Publication_x0020_Type" ma:index="5" ma:displayName="Publication Type" ma:description="Contact Information&#10;Form&#10;How-to Guide&#10;Map&#10;Report&#10;Rules and Regulations&#10;Sample Document&#10;" ma:internalName="Publication_x0020_Type" ma:readOnly="false">
      <xsd:simpleType>
        <xsd:restriction base="dms:Text">
          <xsd:maxLength value="255"/>
        </xsd:restriction>
      </xsd:simpleType>
    </xsd:element>
    <xsd:element name="Retention_x0020_Date" ma:index="12" ma:displayName="Retention Date"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ation_x0020_Type xmlns="de3da1f1-8f19-4ff9-9b76-47fe9a490803">How-to Guide</Publication_x0020_Type>
    <Retention_x0020_Date xmlns="de3da1f1-8f19-4ff9-9b76-47fe9a490803"/>
  </documentManagement>
</p:properties>
</file>

<file path=customXml/itemProps1.xml><?xml version="1.0" encoding="utf-8"?>
<ds:datastoreItem xmlns:ds="http://schemas.openxmlformats.org/officeDocument/2006/customXml" ds:itemID="{070AF515-9391-4D9D-94F5-2248CD8F8A89}"/>
</file>

<file path=customXml/itemProps2.xml><?xml version="1.0" encoding="utf-8"?>
<ds:datastoreItem xmlns:ds="http://schemas.openxmlformats.org/officeDocument/2006/customXml" ds:itemID="{C4AD82A5-ACB0-4718-A083-BE78A9C27D40}"/>
</file>

<file path=customXml/itemProps3.xml><?xml version="1.0" encoding="utf-8"?>
<ds:datastoreItem xmlns:ds="http://schemas.openxmlformats.org/officeDocument/2006/customXml" ds:itemID="{41FD1387-6F49-49C4-9C6C-97A3BE3E5F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3</vt:i4>
      </vt:variant>
      <vt:variant>
        <vt:lpstr>Named Ranges</vt:lpstr>
      </vt:variant>
      <vt:variant>
        <vt:i4>4</vt:i4>
      </vt:variant>
    </vt:vector>
  </HeadingPairs>
  <TitlesOfParts>
    <vt:vector size="27" baseType="lpstr">
      <vt:lpstr>Instructions</vt:lpstr>
      <vt:lpstr>Inputs</vt:lpstr>
      <vt:lpstr> Summary</vt:lpstr>
      <vt:lpstr>Fleet Carbon Footprint</vt:lpstr>
      <vt:lpstr>Assumptions</vt:lpstr>
      <vt:lpstr>Default Data</vt:lpstr>
      <vt:lpstr>All Fuel Types Calc</vt:lpstr>
      <vt:lpstr>Forecast Fuel Cost Calculations</vt:lpstr>
      <vt:lpstr>Inflation-Road conditions</vt:lpstr>
      <vt:lpstr>Criteria Polutant Data</vt:lpstr>
      <vt:lpstr>CFP Credit Estimator</vt:lpstr>
      <vt:lpstr>Electricity Calc Background</vt:lpstr>
      <vt:lpstr>35-40 foot transit bus</vt:lpstr>
      <vt:lpstr>Fuel Factors</vt:lpstr>
      <vt:lpstr>Analysis</vt:lpstr>
      <vt:lpstr>CIs for 2020</vt:lpstr>
      <vt:lpstr>2018 Emissions and Data</vt:lpstr>
      <vt:lpstr>CPI</vt:lpstr>
      <vt:lpstr>Bus Price</vt:lpstr>
      <vt:lpstr>Maint-Fuel mpg</vt:lpstr>
      <vt:lpstr>Financial Cost Comparison</vt:lpstr>
      <vt:lpstr>Lifecycle Cost Comparison</vt:lpstr>
      <vt:lpstr>CFP Comparison</vt:lpstr>
      <vt:lpstr>Bustypes</vt:lpstr>
      <vt:lpstr>Conditions</vt:lpstr>
      <vt:lpstr>Roadcondition</vt:lpstr>
      <vt:lpstr>Worksheets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Transit Vehicle Lifecycle Cost Analysis Tool</dc:title>
  <dc:subject>Delivery of Public Transportation</dc:subject>
  <dc:creator>ClarkM</dc:creator>
  <cp:lastModifiedBy>Brian Roth</cp:lastModifiedBy>
  <cp:lastPrinted>2019-10-17T18:53:58Z</cp:lastPrinted>
  <dcterms:created xsi:type="dcterms:W3CDTF">2011-03-15T13:08:35Z</dcterms:created>
  <dcterms:modified xsi:type="dcterms:W3CDTF">2021-05-04T20:51:50Z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0x010100558E4B1655CB0E42A7C97752920E3DCC</vt:lpwstr>
  </property>
</Properties>
</file>