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현재_통합_문서" defaultThemeVersion="202300"/>
  <mc:AlternateContent xmlns:mc="http://schemas.openxmlformats.org/markup-compatibility/2006">
    <mc:Choice Requires="x15">
      <x15ac:absPath xmlns:x15ac="http://schemas.microsoft.com/office/spreadsheetml/2010/11/ac" url="https://ordot.sharepoint.com/teams/ODOT-ClimateOffice-Analysis/Shared Documents/bca/deliverables/final/"/>
    </mc:Choice>
  </mc:AlternateContent>
  <xr:revisionPtr revIDLastSave="9" documentId="13_ncr:1_{1D09EF09-FDD7-46BB-824A-11E02B5C7A55}" xr6:coauthVersionLast="47" xr6:coauthVersionMax="47" xr10:uidLastSave="{2C9834E3-357C-42CD-A10C-871B1A0E361F}"/>
  <workbookProtection lockStructure="1"/>
  <bookViews>
    <workbookView xWindow="1005" yWindow="1740" windowWidth="24705" windowHeight="13050" firstSheet="1" activeTab="1" xr2:uid="{C2AAF1C2-CCBD-46B7-A44C-14098086CDC7}"/>
  </bookViews>
  <sheets>
    <sheet name="Read Me" sheetId="1" r:id="rId1"/>
    <sheet name="START" sheetId="20" r:id="rId2"/>
    <sheet name="Scenario Inputs" sheetId="2" r:id="rId3"/>
    <sheet name="Output Summary" sheetId="18" r:id="rId4"/>
    <sheet name="Baseline" sheetId="3" r:id="rId5"/>
    <sheet name="Parameter Library" sheetId="4" r:id="rId6"/>
    <sheet name="Travel Time Savings" sheetId="5" r:id="rId7"/>
    <sheet name="Safety" sheetId="6" r:id="rId8"/>
    <sheet name="VOC" sheetId="7" r:id="rId9"/>
    <sheet name="Emissions" sheetId="8" r:id="rId10"/>
    <sheet name="Health" sheetId="9" r:id="rId11"/>
    <sheet name="Noise" sheetId="12" r:id="rId12"/>
    <sheet name="Equity Welfare" sheetId="14" r:id="rId13"/>
    <sheet name="Sensitivity" sheetId="19"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36" i="8" l="1"/>
  <c r="K37" i="8"/>
  <c r="K38" i="8"/>
  <c r="K39" i="8"/>
  <c r="K40" i="8"/>
  <c r="K41" i="8"/>
  <c r="K42" i="8"/>
  <c r="K43" i="8"/>
  <c r="K44" i="8"/>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35" i="8"/>
  <c r="B28" i="8"/>
  <c r="B26" i="8"/>
  <c r="F8" i="20"/>
  <c r="A12" i="20"/>
  <c r="A11" i="20"/>
  <c r="A10" i="20"/>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41" i="3"/>
  <c r="B40" i="3"/>
  <c r="A40" i="3"/>
  <c r="E15" i="7"/>
  <c r="B34" i="7"/>
  <c r="D39" i="2"/>
  <c r="E116" i="4" l="1"/>
  <c r="B12" i="2"/>
  <c r="B33" i="7" s="1"/>
  <c r="C15" i="7" s="1"/>
  <c r="F15" i="7" s="1"/>
  <c r="B13" i="2"/>
  <c r="B14" i="2"/>
  <c r="B11" i="2"/>
  <c r="I52" i="2"/>
  <c r="H52" i="2"/>
  <c r="G52" i="2"/>
  <c r="I51" i="2"/>
  <c r="H51" i="2"/>
  <c r="G51" i="2"/>
  <c r="I50" i="2"/>
  <c r="H50" i="2"/>
  <c r="G50" i="2"/>
  <c r="B79" i="18" l="1"/>
  <c r="B78" i="18"/>
  <c r="E77" i="18"/>
  <c r="H77" i="18"/>
  <c r="B33" i="18"/>
  <c r="H10" i="18"/>
  <c r="H9" i="18"/>
  <c r="B21" i="7"/>
  <c r="G33" i="7"/>
  <c r="F33" i="7"/>
  <c r="G32" i="7"/>
  <c r="F32" i="7"/>
  <c r="G31" i="7"/>
  <c r="F31" i="7"/>
  <c r="G30" i="7"/>
  <c r="F30" i="7"/>
  <c r="G29" i="7"/>
  <c r="F29" i="7"/>
  <c r="G28" i="7"/>
  <c r="F28" i="7"/>
  <c r="G27" i="7"/>
  <c r="F27" i="7"/>
  <c r="G26" i="7"/>
  <c r="F26" i="7"/>
  <c r="G25" i="7"/>
  <c r="F25" i="7"/>
  <c r="B20" i="12"/>
  <c r="E21" i="12"/>
  <c r="E20" i="12"/>
  <c r="B13" i="19"/>
  <c r="B12" i="19"/>
  <c r="B11" i="19"/>
  <c r="B69" i="18"/>
  <c r="B41" i="18"/>
  <c r="B42" i="18"/>
  <c r="B43" i="18"/>
  <c r="B40" i="18"/>
  <c r="B39" i="18"/>
  <c r="B36" i="18"/>
  <c r="B35" i="18"/>
  <c r="B34" i="18"/>
  <c r="B21" i="18"/>
  <c r="H12" i="18"/>
  <c r="H11" i="18"/>
  <c r="H8" i="18"/>
  <c r="H7" i="18"/>
  <c r="H6" i="18"/>
  <c r="E9" i="18"/>
  <c r="E8" i="18"/>
  <c r="E7" i="18"/>
  <c r="E6" i="18"/>
  <c r="B13" i="18"/>
  <c r="B10" i="18"/>
  <c r="B9" i="18"/>
  <c r="B8" i="18"/>
  <c r="B7" i="18"/>
  <c r="B6" i="18"/>
  <c r="B12" i="18"/>
  <c r="B11" i="18"/>
  <c r="D2" i="19"/>
  <c r="B2" i="19"/>
  <c r="D3" i="19"/>
  <c r="B3" i="19"/>
  <c r="B6" i="19"/>
  <c r="C13" i="19"/>
  <c r="C80" i="18" s="1"/>
  <c r="C12" i="19"/>
  <c r="C11" i="19"/>
  <c r="C78" i="18" s="1"/>
  <c r="B8" i="14"/>
  <c r="D40" i="14" s="1"/>
  <c r="D4" i="14"/>
  <c r="F5" i="14"/>
  <c r="D5" i="14"/>
  <c r="B5" i="14"/>
  <c r="B41" i="14"/>
  <c r="B72" i="18" s="1"/>
  <c r="B40" i="14"/>
  <c r="B71" i="18" s="1"/>
  <c r="B39" i="14"/>
  <c r="B70" i="18" s="1"/>
  <c r="B24" i="14"/>
  <c r="B23" i="14"/>
  <c r="A27" i="19"/>
  <c r="A28" i="19"/>
  <c r="A40" i="12"/>
  <c r="A30" i="19"/>
  <c r="A31" i="19"/>
  <c r="A32" i="19"/>
  <c r="A34" i="19"/>
  <c r="A35" i="19"/>
  <c r="A36" i="19"/>
  <c r="A37" i="19"/>
  <c r="A38" i="19"/>
  <c r="A39" i="19"/>
  <c r="A51" i="12"/>
  <c r="A52" i="12"/>
  <c r="A42" i="19"/>
  <c r="A43" i="19"/>
  <c r="A44" i="19"/>
  <c r="A46" i="19"/>
  <c r="A47" i="19"/>
  <c r="A48" i="19"/>
  <c r="A49" i="19"/>
  <c r="A50" i="19"/>
  <c r="A51" i="19"/>
  <c r="A63" i="12"/>
  <c r="A53" i="19"/>
  <c r="A65" i="12"/>
  <c r="A66" i="12"/>
  <c r="A56" i="19"/>
  <c r="A58" i="19"/>
  <c r="A59" i="19"/>
  <c r="A60" i="19"/>
  <c r="A61" i="19"/>
  <c r="A62" i="19"/>
  <c r="A74" i="12"/>
  <c r="A64" i="19"/>
  <c r="A65" i="19"/>
  <c r="A66" i="19"/>
  <c r="A78" i="12"/>
  <c r="A79" i="12"/>
  <c r="A39" i="3"/>
  <c r="F4" i="14"/>
  <c r="B4" i="14"/>
  <c r="B11" i="12"/>
  <c r="D21" i="12"/>
  <c r="D20" i="12"/>
  <c r="A70" i="12"/>
  <c r="A57" i="12"/>
  <c r="A45" i="12"/>
  <c r="B19" i="12"/>
  <c r="A64" i="12" l="1"/>
  <c r="A75" i="12"/>
  <c r="A41" i="19"/>
  <c r="A50" i="12"/>
  <c r="A76" i="12"/>
  <c r="A77" i="12"/>
  <c r="A38" i="12"/>
  <c r="A41" i="12"/>
  <c r="A63" i="19"/>
  <c r="A67" i="19"/>
  <c r="A55" i="19"/>
  <c r="A54" i="19"/>
  <c r="A26" i="19"/>
  <c r="A37" i="12"/>
  <c r="A57" i="19"/>
  <c r="A68" i="12"/>
  <c r="A45" i="19"/>
  <c r="A56" i="12"/>
  <c r="A44" i="12"/>
  <c r="A33" i="19"/>
  <c r="A55" i="12"/>
  <c r="A40" i="19"/>
  <c r="A68" i="19"/>
  <c r="A43" i="12"/>
  <c r="A62" i="12"/>
  <c r="A52" i="19"/>
  <c r="A39" i="12"/>
  <c r="A53" i="12"/>
  <c r="A29" i="19"/>
  <c r="D38" i="14"/>
  <c r="D41" i="14"/>
  <c r="D39" i="14"/>
  <c r="D71" i="18"/>
  <c r="C79" i="18"/>
  <c r="E11" i="19"/>
  <c r="E13" i="19"/>
  <c r="E80" i="18" s="1"/>
  <c r="E12" i="19"/>
  <c r="B31" i="14"/>
  <c r="C62" i="18" s="1"/>
  <c r="B29" i="14"/>
  <c r="C60" i="18" s="1"/>
  <c r="B32" i="14"/>
  <c r="C63" i="18" s="1"/>
  <c r="B28" i="14"/>
  <c r="C59" i="18" s="1"/>
  <c r="B30" i="14"/>
  <c r="C61" i="18" s="1"/>
  <c r="A61" i="12"/>
  <c r="A60" i="12"/>
  <c r="A47" i="12"/>
  <c r="A48" i="12"/>
  <c r="A73" i="12"/>
  <c r="A71" i="12"/>
  <c r="A49" i="12"/>
  <c r="A59" i="12"/>
  <c r="A72" i="12"/>
  <c r="A46" i="12"/>
  <c r="A58" i="12"/>
  <c r="A42" i="12"/>
  <c r="A54" i="12"/>
  <c r="A69" i="12"/>
  <c r="D70" i="18" l="1"/>
  <c r="D69" i="18"/>
  <c r="C64" i="18"/>
  <c r="D72" i="18"/>
  <c r="E79" i="18"/>
  <c r="E78" i="18"/>
  <c r="B33" i="14"/>
  <c r="B32" i="9" l="1"/>
  <c r="B31" i="9"/>
  <c r="B30" i="9"/>
  <c r="B29" i="9"/>
  <c r="B28" i="9"/>
  <c r="B27" i="9"/>
  <c r="B26" i="9"/>
  <c r="B25" i="9"/>
  <c r="B24" i="9"/>
  <c r="B23" i="9"/>
  <c r="C12" i="9" s="1"/>
  <c r="B22" i="9"/>
  <c r="C11" i="9" s="1"/>
  <c r="B34" i="9"/>
  <c r="D21" i="9"/>
  <c r="D20" i="9"/>
  <c r="D19" i="9"/>
  <c r="B12" i="9"/>
  <c r="B11" i="9"/>
  <c r="A89" i="9"/>
  <c r="A88" i="9"/>
  <c r="A87" i="9"/>
  <c r="A86" i="9"/>
  <c r="A85" i="9"/>
  <c r="A84" i="9"/>
  <c r="A83" i="9"/>
  <c r="A82" i="9"/>
  <c r="A81" i="9"/>
  <c r="A80" i="9"/>
  <c r="A79" i="9"/>
  <c r="A78" i="9"/>
  <c r="A76" i="9"/>
  <c r="A75" i="9"/>
  <c r="A74" i="9"/>
  <c r="A73" i="9"/>
  <c r="A72" i="9"/>
  <c r="A71" i="9"/>
  <c r="A70" i="9"/>
  <c r="A69" i="9"/>
  <c r="A68" i="9"/>
  <c r="A67" i="9"/>
  <c r="A66" i="9"/>
  <c r="A65" i="9"/>
  <c r="A64" i="9"/>
  <c r="A63" i="9"/>
  <c r="A62" i="9"/>
  <c r="A61" i="9"/>
  <c r="A60" i="9"/>
  <c r="A59" i="9"/>
  <c r="A58" i="9"/>
  <c r="A57" i="9"/>
  <c r="A56" i="9"/>
  <c r="A55" i="9"/>
  <c r="A54" i="9"/>
  <c r="A53" i="9"/>
  <c r="A52" i="9"/>
  <c r="A51" i="9"/>
  <c r="A50" i="9"/>
  <c r="B49" i="9"/>
  <c r="A49" i="9"/>
  <c r="A48" i="9"/>
  <c r="A47" i="9"/>
  <c r="B19" i="9"/>
  <c r="B20" i="9" s="1"/>
  <c r="E11" i="8"/>
  <c r="B25" i="8"/>
  <c r="B23" i="8"/>
  <c r="H25" i="8"/>
  <c r="E15" i="8" s="1"/>
  <c r="G25" i="8"/>
  <c r="E14" i="8" s="1"/>
  <c r="F25" i="8"/>
  <c r="E13" i="8" s="1"/>
  <c r="E25" i="8"/>
  <c r="E12" i="8" s="1"/>
  <c r="D25" i="8"/>
  <c r="A85" i="8"/>
  <c r="A84" i="8"/>
  <c r="A83" i="8"/>
  <c r="A82" i="8"/>
  <c r="A81" i="8"/>
  <c r="A80" i="8"/>
  <c r="A79" i="8"/>
  <c r="A78" i="8"/>
  <c r="A77" i="8"/>
  <c r="A76" i="8"/>
  <c r="A75" i="8"/>
  <c r="A74" i="8"/>
  <c r="A72" i="8"/>
  <c r="A71" i="8"/>
  <c r="A70" i="8"/>
  <c r="A69" i="8"/>
  <c r="A68" i="8"/>
  <c r="A67" i="8"/>
  <c r="A66" i="8"/>
  <c r="A65" i="8"/>
  <c r="A64" i="8"/>
  <c r="A63" i="8"/>
  <c r="A62" i="8"/>
  <c r="A61" i="8"/>
  <c r="A60" i="8"/>
  <c r="A59" i="8"/>
  <c r="A58" i="8"/>
  <c r="B57" i="8"/>
  <c r="A57" i="8"/>
  <c r="A56" i="8"/>
  <c r="A55" i="8"/>
  <c r="A54" i="8"/>
  <c r="A53" i="8"/>
  <c r="A52" i="8"/>
  <c r="A51" i="8"/>
  <c r="A50" i="8"/>
  <c r="A49" i="8"/>
  <c r="A48" i="8"/>
  <c r="A47" i="8"/>
  <c r="A46" i="8"/>
  <c r="A45" i="8"/>
  <c r="A44" i="8"/>
  <c r="A43" i="8"/>
  <c r="B21" i="8"/>
  <c r="C13" i="8" s="1"/>
  <c r="B20" i="8"/>
  <c r="B30" i="7"/>
  <c r="E13" i="7" s="1"/>
  <c r="F22" i="7"/>
  <c r="E22" i="7"/>
  <c r="D22" i="7"/>
  <c r="F21" i="7"/>
  <c r="E21" i="7"/>
  <c r="D21" i="7"/>
  <c r="F20" i="7"/>
  <c r="E20" i="7"/>
  <c r="D20" i="7"/>
  <c r="B22" i="7"/>
  <c r="A89" i="7"/>
  <c r="A88" i="7"/>
  <c r="A87" i="7"/>
  <c r="A86" i="7"/>
  <c r="A85" i="7"/>
  <c r="A84" i="7"/>
  <c r="A83" i="7"/>
  <c r="A82" i="7"/>
  <c r="A81" i="7"/>
  <c r="A80" i="7"/>
  <c r="A79" i="7"/>
  <c r="A78" i="7"/>
  <c r="A76" i="7"/>
  <c r="A75" i="7"/>
  <c r="A74" i="7"/>
  <c r="A73" i="7"/>
  <c r="A72" i="7"/>
  <c r="A71" i="7"/>
  <c r="A70" i="7"/>
  <c r="A69" i="7"/>
  <c r="A68" i="7"/>
  <c r="A67" i="7"/>
  <c r="A66" i="7"/>
  <c r="A65" i="7"/>
  <c r="A64" i="7"/>
  <c r="A63" i="7"/>
  <c r="A62" i="7"/>
  <c r="A61" i="7"/>
  <c r="A60" i="7"/>
  <c r="A59" i="7"/>
  <c r="A58" i="7"/>
  <c r="A57" i="7"/>
  <c r="A56" i="7"/>
  <c r="A55" i="7"/>
  <c r="A54" i="7"/>
  <c r="A53" i="7"/>
  <c r="A52" i="7"/>
  <c r="A51" i="7"/>
  <c r="A50" i="7"/>
  <c r="A49" i="7"/>
  <c r="A48" i="7"/>
  <c r="A47" i="7"/>
  <c r="B20" i="7"/>
  <c r="A43" i="6"/>
  <c r="A44" i="6"/>
  <c r="A45" i="6"/>
  <c r="A46" i="6"/>
  <c r="A47" i="6"/>
  <c r="A48" i="6"/>
  <c r="A49" i="6"/>
  <c r="A50" i="6"/>
  <c r="A51" i="6"/>
  <c r="A52" i="6"/>
  <c r="A53" i="6"/>
  <c r="A54" i="6"/>
  <c r="A55" i="6"/>
  <c r="A56" i="6"/>
  <c r="A57" i="6"/>
  <c r="A58" i="6"/>
  <c r="A59" i="6"/>
  <c r="A60" i="6"/>
  <c r="A61" i="6"/>
  <c r="A62" i="6"/>
  <c r="A63" i="6"/>
  <c r="A64" i="6"/>
  <c r="A65" i="6"/>
  <c r="A66" i="6"/>
  <c r="A67" i="6"/>
  <c r="A68" i="6"/>
  <c r="A69" i="6"/>
  <c r="A70" i="6"/>
  <c r="A71" i="6"/>
  <c r="A72" i="6"/>
  <c r="A74" i="6"/>
  <c r="A75" i="6"/>
  <c r="A76" i="6"/>
  <c r="A77" i="6"/>
  <c r="A78" i="6"/>
  <c r="A79" i="6"/>
  <c r="A80" i="6"/>
  <c r="A81" i="6"/>
  <c r="A82" i="6"/>
  <c r="A83" i="6"/>
  <c r="A84" i="6"/>
  <c r="A85" i="6"/>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7" i="5"/>
  <c r="A78" i="5"/>
  <c r="A79" i="5"/>
  <c r="A80" i="5"/>
  <c r="A81" i="5"/>
  <c r="A82" i="5"/>
  <c r="A83" i="5"/>
  <c r="A84" i="5"/>
  <c r="A85" i="5"/>
  <c r="A86" i="5"/>
  <c r="A87" i="5"/>
  <c r="A88" i="5"/>
  <c r="B48" i="5"/>
  <c r="B49" i="5"/>
  <c r="B26" i="6"/>
  <c r="E13" i="6" s="1"/>
  <c r="F30" i="6"/>
  <c r="E30" i="6"/>
  <c r="D30" i="6"/>
  <c r="F29" i="6"/>
  <c r="E29" i="6"/>
  <c r="D29" i="6"/>
  <c r="F28" i="6"/>
  <c r="E28" i="6"/>
  <c r="D28" i="6"/>
  <c r="F25" i="6"/>
  <c r="E25" i="6"/>
  <c r="D25" i="6"/>
  <c r="F24" i="6"/>
  <c r="E24" i="6"/>
  <c r="D24" i="6"/>
  <c r="F23" i="6"/>
  <c r="E23" i="6"/>
  <c r="D23" i="6"/>
  <c r="B20" i="6"/>
  <c r="C12" i="6" s="1"/>
  <c r="B19" i="6"/>
  <c r="B18" i="6"/>
  <c r="F11" i="5"/>
  <c r="F12" i="5"/>
  <c r="F13" i="5"/>
  <c r="F14" i="5"/>
  <c r="B38" i="3"/>
  <c r="B39" i="3"/>
  <c r="B47" i="9" s="1"/>
  <c r="B44" i="6"/>
  <c r="B41" i="3"/>
  <c r="B45" i="8" s="1"/>
  <c r="B42" i="3"/>
  <c r="B50" i="7" s="1"/>
  <c r="B43" i="3"/>
  <c r="B44" i="3"/>
  <c r="B48" i="6" s="1"/>
  <c r="B45" i="3"/>
  <c r="B49" i="6" s="1"/>
  <c r="B46" i="3"/>
  <c r="B50" i="8" s="1"/>
  <c r="B47" i="3"/>
  <c r="B55" i="7" s="1"/>
  <c r="B48" i="3"/>
  <c r="B56" i="9" s="1"/>
  <c r="B49" i="3"/>
  <c r="B57" i="9" s="1"/>
  <c r="B50" i="3"/>
  <c r="B54" i="6" s="1"/>
  <c r="B51" i="3"/>
  <c r="B59" i="9" s="1"/>
  <c r="B52" i="3"/>
  <c r="B56" i="6" s="1"/>
  <c r="B53" i="3"/>
  <c r="B57" i="6" s="1"/>
  <c r="B54" i="3"/>
  <c r="B58" i="6" s="1"/>
  <c r="B55" i="3"/>
  <c r="B62" i="5" s="1"/>
  <c r="B56" i="3"/>
  <c r="B60" i="6" s="1"/>
  <c r="B57" i="3"/>
  <c r="B61" i="6" s="1"/>
  <c r="B58" i="3"/>
  <c r="B62" i="8" s="1"/>
  <c r="B59" i="3"/>
  <c r="B67" i="7" s="1"/>
  <c r="B60" i="3"/>
  <c r="B68" i="9" s="1"/>
  <c r="B61" i="3"/>
  <c r="B69" i="7" s="1"/>
  <c r="B62" i="3"/>
  <c r="B66" i="6" s="1"/>
  <c r="B63" i="3"/>
  <c r="B71" i="9" s="1"/>
  <c r="B64" i="3"/>
  <c r="B68" i="6" s="1"/>
  <c r="B65" i="3"/>
  <c r="B73" i="9" s="1"/>
  <c r="B66" i="3"/>
  <c r="B73" i="5" s="1"/>
  <c r="B67" i="3"/>
  <c r="B74" i="5" s="1"/>
  <c r="B68" i="3"/>
  <c r="B72" i="6" s="1"/>
  <c r="B69" i="3"/>
  <c r="B73" i="6" s="1"/>
  <c r="B70" i="3"/>
  <c r="B57" i="19" s="1"/>
  <c r="L57" i="19" s="1"/>
  <c r="B71" i="3"/>
  <c r="B72" i="3"/>
  <c r="B59" i="19" s="1"/>
  <c r="L59" i="19" s="1"/>
  <c r="B73" i="3"/>
  <c r="B60" i="19" s="1"/>
  <c r="L60" i="19" s="1"/>
  <c r="B74" i="3"/>
  <c r="B61" i="19" s="1"/>
  <c r="L61" i="19" s="1"/>
  <c r="B75" i="3"/>
  <c r="B83" i="9" s="1"/>
  <c r="B76" i="3"/>
  <c r="B63" i="19" s="1"/>
  <c r="L63" i="19" s="1"/>
  <c r="B77" i="3"/>
  <c r="B64" i="19" s="1"/>
  <c r="L64" i="19" s="1"/>
  <c r="B78" i="3"/>
  <c r="B65" i="19" s="1"/>
  <c r="L65" i="19" s="1"/>
  <c r="B79" i="3"/>
  <c r="B83" i="6" s="1"/>
  <c r="B80" i="3"/>
  <c r="B88" i="7" s="1"/>
  <c r="B81" i="3"/>
  <c r="B68" i="19" s="1"/>
  <c r="L68" i="19" s="1"/>
  <c r="D21" i="5"/>
  <c r="D20" i="5"/>
  <c r="D19" i="5"/>
  <c r="E19" i="5"/>
  <c r="B21" i="5"/>
  <c r="B20" i="5"/>
  <c r="B19" i="5"/>
  <c r="B32" i="5"/>
  <c r="B31" i="5"/>
  <c r="B30" i="5"/>
  <c r="B29" i="5"/>
  <c r="B28" i="5"/>
  <c r="B27" i="5"/>
  <c r="B26" i="5"/>
  <c r="D14" i="5"/>
  <c r="D13" i="5"/>
  <c r="D12" i="5"/>
  <c r="D11" i="5"/>
  <c r="B14" i="5"/>
  <c r="B13" i="5"/>
  <c r="B12" i="5"/>
  <c r="B11" i="5"/>
  <c r="B23" i="7" l="1"/>
  <c r="B11" i="7" s="1"/>
  <c r="B25" i="5"/>
  <c r="B33" i="5" s="1"/>
  <c r="B21" i="9"/>
  <c r="B72" i="5"/>
  <c r="B69" i="8"/>
  <c r="B81" i="8"/>
  <c r="B50" i="6"/>
  <c r="B65" i="9"/>
  <c r="B46" i="6"/>
  <c r="B84" i="6"/>
  <c r="B74" i="7"/>
  <c r="B84" i="5"/>
  <c r="B45" i="6"/>
  <c r="B86" i="7"/>
  <c r="B80" i="6"/>
  <c r="B70" i="6"/>
  <c r="B83" i="5"/>
  <c r="B62" i="7"/>
  <c r="B86" i="9"/>
  <c r="B49" i="8"/>
  <c r="B66" i="5"/>
  <c r="B65" i="5"/>
  <c r="B69" i="6"/>
  <c r="B61" i="8"/>
  <c r="B61" i="9"/>
  <c r="B53" i="6"/>
  <c r="B78" i="9"/>
  <c r="B88" i="9"/>
  <c r="B61" i="5"/>
  <c r="B64" i="6"/>
  <c r="B58" i="7"/>
  <c r="B53" i="9"/>
  <c r="B76" i="6"/>
  <c r="B60" i="5"/>
  <c r="B62" i="6"/>
  <c r="B53" i="8"/>
  <c r="B54" i="5"/>
  <c r="B52" i="6"/>
  <c r="B54" i="7"/>
  <c r="B67" i="9"/>
  <c r="B66" i="7"/>
  <c r="B53" i="5"/>
  <c r="B55" i="9"/>
  <c r="D11" i="9"/>
  <c r="E11" i="9" s="1"/>
  <c r="F11" i="9" s="1"/>
  <c r="E12" i="5"/>
  <c r="G12" i="5" s="1"/>
  <c r="D12" i="9"/>
  <c r="G12" i="9" s="1"/>
  <c r="H12" i="9" s="1"/>
  <c r="C11" i="7"/>
  <c r="B65" i="8"/>
  <c r="B65" i="6"/>
  <c r="B24" i="6"/>
  <c r="E11" i="6" s="1"/>
  <c r="C12" i="8"/>
  <c r="B22" i="5"/>
  <c r="B24" i="7"/>
  <c r="B12" i="7" s="1"/>
  <c r="C12" i="7" s="1"/>
  <c r="E11" i="5"/>
  <c r="G11" i="5" s="1"/>
  <c r="B26" i="18"/>
  <c r="B25" i="7"/>
  <c r="B13" i="7" s="1"/>
  <c r="C13" i="7" s="1"/>
  <c r="F13" i="7" s="1"/>
  <c r="B25" i="6"/>
  <c r="E12" i="6" s="1"/>
  <c r="C11" i="8"/>
  <c r="C15" i="8"/>
  <c r="C14" i="8"/>
  <c r="B26" i="7"/>
  <c r="D11" i="7" s="1"/>
  <c r="E11" i="7" s="1"/>
  <c r="B27" i="7"/>
  <c r="D12" i="7" s="1"/>
  <c r="B24" i="8"/>
  <c r="B75" i="9"/>
  <c r="B66" i="19"/>
  <c r="L66" i="19" s="1"/>
  <c r="B83" i="8"/>
  <c r="B53" i="12"/>
  <c r="B42" i="19"/>
  <c r="L42" i="19" s="1"/>
  <c r="B59" i="6"/>
  <c r="B63" i="7"/>
  <c r="B59" i="8"/>
  <c r="B41" i="12"/>
  <c r="B30" i="19"/>
  <c r="B47" i="6"/>
  <c r="B51" i="7"/>
  <c r="B47" i="8"/>
  <c r="B50" i="5"/>
  <c r="B63" i="9"/>
  <c r="B62" i="19"/>
  <c r="L62" i="19" s="1"/>
  <c r="B79" i="8"/>
  <c r="B83" i="7"/>
  <c r="B79" i="6"/>
  <c r="B82" i="5"/>
  <c r="B61" i="12"/>
  <c r="B50" i="19"/>
  <c r="L50" i="19" s="1"/>
  <c r="B70" i="5"/>
  <c r="B71" i="7"/>
  <c r="B67" i="8"/>
  <c r="B67" i="6"/>
  <c r="B38" i="19"/>
  <c r="L38" i="19" s="1"/>
  <c r="B49" i="12"/>
  <c r="B59" i="7"/>
  <c r="B58" i="5"/>
  <c r="B55" i="8"/>
  <c r="B55" i="6"/>
  <c r="B26" i="19"/>
  <c r="B37" i="12"/>
  <c r="B46" i="5"/>
  <c r="B47" i="7"/>
  <c r="B43" i="8"/>
  <c r="B43" i="6"/>
  <c r="B49" i="19"/>
  <c r="L49" i="19" s="1"/>
  <c r="B60" i="12"/>
  <c r="B70" i="9"/>
  <c r="B69" i="5"/>
  <c r="B66" i="8"/>
  <c r="B48" i="12"/>
  <c r="B37" i="19"/>
  <c r="B58" i="9"/>
  <c r="B57" i="5"/>
  <c r="B54" i="8"/>
  <c r="B25" i="19"/>
  <c r="B36" i="12"/>
  <c r="B45" i="5"/>
  <c r="B46" i="9"/>
  <c r="B42" i="6"/>
  <c r="B46" i="7"/>
  <c r="B42" i="8"/>
  <c r="B65" i="12"/>
  <c r="B54" i="19"/>
  <c r="L54" i="19" s="1"/>
  <c r="B71" i="6"/>
  <c r="B75" i="7"/>
  <c r="B71" i="8"/>
  <c r="B70" i="7"/>
  <c r="B51" i="9"/>
  <c r="B53" i="19"/>
  <c r="L53" i="19" s="1"/>
  <c r="B64" i="12"/>
  <c r="B63" i="12"/>
  <c r="B52" i="19"/>
  <c r="L52" i="19" s="1"/>
  <c r="B51" i="12"/>
  <c r="B40" i="19"/>
  <c r="L40" i="19" s="1"/>
  <c r="B39" i="12"/>
  <c r="B28" i="19"/>
  <c r="B64" i="5"/>
  <c r="B52" i="5"/>
  <c r="B49" i="7"/>
  <c r="B53" i="7"/>
  <c r="B57" i="7"/>
  <c r="B61" i="7"/>
  <c r="B65" i="7"/>
  <c r="B73" i="7"/>
  <c r="B84" i="9"/>
  <c r="B41" i="19"/>
  <c r="L41" i="19" s="1"/>
  <c r="B52" i="12"/>
  <c r="B29" i="19"/>
  <c r="B40" i="12"/>
  <c r="B62" i="12"/>
  <c r="B51" i="19"/>
  <c r="L51" i="19" s="1"/>
  <c r="B50" i="12"/>
  <c r="B39" i="19"/>
  <c r="L39" i="19" s="1"/>
  <c r="B38" i="12"/>
  <c r="B27" i="19"/>
  <c r="B75" i="5"/>
  <c r="B63" i="5"/>
  <c r="B51" i="5"/>
  <c r="B46" i="8"/>
  <c r="B58" i="8"/>
  <c r="B70" i="8"/>
  <c r="B48" i="9"/>
  <c r="B52" i="9"/>
  <c r="B60" i="9"/>
  <c r="B64" i="9"/>
  <c r="B72" i="9"/>
  <c r="B76" i="9"/>
  <c r="B59" i="12"/>
  <c r="B48" i="19"/>
  <c r="L48" i="19" s="1"/>
  <c r="B51" i="8"/>
  <c r="B63" i="8"/>
  <c r="B69" i="9"/>
  <c r="B58" i="12"/>
  <c r="B47" i="19"/>
  <c r="L47" i="19" s="1"/>
  <c r="B46" i="12"/>
  <c r="B35" i="19"/>
  <c r="B71" i="5"/>
  <c r="B59" i="5"/>
  <c r="B47" i="5"/>
  <c r="B63" i="6"/>
  <c r="B51" i="6"/>
  <c r="B36" i="19"/>
  <c r="B47" i="12"/>
  <c r="B75" i="6"/>
  <c r="B58" i="19"/>
  <c r="L58" i="19" s="1"/>
  <c r="B56" i="12"/>
  <c r="B45" i="19"/>
  <c r="L45" i="19" s="1"/>
  <c r="B44" i="12"/>
  <c r="B33" i="19"/>
  <c r="B84" i="7"/>
  <c r="B44" i="8"/>
  <c r="B48" i="8"/>
  <c r="B52" i="8"/>
  <c r="B56" i="8"/>
  <c r="B60" i="8"/>
  <c r="B64" i="8"/>
  <c r="B68" i="8"/>
  <c r="B72" i="8"/>
  <c r="B50" i="9"/>
  <c r="B54" i="9"/>
  <c r="B62" i="9"/>
  <c r="B66" i="9"/>
  <c r="B74" i="9"/>
  <c r="B34" i="19"/>
  <c r="B45" i="12"/>
  <c r="B73" i="8"/>
  <c r="B56" i="19"/>
  <c r="L56" i="19" s="1"/>
  <c r="B44" i="19"/>
  <c r="L44" i="19" s="1"/>
  <c r="B55" i="12"/>
  <c r="B32" i="19"/>
  <c r="B43" i="12"/>
  <c r="B68" i="5"/>
  <c r="B56" i="5"/>
  <c r="B57" i="12"/>
  <c r="B46" i="19"/>
  <c r="L46" i="19" s="1"/>
  <c r="B87" i="5"/>
  <c r="B67" i="19"/>
  <c r="L67" i="19" s="1"/>
  <c r="B55" i="19"/>
  <c r="L55" i="19" s="1"/>
  <c r="B66" i="12"/>
  <c r="B43" i="19"/>
  <c r="L43" i="19" s="1"/>
  <c r="B54" i="12"/>
  <c r="B31" i="19"/>
  <c r="B42" i="12"/>
  <c r="B85" i="5"/>
  <c r="B67" i="5"/>
  <c r="B55" i="5"/>
  <c r="B48" i="7"/>
  <c r="B52" i="7"/>
  <c r="B56" i="7"/>
  <c r="B60" i="7"/>
  <c r="B64" i="7"/>
  <c r="B68" i="7"/>
  <c r="B72" i="7"/>
  <c r="B76" i="7"/>
  <c r="B72" i="12"/>
  <c r="B82" i="9"/>
  <c r="B78" i="6"/>
  <c r="B82" i="7"/>
  <c r="B81" i="5"/>
  <c r="B78" i="8"/>
  <c r="B71" i="12"/>
  <c r="B77" i="6"/>
  <c r="B77" i="8"/>
  <c r="B81" i="7"/>
  <c r="B80" i="5"/>
  <c r="B70" i="12"/>
  <c r="B80" i="9"/>
  <c r="B79" i="5"/>
  <c r="B80" i="7"/>
  <c r="B76" i="8"/>
  <c r="B81" i="9"/>
  <c r="B79" i="7"/>
  <c r="B68" i="12"/>
  <c r="B78" i="7"/>
  <c r="B74" i="6"/>
  <c r="B77" i="5"/>
  <c r="B69" i="12"/>
  <c r="B75" i="8"/>
  <c r="B79" i="9"/>
  <c r="B78" i="5"/>
  <c r="B74" i="8"/>
  <c r="B79" i="12"/>
  <c r="B85" i="8"/>
  <c r="B85" i="6"/>
  <c r="B88" i="5"/>
  <c r="B89" i="9"/>
  <c r="B89" i="7"/>
  <c r="B77" i="12"/>
  <c r="B76" i="12"/>
  <c r="B82" i="6"/>
  <c r="B82" i="8"/>
  <c r="B75" i="12"/>
  <c r="B87" i="7"/>
  <c r="B87" i="9"/>
  <c r="B74" i="12"/>
  <c r="B85" i="7"/>
  <c r="B80" i="8"/>
  <c r="B78" i="12"/>
  <c r="B84" i="8"/>
  <c r="B73" i="12"/>
  <c r="B86" i="5"/>
  <c r="B81" i="6"/>
  <c r="B85" i="9"/>
  <c r="B76" i="5"/>
  <c r="B77" i="9"/>
  <c r="B77" i="7"/>
  <c r="B67" i="12"/>
  <c r="C11" i="6"/>
  <c r="C13" i="6"/>
  <c r="E14" i="5"/>
  <c r="G14" i="5" s="1"/>
  <c r="E13" i="5"/>
  <c r="G13" i="5" s="1"/>
  <c r="E284" i="4"/>
  <c r="B33" i="9" s="1"/>
  <c r="E252" i="4"/>
  <c r="D20" i="8" s="1"/>
  <c r="B11" i="8" s="1"/>
  <c r="E221" i="4"/>
  <c r="B31" i="7" s="1"/>
  <c r="B32" i="7" s="1"/>
  <c r="F14" i="7" s="1"/>
  <c r="E162" i="4"/>
  <c r="D18" i="6" s="1"/>
  <c r="B21" i="6" s="1"/>
  <c r="B11" i="6" s="1"/>
  <c r="F52" i="2"/>
  <c r="E52" i="2"/>
  <c r="D52" i="2"/>
  <c r="F51" i="2"/>
  <c r="E51" i="2"/>
  <c r="D51" i="2"/>
  <c r="F50" i="2"/>
  <c r="E50" i="2"/>
  <c r="D50" i="2"/>
  <c r="B51" i="2"/>
  <c r="B50" i="2"/>
  <c r="E219" i="4"/>
  <c r="B29" i="7" s="1"/>
  <c r="E218" i="4"/>
  <c r="B28" i="7" s="1"/>
  <c r="E294" i="4"/>
  <c r="E19" i="12" s="1"/>
  <c r="E295" i="4"/>
  <c r="E296" i="4"/>
  <c r="E297" i="4"/>
  <c r="E293" i="4"/>
  <c r="D19" i="12" s="1"/>
  <c r="B21" i="12" s="1"/>
  <c r="B12" i="12" s="1"/>
  <c r="B13" i="12" s="1"/>
  <c r="B4" i="12" s="1"/>
  <c r="B53" i="18" s="1"/>
  <c r="G11" i="9" l="1"/>
  <c r="H11" i="9" s="1"/>
  <c r="I11" i="9" s="1"/>
  <c r="J11" i="9" s="1"/>
  <c r="E12" i="9"/>
  <c r="F12" i="9" s="1"/>
  <c r="I12" i="9"/>
  <c r="E12" i="7"/>
  <c r="F12" i="7" s="1"/>
  <c r="B43" i="2"/>
  <c r="B14" i="14" s="1"/>
  <c r="B46" i="2"/>
  <c r="B17" i="14" s="1"/>
  <c r="B45" i="2"/>
  <c r="B16" i="14" s="1"/>
  <c r="B47" i="2"/>
  <c r="B18" i="14" s="1"/>
  <c r="B44" i="2"/>
  <c r="B15" i="14" s="1"/>
  <c r="F11" i="7"/>
  <c r="B28" i="18"/>
  <c r="D11" i="6"/>
  <c r="F11" i="6" s="1"/>
  <c r="D11" i="8"/>
  <c r="F11" i="8" s="1"/>
  <c r="B27" i="18"/>
  <c r="E131" i="4"/>
  <c r="I21" i="5" s="1"/>
  <c r="E130" i="4"/>
  <c r="I20" i="5" s="1"/>
  <c r="E129" i="4"/>
  <c r="H21" i="5" s="1"/>
  <c r="E124" i="4"/>
  <c r="F20" i="5" s="1"/>
  <c r="E128" i="4"/>
  <c r="H20" i="5" s="1"/>
  <c r="E125" i="4"/>
  <c r="F21" i="5" s="1"/>
  <c r="E123" i="4"/>
  <c r="E122" i="4"/>
  <c r="E20" i="5" s="1"/>
  <c r="F4" i="20" l="1"/>
  <c r="J12" i="9"/>
  <c r="B4" i="9" s="1"/>
  <c r="B52" i="18" s="1"/>
  <c r="B4" i="7"/>
  <c r="B50" i="18" s="1"/>
  <c r="E127" i="4"/>
  <c r="E21" i="5"/>
  <c r="B60" i="18"/>
  <c r="B61" i="18"/>
  <c r="B62" i="18"/>
  <c r="B59" i="18"/>
  <c r="C15" i="14"/>
  <c r="E15" i="14" s="1"/>
  <c r="C14" i="14"/>
  <c r="D14" i="14" s="1"/>
  <c r="C17" i="14"/>
  <c r="D17" i="14" s="1"/>
  <c r="C16" i="14"/>
  <c r="D16" i="14" s="1"/>
  <c r="C18" i="14"/>
  <c r="D18" i="14" s="1"/>
  <c r="B63" i="18"/>
  <c r="E132" i="4"/>
  <c r="J20" i="5" s="1"/>
  <c r="E133" i="4"/>
  <c r="J21" i="5" s="1"/>
  <c r="E126" i="4"/>
  <c r="G20" i="5" l="1"/>
  <c r="E140" i="4"/>
  <c r="K20" i="5" s="1"/>
  <c r="G21" i="5"/>
  <c r="E141" i="4"/>
  <c r="K21" i="5" s="1"/>
  <c r="B64" i="18"/>
  <c r="F17" i="14"/>
  <c r="E17" i="14"/>
  <c r="F18" i="14"/>
  <c r="E14" i="14"/>
  <c r="D32" i="14"/>
  <c r="D63" i="18"/>
  <c r="E18" i="14"/>
  <c r="F16" i="14"/>
  <c r="F14" i="14"/>
  <c r="E16" i="14"/>
  <c r="D15" i="14"/>
  <c r="D30" i="14"/>
  <c r="D61" i="18"/>
  <c r="F15" i="14"/>
  <c r="D31" i="14"/>
  <c r="D62" i="18"/>
  <c r="D28" i="14"/>
  <c r="D59" i="18"/>
  <c r="E172" i="4"/>
  <c r="E173" i="4"/>
  <c r="E174" i="4"/>
  <c r="E175" i="4"/>
  <c r="E171" i="4"/>
  <c r="E163" i="4"/>
  <c r="E18" i="6" s="1"/>
  <c r="B22" i="6" s="1"/>
  <c r="B12" i="6" s="1"/>
  <c r="D12" i="6" s="1"/>
  <c r="F12" i="6" s="1"/>
  <c r="E164" i="4"/>
  <c r="F18" i="6" s="1"/>
  <c r="B23" i="6" s="1"/>
  <c r="B13" i="6" s="1"/>
  <c r="D13" i="6" s="1"/>
  <c r="F13" i="6" s="1"/>
  <c r="B4" i="6" l="1"/>
  <c r="B49" i="18" s="1"/>
  <c r="D29" i="14"/>
  <c r="D60" i="18"/>
  <c r="E263" i="4"/>
  <c r="E22" i="8" s="1"/>
  <c r="E264" i="4"/>
  <c r="F22" i="8" s="1"/>
  <c r="E265" i="4"/>
  <c r="G22" i="8" s="1"/>
  <c r="E266" i="4"/>
  <c r="H22" i="8" s="1"/>
  <c r="E262" i="4"/>
  <c r="D22" i="8" s="1"/>
  <c r="E258" i="4"/>
  <c r="E21" i="8" s="1"/>
  <c r="E259" i="4"/>
  <c r="F21" i="8" s="1"/>
  <c r="E260" i="4"/>
  <c r="G21" i="8" s="1"/>
  <c r="E261" i="4"/>
  <c r="H21" i="8" s="1"/>
  <c r="E257" i="4"/>
  <c r="D21" i="8" s="1"/>
  <c r="E253" i="4"/>
  <c r="E20" i="8" s="1"/>
  <c r="B12" i="8" s="1"/>
  <c r="D12" i="8" s="1"/>
  <c r="F12" i="8" s="1"/>
  <c r="E254" i="4"/>
  <c r="F20" i="8" s="1"/>
  <c r="B13" i="8" s="1"/>
  <c r="D13" i="8" s="1"/>
  <c r="F13" i="8" s="1"/>
  <c r="E255" i="4"/>
  <c r="G20" i="8" s="1"/>
  <c r="B14" i="8" s="1"/>
  <c r="D14" i="8" s="1"/>
  <c r="F14" i="8" s="1"/>
  <c r="E256" i="4"/>
  <c r="H20" i="8" s="1"/>
  <c r="B15" i="8" s="1"/>
  <c r="D15" i="8" s="1"/>
  <c r="F15" i="8" s="1"/>
  <c r="B22" i="8" l="1"/>
  <c r="B27" i="8" s="1"/>
  <c r="B4" i="8" s="1"/>
  <c r="B51" i="18" s="1"/>
  <c r="E185" i="4"/>
  <c r="E184" i="4"/>
  <c r="E183" i="4"/>
  <c r="E182" i="4"/>
  <c r="E181" i="4"/>
  <c r="E180" i="4"/>
  <c r="E179" i="4"/>
  <c r="E178" i="4"/>
  <c r="E177" i="4"/>
  <c r="E176" i="4"/>
  <c r="E170" i="4"/>
  <c r="F20" i="6" s="1"/>
  <c r="E169" i="4"/>
  <c r="E20" i="6" s="1"/>
  <c r="E168" i="4"/>
  <c r="D20" i="6" s="1"/>
  <c r="E167" i="4"/>
  <c r="F19" i="6" s="1"/>
  <c r="E166" i="4"/>
  <c r="E19" i="6" s="1"/>
  <c r="E165" i="4"/>
  <c r="D19" i="6" s="1"/>
  <c r="F63" i="3" l="1"/>
  <c r="F65" i="3"/>
  <c r="F66" i="3"/>
  <c r="F67" i="3"/>
  <c r="F68" i="3"/>
  <c r="F70" i="3"/>
  <c r="F73" i="3"/>
  <c r="F75" i="3"/>
  <c r="F77" i="3"/>
  <c r="F78" i="3"/>
  <c r="G66" i="12" l="1"/>
  <c r="G72" i="8"/>
  <c r="G72" i="6"/>
  <c r="G76" i="7"/>
  <c r="G76" i="9"/>
  <c r="G75" i="5"/>
  <c r="G65" i="12"/>
  <c r="G74" i="5"/>
  <c r="G75" i="7"/>
  <c r="G71" i="8"/>
  <c r="G71" i="6"/>
  <c r="G75" i="9"/>
  <c r="G64" i="12"/>
  <c r="G74" i="9"/>
  <c r="G73" i="5"/>
  <c r="G74" i="7"/>
  <c r="G70" i="6"/>
  <c r="G70" i="8"/>
  <c r="G63" i="12"/>
  <c r="G72" i="5"/>
  <c r="G73" i="9"/>
  <c r="G73" i="7"/>
  <c r="G69" i="8"/>
  <c r="G69" i="6"/>
  <c r="G61" i="12"/>
  <c r="G70" i="5"/>
  <c r="G71" i="7"/>
  <c r="G67" i="8"/>
  <c r="G67" i="6"/>
  <c r="G71" i="9"/>
  <c r="G75" i="12"/>
  <c r="G84" i="5"/>
  <c r="G81" i="8"/>
  <c r="G81" i="6"/>
  <c r="G85" i="9"/>
  <c r="G85" i="7"/>
  <c r="G68" i="12"/>
  <c r="G74" i="6"/>
  <c r="G74" i="8"/>
  <c r="G78" i="9"/>
  <c r="G77" i="5"/>
  <c r="G78" i="7"/>
  <c r="G76" i="12"/>
  <c r="G82" i="8"/>
  <c r="G85" i="5"/>
  <c r="G86" i="9"/>
  <c r="G86" i="7"/>
  <c r="G82" i="6"/>
  <c r="G73" i="12"/>
  <c r="G82" i="5"/>
  <c r="G79" i="8"/>
  <c r="G83" i="7"/>
  <c r="G79" i="6"/>
  <c r="G83" i="9"/>
  <c r="G71" i="12"/>
  <c r="G77" i="8"/>
  <c r="G81" i="9"/>
  <c r="G81" i="7"/>
  <c r="G77" i="6"/>
  <c r="G80" i="5"/>
  <c r="A67" i="12"/>
  <c r="A77" i="9"/>
  <c r="A73" i="6"/>
  <c r="A76" i="5"/>
  <c r="A73" i="8"/>
  <c r="A77" i="7"/>
  <c r="F71" i="3"/>
  <c r="F81" i="3"/>
  <c r="F74" i="3"/>
  <c r="F76" i="3"/>
  <c r="F62" i="3"/>
  <c r="F80" i="3"/>
  <c r="F69" i="3"/>
  <c r="F64" i="3"/>
  <c r="F72" i="3"/>
  <c r="F79" i="3"/>
  <c r="G60" i="12" l="1"/>
  <c r="G69" i="5"/>
  <c r="G70" i="9"/>
  <c r="G66" i="6"/>
  <c r="G70" i="7"/>
  <c r="G66" i="8"/>
  <c r="G62" i="12"/>
  <c r="G68" i="8"/>
  <c r="G71" i="5"/>
  <c r="G68" i="6"/>
  <c r="G72" i="9"/>
  <c r="G72" i="7"/>
  <c r="G74" i="12"/>
  <c r="G83" i="5"/>
  <c r="G84" i="9"/>
  <c r="G84" i="7"/>
  <c r="G80" i="8"/>
  <c r="G80" i="6"/>
  <c r="G72" i="12"/>
  <c r="G82" i="9"/>
  <c r="G82" i="7"/>
  <c r="G78" i="6"/>
  <c r="G81" i="5"/>
  <c r="G78" i="8"/>
  <c r="G70" i="12"/>
  <c r="G76" i="6"/>
  <c r="G76" i="8"/>
  <c r="G80" i="9"/>
  <c r="G80" i="7"/>
  <c r="G79" i="5"/>
  <c r="G69" i="12"/>
  <c r="G75" i="6"/>
  <c r="G79" i="9"/>
  <c r="G79" i="7"/>
  <c r="G75" i="8"/>
  <c r="G78" i="5"/>
  <c r="G77" i="12"/>
  <c r="G86" i="5"/>
  <c r="G87" i="9"/>
  <c r="G83" i="8"/>
  <c r="G87" i="7"/>
  <c r="G83" i="6"/>
  <c r="G78" i="12"/>
  <c r="G87" i="5"/>
  <c r="G88" i="9"/>
  <c r="G88" i="7"/>
  <c r="G84" i="8"/>
  <c r="G84" i="6"/>
  <c r="G79" i="12"/>
  <c r="G85" i="6"/>
  <c r="G89" i="9"/>
  <c r="G89" i="7"/>
  <c r="G88" i="5"/>
  <c r="G85" i="8"/>
  <c r="G67" i="12"/>
  <c r="G73" i="8"/>
  <c r="G77" i="7"/>
  <c r="G73" i="6"/>
  <c r="G77" i="9"/>
  <c r="G76" i="5"/>
  <c r="E134" i="4" l="1"/>
  <c r="E137" i="4"/>
  <c r="E136" i="4"/>
  <c r="E135" i="4"/>
  <c r="E120" i="4"/>
  <c r="I19" i="5" s="1"/>
  <c r="E119" i="4"/>
  <c r="H19" i="5" s="1"/>
  <c r="E117" i="4"/>
  <c r="E118" i="4" l="1"/>
  <c r="F19" i="5"/>
  <c r="E121" i="4"/>
  <c r="J19" i="5" s="1"/>
  <c r="G19" i="5" l="1"/>
  <c r="B23" i="5" s="1"/>
  <c r="E139" i="4"/>
  <c r="K19" i="5" s="1"/>
  <c r="B24" i="5" s="1"/>
  <c r="H11" i="5"/>
  <c r="I11" i="5" s="1"/>
  <c r="H12" i="5"/>
  <c r="I12" i="5" s="1"/>
  <c r="H7" i="3"/>
  <c r="H8" i="3"/>
  <c r="H9" i="3"/>
  <c r="H10" i="3"/>
  <c r="H11" i="3"/>
  <c r="H12" i="3"/>
  <c r="H13" i="3"/>
  <c r="H14" i="3"/>
  <c r="H15" i="3"/>
  <c r="H16" i="3"/>
  <c r="H17" i="3"/>
  <c r="H18" i="3"/>
  <c r="H19" i="3"/>
  <c r="H20" i="3"/>
  <c r="H21" i="3"/>
  <c r="H22" i="3"/>
  <c r="H23" i="3"/>
  <c r="H24" i="3"/>
  <c r="H25" i="3"/>
  <c r="H26" i="3"/>
  <c r="H6" i="3"/>
  <c r="F59" i="3"/>
  <c r="F47" i="3"/>
  <c r="F48" i="3"/>
  <c r="F56" i="3"/>
  <c r="F57" i="3"/>
  <c r="B32" i="3"/>
  <c r="B33" i="3"/>
  <c r="F33" i="3" s="1"/>
  <c r="B34" i="3"/>
  <c r="F34" i="3" s="1"/>
  <c r="B35" i="3"/>
  <c r="F35" i="3" s="1"/>
  <c r="B36" i="3"/>
  <c r="B37" i="3"/>
  <c r="F39" i="3"/>
  <c r="F40" i="3"/>
  <c r="B31" i="3"/>
  <c r="F61" i="3"/>
  <c r="A38" i="3"/>
  <c r="A32" i="3"/>
  <c r="A33" i="3"/>
  <c r="A34" i="3"/>
  <c r="A35" i="3"/>
  <c r="A36" i="3"/>
  <c r="A37" i="3"/>
  <c r="A31" i="3"/>
  <c r="F60" i="3"/>
  <c r="F58" i="3"/>
  <c r="F49" i="3"/>
  <c r="F43" i="3"/>
  <c r="F38" i="3"/>
  <c r="B13" i="3"/>
  <c r="H4" i="20" s="1"/>
  <c r="H13" i="5" l="1"/>
  <c r="I13" i="5" s="1"/>
  <c r="H14" i="5"/>
  <c r="I14" i="5" s="1"/>
  <c r="G32" i="12"/>
  <c r="G38" i="6"/>
  <c r="G42" i="7"/>
  <c r="G38" i="8"/>
  <c r="G41" i="5"/>
  <c r="G42" i="9"/>
  <c r="G41" i="12"/>
  <c r="G51" i="7"/>
  <c r="G50" i="5"/>
  <c r="G47" i="8"/>
  <c r="G47" i="6"/>
  <c r="G51" i="9"/>
  <c r="G47" i="12"/>
  <c r="G53" i="6"/>
  <c r="G57" i="9"/>
  <c r="G57" i="7"/>
  <c r="G53" i="8"/>
  <c r="G56" i="5"/>
  <c r="G58" i="12"/>
  <c r="G64" i="8"/>
  <c r="G64" i="6"/>
  <c r="G67" i="5"/>
  <c r="G68" i="7"/>
  <c r="G68" i="9"/>
  <c r="A29" i="12"/>
  <c r="A18" i="19"/>
  <c r="A35" i="6"/>
  <c r="A38" i="5"/>
  <c r="A39" i="9"/>
  <c r="A39" i="7"/>
  <c r="A35" i="8"/>
  <c r="A35" i="12"/>
  <c r="A24" i="19"/>
  <c r="A45" i="7"/>
  <c r="A41" i="8"/>
  <c r="A41" i="6"/>
  <c r="A45" i="9"/>
  <c r="A44" i="5"/>
  <c r="B23" i="19"/>
  <c r="B34" i="12"/>
  <c r="B43" i="5"/>
  <c r="B44" i="9"/>
  <c r="B40" i="8"/>
  <c r="B40" i="6"/>
  <c r="B44" i="7"/>
  <c r="G46" i="12"/>
  <c r="G52" i="8"/>
  <c r="G52" i="6"/>
  <c r="G55" i="5"/>
  <c r="G56" i="9"/>
  <c r="G56" i="7"/>
  <c r="G38" i="12"/>
  <c r="G44" i="8"/>
  <c r="G47" i="5"/>
  <c r="G44" i="6"/>
  <c r="G48" i="9"/>
  <c r="G48" i="7"/>
  <c r="G37" i="12"/>
  <c r="G46" i="5"/>
  <c r="G47" i="7"/>
  <c r="G43" i="8"/>
  <c r="G43" i="6"/>
  <c r="G47" i="9"/>
  <c r="B35" i="12"/>
  <c r="B24" i="19"/>
  <c r="B45" i="7"/>
  <c r="B44" i="5"/>
  <c r="B41" i="6"/>
  <c r="B41" i="8"/>
  <c r="B45" i="9"/>
  <c r="A34" i="12"/>
  <c r="A23" i="19"/>
  <c r="A44" i="9"/>
  <c r="A40" i="6"/>
  <c r="A43" i="5"/>
  <c r="A40" i="8"/>
  <c r="A44" i="7"/>
  <c r="B22" i="19"/>
  <c r="B33" i="12"/>
  <c r="B39" i="8"/>
  <c r="B39" i="6"/>
  <c r="B42" i="5"/>
  <c r="B43" i="7"/>
  <c r="B43" i="9"/>
  <c r="G59" i="12"/>
  <c r="G65" i="6"/>
  <c r="G69" i="9"/>
  <c r="G69" i="7"/>
  <c r="G65" i="8"/>
  <c r="G68" i="5"/>
  <c r="F31" i="3"/>
  <c r="B29" i="12"/>
  <c r="B18" i="19"/>
  <c r="B39" i="9"/>
  <c r="B35" i="8"/>
  <c r="B38" i="5"/>
  <c r="B35" i="6"/>
  <c r="B39" i="7"/>
  <c r="A22" i="19"/>
  <c r="A33" i="12"/>
  <c r="A43" i="7"/>
  <c r="A39" i="8"/>
  <c r="A39" i="6"/>
  <c r="A43" i="9"/>
  <c r="A42" i="5"/>
  <c r="G31" i="12"/>
  <c r="G41" i="9"/>
  <c r="G37" i="8"/>
  <c r="G37" i="6"/>
  <c r="G41" i="7"/>
  <c r="G40" i="5"/>
  <c r="A32" i="12"/>
  <c r="A21" i="19"/>
  <c r="A42" i="9"/>
  <c r="A38" i="6"/>
  <c r="A42" i="7"/>
  <c r="A41" i="5"/>
  <c r="A38" i="8"/>
  <c r="B20" i="19"/>
  <c r="B31" i="12"/>
  <c r="B37" i="6"/>
  <c r="B41" i="9"/>
  <c r="B41" i="7"/>
  <c r="B40" i="5"/>
  <c r="B37" i="8"/>
  <c r="G45" i="12"/>
  <c r="G51" i="6"/>
  <c r="G55" i="7"/>
  <c r="G51" i="8"/>
  <c r="G55" i="9"/>
  <c r="G54" i="5"/>
  <c r="A20" i="19"/>
  <c r="A31" i="12"/>
  <c r="A37" i="8"/>
  <c r="A37" i="6"/>
  <c r="A41" i="9"/>
  <c r="A41" i="7"/>
  <c r="A40" i="5"/>
  <c r="B19" i="19"/>
  <c r="B30" i="12"/>
  <c r="B40" i="7"/>
  <c r="B36" i="8"/>
  <c r="B39" i="5"/>
  <c r="B40" i="9"/>
  <c r="B36" i="6"/>
  <c r="G56" i="12"/>
  <c r="G62" i="6"/>
  <c r="G66" i="9"/>
  <c r="G66" i="7"/>
  <c r="G65" i="5"/>
  <c r="G62" i="8"/>
  <c r="G33" i="12"/>
  <c r="G39" i="6"/>
  <c r="G43" i="9"/>
  <c r="G43" i="7"/>
  <c r="G39" i="8"/>
  <c r="G42" i="5"/>
  <c r="A30" i="12"/>
  <c r="A19" i="19"/>
  <c r="A36" i="6"/>
  <c r="A40" i="7"/>
  <c r="A36" i="8"/>
  <c r="A40" i="9"/>
  <c r="A39" i="5"/>
  <c r="G55" i="12"/>
  <c r="G65" i="9"/>
  <c r="G65" i="7"/>
  <c r="G61" i="8"/>
  <c r="G64" i="5"/>
  <c r="G61" i="6"/>
  <c r="G57" i="12"/>
  <c r="G63" i="6"/>
  <c r="G67" i="7"/>
  <c r="G63" i="8"/>
  <c r="G66" i="5"/>
  <c r="G67" i="9"/>
  <c r="B21" i="19"/>
  <c r="B32" i="12"/>
  <c r="B42" i="9"/>
  <c r="B38" i="6"/>
  <c r="B42" i="7"/>
  <c r="B41" i="5"/>
  <c r="B38" i="8"/>
  <c r="G36" i="12"/>
  <c r="G45" i="5"/>
  <c r="G46" i="9"/>
  <c r="G42" i="6"/>
  <c r="G46" i="7"/>
  <c r="G42" i="8"/>
  <c r="A36" i="12"/>
  <c r="A25" i="19"/>
  <c r="A45" i="5"/>
  <c r="A46" i="9"/>
  <c r="A46" i="7"/>
  <c r="A42" i="6"/>
  <c r="A42" i="8"/>
  <c r="G54" i="12"/>
  <c r="G60" i="8"/>
  <c r="G60" i="6"/>
  <c r="G64" i="9"/>
  <c r="G63" i="5"/>
  <c r="G64" i="7"/>
  <c r="F53" i="3"/>
  <c r="C79" i="3"/>
  <c r="E79" i="3" s="1"/>
  <c r="C81" i="3"/>
  <c r="E81" i="3" s="1"/>
  <c r="C80" i="3"/>
  <c r="E80" i="3" s="1"/>
  <c r="F52" i="3"/>
  <c r="F54" i="3"/>
  <c r="F46" i="3"/>
  <c r="F44" i="3"/>
  <c r="F42" i="3"/>
  <c r="F41" i="3"/>
  <c r="F32" i="3"/>
  <c r="F51" i="3"/>
  <c r="F45" i="3"/>
  <c r="F37" i="3"/>
  <c r="F50" i="3"/>
  <c r="F55" i="3"/>
  <c r="F36" i="3"/>
  <c r="C38" i="3"/>
  <c r="E38" i="3" s="1"/>
  <c r="C56" i="3"/>
  <c r="E56" i="3" s="1"/>
  <c r="C68" i="3"/>
  <c r="E68" i="3" s="1"/>
  <c r="C71" i="3"/>
  <c r="E71" i="3" s="1"/>
  <c r="C66" i="3"/>
  <c r="E66" i="3" s="1"/>
  <c r="C65" i="3"/>
  <c r="E65" i="3" s="1"/>
  <c r="C77" i="3"/>
  <c r="E77" i="3" s="1"/>
  <c r="C63" i="3"/>
  <c r="E63" i="3" s="1"/>
  <c r="C75" i="3"/>
  <c r="E75" i="3" s="1"/>
  <c r="C69" i="3"/>
  <c r="E69" i="3" s="1"/>
  <c r="C78" i="3"/>
  <c r="E78" i="3" s="1"/>
  <c r="C64" i="3"/>
  <c r="E64" i="3" s="1"/>
  <c r="C76" i="3"/>
  <c r="E76" i="3" s="1"/>
  <c r="C70" i="3"/>
  <c r="E70" i="3" s="1"/>
  <c r="C73" i="3"/>
  <c r="E73" i="3" s="1"/>
  <c r="C72" i="3"/>
  <c r="E72" i="3" s="1"/>
  <c r="C74" i="3"/>
  <c r="E74" i="3" s="1"/>
  <c r="C62" i="3"/>
  <c r="E62" i="3" s="1"/>
  <c r="C67" i="3"/>
  <c r="E67" i="3" s="1"/>
  <c r="C31" i="3"/>
  <c r="E31" i="3" s="1"/>
  <c r="C39" i="3"/>
  <c r="E39" i="3" s="1"/>
  <c r="C49" i="3"/>
  <c r="E49" i="3" s="1"/>
  <c r="C61" i="3"/>
  <c r="E61" i="3" s="1"/>
  <c r="C50" i="3"/>
  <c r="E50" i="3" s="1"/>
  <c r="C60" i="3"/>
  <c r="E60" i="3" s="1"/>
  <c r="C48" i="3"/>
  <c r="E48" i="3" s="1"/>
  <c r="C32" i="3"/>
  <c r="E32" i="3" s="1"/>
  <c r="C59" i="3"/>
  <c r="E59" i="3" s="1"/>
  <c r="C47" i="3"/>
  <c r="E47" i="3" s="1"/>
  <c r="C41" i="3"/>
  <c r="E41" i="3" s="1"/>
  <c r="C51" i="3"/>
  <c r="E51" i="3" s="1"/>
  <c r="C40" i="3"/>
  <c r="E40" i="3" s="1"/>
  <c r="C58" i="3"/>
  <c r="E58" i="3" s="1"/>
  <c r="C46" i="3"/>
  <c r="E46" i="3" s="1"/>
  <c r="C33" i="3"/>
  <c r="E33" i="3" s="1"/>
  <c r="C42" i="3"/>
  <c r="E42" i="3" s="1"/>
  <c r="C52" i="3"/>
  <c r="E52" i="3" s="1"/>
  <c r="C35" i="3"/>
  <c r="E35" i="3" s="1"/>
  <c r="C57" i="3"/>
  <c r="E57" i="3" s="1"/>
  <c r="C45" i="3"/>
  <c r="E45" i="3" s="1"/>
  <c r="C43" i="3"/>
  <c r="E43" i="3" s="1"/>
  <c r="C53" i="3"/>
  <c r="E53" i="3" s="1"/>
  <c r="C37" i="3"/>
  <c r="E37" i="3" s="1"/>
  <c r="C34" i="3"/>
  <c r="E34" i="3" s="1"/>
  <c r="C54" i="3"/>
  <c r="E54" i="3" s="1"/>
  <c r="C44" i="3"/>
  <c r="E44" i="3" s="1"/>
  <c r="C55" i="3"/>
  <c r="E55" i="3" s="1"/>
  <c r="C36" i="3"/>
  <c r="E36" i="3" s="1"/>
  <c r="B4" i="5" l="1"/>
  <c r="B48" i="18" s="1"/>
  <c r="B54" i="18" s="1"/>
  <c r="G43" i="12"/>
  <c r="G53" i="9"/>
  <c r="G53" i="7"/>
  <c r="G49" i="8"/>
  <c r="G52" i="5"/>
  <c r="G49" i="6"/>
  <c r="G50" i="12"/>
  <c r="G56" i="8"/>
  <c r="G59" i="5"/>
  <c r="G60" i="7"/>
  <c r="G56" i="6"/>
  <c r="G60" i="9"/>
  <c r="G52" i="12"/>
  <c r="G62" i="9"/>
  <c r="G61" i="5"/>
  <c r="G62" i="7"/>
  <c r="G58" i="6"/>
  <c r="G58" i="8"/>
  <c r="G51" i="12"/>
  <c r="G60" i="5"/>
  <c r="G61" i="9"/>
  <c r="G61" i="7"/>
  <c r="G57" i="8"/>
  <c r="G57" i="6"/>
  <c r="G29" i="12"/>
  <c r="G39" i="9"/>
  <c r="G39" i="7"/>
  <c r="G38" i="5"/>
  <c r="G35" i="6"/>
  <c r="G35" i="8"/>
  <c r="D38" i="3"/>
  <c r="C36" i="12"/>
  <c r="E36" i="12" s="1"/>
  <c r="C46" i="9"/>
  <c r="E46" i="9" s="1"/>
  <c r="C45" i="5"/>
  <c r="E45" i="5" s="1"/>
  <c r="C42" i="8"/>
  <c r="C46" i="7"/>
  <c r="E46" i="7" s="1"/>
  <c r="C42" i="6"/>
  <c r="E42" i="6" s="1"/>
  <c r="G49" i="12"/>
  <c r="G58" i="5"/>
  <c r="G59" i="7"/>
  <c r="G55" i="6"/>
  <c r="G55" i="8"/>
  <c r="G59" i="9"/>
  <c r="G53" i="12"/>
  <c r="G62" i="5"/>
  <c r="G63" i="7"/>
  <c r="G59" i="8"/>
  <c r="G63" i="9"/>
  <c r="G59" i="6"/>
  <c r="D35" i="3"/>
  <c r="C33" i="12"/>
  <c r="E33" i="12" s="1"/>
  <c r="C39" i="8"/>
  <c r="C43" i="9"/>
  <c r="E43" i="9" s="1"/>
  <c r="C42" i="5"/>
  <c r="E42" i="5" s="1"/>
  <c r="C43" i="7"/>
  <c r="E43" i="7" s="1"/>
  <c r="C39" i="6"/>
  <c r="E39" i="6" s="1"/>
  <c r="D33" i="3"/>
  <c r="C31" i="12"/>
  <c r="E31" i="12" s="1"/>
  <c r="C37" i="6"/>
  <c r="E37" i="6" s="1"/>
  <c r="C40" i="5"/>
  <c r="E40" i="5" s="1"/>
  <c r="C41" i="9"/>
  <c r="E41" i="9" s="1"/>
  <c r="C41" i="7"/>
  <c r="E41" i="7" s="1"/>
  <c r="C37" i="8"/>
  <c r="D32" i="3"/>
  <c r="C30" i="12"/>
  <c r="E30" i="12" s="1"/>
  <c r="C36" i="6"/>
  <c r="E36" i="6" s="1"/>
  <c r="C40" i="7"/>
  <c r="E40" i="7" s="1"/>
  <c r="C39" i="5"/>
  <c r="E39" i="5" s="1"/>
  <c r="C36" i="8"/>
  <c r="C40" i="9"/>
  <c r="E40" i="9" s="1"/>
  <c r="G44" i="12"/>
  <c r="G50" i="6"/>
  <c r="G54" i="9"/>
  <c r="G54" i="7"/>
  <c r="G53" i="5"/>
  <c r="G50" i="8"/>
  <c r="G39" i="12"/>
  <c r="G48" i="5"/>
  <c r="G49" i="9"/>
  <c r="G49" i="7"/>
  <c r="G45" i="8"/>
  <c r="G45" i="6"/>
  <c r="D34" i="3"/>
  <c r="C32" i="12"/>
  <c r="E32" i="12" s="1"/>
  <c r="C42" i="7"/>
  <c r="E42" i="7" s="1"/>
  <c r="C41" i="5"/>
  <c r="E41" i="5" s="1"/>
  <c r="C38" i="8"/>
  <c r="C42" i="9"/>
  <c r="E42" i="9" s="1"/>
  <c r="C38" i="6"/>
  <c r="E38" i="6" s="1"/>
  <c r="D31" i="3"/>
  <c r="C29" i="12"/>
  <c r="E29" i="12" s="1"/>
  <c r="C38" i="5"/>
  <c r="E38" i="5" s="1"/>
  <c r="C39" i="9"/>
  <c r="E39" i="9" s="1"/>
  <c r="C35" i="8"/>
  <c r="C35" i="6"/>
  <c r="E35" i="6" s="1"/>
  <c r="C39" i="7"/>
  <c r="E39" i="7" s="1"/>
  <c r="G34" i="12"/>
  <c r="G40" i="6"/>
  <c r="G44" i="7"/>
  <c r="G40" i="8"/>
  <c r="G43" i="5"/>
  <c r="G44" i="9"/>
  <c r="G40" i="12"/>
  <c r="G50" i="9"/>
  <c r="G49" i="5"/>
  <c r="G50" i="7"/>
  <c r="G46" i="6"/>
  <c r="G46" i="8"/>
  <c r="G35" i="12"/>
  <c r="G41" i="8"/>
  <c r="G45" i="9"/>
  <c r="G41" i="6"/>
  <c r="G45" i="7"/>
  <c r="G44" i="5"/>
  <c r="G30" i="12"/>
  <c r="G36" i="8"/>
  <c r="G36" i="6"/>
  <c r="G40" i="9"/>
  <c r="G40" i="7"/>
  <c r="G39" i="5"/>
  <c r="G42" i="12"/>
  <c r="G48" i="8"/>
  <c r="G48" i="6"/>
  <c r="G52" i="7"/>
  <c r="G51" i="5"/>
  <c r="G52" i="9"/>
  <c r="D36" i="3"/>
  <c r="C34" i="12"/>
  <c r="E34" i="12" s="1"/>
  <c r="C40" i="6"/>
  <c r="E40" i="6" s="1"/>
  <c r="C44" i="9"/>
  <c r="E44" i="9" s="1"/>
  <c r="C44" i="7"/>
  <c r="E44" i="7" s="1"/>
  <c r="C43" i="5"/>
  <c r="E43" i="5" s="1"/>
  <c r="C40" i="8"/>
  <c r="G48" i="12"/>
  <c r="G57" i="5"/>
  <c r="G58" i="9"/>
  <c r="G54" i="6"/>
  <c r="G58" i="7"/>
  <c r="G54" i="8"/>
  <c r="D37" i="3"/>
  <c r="C35" i="12"/>
  <c r="E35" i="12" s="1"/>
  <c r="C45" i="7"/>
  <c r="E45" i="7" s="1"/>
  <c r="C41" i="6"/>
  <c r="E41" i="6" s="1"/>
  <c r="C41" i="8"/>
  <c r="C45" i="9"/>
  <c r="E45" i="9" s="1"/>
  <c r="C44" i="5"/>
  <c r="E44" i="5" s="1"/>
  <c r="D54" i="3"/>
  <c r="C52" i="12"/>
  <c r="E52" i="12" s="1"/>
  <c r="C62" i="9"/>
  <c r="E62" i="9" s="1"/>
  <c r="C61" i="5"/>
  <c r="E61" i="5" s="1"/>
  <c r="C62" i="7"/>
  <c r="E62" i="7" s="1"/>
  <c r="C58" i="6"/>
  <c r="E58" i="6" s="1"/>
  <c r="C58" i="8"/>
  <c r="D63" i="3"/>
  <c r="C61" i="12"/>
  <c r="E61" i="12" s="1"/>
  <c r="C67" i="8"/>
  <c r="C71" i="7"/>
  <c r="E71" i="7" s="1"/>
  <c r="C71" i="9"/>
  <c r="E71" i="9" s="1"/>
  <c r="C67" i="6"/>
  <c r="E67" i="6" s="1"/>
  <c r="C70" i="5"/>
  <c r="E70" i="5" s="1"/>
  <c r="D53" i="3"/>
  <c r="C51" i="12"/>
  <c r="E51" i="12" s="1"/>
  <c r="C60" i="5"/>
  <c r="E60" i="5" s="1"/>
  <c r="C57" i="8"/>
  <c r="C61" i="9"/>
  <c r="E61" i="9" s="1"/>
  <c r="C57" i="6"/>
  <c r="E57" i="6" s="1"/>
  <c r="C61" i="7"/>
  <c r="E61" i="7" s="1"/>
  <c r="D43" i="3"/>
  <c r="C41" i="12"/>
  <c r="E41" i="12" s="1"/>
  <c r="C50" i="5"/>
  <c r="E50" i="5" s="1"/>
  <c r="C47" i="8"/>
  <c r="C47" i="6"/>
  <c r="E47" i="6" s="1"/>
  <c r="C51" i="7"/>
  <c r="E51" i="7" s="1"/>
  <c r="C51" i="9"/>
  <c r="E51" i="9" s="1"/>
  <c r="D57" i="3"/>
  <c r="C55" i="12"/>
  <c r="E55" i="12" s="1"/>
  <c r="C61" i="8"/>
  <c r="C61" i="6"/>
  <c r="E61" i="6" s="1"/>
  <c r="C64" i="5"/>
  <c r="E64" i="5" s="1"/>
  <c r="C65" i="7"/>
  <c r="E65" i="7" s="1"/>
  <c r="C65" i="9"/>
  <c r="E65" i="9" s="1"/>
  <c r="D80" i="3"/>
  <c r="C78" i="12"/>
  <c r="E78" i="12" s="1"/>
  <c r="C87" i="5"/>
  <c r="E87" i="5" s="1"/>
  <c r="C84" i="8"/>
  <c r="C88" i="9"/>
  <c r="E88" i="9" s="1"/>
  <c r="C88" i="7"/>
  <c r="E88" i="7" s="1"/>
  <c r="C84" i="6"/>
  <c r="E84" i="6" s="1"/>
  <c r="D67" i="3"/>
  <c r="C65" i="12"/>
  <c r="E65" i="12" s="1"/>
  <c r="C74" i="5"/>
  <c r="E74" i="5" s="1"/>
  <c r="C71" i="8"/>
  <c r="C75" i="9"/>
  <c r="E75" i="9" s="1"/>
  <c r="C71" i="6"/>
  <c r="E71" i="6" s="1"/>
  <c r="C75" i="7"/>
  <c r="E75" i="7" s="1"/>
  <c r="D65" i="3"/>
  <c r="C63" i="12"/>
  <c r="E63" i="12" s="1"/>
  <c r="C72" i="5"/>
  <c r="E72" i="5" s="1"/>
  <c r="C69" i="8"/>
  <c r="C73" i="9"/>
  <c r="E73" i="9" s="1"/>
  <c r="C69" i="6"/>
  <c r="E69" i="6" s="1"/>
  <c r="C73" i="7"/>
  <c r="E73" i="7" s="1"/>
  <c r="D74" i="3"/>
  <c r="C72" i="12"/>
  <c r="E72" i="12" s="1"/>
  <c r="C82" i="9"/>
  <c r="E82" i="9" s="1"/>
  <c r="C82" i="7"/>
  <c r="E82" i="7" s="1"/>
  <c r="C78" i="6"/>
  <c r="E78" i="6" s="1"/>
  <c r="C81" i="5"/>
  <c r="E81" i="5" s="1"/>
  <c r="C78" i="8"/>
  <c r="D45" i="3"/>
  <c r="C43" i="12"/>
  <c r="E43" i="12" s="1"/>
  <c r="C49" i="8"/>
  <c r="C49" i="6"/>
  <c r="E49" i="6" s="1"/>
  <c r="C52" i="5"/>
  <c r="E52" i="5" s="1"/>
  <c r="C53" i="9"/>
  <c r="E53" i="9" s="1"/>
  <c r="C53" i="7"/>
  <c r="E53" i="7" s="1"/>
  <c r="D73" i="3"/>
  <c r="C71" i="12"/>
  <c r="E71" i="12" s="1"/>
  <c r="C77" i="6"/>
  <c r="E77" i="6" s="1"/>
  <c r="C77" i="8"/>
  <c r="C81" i="7"/>
  <c r="E81" i="7" s="1"/>
  <c r="C80" i="5"/>
  <c r="E80" i="5" s="1"/>
  <c r="C81" i="9"/>
  <c r="E81" i="9" s="1"/>
  <c r="D52" i="3"/>
  <c r="C50" i="12"/>
  <c r="E50" i="12" s="1"/>
  <c r="C60" i="7"/>
  <c r="E60" i="7" s="1"/>
  <c r="C56" i="6"/>
  <c r="E56" i="6" s="1"/>
  <c r="C60" i="9"/>
  <c r="E60" i="9" s="1"/>
  <c r="C59" i="5"/>
  <c r="E59" i="5" s="1"/>
  <c r="C56" i="8"/>
  <c r="D60" i="3"/>
  <c r="C58" i="12"/>
  <c r="E58" i="12" s="1"/>
  <c r="C64" i="6"/>
  <c r="E64" i="6" s="1"/>
  <c r="C64" i="8"/>
  <c r="C68" i="9"/>
  <c r="E68" i="9" s="1"/>
  <c r="C67" i="5"/>
  <c r="E67" i="5" s="1"/>
  <c r="C68" i="7"/>
  <c r="E68" i="7" s="1"/>
  <c r="D76" i="3"/>
  <c r="C74" i="12"/>
  <c r="E74" i="12" s="1"/>
  <c r="C80" i="8"/>
  <c r="C84" i="7"/>
  <c r="E84" i="7" s="1"/>
  <c r="C84" i="9"/>
  <c r="E84" i="9" s="1"/>
  <c r="C83" i="5"/>
  <c r="E83" i="5" s="1"/>
  <c r="C80" i="6"/>
  <c r="E80" i="6" s="1"/>
  <c r="D58" i="3"/>
  <c r="C56" i="12"/>
  <c r="E56" i="12" s="1"/>
  <c r="C66" i="9"/>
  <c r="E66" i="9" s="1"/>
  <c r="C62" i="8"/>
  <c r="C65" i="5"/>
  <c r="E65" i="5" s="1"/>
  <c r="C62" i="6"/>
  <c r="E62" i="6" s="1"/>
  <c r="C66" i="7"/>
  <c r="E66" i="7" s="1"/>
  <c r="D81" i="3"/>
  <c r="C79" i="12"/>
  <c r="E79" i="12" s="1"/>
  <c r="C85" i="6"/>
  <c r="E85" i="6" s="1"/>
  <c r="C89" i="9"/>
  <c r="E89" i="9" s="1"/>
  <c r="C89" i="7"/>
  <c r="E89" i="7" s="1"/>
  <c r="C88" i="5"/>
  <c r="E88" i="5" s="1"/>
  <c r="C85" i="8"/>
  <c r="D79" i="3"/>
  <c r="C77" i="12"/>
  <c r="E77" i="12" s="1"/>
  <c r="C87" i="9"/>
  <c r="E87" i="9" s="1"/>
  <c r="C87" i="7"/>
  <c r="E87" i="7" s="1"/>
  <c r="C86" i="5"/>
  <c r="E86" i="5" s="1"/>
  <c r="C83" i="6"/>
  <c r="E83" i="6" s="1"/>
  <c r="C83" i="8"/>
  <c r="D72" i="3"/>
  <c r="C70" i="12"/>
  <c r="E70" i="12" s="1"/>
  <c r="C80" i="9"/>
  <c r="E80" i="9" s="1"/>
  <c r="C80" i="7"/>
  <c r="E80" i="7" s="1"/>
  <c r="C76" i="8"/>
  <c r="C79" i="5"/>
  <c r="E79" i="5" s="1"/>
  <c r="C76" i="6"/>
  <c r="E76" i="6" s="1"/>
  <c r="D70" i="3"/>
  <c r="C68" i="12"/>
  <c r="E68" i="12" s="1"/>
  <c r="C74" i="8"/>
  <c r="C74" i="6"/>
  <c r="E74" i="6" s="1"/>
  <c r="C77" i="5"/>
  <c r="E77" i="5" s="1"/>
  <c r="C78" i="9"/>
  <c r="E78" i="9" s="1"/>
  <c r="C78" i="7"/>
  <c r="E78" i="7" s="1"/>
  <c r="D64" i="3"/>
  <c r="C62" i="12"/>
  <c r="E62" i="12" s="1"/>
  <c r="C72" i="7"/>
  <c r="E72" i="7" s="1"/>
  <c r="C68" i="6"/>
  <c r="E68" i="6" s="1"/>
  <c r="C68" i="8"/>
  <c r="C72" i="9"/>
  <c r="E72" i="9" s="1"/>
  <c r="C71" i="5"/>
  <c r="E71" i="5" s="1"/>
  <c r="D75" i="3"/>
  <c r="C73" i="12"/>
  <c r="E73" i="12" s="1"/>
  <c r="C79" i="8"/>
  <c r="C82" i="5"/>
  <c r="E82" i="5" s="1"/>
  <c r="C79" i="6"/>
  <c r="E79" i="6" s="1"/>
  <c r="C83" i="9"/>
  <c r="E83" i="9" s="1"/>
  <c r="C83" i="7"/>
  <c r="E83" i="7" s="1"/>
  <c r="D51" i="3"/>
  <c r="C49" i="12"/>
  <c r="E49" i="12" s="1"/>
  <c r="C55" i="8"/>
  <c r="C59" i="7"/>
  <c r="E59" i="7" s="1"/>
  <c r="C59" i="9"/>
  <c r="E59" i="9" s="1"/>
  <c r="C58" i="5"/>
  <c r="E58" i="5" s="1"/>
  <c r="C55" i="6"/>
  <c r="E55" i="6" s="1"/>
  <c r="D77" i="3"/>
  <c r="C75" i="12"/>
  <c r="E75" i="12" s="1"/>
  <c r="C85" i="7"/>
  <c r="E85" i="7" s="1"/>
  <c r="C81" i="6"/>
  <c r="E81" i="6" s="1"/>
  <c r="C85" i="9"/>
  <c r="E85" i="9" s="1"/>
  <c r="C84" i="5"/>
  <c r="E84" i="5" s="1"/>
  <c r="C81" i="8"/>
  <c r="D62" i="3"/>
  <c r="C60" i="12"/>
  <c r="E60" i="12" s="1"/>
  <c r="C66" i="8"/>
  <c r="C70" i="7"/>
  <c r="E70" i="7" s="1"/>
  <c r="C66" i="6"/>
  <c r="E66" i="6" s="1"/>
  <c r="C69" i="5"/>
  <c r="E69" i="5" s="1"/>
  <c r="C70" i="9"/>
  <c r="E70" i="9" s="1"/>
  <c r="D71" i="3"/>
  <c r="C69" i="12"/>
  <c r="E69" i="12" s="1"/>
  <c r="C79" i="9"/>
  <c r="E79" i="9" s="1"/>
  <c r="C78" i="5"/>
  <c r="E78" i="5" s="1"/>
  <c r="C75" i="8"/>
  <c r="C79" i="7"/>
  <c r="E79" i="7" s="1"/>
  <c r="C75" i="6"/>
  <c r="E75" i="6" s="1"/>
  <c r="D68" i="3"/>
  <c r="C66" i="12"/>
  <c r="E66" i="12" s="1"/>
  <c r="C72" i="6"/>
  <c r="E72" i="6" s="1"/>
  <c r="C76" i="9"/>
  <c r="E76" i="9" s="1"/>
  <c r="C75" i="5"/>
  <c r="E75" i="5" s="1"/>
  <c r="C76" i="7"/>
  <c r="E76" i="7" s="1"/>
  <c r="C72" i="8"/>
  <c r="D48" i="3"/>
  <c r="C46" i="12"/>
  <c r="E46" i="12" s="1"/>
  <c r="C52" i="6"/>
  <c r="E52" i="6" s="1"/>
  <c r="C52" i="8"/>
  <c r="C56" i="9"/>
  <c r="E56" i="9" s="1"/>
  <c r="C56" i="7"/>
  <c r="E56" i="7" s="1"/>
  <c r="C55" i="5"/>
  <c r="E55" i="5" s="1"/>
  <c r="D42" i="3"/>
  <c r="C40" i="12"/>
  <c r="E40" i="12" s="1"/>
  <c r="C50" i="9"/>
  <c r="E50" i="9" s="1"/>
  <c r="C49" i="5"/>
  <c r="E49" i="5" s="1"/>
  <c r="C50" i="7"/>
  <c r="E50" i="7" s="1"/>
  <c r="C46" i="6"/>
  <c r="E46" i="6" s="1"/>
  <c r="C46" i="8"/>
  <c r="D50" i="3"/>
  <c r="C48" i="12"/>
  <c r="E48" i="12" s="1"/>
  <c r="C54" i="8"/>
  <c r="C58" i="7"/>
  <c r="E58" i="7" s="1"/>
  <c r="C57" i="5"/>
  <c r="E57" i="5" s="1"/>
  <c r="C58" i="9"/>
  <c r="E58" i="9" s="1"/>
  <c r="C54" i="6"/>
  <c r="E54" i="6" s="1"/>
  <c r="D55" i="3"/>
  <c r="C53" i="12"/>
  <c r="E53" i="12" s="1"/>
  <c r="C62" i="5"/>
  <c r="E62" i="5" s="1"/>
  <c r="C59" i="8"/>
  <c r="C63" i="9"/>
  <c r="E63" i="9" s="1"/>
  <c r="C59" i="6"/>
  <c r="E59" i="6" s="1"/>
  <c r="C63" i="7"/>
  <c r="E63" i="7" s="1"/>
  <c r="D61" i="3"/>
  <c r="C59" i="12"/>
  <c r="E59" i="12" s="1"/>
  <c r="C69" i="9"/>
  <c r="E69" i="9" s="1"/>
  <c r="C69" i="7"/>
  <c r="E69" i="7" s="1"/>
  <c r="C65" i="6"/>
  <c r="E65" i="6" s="1"/>
  <c r="C65" i="8"/>
  <c r="C68" i="5"/>
  <c r="E68" i="5" s="1"/>
  <c r="D78" i="3"/>
  <c r="C76" i="12"/>
  <c r="E76" i="12" s="1"/>
  <c r="C85" i="5"/>
  <c r="E85" i="5" s="1"/>
  <c r="C86" i="7"/>
  <c r="E86" i="7" s="1"/>
  <c r="C86" i="9"/>
  <c r="E86" i="9" s="1"/>
  <c r="C82" i="8"/>
  <c r="C82" i="6"/>
  <c r="E82" i="6" s="1"/>
  <c r="D40" i="3"/>
  <c r="C38" i="12"/>
  <c r="E38" i="12" s="1"/>
  <c r="C44" i="6"/>
  <c r="E44" i="6" s="1"/>
  <c r="C48" i="7"/>
  <c r="E48" i="7" s="1"/>
  <c r="C44" i="8"/>
  <c r="C47" i="5"/>
  <c r="E47" i="5" s="1"/>
  <c r="C48" i="9"/>
  <c r="E48" i="9" s="1"/>
  <c r="D41" i="3"/>
  <c r="C39" i="12"/>
  <c r="E39" i="12" s="1"/>
  <c r="C48" i="5"/>
  <c r="E48" i="5" s="1"/>
  <c r="C49" i="9"/>
  <c r="E49" i="9" s="1"/>
  <c r="C45" i="8"/>
  <c r="C45" i="6"/>
  <c r="E45" i="6" s="1"/>
  <c r="C49" i="7"/>
  <c r="E49" i="7" s="1"/>
  <c r="D47" i="3"/>
  <c r="C45" i="12"/>
  <c r="E45" i="12" s="1"/>
  <c r="C55" i="9"/>
  <c r="E55" i="9" s="1"/>
  <c r="C55" i="7"/>
  <c r="E55" i="7" s="1"/>
  <c r="C51" i="8"/>
  <c r="C51" i="6"/>
  <c r="E51" i="6" s="1"/>
  <c r="C54" i="5"/>
  <c r="E54" i="5" s="1"/>
  <c r="D66" i="3"/>
  <c r="C64" i="12"/>
  <c r="E64" i="12" s="1"/>
  <c r="C74" i="9"/>
  <c r="E74" i="9" s="1"/>
  <c r="C73" i="5"/>
  <c r="E73" i="5" s="1"/>
  <c r="C74" i="7"/>
  <c r="E74" i="7" s="1"/>
  <c r="C70" i="6"/>
  <c r="E70" i="6" s="1"/>
  <c r="C70" i="8"/>
  <c r="D59" i="3"/>
  <c r="C57" i="12"/>
  <c r="E57" i="12" s="1"/>
  <c r="C67" i="9"/>
  <c r="E67" i="9" s="1"/>
  <c r="C67" i="7"/>
  <c r="E67" i="7" s="1"/>
  <c r="C63" i="8"/>
  <c r="C66" i="5"/>
  <c r="E66" i="5" s="1"/>
  <c r="C63" i="6"/>
  <c r="E63" i="6" s="1"/>
  <c r="D44" i="3"/>
  <c r="C42" i="12"/>
  <c r="E42" i="12" s="1"/>
  <c r="C48" i="6"/>
  <c r="E48" i="6" s="1"/>
  <c r="C52" i="9"/>
  <c r="E52" i="9" s="1"/>
  <c r="C51" i="5"/>
  <c r="E51" i="5" s="1"/>
  <c r="C52" i="7"/>
  <c r="E52" i="7" s="1"/>
  <c r="C48" i="8"/>
  <c r="D46" i="3"/>
  <c r="C44" i="12"/>
  <c r="E44" i="12" s="1"/>
  <c r="C53" i="5"/>
  <c r="E53" i="5" s="1"/>
  <c r="C50" i="8"/>
  <c r="C54" i="9"/>
  <c r="E54" i="9" s="1"/>
  <c r="C50" i="6"/>
  <c r="E50" i="6" s="1"/>
  <c r="C54" i="7"/>
  <c r="E54" i="7" s="1"/>
  <c r="D49" i="3"/>
  <c r="C47" i="12"/>
  <c r="E47" i="12" s="1"/>
  <c r="C57" i="9"/>
  <c r="E57" i="9" s="1"/>
  <c r="C57" i="7"/>
  <c r="E57" i="7" s="1"/>
  <c r="C53" i="6"/>
  <c r="E53" i="6" s="1"/>
  <c r="C56" i="5"/>
  <c r="E56" i="5" s="1"/>
  <c r="C53" i="8"/>
  <c r="D56" i="3"/>
  <c r="C54" i="12"/>
  <c r="E54" i="12" s="1"/>
  <c r="C60" i="6"/>
  <c r="E60" i="6" s="1"/>
  <c r="C64" i="9"/>
  <c r="E64" i="9" s="1"/>
  <c r="C63" i="5"/>
  <c r="E63" i="5" s="1"/>
  <c r="C64" i="7"/>
  <c r="E64" i="7" s="1"/>
  <c r="C60" i="8"/>
  <c r="D39" i="3"/>
  <c r="C37" i="12"/>
  <c r="E37" i="12" s="1"/>
  <c r="C43" i="6"/>
  <c r="E43" i="6" s="1"/>
  <c r="C47" i="9"/>
  <c r="E47" i="9" s="1"/>
  <c r="C43" i="8"/>
  <c r="C47" i="7"/>
  <c r="E47" i="7" s="1"/>
  <c r="C46" i="5"/>
  <c r="E46" i="5" s="1"/>
  <c r="D69" i="3"/>
  <c r="C67" i="12"/>
  <c r="E67" i="12" s="1"/>
  <c r="C76" i="5"/>
  <c r="E76" i="5" s="1"/>
  <c r="C73" i="6"/>
  <c r="E73" i="6" s="1"/>
  <c r="C73" i="8"/>
  <c r="C77" i="7"/>
  <c r="E77" i="7" s="1"/>
  <c r="C77" i="9"/>
  <c r="E77" i="9" s="1"/>
  <c r="D29" i="12" l="1"/>
  <c r="F29" i="12" s="1"/>
  <c r="D39" i="9"/>
  <c r="F39" i="9" s="1"/>
  <c r="D39" i="7"/>
  <c r="F39" i="7" s="1"/>
  <c r="D35" i="6"/>
  <c r="F35" i="6" s="1"/>
  <c r="D38" i="5"/>
  <c r="F38" i="5" s="1"/>
  <c r="D35" i="8"/>
  <c r="E41" i="8"/>
  <c r="E40" i="8"/>
  <c r="D36" i="12"/>
  <c r="F36" i="12" s="1"/>
  <c r="D46" i="9"/>
  <c r="F46" i="9" s="1"/>
  <c r="D45" i="5"/>
  <c r="F45" i="5" s="1"/>
  <c r="D42" i="8"/>
  <c r="D46" i="7"/>
  <c r="F46" i="7" s="1"/>
  <c r="D42" i="6"/>
  <c r="F42" i="6" s="1"/>
  <c r="D30" i="12"/>
  <c r="F30" i="12" s="1"/>
  <c r="D40" i="7"/>
  <c r="F40" i="7" s="1"/>
  <c r="D36" i="6"/>
  <c r="F36" i="6" s="1"/>
  <c r="D36" i="8"/>
  <c r="D40" i="9"/>
  <c r="F40" i="9" s="1"/>
  <c r="D39" i="5"/>
  <c r="F39" i="5" s="1"/>
  <c r="E37" i="8"/>
  <c r="D35" i="12"/>
  <c r="F35" i="12" s="1"/>
  <c r="D41" i="8"/>
  <c r="D44" i="5"/>
  <c r="F44" i="5" s="1"/>
  <c r="D41" i="6"/>
  <c r="F41" i="6" s="1"/>
  <c r="D45" i="7"/>
  <c r="F45" i="7" s="1"/>
  <c r="D45" i="9"/>
  <c r="F45" i="9" s="1"/>
  <c r="D33" i="12"/>
  <c r="F33" i="12" s="1"/>
  <c r="D42" i="5"/>
  <c r="F42" i="5" s="1"/>
  <c r="D43" i="9"/>
  <c r="F43" i="9" s="1"/>
  <c r="D39" i="6"/>
  <c r="F39" i="6" s="1"/>
  <c r="D43" i="7"/>
  <c r="F43" i="7" s="1"/>
  <c r="D39" i="8"/>
  <c r="D31" i="12"/>
  <c r="F31" i="12" s="1"/>
  <c r="D41" i="9"/>
  <c r="F41" i="9" s="1"/>
  <c r="D37" i="6"/>
  <c r="F37" i="6" s="1"/>
  <c r="D37" i="8"/>
  <c r="D40" i="5"/>
  <c r="F40" i="5" s="1"/>
  <c r="D41" i="7"/>
  <c r="F41" i="7" s="1"/>
  <c r="D34" i="12"/>
  <c r="F34" i="12" s="1"/>
  <c r="D44" i="9"/>
  <c r="F44" i="9" s="1"/>
  <c r="D40" i="6"/>
  <c r="F40" i="6" s="1"/>
  <c r="D43" i="5"/>
  <c r="F43" i="5" s="1"/>
  <c r="D44" i="7"/>
  <c r="F44" i="7" s="1"/>
  <c r="D40" i="8"/>
  <c r="D32" i="12"/>
  <c r="F32" i="12" s="1"/>
  <c r="D41" i="5"/>
  <c r="F41" i="5" s="1"/>
  <c r="D42" i="7"/>
  <c r="F42" i="7" s="1"/>
  <c r="D38" i="8"/>
  <c r="D42" i="9"/>
  <c r="F42" i="9" s="1"/>
  <c r="D38" i="6"/>
  <c r="F38" i="6" s="1"/>
  <c r="E38" i="8"/>
  <c r="E35" i="8"/>
  <c r="E39" i="8"/>
  <c r="E36" i="8"/>
  <c r="E42" i="8"/>
  <c r="E54" i="8"/>
  <c r="E67" i="8"/>
  <c r="E50" i="8"/>
  <c r="D66" i="12"/>
  <c r="F66" i="12" s="1"/>
  <c r="D72" i="6"/>
  <c r="F72" i="6" s="1"/>
  <c r="D76" i="9"/>
  <c r="F76" i="9" s="1"/>
  <c r="D76" i="7"/>
  <c r="F76" i="7" s="1"/>
  <c r="D75" i="5"/>
  <c r="F75" i="5" s="1"/>
  <c r="D72" i="8"/>
  <c r="D77" i="12"/>
  <c r="F77" i="12" s="1"/>
  <c r="D87" i="9"/>
  <c r="F87" i="9" s="1"/>
  <c r="D87" i="7"/>
  <c r="F87" i="7" s="1"/>
  <c r="D86" i="5"/>
  <c r="F86" i="5" s="1"/>
  <c r="D83" i="8"/>
  <c r="D83" i="6"/>
  <c r="F83" i="6" s="1"/>
  <c r="D61" i="12"/>
  <c r="F61" i="12" s="1"/>
  <c r="D71" i="9"/>
  <c r="F71" i="9" s="1"/>
  <c r="D71" i="7"/>
  <c r="F71" i="7" s="1"/>
  <c r="D67" i="6"/>
  <c r="F67" i="6" s="1"/>
  <c r="D67" i="8"/>
  <c r="D70" i="5"/>
  <c r="F70" i="5" s="1"/>
  <c r="D44" i="12"/>
  <c r="F44" i="12" s="1"/>
  <c r="D50" i="8"/>
  <c r="D54" i="7"/>
  <c r="F54" i="7" s="1"/>
  <c r="D54" i="9"/>
  <c r="F54" i="9" s="1"/>
  <c r="D53" i="5"/>
  <c r="F53" i="5" s="1"/>
  <c r="D50" i="6"/>
  <c r="F50" i="6" s="1"/>
  <c r="D64" i="12"/>
  <c r="F64" i="12" s="1"/>
  <c r="D74" i="9"/>
  <c r="F74" i="9" s="1"/>
  <c r="D74" i="7"/>
  <c r="F74" i="7" s="1"/>
  <c r="D73" i="5"/>
  <c r="F73" i="5" s="1"/>
  <c r="D70" i="6"/>
  <c r="F70" i="6" s="1"/>
  <c r="D70" i="8"/>
  <c r="D38" i="12"/>
  <c r="F38" i="12" s="1"/>
  <c r="D48" i="7"/>
  <c r="F48" i="7" s="1"/>
  <c r="D47" i="5"/>
  <c r="F47" i="5" s="1"/>
  <c r="D44" i="6"/>
  <c r="F44" i="6" s="1"/>
  <c r="D48" i="9"/>
  <c r="F48" i="9" s="1"/>
  <c r="D44" i="8"/>
  <c r="D53" i="12"/>
  <c r="F53" i="12" s="1"/>
  <c r="D59" i="8"/>
  <c r="D62" i="5"/>
  <c r="F62" i="5" s="1"/>
  <c r="D63" i="9"/>
  <c r="F63" i="9" s="1"/>
  <c r="D63" i="7"/>
  <c r="F63" i="7" s="1"/>
  <c r="D59" i="6"/>
  <c r="F59" i="6" s="1"/>
  <c r="D46" i="12"/>
  <c r="F46" i="12" s="1"/>
  <c r="D52" i="6"/>
  <c r="F52" i="6" s="1"/>
  <c r="D52" i="8"/>
  <c r="D56" i="9"/>
  <c r="F56" i="9" s="1"/>
  <c r="D56" i="7"/>
  <c r="F56" i="7" s="1"/>
  <c r="D55" i="5"/>
  <c r="F55" i="5" s="1"/>
  <c r="D60" i="12"/>
  <c r="F60" i="12" s="1"/>
  <c r="D66" i="8"/>
  <c r="D70" i="7"/>
  <c r="F70" i="7" s="1"/>
  <c r="D66" i="6"/>
  <c r="F66" i="6" s="1"/>
  <c r="D70" i="9"/>
  <c r="F70" i="9" s="1"/>
  <c r="D69" i="5"/>
  <c r="F69" i="5" s="1"/>
  <c r="D73" i="12"/>
  <c r="F73" i="12" s="1"/>
  <c r="D79" i="8"/>
  <c r="D83" i="7"/>
  <c r="F83" i="7" s="1"/>
  <c r="D79" i="6"/>
  <c r="F79" i="6" s="1"/>
  <c r="D82" i="5"/>
  <c r="F82" i="5" s="1"/>
  <c r="D83" i="9"/>
  <c r="F83" i="9" s="1"/>
  <c r="D70" i="12"/>
  <c r="F70" i="12" s="1"/>
  <c r="D80" i="7"/>
  <c r="F80" i="7" s="1"/>
  <c r="D76" i="6"/>
  <c r="F76" i="6" s="1"/>
  <c r="D79" i="5"/>
  <c r="F79" i="5" s="1"/>
  <c r="D80" i="9"/>
  <c r="F80" i="9" s="1"/>
  <c r="D76" i="8"/>
  <c r="D56" i="12"/>
  <c r="F56" i="12" s="1"/>
  <c r="D62" i="8"/>
  <c r="D66" i="7"/>
  <c r="F66" i="7" s="1"/>
  <c r="D66" i="9"/>
  <c r="F66" i="9" s="1"/>
  <c r="D65" i="5"/>
  <c r="F65" i="5" s="1"/>
  <c r="D62" i="6"/>
  <c r="F62" i="6" s="1"/>
  <c r="E64" i="8"/>
  <c r="D50" i="12"/>
  <c r="F50" i="12" s="1"/>
  <c r="D59" i="5"/>
  <c r="F59" i="5" s="1"/>
  <c r="D56" i="6"/>
  <c r="F56" i="6" s="1"/>
  <c r="D56" i="8"/>
  <c r="D60" i="7"/>
  <c r="F60" i="7" s="1"/>
  <c r="D60" i="9"/>
  <c r="F60" i="9" s="1"/>
  <c r="D72" i="12"/>
  <c r="F72" i="12" s="1"/>
  <c r="D82" i="9"/>
  <c r="F82" i="9" s="1"/>
  <c r="D82" i="7"/>
  <c r="F82" i="7" s="1"/>
  <c r="D78" i="6"/>
  <c r="F78" i="6" s="1"/>
  <c r="D81" i="5"/>
  <c r="F81" i="5" s="1"/>
  <c r="D78" i="8"/>
  <c r="E71" i="8"/>
  <c r="D78" i="12"/>
  <c r="F78" i="12" s="1"/>
  <c r="D84" i="8"/>
  <c r="D87" i="5"/>
  <c r="F87" i="5" s="1"/>
  <c r="D84" i="6"/>
  <c r="F84" i="6" s="1"/>
  <c r="D88" i="9"/>
  <c r="F88" i="9" s="1"/>
  <c r="D88" i="7"/>
  <c r="F88" i="7" s="1"/>
  <c r="E47" i="8"/>
  <c r="D51" i="12"/>
  <c r="F51" i="12" s="1"/>
  <c r="D57" i="8"/>
  <c r="D60" i="5"/>
  <c r="F60" i="5" s="1"/>
  <c r="D61" i="9"/>
  <c r="F61" i="9" s="1"/>
  <c r="D57" i="6"/>
  <c r="F57" i="6" s="1"/>
  <c r="D61" i="7"/>
  <c r="F61" i="7" s="1"/>
  <c r="E78" i="8"/>
  <c r="E76" i="8"/>
  <c r="D42" i="12"/>
  <c r="F42" i="12" s="1"/>
  <c r="D48" i="6"/>
  <c r="F48" i="6" s="1"/>
  <c r="D52" i="9"/>
  <c r="F52" i="9" s="1"/>
  <c r="D52" i="7"/>
  <c r="F52" i="7" s="1"/>
  <c r="D51" i="5"/>
  <c r="F51" i="5" s="1"/>
  <c r="D48" i="8"/>
  <c r="D62" i="12"/>
  <c r="F62" i="12" s="1"/>
  <c r="D71" i="5"/>
  <c r="F71" i="5" s="1"/>
  <c r="D68" i="6"/>
  <c r="F68" i="6" s="1"/>
  <c r="D68" i="8"/>
  <c r="D72" i="9"/>
  <c r="F72" i="9" s="1"/>
  <c r="D72" i="7"/>
  <c r="F72" i="7" s="1"/>
  <c r="E62" i="8"/>
  <c r="D74" i="12"/>
  <c r="F74" i="12" s="1"/>
  <c r="D84" i="9"/>
  <c r="F84" i="9" s="1"/>
  <c r="D84" i="7"/>
  <c r="F84" i="7" s="1"/>
  <c r="D80" i="8"/>
  <c r="D83" i="5"/>
  <c r="F83" i="5" s="1"/>
  <c r="D80" i="6"/>
  <c r="F80" i="6" s="1"/>
  <c r="D71" i="12"/>
  <c r="F71" i="12" s="1"/>
  <c r="D77" i="8"/>
  <c r="D77" i="6"/>
  <c r="F77" i="6" s="1"/>
  <c r="D81" i="9"/>
  <c r="F81" i="9" s="1"/>
  <c r="D80" i="5"/>
  <c r="F80" i="5" s="1"/>
  <c r="D81" i="7"/>
  <c r="F81" i="7" s="1"/>
  <c r="D63" i="12"/>
  <c r="F63" i="12" s="1"/>
  <c r="D73" i="9"/>
  <c r="F73" i="9" s="1"/>
  <c r="D69" i="8"/>
  <c r="D72" i="5"/>
  <c r="F72" i="5" s="1"/>
  <c r="D69" i="6"/>
  <c r="F69" i="6" s="1"/>
  <c r="D73" i="7"/>
  <c r="F73" i="7" s="1"/>
  <c r="E57" i="8"/>
  <c r="E46" i="8"/>
  <c r="E85" i="8"/>
  <c r="E60" i="8"/>
  <c r="E48" i="8"/>
  <c r="E72" i="8"/>
  <c r="E81" i="8"/>
  <c r="E55" i="8"/>
  <c r="E74" i="8"/>
  <c r="E83" i="8"/>
  <c r="E49" i="8"/>
  <c r="E44" i="8"/>
  <c r="D54" i="12"/>
  <c r="F54" i="12" s="1"/>
  <c r="D60" i="6"/>
  <c r="F60" i="6" s="1"/>
  <c r="D64" i="9"/>
  <c r="F64" i="9" s="1"/>
  <c r="D64" i="7"/>
  <c r="F64" i="7" s="1"/>
  <c r="D63" i="5"/>
  <c r="F63" i="5" s="1"/>
  <c r="D60" i="8"/>
  <c r="D45" i="12"/>
  <c r="F45" i="12" s="1"/>
  <c r="D55" i="7"/>
  <c r="F55" i="7" s="1"/>
  <c r="D51" i="6"/>
  <c r="F51" i="6" s="1"/>
  <c r="D54" i="5"/>
  <c r="F54" i="5" s="1"/>
  <c r="D51" i="8"/>
  <c r="D55" i="9"/>
  <c r="F55" i="9" s="1"/>
  <c r="D76" i="12"/>
  <c r="F76" i="12" s="1"/>
  <c r="D86" i="9"/>
  <c r="F86" i="9" s="1"/>
  <c r="D82" i="8"/>
  <c r="D85" i="5"/>
  <c r="F85" i="5" s="1"/>
  <c r="D86" i="7"/>
  <c r="F86" i="7" s="1"/>
  <c r="D82" i="6"/>
  <c r="F82" i="6" s="1"/>
  <c r="E59" i="8"/>
  <c r="E52" i="8"/>
  <c r="D75" i="12"/>
  <c r="F75" i="12" s="1"/>
  <c r="D84" i="5"/>
  <c r="F84" i="5" s="1"/>
  <c r="D81" i="8"/>
  <c r="D81" i="6"/>
  <c r="F81" i="6" s="1"/>
  <c r="D85" i="7"/>
  <c r="F85" i="7" s="1"/>
  <c r="D85" i="9"/>
  <c r="F85" i="9" s="1"/>
  <c r="E84" i="8"/>
  <c r="E53" i="8"/>
  <c r="E79" i="8"/>
  <c r="E45" i="8"/>
  <c r="E75" i="8"/>
  <c r="E82" i="8"/>
  <c r="E56" i="8"/>
  <c r="E61" i="8"/>
  <c r="D48" i="12"/>
  <c r="F48" i="12" s="1"/>
  <c r="D54" i="8"/>
  <c r="D58" i="7"/>
  <c r="F58" i="7" s="1"/>
  <c r="D57" i="5"/>
  <c r="F57" i="5" s="1"/>
  <c r="D58" i="9"/>
  <c r="F58" i="9" s="1"/>
  <c r="D54" i="6"/>
  <c r="F54" i="6" s="1"/>
  <c r="D55" i="12"/>
  <c r="F55" i="12" s="1"/>
  <c r="D61" i="8"/>
  <c r="D61" i="6"/>
  <c r="F61" i="6" s="1"/>
  <c r="D64" i="5"/>
  <c r="F64" i="5" s="1"/>
  <c r="D65" i="7"/>
  <c r="F65" i="7" s="1"/>
  <c r="D65" i="9"/>
  <c r="F65" i="9" s="1"/>
  <c r="E66" i="8"/>
  <c r="E58" i="8"/>
  <c r="E51" i="8"/>
  <c r="E68" i="8"/>
  <c r="E70" i="8"/>
  <c r="E80" i="8"/>
  <c r="E65" i="8"/>
  <c r="E63" i="8"/>
  <c r="D47" i="12"/>
  <c r="F47" i="12" s="1"/>
  <c r="D57" i="9"/>
  <c r="F57" i="9" s="1"/>
  <c r="D57" i="7"/>
  <c r="F57" i="7" s="1"/>
  <c r="D53" i="6"/>
  <c r="F53" i="6" s="1"/>
  <c r="D56" i="5"/>
  <c r="F56" i="5" s="1"/>
  <c r="D53" i="8"/>
  <c r="D57" i="12"/>
  <c r="F57" i="12" s="1"/>
  <c r="D67" i="7"/>
  <c r="F67" i="7" s="1"/>
  <c r="D63" i="6"/>
  <c r="F63" i="6" s="1"/>
  <c r="D67" i="9"/>
  <c r="F67" i="9" s="1"/>
  <c r="D63" i="8"/>
  <c r="D66" i="5"/>
  <c r="F66" i="5" s="1"/>
  <c r="D39" i="12"/>
  <c r="F39" i="12" s="1"/>
  <c r="D48" i="5"/>
  <c r="F48" i="5" s="1"/>
  <c r="D49" i="9"/>
  <c r="F49" i="9" s="1"/>
  <c r="D45" i="8"/>
  <c r="D45" i="6"/>
  <c r="F45" i="6" s="1"/>
  <c r="D49" i="7"/>
  <c r="F49" i="7" s="1"/>
  <c r="D59" i="12"/>
  <c r="F59" i="12" s="1"/>
  <c r="D69" i="9"/>
  <c r="F69" i="9" s="1"/>
  <c r="D69" i="7"/>
  <c r="F69" i="7" s="1"/>
  <c r="D65" i="6"/>
  <c r="F65" i="6" s="1"/>
  <c r="D65" i="8"/>
  <c r="D68" i="5"/>
  <c r="F68" i="5" s="1"/>
  <c r="D40" i="12"/>
  <c r="F40" i="12" s="1"/>
  <c r="D50" i="9"/>
  <c r="F50" i="9" s="1"/>
  <c r="D50" i="7"/>
  <c r="F50" i="7" s="1"/>
  <c r="D49" i="5"/>
  <c r="F49" i="5" s="1"/>
  <c r="D46" i="8"/>
  <c r="D46" i="6"/>
  <c r="F46" i="6" s="1"/>
  <c r="D69" i="12"/>
  <c r="F69" i="12" s="1"/>
  <c r="D75" i="8"/>
  <c r="D79" i="7"/>
  <c r="F79" i="7" s="1"/>
  <c r="D79" i="9"/>
  <c r="F79" i="9" s="1"/>
  <c r="D78" i="5"/>
  <c r="F78" i="5" s="1"/>
  <c r="D75" i="6"/>
  <c r="F75" i="6" s="1"/>
  <c r="D49" i="12"/>
  <c r="F49" i="12" s="1"/>
  <c r="D59" i="9"/>
  <c r="F59" i="9" s="1"/>
  <c r="D59" i="7"/>
  <c r="F59" i="7" s="1"/>
  <c r="D58" i="5"/>
  <c r="F58" i="5" s="1"/>
  <c r="D55" i="8"/>
  <c r="D55" i="6"/>
  <c r="F55" i="6" s="1"/>
  <c r="D68" i="12"/>
  <c r="F68" i="12" s="1"/>
  <c r="D77" i="5"/>
  <c r="F77" i="5" s="1"/>
  <c r="D74" i="8"/>
  <c r="D74" i="6"/>
  <c r="F74" i="6" s="1"/>
  <c r="D78" i="9"/>
  <c r="F78" i="9" s="1"/>
  <c r="D78" i="7"/>
  <c r="F78" i="7" s="1"/>
  <c r="D79" i="12"/>
  <c r="F79" i="12" s="1"/>
  <c r="D89" i="9"/>
  <c r="F89" i="9" s="1"/>
  <c r="D89" i="7"/>
  <c r="F89" i="7" s="1"/>
  <c r="D85" i="6"/>
  <c r="F85" i="6" s="1"/>
  <c r="D88" i="5"/>
  <c r="F88" i="5" s="1"/>
  <c r="D85" i="8"/>
  <c r="D58" i="12"/>
  <c r="F58" i="12" s="1"/>
  <c r="D64" i="6"/>
  <c r="F64" i="6" s="1"/>
  <c r="D64" i="8"/>
  <c r="D68" i="9"/>
  <c r="F68" i="9" s="1"/>
  <c r="D67" i="5"/>
  <c r="F67" i="5" s="1"/>
  <c r="D68" i="7"/>
  <c r="F68" i="7" s="1"/>
  <c r="E77" i="8"/>
  <c r="D43" i="12"/>
  <c r="F43" i="12" s="1"/>
  <c r="D52" i="5"/>
  <c r="F52" i="5" s="1"/>
  <c r="D49" i="6"/>
  <c r="F49" i="6" s="1"/>
  <c r="D49" i="8"/>
  <c r="D53" i="9"/>
  <c r="F53" i="9" s="1"/>
  <c r="D53" i="7"/>
  <c r="F53" i="7" s="1"/>
  <c r="E69" i="8"/>
  <c r="D65" i="12"/>
  <c r="F65" i="12" s="1"/>
  <c r="D71" i="8"/>
  <c r="D74" i="5"/>
  <c r="F74" i="5" s="1"/>
  <c r="D75" i="9"/>
  <c r="F75" i="9" s="1"/>
  <c r="D75" i="7"/>
  <c r="F75" i="7" s="1"/>
  <c r="D71" i="6"/>
  <c r="F71" i="6" s="1"/>
  <c r="D41" i="12"/>
  <c r="F41" i="12" s="1"/>
  <c r="D47" i="8"/>
  <c r="D50" i="5"/>
  <c r="F50" i="5" s="1"/>
  <c r="D51" i="7"/>
  <c r="F51" i="7" s="1"/>
  <c r="D47" i="6"/>
  <c r="F47" i="6" s="1"/>
  <c r="D51" i="9"/>
  <c r="F51" i="9" s="1"/>
  <c r="D52" i="12"/>
  <c r="F52" i="12" s="1"/>
  <c r="D62" i="9"/>
  <c r="F62" i="9" s="1"/>
  <c r="D62" i="7"/>
  <c r="F62" i="7" s="1"/>
  <c r="D61" i="5"/>
  <c r="F61" i="5" s="1"/>
  <c r="D58" i="6"/>
  <c r="F58" i="6" s="1"/>
  <c r="D58" i="8"/>
  <c r="E43" i="8"/>
  <c r="D67" i="12"/>
  <c r="F67" i="12" s="1"/>
  <c r="D73" i="6"/>
  <c r="F73" i="6" s="1"/>
  <c r="D76" i="5"/>
  <c r="F76" i="5" s="1"/>
  <c r="D73" i="8"/>
  <c r="D77" i="7"/>
  <c r="F77" i="7" s="1"/>
  <c r="D77" i="9"/>
  <c r="F77" i="9" s="1"/>
  <c r="E73" i="8"/>
  <c r="D37" i="12"/>
  <c r="F37" i="12" s="1"/>
  <c r="D43" i="6"/>
  <c r="F43" i="6" s="1"/>
  <c r="D47" i="9"/>
  <c r="F47" i="9" s="1"/>
  <c r="D43" i="8"/>
  <c r="D47" i="7"/>
  <c r="F47" i="7" s="1"/>
  <c r="D46" i="5"/>
  <c r="F46" i="5" s="1"/>
  <c r="H43" i="6" l="1"/>
  <c r="D26" i="19"/>
  <c r="H56" i="6"/>
  <c r="D39" i="19"/>
  <c r="H58" i="9"/>
  <c r="G37" i="19"/>
  <c r="H82" i="6"/>
  <c r="D65" i="19"/>
  <c r="H66" i="6"/>
  <c r="D49" i="19"/>
  <c r="H73" i="9"/>
  <c r="G52" i="19"/>
  <c r="H76" i="9"/>
  <c r="G55" i="19"/>
  <c r="H58" i="6"/>
  <c r="D41" i="19"/>
  <c r="H72" i="6"/>
  <c r="D55" i="19"/>
  <c r="H75" i="9"/>
  <c r="G54" i="19"/>
  <c r="H89" i="9"/>
  <c r="G68" i="19"/>
  <c r="H59" i="9"/>
  <c r="G38" i="19"/>
  <c r="H50" i="9"/>
  <c r="G29" i="19"/>
  <c r="H57" i="9"/>
  <c r="G36" i="19"/>
  <c r="H81" i="6"/>
  <c r="D64" i="19"/>
  <c r="H86" i="9"/>
  <c r="G65" i="19"/>
  <c r="H60" i="6"/>
  <c r="D43" i="19"/>
  <c r="H48" i="6"/>
  <c r="D31" i="19"/>
  <c r="H78" i="6"/>
  <c r="D61" i="19"/>
  <c r="H62" i="6"/>
  <c r="D45" i="19"/>
  <c r="H83" i="9"/>
  <c r="G62" i="19"/>
  <c r="H50" i="6"/>
  <c r="D33" i="19"/>
  <c r="C21" i="19"/>
  <c r="H41" i="5"/>
  <c r="B5" i="5"/>
  <c r="H39" i="6"/>
  <c r="D22" i="19"/>
  <c r="H42" i="6"/>
  <c r="D25" i="19"/>
  <c r="I35" i="8"/>
  <c r="J35" i="8"/>
  <c r="L35" i="8" s="1"/>
  <c r="H69" i="6"/>
  <c r="D52" i="19"/>
  <c r="H70" i="9"/>
  <c r="G49" i="19"/>
  <c r="H70" i="6"/>
  <c r="D53" i="19"/>
  <c r="H41" i="9"/>
  <c r="G20" i="19"/>
  <c r="H45" i="6"/>
  <c r="D28" i="19"/>
  <c r="H31" i="12"/>
  <c r="H20" i="19"/>
  <c r="H52" i="9"/>
  <c r="G31" i="19"/>
  <c r="H71" i="9"/>
  <c r="G50" i="19"/>
  <c r="H77" i="9"/>
  <c r="G56" i="19"/>
  <c r="H65" i="9"/>
  <c r="G44" i="19"/>
  <c r="H48" i="9"/>
  <c r="G27" i="19"/>
  <c r="H83" i="6"/>
  <c r="D66" i="19"/>
  <c r="H21" i="19"/>
  <c r="H32" i="12"/>
  <c r="B5" i="12"/>
  <c r="C53" i="18" s="1"/>
  <c r="H43" i="9"/>
  <c r="G22" i="19"/>
  <c r="E25" i="19"/>
  <c r="H46" i="7"/>
  <c r="H38" i="5"/>
  <c r="C18" i="19"/>
  <c r="H40" i="7"/>
  <c r="E19" i="19"/>
  <c r="I41" i="8"/>
  <c r="J41" i="8"/>
  <c r="L41" i="8" s="1"/>
  <c r="H49" i="6"/>
  <c r="D32" i="19"/>
  <c r="G21" i="19"/>
  <c r="H42" i="9"/>
  <c r="B5" i="9"/>
  <c r="C52" i="18" s="1"/>
  <c r="H71" i="6"/>
  <c r="D54" i="19"/>
  <c r="H53" i="6"/>
  <c r="D36" i="19"/>
  <c r="H85" i="9"/>
  <c r="G64" i="19"/>
  <c r="H49" i="9"/>
  <c r="G28" i="19"/>
  <c r="H64" i="9"/>
  <c r="G43" i="19"/>
  <c r="E21" i="19"/>
  <c r="H42" i="7"/>
  <c r="B5" i="7"/>
  <c r="C50" i="18" s="1"/>
  <c r="H62" i="9"/>
  <c r="G41" i="19"/>
  <c r="H75" i="6"/>
  <c r="D58" i="19"/>
  <c r="H55" i="9"/>
  <c r="G34" i="19"/>
  <c r="H81" i="9"/>
  <c r="G60" i="19"/>
  <c r="H82" i="9"/>
  <c r="G61" i="19"/>
  <c r="H66" i="9"/>
  <c r="G45" i="19"/>
  <c r="H79" i="6"/>
  <c r="D62" i="19"/>
  <c r="H56" i="9"/>
  <c r="G35" i="19"/>
  <c r="H44" i="6"/>
  <c r="D27" i="19"/>
  <c r="H54" i="9"/>
  <c r="G33" i="19"/>
  <c r="I40" i="8"/>
  <c r="J40" i="8"/>
  <c r="L40" i="8" s="1"/>
  <c r="H42" i="5"/>
  <c r="C22" i="19"/>
  <c r="I42" i="8"/>
  <c r="J42" i="8"/>
  <c r="L42" i="8" s="1"/>
  <c r="H35" i="6"/>
  <c r="D18" i="19"/>
  <c r="H34" i="12"/>
  <c r="H23" i="19"/>
  <c r="H55" i="6"/>
  <c r="D38" i="19"/>
  <c r="H63" i="9"/>
  <c r="G42" i="19"/>
  <c r="H67" i="6"/>
  <c r="D50" i="19"/>
  <c r="H35" i="12"/>
  <c r="H24" i="19"/>
  <c r="H84" i="9"/>
  <c r="G63" i="19"/>
  <c r="H74" i="9"/>
  <c r="G53" i="19"/>
  <c r="H77" i="6"/>
  <c r="D60" i="19"/>
  <c r="H72" i="9"/>
  <c r="G51" i="19"/>
  <c r="H88" i="9"/>
  <c r="G67" i="19"/>
  <c r="H44" i="7"/>
  <c r="E23" i="19"/>
  <c r="H33" i="12"/>
  <c r="H22" i="19"/>
  <c r="H39" i="5"/>
  <c r="C19" i="19"/>
  <c r="H45" i="5"/>
  <c r="C25" i="19"/>
  <c r="H39" i="7"/>
  <c r="E18" i="19"/>
  <c r="H44" i="5"/>
  <c r="C24" i="19"/>
  <c r="D21" i="19"/>
  <c r="H38" i="6"/>
  <c r="B5" i="6"/>
  <c r="C49" i="18" s="1"/>
  <c r="H78" i="9"/>
  <c r="G57" i="19"/>
  <c r="H51" i="9"/>
  <c r="G30" i="19"/>
  <c r="H68" i="9"/>
  <c r="G47" i="19"/>
  <c r="H74" i="6"/>
  <c r="D57" i="19"/>
  <c r="H79" i="9"/>
  <c r="G58" i="19"/>
  <c r="H65" i="6"/>
  <c r="D48" i="19"/>
  <c r="H67" i="9"/>
  <c r="G46" i="19"/>
  <c r="H61" i="6"/>
  <c r="D44" i="19"/>
  <c r="H84" i="6"/>
  <c r="D67" i="19"/>
  <c r="H60" i="9"/>
  <c r="G39" i="19"/>
  <c r="H52" i="6"/>
  <c r="D35" i="19"/>
  <c r="H43" i="5"/>
  <c r="C23" i="19"/>
  <c r="H41" i="7"/>
  <c r="E20" i="19"/>
  <c r="H45" i="9"/>
  <c r="G24" i="19"/>
  <c r="H40" i="9"/>
  <c r="G19" i="19"/>
  <c r="H46" i="9"/>
  <c r="G25" i="19"/>
  <c r="H39" i="9"/>
  <c r="G18" i="19"/>
  <c r="H54" i="6"/>
  <c r="D37" i="19"/>
  <c r="H80" i="9"/>
  <c r="G59" i="19"/>
  <c r="H46" i="6"/>
  <c r="D29" i="19"/>
  <c r="H61" i="9"/>
  <c r="G40" i="19"/>
  <c r="H76" i="6"/>
  <c r="D59" i="19"/>
  <c r="H85" i="6"/>
  <c r="D68" i="19"/>
  <c r="J39" i="8"/>
  <c r="L39" i="8" s="1"/>
  <c r="I39" i="8"/>
  <c r="H43" i="7"/>
  <c r="E22" i="19"/>
  <c r="H73" i="6"/>
  <c r="D56" i="19"/>
  <c r="H47" i="6"/>
  <c r="D30" i="19"/>
  <c r="H63" i="6"/>
  <c r="D46" i="19"/>
  <c r="H51" i="6"/>
  <c r="D34" i="19"/>
  <c r="H68" i="6"/>
  <c r="D51" i="19"/>
  <c r="H87" i="9"/>
  <c r="G66" i="19"/>
  <c r="H40" i="6"/>
  <c r="D23" i="19"/>
  <c r="H40" i="5"/>
  <c r="C20" i="19"/>
  <c r="H45" i="7"/>
  <c r="E24" i="19"/>
  <c r="J36" i="8"/>
  <c r="L36" i="8" s="1"/>
  <c r="I36" i="8"/>
  <c r="H25" i="19"/>
  <c r="H36" i="12"/>
  <c r="H29" i="12"/>
  <c r="H18" i="19"/>
  <c r="H53" i="9"/>
  <c r="G32" i="19"/>
  <c r="H57" i="6"/>
  <c r="D40" i="19"/>
  <c r="H37" i="6"/>
  <c r="D20" i="19"/>
  <c r="H30" i="12"/>
  <c r="H19" i="19"/>
  <c r="I38" i="8"/>
  <c r="J38" i="8"/>
  <c r="L38" i="8" s="1"/>
  <c r="H47" i="9"/>
  <c r="G26" i="19"/>
  <c r="H64" i="6"/>
  <c r="D47" i="19"/>
  <c r="H69" i="9"/>
  <c r="G48" i="19"/>
  <c r="H80" i="6"/>
  <c r="D63" i="19"/>
  <c r="H59" i="6"/>
  <c r="D42" i="19"/>
  <c r="H44" i="9"/>
  <c r="G23" i="19"/>
  <c r="I37" i="8"/>
  <c r="J37" i="8"/>
  <c r="L37" i="8" s="1"/>
  <c r="H41" i="6"/>
  <c r="D24" i="19"/>
  <c r="H36" i="6"/>
  <c r="D19" i="19"/>
  <c r="H50" i="5"/>
  <c r="C30" i="19"/>
  <c r="H83" i="5"/>
  <c r="C63" i="19"/>
  <c r="H59" i="5"/>
  <c r="C39" i="19"/>
  <c r="H88" i="5"/>
  <c r="C68" i="19"/>
  <c r="H57" i="5"/>
  <c r="C37" i="19"/>
  <c r="H51" i="5"/>
  <c r="C31" i="19"/>
  <c r="H62" i="5"/>
  <c r="C42" i="19"/>
  <c r="H58" i="5"/>
  <c r="C38" i="19"/>
  <c r="H85" i="5"/>
  <c r="C65" i="19"/>
  <c r="H81" i="5"/>
  <c r="C61" i="19"/>
  <c r="H55" i="5"/>
  <c r="C35" i="19"/>
  <c r="H74" i="5"/>
  <c r="C54" i="19"/>
  <c r="H80" i="5"/>
  <c r="C60" i="19"/>
  <c r="H65" i="5"/>
  <c r="C45" i="19"/>
  <c r="H82" i="5"/>
  <c r="C62" i="19"/>
  <c r="H53" i="5"/>
  <c r="C33" i="19"/>
  <c r="H68" i="5"/>
  <c r="C48" i="19"/>
  <c r="H66" i="5"/>
  <c r="C46" i="19"/>
  <c r="H84" i="5"/>
  <c r="C64" i="19"/>
  <c r="H46" i="5"/>
  <c r="C26" i="19"/>
  <c r="H67" i="5"/>
  <c r="C47" i="19"/>
  <c r="H78" i="5"/>
  <c r="C58" i="19"/>
  <c r="H64" i="5"/>
  <c r="C44" i="19"/>
  <c r="H47" i="5"/>
  <c r="C27" i="19"/>
  <c r="H86" i="5"/>
  <c r="C66" i="19"/>
  <c r="H73" i="5"/>
  <c r="C53" i="19"/>
  <c r="H76" i="5"/>
  <c r="C56" i="19"/>
  <c r="H54" i="5"/>
  <c r="C34" i="19"/>
  <c r="H79" i="5"/>
  <c r="C59" i="19"/>
  <c r="H87" i="5"/>
  <c r="C67" i="19"/>
  <c r="H70" i="5"/>
  <c r="C50" i="19"/>
  <c r="H72" i="5"/>
  <c r="C52" i="19"/>
  <c r="H75" i="5"/>
  <c r="C55" i="19"/>
  <c r="H56" i="5"/>
  <c r="C36" i="19"/>
  <c r="H63" i="5"/>
  <c r="C43" i="19"/>
  <c r="H60" i="5"/>
  <c r="C40" i="19"/>
  <c r="H52" i="5"/>
  <c r="C32" i="19"/>
  <c r="H49" i="5"/>
  <c r="C29" i="19"/>
  <c r="H61" i="5"/>
  <c r="C41" i="19"/>
  <c r="H48" i="5"/>
  <c r="C28" i="19"/>
  <c r="H77" i="5"/>
  <c r="C57" i="19"/>
  <c r="H71" i="5"/>
  <c r="C51" i="19"/>
  <c r="H69" i="5"/>
  <c r="C49" i="19"/>
  <c r="H56" i="7"/>
  <c r="E35" i="19"/>
  <c r="H77" i="7"/>
  <c r="E56" i="19"/>
  <c r="H78" i="7"/>
  <c r="E57" i="19"/>
  <c r="H65" i="7"/>
  <c r="E44" i="19"/>
  <c r="H72" i="7"/>
  <c r="E51" i="19"/>
  <c r="H88" i="7"/>
  <c r="E67" i="19"/>
  <c r="H49" i="7"/>
  <c r="E28" i="19"/>
  <c r="H86" i="7"/>
  <c r="E65" i="19"/>
  <c r="H84" i="7"/>
  <c r="E63" i="19"/>
  <c r="H70" i="7"/>
  <c r="E49" i="19"/>
  <c r="H74" i="7"/>
  <c r="E53" i="19"/>
  <c r="H76" i="7"/>
  <c r="E55" i="19"/>
  <c r="H58" i="7"/>
  <c r="E37" i="19"/>
  <c r="H64" i="7"/>
  <c r="E43" i="19"/>
  <c r="H52" i="7"/>
  <c r="E31" i="19"/>
  <c r="H80" i="7"/>
  <c r="E59" i="19"/>
  <c r="H75" i="7"/>
  <c r="E54" i="19"/>
  <c r="H89" i="7"/>
  <c r="E68" i="19"/>
  <c r="H59" i="7"/>
  <c r="E38" i="19"/>
  <c r="H50" i="7"/>
  <c r="E29" i="19"/>
  <c r="H57" i="7"/>
  <c r="E36" i="19"/>
  <c r="H85" i="7"/>
  <c r="E64" i="19"/>
  <c r="H81" i="7"/>
  <c r="E60" i="19"/>
  <c r="H62" i="7"/>
  <c r="E41" i="19"/>
  <c r="H82" i="7"/>
  <c r="E61" i="19"/>
  <c r="H68" i="7"/>
  <c r="E47" i="19"/>
  <c r="H66" i="7"/>
  <c r="E45" i="19"/>
  <c r="H83" i="7"/>
  <c r="E62" i="19"/>
  <c r="H54" i="7"/>
  <c r="E33" i="19"/>
  <c r="H47" i="7"/>
  <c r="E26" i="19"/>
  <c r="H48" i="7"/>
  <c r="E27" i="19"/>
  <c r="H87" i="7"/>
  <c r="E66" i="19"/>
  <c r="H79" i="7"/>
  <c r="E58" i="19"/>
  <c r="H69" i="7"/>
  <c r="E48" i="19"/>
  <c r="H60" i="7"/>
  <c r="E39" i="19"/>
  <c r="H63" i="7"/>
  <c r="E42" i="19"/>
  <c r="H71" i="7"/>
  <c r="E50" i="19"/>
  <c r="H51" i="7"/>
  <c r="E30" i="19"/>
  <c r="H53" i="7"/>
  <c r="E32" i="19"/>
  <c r="H67" i="7"/>
  <c r="E46" i="19"/>
  <c r="H55" i="7"/>
  <c r="E34" i="19"/>
  <c r="H73" i="7"/>
  <c r="E52" i="19"/>
  <c r="H61" i="7"/>
  <c r="E40" i="19"/>
  <c r="H64" i="12"/>
  <c r="H53" i="19"/>
  <c r="H69" i="12"/>
  <c r="H58" i="19"/>
  <c r="H57" i="12"/>
  <c r="H46" i="19"/>
  <c r="H62" i="12"/>
  <c r="H51" i="19"/>
  <c r="H37" i="12"/>
  <c r="H26" i="19"/>
  <c r="H41" i="12"/>
  <c r="H30" i="19"/>
  <c r="H43" i="12"/>
  <c r="H32" i="19"/>
  <c r="H63" i="12"/>
  <c r="H52" i="19"/>
  <c r="H51" i="12"/>
  <c r="H40" i="19"/>
  <c r="H53" i="12"/>
  <c r="H42" i="19"/>
  <c r="H48" i="12"/>
  <c r="H37" i="19"/>
  <c r="H66" i="12"/>
  <c r="H55" i="19"/>
  <c r="H79" i="12"/>
  <c r="H68" i="19"/>
  <c r="H40" i="12"/>
  <c r="H29" i="19"/>
  <c r="H39" i="12"/>
  <c r="H28" i="19"/>
  <c r="H54" i="12"/>
  <c r="H43" i="19"/>
  <c r="H52" i="12"/>
  <c r="H41" i="19"/>
  <c r="H65" i="12"/>
  <c r="H54" i="19"/>
  <c r="H75" i="12"/>
  <c r="H64" i="19"/>
  <c r="H72" i="12"/>
  <c r="H61" i="19"/>
  <c r="H68" i="12"/>
  <c r="H57" i="19"/>
  <c r="H59" i="12"/>
  <c r="H48" i="19"/>
  <c r="H45" i="12"/>
  <c r="H34" i="19"/>
  <c r="H78" i="12"/>
  <c r="H67" i="19"/>
  <c r="H50" i="12"/>
  <c r="H39" i="19"/>
  <c r="H74" i="12"/>
  <c r="H63" i="19"/>
  <c r="H60" i="12"/>
  <c r="H49" i="19"/>
  <c r="H61" i="12"/>
  <c r="H50" i="19"/>
  <c r="H49" i="12"/>
  <c r="H38" i="19"/>
  <c r="H42" i="12"/>
  <c r="H31" i="19"/>
  <c r="H58" i="12"/>
  <c r="H47" i="19"/>
  <c r="H47" i="12"/>
  <c r="H36" i="19"/>
  <c r="H71" i="12"/>
  <c r="H60" i="19"/>
  <c r="H56" i="12"/>
  <c r="H45" i="19"/>
  <c r="H73" i="12"/>
  <c r="H62" i="19"/>
  <c r="H46" i="12"/>
  <c r="H35" i="19"/>
  <c r="H38" i="12"/>
  <c r="H27" i="19"/>
  <c r="H44" i="12"/>
  <c r="H33" i="19"/>
  <c r="H70" i="12"/>
  <c r="H59" i="19"/>
  <c r="H76" i="12"/>
  <c r="H65" i="19"/>
  <c r="H67" i="12"/>
  <c r="H56" i="19"/>
  <c r="H55" i="12"/>
  <c r="H44" i="19"/>
  <c r="H77" i="12"/>
  <c r="H66" i="19"/>
  <c r="J61" i="8"/>
  <c r="L61" i="8" s="1"/>
  <c r="I61" i="8"/>
  <c r="J70" i="8"/>
  <c r="L70" i="8" s="1"/>
  <c r="I70" i="8"/>
  <c r="J85" i="8"/>
  <c r="L85" i="8" s="1"/>
  <c r="I85" i="8"/>
  <c r="J76" i="8"/>
  <c r="L76" i="8" s="1"/>
  <c r="I76" i="8"/>
  <c r="J52" i="8"/>
  <c r="L52" i="8" s="1"/>
  <c r="I52" i="8"/>
  <c r="I75" i="8"/>
  <c r="J75" i="8"/>
  <c r="L75" i="8" s="1"/>
  <c r="J66" i="8"/>
  <c r="L66" i="8" s="1"/>
  <c r="I66" i="8"/>
  <c r="J47" i="8"/>
  <c r="L47" i="8" s="1"/>
  <c r="I47" i="8"/>
  <c r="J64" i="8"/>
  <c r="L64" i="8" s="1"/>
  <c r="I64" i="8"/>
  <c r="I45" i="8"/>
  <c r="J45" i="8"/>
  <c r="L45" i="8" s="1"/>
  <c r="J53" i="8"/>
  <c r="L53" i="8" s="1"/>
  <c r="I53" i="8"/>
  <c r="J48" i="8"/>
  <c r="L48" i="8" s="1"/>
  <c r="I48" i="8"/>
  <c r="J84" i="8"/>
  <c r="L84" i="8" s="1"/>
  <c r="I84" i="8"/>
  <c r="J59" i="8"/>
  <c r="L59" i="8" s="1"/>
  <c r="I59" i="8"/>
  <c r="J65" i="8"/>
  <c r="L65" i="8" s="1"/>
  <c r="I65" i="8"/>
  <c r="I54" i="8"/>
  <c r="J54" i="8"/>
  <c r="L54" i="8" s="1"/>
  <c r="J78" i="8"/>
  <c r="L78" i="8" s="1"/>
  <c r="I78" i="8"/>
  <c r="I63" i="8"/>
  <c r="J63" i="8"/>
  <c r="L63" i="8" s="1"/>
  <c r="I68" i="8"/>
  <c r="J68" i="8"/>
  <c r="L68" i="8" s="1"/>
  <c r="J46" i="8"/>
  <c r="L46" i="8" s="1"/>
  <c r="I46" i="8"/>
  <c r="I69" i="8"/>
  <c r="J69" i="8"/>
  <c r="L69" i="8" s="1"/>
  <c r="J80" i="8"/>
  <c r="L80" i="8" s="1"/>
  <c r="I80" i="8"/>
  <c r="J58" i="8"/>
  <c r="L58" i="8" s="1"/>
  <c r="I58" i="8"/>
  <c r="I51" i="8"/>
  <c r="J51" i="8"/>
  <c r="L51" i="8" s="1"/>
  <c r="I62" i="8"/>
  <c r="J62" i="8"/>
  <c r="L62" i="8" s="1"/>
  <c r="I82" i="8"/>
  <c r="J82" i="8"/>
  <c r="L82" i="8" s="1"/>
  <c r="I81" i="8"/>
  <c r="J81" i="8"/>
  <c r="L81" i="8" s="1"/>
  <c r="J83" i="8"/>
  <c r="L83" i="8" s="1"/>
  <c r="I83" i="8"/>
  <c r="J49" i="8"/>
  <c r="L49" i="8" s="1"/>
  <c r="I49" i="8"/>
  <c r="J74" i="8"/>
  <c r="L74" i="8" s="1"/>
  <c r="I74" i="8"/>
  <c r="J56" i="8"/>
  <c r="L56" i="8" s="1"/>
  <c r="I56" i="8"/>
  <c r="J67" i="8"/>
  <c r="L67" i="8" s="1"/>
  <c r="I67" i="8"/>
  <c r="J77" i="8"/>
  <c r="L77" i="8" s="1"/>
  <c r="I77" i="8"/>
  <c r="J71" i="8"/>
  <c r="L71" i="8" s="1"/>
  <c r="I71" i="8"/>
  <c r="J55" i="8"/>
  <c r="L55" i="8" s="1"/>
  <c r="I55" i="8"/>
  <c r="J60" i="8"/>
  <c r="L60" i="8" s="1"/>
  <c r="I60" i="8"/>
  <c r="I50" i="8"/>
  <c r="J50" i="8"/>
  <c r="L50" i="8" s="1"/>
  <c r="I57" i="8"/>
  <c r="J57" i="8"/>
  <c r="L57" i="8" s="1"/>
  <c r="J79" i="8"/>
  <c r="L79" i="8" s="1"/>
  <c r="I79" i="8"/>
  <c r="J44" i="8"/>
  <c r="L44" i="8" s="1"/>
  <c r="I44" i="8"/>
  <c r="J72" i="8"/>
  <c r="L72" i="8" s="1"/>
  <c r="I72" i="8"/>
  <c r="I73" i="8"/>
  <c r="J73" i="8"/>
  <c r="L73" i="8" s="1"/>
  <c r="J43" i="8"/>
  <c r="L43" i="8" s="1"/>
  <c r="I43" i="8"/>
  <c r="F59" i="8" l="1"/>
  <c r="H59" i="8" s="1"/>
  <c r="F47" i="8"/>
  <c r="H47" i="8" s="1"/>
  <c r="F50" i="8"/>
  <c r="H50" i="8" s="1"/>
  <c r="F51" i="8"/>
  <c r="H51" i="8" s="1"/>
  <c r="F42" i="8"/>
  <c r="H42" i="8" s="1"/>
  <c r="F40" i="8"/>
  <c r="H40" i="8" s="1"/>
  <c r="F41" i="8"/>
  <c r="F24" i="19" s="1"/>
  <c r="I24" i="19" s="1"/>
  <c r="F49" i="8"/>
  <c r="F32" i="19" s="1"/>
  <c r="I32" i="19" s="1"/>
  <c r="J32" i="19" s="1"/>
  <c r="L32" i="19" s="1"/>
  <c r="F71" i="8"/>
  <c r="H71" i="8" s="1"/>
  <c r="F83" i="8"/>
  <c r="H83" i="8" s="1"/>
  <c r="F38" i="8"/>
  <c r="F43" i="8"/>
  <c r="F26" i="19" s="1"/>
  <c r="I26" i="19" s="1"/>
  <c r="F54" i="8"/>
  <c r="H54" i="8" s="1"/>
  <c r="F36" i="8"/>
  <c r="H36" i="8" s="1"/>
  <c r="F60" i="8"/>
  <c r="H60" i="8" s="1"/>
  <c r="B6" i="6"/>
  <c r="D49" i="18" s="1"/>
  <c r="F52" i="8"/>
  <c r="H52" i="8" s="1"/>
  <c r="B6" i="9"/>
  <c r="D52" i="18" s="1"/>
  <c r="F53" i="8"/>
  <c r="H53" i="8" s="1"/>
  <c r="F46" i="8"/>
  <c r="H46" i="8" s="1"/>
  <c r="F62" i="8"/>
  <c r="H62" i="8" s="1"/>
  <c r="F85" i="8"/>
  <c r="H85" i="8" s="1"/>
  <c r="F45" i="8"/>
  <c r="F75" i="8"/>
  <c r="F39" i="8"/>
  <c r="F76" i="8"/>
  <c r="F74" i="8"/>
  <c r="F84" i="8"/>
  <c r="F56" i="8"/>
  <c r="F55" i="8"/>
  <c r="F37" i="8"/>
  <c r="F72" i="8"/>
  <c r="F69" i="8"/>
  <c r="C48" i="18"/>
  <c r="B6" i="5"/>
  <c r="B6" i="7"/>
  <c r="D50" i="18" s="1"/>
  <c r="B6" i="12"/>
  <c r="D53" i="18" s="1"/>
  <c r="F80" i="8"/>
  <c r="F57" i="8"/>
  <c r="F67" i="8"/>
  <c r="F81" i="8"/>
  <c r="F63" i="8"/>
  <c r="F79" i="8"/>
  <c r="F78" i="8"/>
  <c r="F66" i="8"/>
  <c r="F77" i="8"/>
  <c r="F82" i="8"/>
  <c r="F48" i="8"/>
  <c r="F68" i="8"/>
  <c r="F70" i="8"/>
  <c r="F44" i="8"/>
  <c r="F65" i="8"/>
  <c r="F58" i="8"/>
  <c r="F64" i="8"/>
  <c r="F61" i="8"/>
  <c r="F73" i="8"/>
  <c r="F30" i="19" l="1"/>
  <c r="I30" i="19" s="1"/>
  <c r="J30" i="19" s="1"/>
  <c r="L30" i="19" s="1"/>
  <c r="F33" i="19"/>
  <c r="I33" i="19" s="1"/>
  <c r="K33" i="19" s="1"/>
  <c r="F23" i="19"/>
  <c r="I23" i="19" s="1"/>
  <c r="K23" i="19" s="1"/>
  <c r="F42" i="19"/>
  <c r="I42" i="19" s="1"/>
  <c r="K42" i="19" s="1"/>
  <c r="F34" i="19"/>
  <c r="I34" i="19" s="1"/>
  <c r="J34" i="19" s="1"/>
  <c r="L34" i="19" s="1"/>
  <c r="F25" i="19"/>
  <c r="I25" i="19" s="1"/>
  <c r="K25" i="19" s="1"/>
  <c r="H49" i="8"/>
  <c r="H41" i="8"/>
  <c r="F68" i="19"/>
  <c r="I68" i="19" s="1"/>
  <c r="J68" i="19" s="1"/>
  <c r="F66" i="19"/>
  <c r="I66" i="19" s="1"/>
  <c r="K66" i="19" s="1"/>
  <c r="H43" i="8"/>
  <c r="F54" i="19"/>
  <c r="I54" i="19" s="1"/>
  <c r="K54" i="19" s="1"/>
  <c r="F21" i="19"/>
  <c r="I21" i="19" s="1"/>
  <c r="J21" i="19" s="1"/>
  <c r="L21" i="19" s="1"/>
  <c r="F43" i="19"/>
  <c r="I43" i="19" s="1"/>
  <c r="J43" i="19" s="1"/>
  <c r="F37" i="19"/>
  <c r="I37" i="19" s="1"/>
  <c r="J37" i="19" s="1"/>
  <c r="L37" i="19" s="1"/>
  <c r="F45" i="19"/>
  <c r="I45" i="19" s="1"/>
  <c r="K45" i="19" s="1"/>
  <c r="F19" i="19"/>
  <c r="I19" i="19" s="1"/>
  <c r="K19" i="19" s="1"/>
  <c r="H38" i="8"/>
  <c r="F35" i="19"/>
  <c r="I35" i="19" s="1"/>
  <c r="J35" i="19" s="1"/>
  <c r="L35" i="19" s="1"/>
  <c r="F29" i="19"/>
  <c r="I29" i="19" s="1"/>
  <c r="K29" i="19" s="1"/>
  <c r="F36" i="19"/>
  <c r="I36" i="19" s="1"/>
  <c r="J36" i="19" s="1"/>
  <c r="L36" i="19" s="1"/>
  <c r="J26" i="19"/>
  <c r="L26" i="19" s="1"/>
  <c r="K26" i="19"/>
  <c r="H73" i="8"/>
  <c r="F56" i="19"/>
  <c r="I56" i="19" s="1"/>
  <c r="F20" i="19"/>
  <c r="I20" i="19" s="1"/>
  <c r="H37" i="8"/>
  <c r="H63" i="8"/>
  <c r="F46" i="19"/>
  <c r="I46" i="19" s="1"/>
  <c r="H67" i="8"/>
  <c r="F50" i="19"/>
  <c r="I50" i="19" s="1"/>
  <c r="F22" i="19"/>
  <c r="I22" i="19" s="1"/>
  <c r="H39" i="8"/>
  <c r="H61" i="8"/>
  <c r="F44" i="19"/>
  <c r="I44" i="19" s="1"/>
  <c r="J44" i="19" s="1"/>
  <c r="H58" i="8"/>
  <c r="F41" i="19"/>
  <c r="I41" i="19" s="1"/>
  <c r="K41" i="19" s="1"/>
  <c r="H57" i="8"/>
  <c r="F40" i="19"/>
  <c r="I40" i="19" s="1"/>
  <c r="H66" i="8"/>
  <c r="F49" i="19"/>
  <c r="I49" i="19" s="1"/>
  <c r="K49" i="19" s="1"/>
  <c r="H64" i="8"/>
  <c r="F47" i="19"/>
  <c r="I47" i="19" s="1"/>
  <c r="H75" i="8"/>
  <c r="F58" i="19"/>
  <c r="I58" i="19" s="1"/>
  <c r="H44" i="8"/>
  <c r="F27" i="19"/>
  <c r="I27" i="19" s="1"/>
  <c r="H70" i="8"/>
  <c r="F53" i="19"/>
  <c r="I53" i="19" s="1"/>
  <c r="K53" i="19" s="1"/>
  <c r="H80" i="8"/>
  <c r="F63" i="19"/>
  <c r="I63" i="19" s="1"/>
  <c r="K63" i="19" s="1"/>
  <c r="H45" i="8"/>
  <c r="F28" i="19"/>
  <c r="I28" i="19" s="1"/>
  <c r="H79" i="8"/>
  <c r="F62" i="19"/>
  <c r="I62" i="19" s="1"/>
  <c r="H81" i="8"/>
  <c r="F64" i="19"/>
  <c r="I64" i="19" s="1"/>
  <c r="K64" i="19" s="1"/>
  <c r="H76" i="8"/>
  <c r="F59" i="19"/>
  <c r="I59" i="19" s="1"/>
  <c r="J59" i="19" s="1"/>
  <c r="H68" i="8"/>
  <c r="F51" i="19"/>
  <c r="I51" i="19" s="1"/>
  <c r="H69" i="8"/>
  <c r="F52" i="19"/>
  <c r="I52" i="19" s="1"/>
  <c r="J52" i="19" s="1"/>
  <c r="H56" i="8"/>
  <c r="F39" i="19"/>
  <c r="I39" i="19" s="1"/>
  <c r="K39" i="19" s="1"/>
  <c r="H77" i="8"/>
  <c r="F60" i="19"/>
  <c r="I60" i="19" s="1"/>
  <c r="H72" i="8"/>
  <c r="F55" i="19"/>
  <c r="I55" i="19" s="1"/>
  <c r="J55" i="19" s="1"/>
  <c r="J24" i="19"/>
  <c r="L24" i="19" s="1"/>
  <c r="K24" i="19"/>
  <c r="H78" i="8"/>
  <c r="F61" i="19"/>
  <c r="I61" i="19" s="1"/>
  <c r="H74" i="8"/>
  <c r="F57" i="19"/>
  <c r="I57" i="19" s="1"/>
  <c r="H65" i="8"/>
  <c r="F48" i="19"/>
  <c r="I48" i="19" s="1"/>
  <c r="H48" i="8"/>
  <c r="F31" i="19"/>
  <c r="I31" i="19" s="1"/>
  <c r="K31" i="19" s="1"/>
  <c r="H55" i="8"/>
  <c r="F38" i="19"/>
  <c r="I38" i="19" s="1"/>
  <c r="H84" i="8"/>
  <c r="F67" i="19"/>
  <c r="I67" i="19" s="1"/>
  <c r="K67" i="19" s="1"/>
  <c r="H82" i="8"/>
  <c r="F65" i="19"/>
  <c r="I65" i="19" s="1"/>
  <c r="D48" i="18"/>
  <c r="K32" i="19"/>
  <c r="F35" i="8"/>
  <c r="B5" i="8" s="1"/>
  <c r="J25" i="19" l="1"/>
  <c r="L25" i="19" s="1"/>
  <c r="K34" i="19"/>
  <c r="K30" i="19"/>
  <c r="J33" i="19"/>
  <c r="L33" i="19" s="1"/>
  <c r="C51" i="18"/>
  <c r="C54" i="18" s="1"/>
  <c r="B20" i="18"/>
  <c r="J23" i="19"/>
  <c r="L23" i="19" s="1"/>
  <c r="J42" i="19"/>
  <c r="K68" i="19"/>
  <c r="K21" i="19"/>
  <c r="J66" i="19"/>
  <c r="J19" i="19"/>
  <c r="L19" i="19" s="1"/>
  <c r="K37" i="19"/>
  <c r="J54" i="19"/>
  <c r="J53" i="19"/>
  <c r="J45" i="19"/>
  <c r="K43" i="19"/>
  <c r="J29" i="19"/>
  <c r="L29" i="19" s="1"/>
  <c r="K35" i="19"/>
  <c r="J67" i="19"/>
  <c r="K36" i="19"/>
  <c r="K55" i="19"/>
  <c r="K59" i="19"/>
  <c r="K52" i="19"/>
  <c r="J49" i="19"/>
  <c r="J63" i="19"/>
  <c r="K62" i="19"/>
  <c r="J62" i="19"/>
  <c r="H35" i="8"/>
  <c r="B6" i="8" s="1"/>
  <c r="D77" i="18" s="1"/>
  <c r="F18" i="19"/>
  <c r="I18" i="19" s="1"/>
  <c r="K28" i="19"/>
  <c r="J28" i="19"/>
  <c r="L28" i="19" s="1"/>
  <c r="J20" i="19"/>
  <c r="L20" i="19" s="1"/>
  <c r="K20" i="19"/>
  <c r="K44" i="19"/>
  <c r="J65" i="19"/>
  <c r="K65" i="19"/>
  <c r="J22" i="19"/>
  <c r="L22" i="19" s="1"/>
  <c r="K22" i="19"/>
  <c r="K56" i="19"/>
  <c r="J56" i="19"/>
  <c r="J48" i="19"/>
  <c r="K48" i="19"/>
  <c r="J61" i="19"/>
  <c r="K61" i="19"/>
  <c r="J39" i="19"/>
  <c r="K50" i="19"/>
  <c r="J50" i="19"/>
  <c r="K58" i="19"/>
  <c r="J58" i="19"/>
  <c r="J47" i="19"/>
  <c r="K47" i="19"/>
  <c r="J51" i="19"/>
  <c r="K51" i="19"/>
  <c r="J40" i="19"/>
  <c r="K40" i="19"/>
  <c r="J60" i="19"/>
  <c r="K60" i="19"/>
  <c r="J41" i="19"/>
  <c r="J64" i="19"/>
  <c r="J31" i="19"/>
  <c r="L31" i="19" s="1"/>
  <c r="K38" i="19"/>
  <c r="J38" i="19"/>
  <c r="K46" i="19"/>
  <c r="J46" i="19"/>
  <c r="K57" i="19"/>
  <c r="J57" i="19"/>
  <c r="K27" i="19"/>
  <c r="J27" i="19"/>
  <c r="L27" i="19" s="1"/>
  <c r="J18" i="19" l="1"/>
  <c r="L18" i="19" s="1"/>
  <c r="D12" i="19" s="1"/>
  <c r="G12" i="19" s="1"/>
  <c r="K18" i="19"/>
  <c r="D11" i="19" s="1"/>
  <c r="D78" i="18" s="1"/>
  <c r="B7" i="14"/>
  <c r="D51" i="18"/>
  <c r="D54" i="18" s="1"/>
  <c r="B5" i="19"/>
  <c r="D6" i="19" s="1"/>
  <c r="B19" i="18"/>
  <c r="F7" i="20" l="1"/>
  <c r="E19" i="18"/>
  <c r="I12" i="19"/>
  <c r="F77" i="18"/>
  <c r="G77" i="18"/>
  <c r="H6" i="19"/>
  <c r="G79" i="18"/>
  <c r="B22" i="18"/>
  <c r="B23" i="18"/>
  <c r="F10" i="20" s="1"/>
  <c r="F11" i="19"/>
  <c r="G11" i="19"/>
  <c r="F12" i="19"/>
  <c r="D79" i="18"/>
  <c r="D5" i="19"/>
  <c r="D13" i="19"/>
  <c r="G13" i="19" s="1"/>
  <c r="I13" i="19" s="1"/>
  <c r="D7" i="14"/>
  <c r="B25" i="14"/>
  <c r="C38" i="14"/>
  <c r="F38" i="14" s="1"/>
  <c r="F69" i="18" s="1"/>
  <c r="F6" i="20" l="1"/>
  <c r="F9" i="20"/>
  <c r="H11" i="19"/>
  <c r="H78" i="18" s="1"/>
  <c r="H12" i="19"/>
  <c r="H79" i="18" s="1"/>
  <c r="J6" i="19"/>
  <c r="G80" i="18"/>
  <c r="I11" i="19"/>
  <c r="F6" i="19"/>
  <c r="G78" i="18"/>
  <c r="F78" i="18"/>
  <c r="F5" i="19"/>
  <c r="F13" i="19"/>
  <c r="H13" i="19" s="1"/>
  <c r="H80" i="18" s="1"/>
  <c r="D80" i="18"/>
  <c r="C29" i="14"/>
  <c r="C32" i="14"/>
  <c r="C31" i="14"/>
  <c r="C28" i="14"/>
  <c r="C30" i="14"/>
  <c r="C69" i="18"/>
  <c r="E38" i="14"/>
  <c r="E69" i="18" s="1"/>
  <c r="H5" i="19"/>
  <c r="F79" i="18"/>
  <c r="E30" i="14" l="1"/>
  <c r="F61" i="18" s="1"/>
  <c r="E61" i="18"/>
  <c r="E59" i="18"/>
  <c r="C41" i="14"/>
  <c r="F41" i="14" s="1"/>
  <c r="F72" i="18" s="1"/>
  <c r="C33" i="14"/>
  <c r="C40" i="14"/>
  <c r="F40" i="14" s="1"/>
  <c r="F71" i="18" s="1"/>
  <c r="C39" i="14"/>
  <c r="F39" i="14" s="1"/>
  <c r="F70" i="18" s="1"/>
  <c r="E28" i="14"/>
  <c r="E31" i="14"/>
  <c r="F62" i="18" s="1"/>
  <c r="E62" i="18"/>
  <c r="E63" i="18"/>
  <c r="E32" i="14"/>
  <c r="F63" i="18" s="1"/>
  <c r="E29" i="14"/>
  <c r="F60" i="18" s="1"/>
  <c r="E60" i="18"/>
  <c r="J5" i="19"/>
  <c r="F80" i="18"/>
  <c r="E39" i="14" l="1"/>
  <c r="E70" i="18" s="1"/>
  <c r="C70" i="18"/>
  <c r="E40" i="14"/>
  <c r="E71" i="18" s="1"/>
  <c r="C71" i="18"/>
  <c r="C72" i="18"/>
  <c r="E41" i="14"/>
  <c r="E72" i="18" s="1"/>
  <c r="F59" i="18"/>
  <c r="F64" i="18" s="1"/>
  <c r="B9" i="14"/>
  <c r="E33" i="14"/>
  <c r="E64" i="18"/>
  <c r="D9" i="14" l="1"/>
  <c r="E35" i="18" s="1"/>
  <c r="F14" i="20" s="1"/>
  <c r="E33" i="18"/>
  <c r="D8" i="14"/>
  <c r="E34" i="18" s="1"/>
  <c r="F13" i="20" s="1"/>
  <c r="E20" i="18" l="1"/>
  <c r="F12" i="20"/>
</calcChain>
</file>

<file path=xl/sharedStrings.xml><?xml version="1.0" encoding="utf-8"?>
<sst xmlns="http://schemas.openxmlformats.org/spreadsheetml/2006/main" count="2525" uniqueCount="1137">
  <si>
    <t>Oregon Mode-Based Benefit-Cost Calculator</t>
    <phoneticPr fontId="1" type="noConversion"/>
  </si>
  <si>
    <r>
      <t xml:space="preserve">This is an Oregon mode-based benefit-cost calculator that analyzes benefit and cost streams, equity impacts, and sensitivity analysis of transportation scenarios, produced as a part of the </t>
    </r>
    <r>
      <rPr>
        <b/>
        <sz val="12"/>
        <color theme="1"/>
        <rFont val="Calibri"/>
        <family val="2"/>
      </rPr>
      <t xml:space="preserve">Oregon Transportation Benefit-Cost Analysis - Mode-Based Benefit-Cost Analysis Calculator </t>
    </r>
    <r>
      <rPr>
        <sz val="12"/>
        <color theme="1"/>
        <rFont val="Calibri"/>
        <family val="2"/>
      </rPr>
      <t xml:space="preserve">project (funded by ODOT Climate Office).  Before starting the calculator, review the ODOT BCA Framework conventions on baseline parameters, expression, discounting and converting, benefit calculations, cost reporting, equity analysis, and sensitivity test. The accompanying Technical Documentation summarizes how this calculator operates, the assumptions and the exclusions/limitations embedded in the calculator, and how the main default parameters were constructed. Detailed methodological guidance and bibliographies can be found in the other companion documents – Part 1 - Literature and Best Practices Review and Part 2 – BCA Framework. </t>
    </r>
  </si>
  <si>
    <t>Structure</t>
  </si>
  <si>
    <t>Calculator tabs</t>
  </si>
  <si>
    <t>Role</t>
  </si>
  <si>
    <t>Read Me</t>
  </si>
  <si>
    <t>Overview, structure of calculator and calculator legend</t>
  </si>
  <si>
    <t>START</t>
  </si>
  <si>
    <t>Core inputs and analysis results; equity analysis at a glance and benefits by category at a glance</t>
  </si>
  <si>
    <t>Scenario Inputs</t>
  </si>
  <si>
    <t>Central user-input interface for core settings, annual mileage changes, total PV net cost, benefit-specific controls, equity settings, and sensitivity test values.  </t>
  </si>
  <si>
    <t>Output Summary</t>
  </si>
  <si>
    <t>Concise reporting of scenario inputs, baseline parameters, core economic results, benefit categories, equity results, sensitivity results, affected-mile measures, and visual summaries.</t>
  </si>
  <si>
    <t>Baseline</t>
  </si>
  <si>
    <t>Dollar year, opening year, analysis period, realization profile, growth assumption, and discounting timeline.</t>
  </si>
  <si>
    <t>Parameter Library</t>
  </si>
  <si>
    <t>Reusable Oregon-specific or adopted defaults used by the automated calculations.</t>
  </si>
  <si>
    <t>Travel Time Savings; Safety; VOC; Emissions; Health; Noise</t>
  </si>
  <si>
    <t>Benefit-specific calculation tabs that convert scenario mileage changes and selected settings into annual and present-value benefits.</t>
  </si>
  <si>
    <t>Equity Welfare</t>
  </si>
  <si>
    <t>Welfare weighting using income groups and elasticity values.</t>
  </si>
  <si>
    <t>Sensitivity</t>
  </si>
  <si>
    <t>One-at-a-time tests for discount rate, analysis period, and aggregate benefits.</t>
  </si>
  <si>
    <t>Calculator Legend</t>
  </si>
  <si>
    <t>Input Required</t>
  </si>
  <si>
    <t>Required input values</t>
  </si>
  <si>
    <t>Default (adjustable)</t>
  </si>
  <si>
    <t>Default values provided but may be adjusted by user</t>
  </si>
  <si>
    <t>Input Optional</t>
  </si>
  <si>
    <t>Optional input values when scenario adjustments are required</t>
  </si>
  <si>
    <t>Formula</t>
  </si>
  <si>
    <t>Calculated automatically; do not overwrite</t>
  </si>
  <si>
    <t>Linked reference</t>
  </si>
  <si>
    <t>Pulled from another tab or parameter library</t>
  </si>
  <si>
    <t>Output</t>
  </si>
  <si>
    <t>Decision-relevant result</t>
  </si>
  <si>
    <t>Creators &amp; Version Info</t>
  </si>
  <si>
    <t>Creators</t>
  </si>
  <si>
    <t>Jenny H. Liu, Ph.D. &amp; Hyeoncheol Kim</t>
  </si>
  <si>
    <t>Organization</t>
  </si>
  <si>
    <t>Portland State University (PSU)</t>
  </si>
  <si>
    <t>Contact Info</t>
  </si>
  <si>
    <t>jenny.liu@pdx.edu</t>
  </si>
  <si>
    <t>Date Created</t>
  </si>
  <si>
    <t>Date Updated</t>
  </si>
  <si>
    <t>Version</t>
  </si>
  <si>
    <t>v1.0</t>
  </si>
  <si>
    <t>START - Basic Inputs and Outputs</t>
  </si>
  <si>
    <t>Core inputs</t>
    <phoneticPr fontId="1" type="noConversion"/>
  </si>
  <si>
    <t>Core outputs</t>
  </si>
  <si>
    <t>Mode</t>
    <phoneticPr fontId="1" type="noConversion"/>
  </si>
  <si>
    <t>Annual mileage change</t>
    <phoneticPr fontId="1" type="noConversion"/>
  </si>
  <si>
    <t>Unit</t>
    <phoneticPr fontId="1" type="noConversion"/>
  </si>
  <si>
    <t>Total impacted person miles</t>
  </si>
  <si>
    <t>Automobile</t>
    <phoneticPr fontId="1" type="noConversion"/>
  </si>
  <si>
    <t>vehicle-miles/year</t>
    <phoneticPr fontId="1" type="noConversion"/>
  </si>
  <si>
    <t>Outputs</t>
    <phoneticPr fontId="1" type="noConversion"/>
  </si>
  <si>
    <t>Value</t>
    <phoneticPr fontId="1" type="noConversion"/>
  </si>
  <si>
    <t>Transit</t>
    <phoneticPr fontId="1" type="noConversion"/>
  </si>
  <si>
    <t>passenger-miles/year</t>
  </si>
  <si>
    <t>PV benefit / mile</t>
    <phoneticPr fontId="1" type="noConversion"/>
  </si>
  <si>
    <t>Walking</t>
    <phoneticPr fontId="1" type="noConversion"/>
  </si>
  <si>
    <t>person-miles/year</t>
  </si>
  <si>
    <t>Present value of benefits</t>
    <phoneticPr fontId="1" type="noConversion"/>
  </si>
  <si>
    <t>Cycling</t>
    <phoneticPr fontId="1" type="noConversion"/>
  </si>
  <si>
    <t>Present value of costs</t>
  </si>
  <si>
    <t>(Note: The above assumptions update automatically if Default (adjustable) inputs are adjusted.)</t>
  </si>
  <si>
    <t>NPV</t>
    <phoneticPr fontId="1" type="noConversion"/>
  </si>
  <si>
    <t>BC Ratio</t>
    <phoneticPr fontId="1" type="noConversion"/>
  </si>
  <si>
    <t>Equity-weighted PV benefits</t>
  </si>
  <si>
    <t>Equity-weighted NPV</t>
  </si>
  <si>
    <t>Equity-weighted BC Ratio</t>
    <phoneticPr fontId="1" type="noConversion"/>
  </si>
  <si>
    <t>Benefits at a glance</t>
  </si>
  <si>
    <t>Equity analysis results at a glance</t>
    <phoneticPr fontId="1" type="noConversion"/>
  </si>
  <si>
    <t>Use this tab to define the scenario-specific inputs and calculation settings used throughout the analysis. Enter annual mileage changes, provide the total present-value net cost when applicable, and select or adjust the relevant benefit, equity, and sensitivity settings. Use the provided defaults unless scenario-specific information supports a different value. Reusable technical and valuation parameters are maintained in the Baseline and Parameter Library tabs.</t>
    <phoneticPr fontId="1" type="noConversion"/>
  </si>
  <si>
    <t>Primary real discount rate</t>
    <phoneticPr fontId="1" type="noConversion"/>
  </si>
  <si>
    <t>%</t>
    <phoneticPr fontId="1" type="noConversion"/>
  </si>
  <si>
    <t>Framework range 3–7%; discount-rate sensitivity remains required</t>
    <phoneticPr fontId="1" type="noConversion"/>
  </si>
  <si>
    <t>Analysis period</t>
    <phoneticPr fontId="1" type="noConversion"/>
  </si>
  <si>
    <t>years</t>
    <phoneticPr fontId="1" type="noConversion"/>
  </si>
  <si>
    <t>Typically 20–30; up to 50 when justified</t>
    <phoneticPr fontId="1" type="noConversion"/>
  </si>
  <si>
    <t>Geography</t>
    <phoneticPr fontId="1" type="noConversion"/>
  </si>
  <si>
    <t>Statewide</t>
  </si>
  <si>
    <t>Identify an analysis region (Statewide, Urban, Rural)</t>
    <phoneticPr fontId="1" type="noConversion"/>
  </si>
  <si>
    <t>Equity required</t>
    <phoneticPr fontId="1" type="noConversion"/>
  </si>
  <si>
    <t>Yes</t>
  </si>
  <si>
    <t>Equity control to add the equity analysis</t>
    <phoneticPr fontId="1" type="noConversion"/>
  </si>
  <si>
    <t>Sign convention</t>
    <phoneticPr fontId="1" type="noConversion"/>
  </si>
  <si>
    <t>Notes</t>
    <phoneticPr fontId="1" type="noConversion"/>
  </si>
  <si>
    <t>Alternative - Base</t>
  </si>
  <si>
    <t>Cost input</t>
    <phoneticPr fontId="1" type="noConversion"/>
  </si>
  <si>
    <t>Inclusion treatment</t>
    <phoneticPr fontId="1" type="noConversion"/>
  </si>
  <si>
    <t>If yes, enter Total PV net cost</t>
    <phoneticPr fontId="1" type="noConversion"/>
  </si>
  <si>
    <t>Total PV net cost</t>
    <phoneticPr fontId="1" type="noConversion"/>
  </si>
  <si>
    <t>2024$ present value</t>
    <phoneticPr fontId="1" type="noConversion"/>
  </si>
  <si>
    <t>Enter the total present value net cost</t>
  </si>
  <si>
    <t>Travel Time Savings controls</t>
    <phoneticPr fontId="1" type="noConversion"/>
  </si>
  <si>
    <t>Travel scope</t>
    <phoneticPr fontId="1" type="noConversion"/>
  </si>
  <si>
    <t>Local</t>
  </si>
  <si>
    <t>Travel purpose</t>
    <phoneticPr fontId="1" type="noConversion"/>
  </si>
  <si>
    <t>All purposes</t>
  </si>
  <si>
    <t>Time calculation basis</t>
    <phoneticPr fontId="1" type="noConversion"/>
  </si>
  <si>
    <t>Annual time-savings input</t>
    <phoneticPr fontId="1" type="noConversion"/>
  </si>
  <si>
    <t>Guidance</t>
    <phoneticPr fontId="1" type="noConversion"/>
  </si>
  <si>
    <t>Mileage-derived</t>
  </si>
  <si>
    <t>person-hours/year</t>
  </si>
  <si>
    <t xml:space="preserve">Positive = additional time savings; Negative = additional delay.
</t>
    <phoneticPr fontId="1" type="noConversion"/>
  </si>
  <si>
    <t>Use additional or direct total time only when supported by analysis/model output.</t>
  </si>
  <si>
    <t>Direct total time replaces the mileage-derived TTS time effect.</t>
    <phoneticPr fontId="1" type="noConversion"/>
  </si>
  <si>
    <t>Leave at zero for a purely mileage-derived calculation.</t>
  </si>
  <si>
    <t>Safety, VOC, Noise controls</t>
    <phoneticPr fontId="1" type="noConversion"/>
  </si>
  <si>
    <t>Facility type</t>
    <phoneticPr fontId="1" type="noConversion"/>
  </si>
  <si>
    <t>Interstate</t>
  </si>
  <si>
    <t>VOC vehicle type</t>
    <phoneticPr fontId="1" type="noConversion"/>
  </si>
  <si>
    <t>Passenger vehicle</t>
  </si>
  <si>
    <t>Noise vehicle type</t>
    <phoneticPr fontId="1" type="noConversion"/>
  </si>
  <si>
    <t>Automobile</t>
  </si>
  <si>
    <t>Emission controls</t>
    <phoneticPr fontId="1" type="noConversion"/>
  </si>
  <si>
    <t>Include CO2e?</t>
    <phoneticPr fontId="1" type="noConversion"/>
  </si>
  <si>
    <t>Social Cost of Carbon case</t>
    <phoneticPr fontId="1" type="noConversion"/>
  </si>
  <si>
    <t>Reference 2.0%</t>
  </si>
  <si>
    <t>Equity analysis controls</t>
    <phoneticPr fontId="1" type="noConversion"/>
  </si>
  <si>
    <t>Primary elasticity</t>
  </si>
  <si>
    <t>Income basis</t>
  </si>
  <si>
    <t>Calculator default</t>
  </si>
  <si>
    <t>Lower elasticity</t>
  </si>
  <si>
    <t>Distribution method</t>
    <phoneticPr fontId="1" type="noConversion"/>
  </si>
  <si>
    <t>Equal</t>
  </si>
  <si>
    <t>Higher elasticity</t>
  </si>
  <si>
    <t>Number of selected quintile</t>
    <phoneticPr fontId="1" type="noConversion"/>
  </si>
  <si>
    <t>Income group</t>
    <phoneticPr fontId="1" type="noConversion"/>
  </si>
  <si>
    <t>Average income used</t>
    <phoneticPr fontId="1" type="noConversion"/>
  </si>
  <si>
    <t>scenario-specific income input</t>
  </si>
  <si>
    <t>Allocation treatment</t>
    <phoneticPr fontId="1" type="noConversion"/>
  </si>
  <si>
    <t>Lowest Quintile (0-20%)</t>
  </si>
  <si>
    <t>2024$/household/year</t>
  </si>
  <si>
    <t>Second Quintile (20%-40%)</t>
  </si>
  <si>
    <t>Third Quintile (40%-60%)</t>
  </si>
  <si>
    <t>Fourth Quintile (60%-80%)</t>
  </si>
  <si>
    <t>Highest Quintile (80%-100%)</t>
  </si>
  <si>
    <t>Internal helper</t>
  </si>
  <si>
    <t>Value</t>
  </si>
  <si>
    <t>Area designation</t>
    <phoneticPr fontId="1" type="noConversion"/>
  </si>
  <si>
    <t>Q1</t>
  </si>
  <si>
    <t>Q2</t>
  </si>
  <si>
    <t>Q3</t>
  </si>
  <si>
    <t>Q4</t>
  </si>
  <si>
    <t>Q5</t>
  </si>
  <si>
    <t>Geography index</t>
  </si>
  <si>
    <t>scenario-specific completeness</t>
  </si>
  <si>
    <t>Urban</t>
  </si>
  <si>
    <t>Rural</t>
  </si>
  <si>
    <t>Sensitivity controls</t>
    <phoneticPr fontId="1" type="noConversion"/>
  </si>
  <si>
    <t>Stage 1 test</t>
    <phoneticPr fontId="1" type="noConversion"/>
  </si>
  <si>
    <t>Include?</t>
    <phoneticPr fontId="1" type="noConversion"/>
  </si>
  <si>
    <t>Basis</t>
    <phoneticPr fontId="1" type="noConversion"/>
  </si>
  <si>
    <t>Test value</t>
    <phoneticPr fontId="1" type="noConversion"/>
  </si>
  <si>
    <t>Discount rate</t>
    <phoneticPr fontId="1" type="noConversion"/>
  </si>
  <si>
    <t>Baseline rate</t>
  </si>
  <si>
    <t>Framework range; hold other assumptions constant.</t>
    <phoneticPr fontId="1" type="noConversion"/>
  </si>
  <si>
    <t>Analysis period</t>
  </si>
  <si>
    <t>Use a horizon appropriate to asset life and benefit timing.</t>
    <phoneticPr fontId="1" type="noConversion"/>
  </si>
  <si>
    <t>Aggregate benefits</t>
  </si>
  <si>
    <t>Use a documented range reflecting demand, valuation, and behavioral uncertainty.</t>
    <phoneticPr fontId="1" type="noConversion"/>
  </si>
  <si>
    <t>Oregon Mode-Based Benefit-Cost Analysis | Final Report Summary</t>
  </si>
  <si>
    <t>1. Baseline and core mileage inputs</t>
    <phoneticPr fontId="1" type="noConversion"/>
  </si>
  <si>
    <t>Baseline parameter</t>
    <phoneticPr fontId="1" type="noConversion"/>
  </si>
  <si>
    <t>Mileage input</t>
    <phoneticPr fontId="1" type="noConversion"/>
  </si>
  <si>
    <t>Optional parameter</t>
    <phoneticPr fontId="1" type="noConversion"/>
  </si>
  <si>
    <t>Dollar year</t>
  </si>
  <si>
    <t>Travel scope</t>
  </si>
  <si>
    <t>Analysis start</t>
  </si>
  <si>
    <t>Transit</t>
  </si>
  <si>
    <t>Travel purpose</t>
  </si>
  <si>
    <t>Opening year</t>
  </si>
  <si>
    <t>Walking</t>
  </si>
  <si>
    <t>Safety facility</t>
  </si>
  <si>
    <t>Real discount rate</t>
  </si>
  <si>
    <t>Cycling</t>
  </si>
  <si>
    <t>Noise vehicle type</t>
  </si>
  <si>
    <t>Geography</t>
  </si>
  <si>
    <t>CO2e included?</t>
  </si>
  <si>
    <t>Equity required</t>
  </si>
  <si>
    <t>SCC case</t>
  </si>
  <si>
    <t>PV net cost</t>
  </si>
  <si>
    <t>2. Core analysis results</t>
    <phoneticPr fontId="1" type="noConversion"/>
  </si>
  <si>
    <t>Base (unweighted) result</t>
    <phoneticPr fontId="1" type="noConversion"/>
  </si>
  <si>
    <t>Benefit per mile</t>
    <phoneticPr fontId="1" type="noConversion"/>
  </si>
  <si>
    <t>Present value of benefits</t>
  </si>
  <si>
    <t>PV benefit / total affected person-mile</t>
    <phoneticPr fontId="1" type="noConversion"/>
  </si>
  <si>
    <t>First operating-year benefits</t>
  </si>
  <si>
    <t>Weighted PV benefit / discounted affected person-mile</t>
    <phoneticPr fontId="1" type="noConversion"/>
  </si>
  <si>
    <t>Net present value</t>
  </si>
  <si>
    <t>Benefit-cost ratio</t>
  </si>
  <si>
    <t>Affected mile</t>
    <phoneticPr fontId="1" type="noConversion"/>
  </si>
  <si>
    <t>Steady-state affected person-miles</t>
  </si>
  <si>
    <t>First operating-year affected person-miles</t>
  </si>
  <si>
    <t>Total affected person-miles</t>
    <phoneticPr fontId="1" type="noConversion"/>
  </si>
  <si>
    <t>3. Equity analysis results</t>
    <phoneticPr fontId="1" type="noConversion"/>
  </si>
  <si>
    <t>Equity controls</t>
    <phoneticPr fontId="1" type="noConversion"/>
  </si>
  <si>
    <t>Equity weighted result</t>
    <phoneticPr fontId="1" type="noConversion"/>
  </si>
  <si>
    <t>Equity-weighted BCR</t>
  </si>
  <si>
    <t>Equity distribution method</t>
  </si>
  <si>
    <t>4. Benefit results by category</t>
    <phoneticPr fontId="1" type="noConversion"/>
  </si>
  <si>
    <t>Benefit</t>
    <phoneticPr fontId="1" type="noConversion"/>
  </si>
  <si>
    <t>Steady-state annual benefit</t>
    <phoneticPr fontId="1" type="noConversion"/>
  </si>
  <si>
    <t>First operating-year benefit</t>
    <phoneticPr fontId="1" type="noConversion"/>
  </si>
  <si>
    <t>Present value</t>
    <phoneticPr fontId="1" type="noConversion"/>
  </si>
  <si>
    <t>Travel Time Savings</t>
  </si>
  <si>
    <t>Safety</t>
  </si>
  <si>
    <t>VOC</t>
  </si>
  <si>
    <t>Emissions</t>
  </si>
  <si>
    <t>Health</t>
  </si>
  <si>
    <t>Noise</t>
  </si>
  <si>
    <t>Total benefits</t>
  </si>
  <si>
    <t>5. Equity distribution results</t>
    <phoneticPr fontId="1" type="noConversion"/>
  </si>
  <si>
    <t>Average income</t>
    <phoneticPr fontId="1" type="noConversion"/>
  </si>
  <si>
    <t>Benefit share</t>
    <phoneticPr fontId="1" type="noConversion"/>
  </si>
  <si>
    <t>Welfare weight</t>
    <phoneticPr fontId="1" type="noConversion"/>
  </si>
  <si>
    <t>Unweighted benefit</t>
    <phoneticPr fontId="1" type="noConversion"/>
  </si>
  <si>
    <t>Weighted benefit</t>
    <phoneticPr fontId="1" type="noConversion"/>
  </si>
  <si>
    <t>Lowest Quintile</t>
    <phoneticPr fontId="1" type="noConversion"/>
  </si>
  <si>
    <t>Second Quintile</t>
    <phoneticPr fontId="1" type="noConversion"/>
  </si>
  <si>
    <t>Third Quintile</t>
    <phoneticPr fontId="1" type="noConversion"/>
  </si>
  <si>
    <t>Fourth Quintile</t>
    <phoneticPr fontId="1" type="noConversion"/>
  </si>
  <si>
    <t>Highest Quintile</t>
    <phoneticPr fontId="1" type="noConversion"/>
  </si>
  <si>
    <t>Total</t>
    <phoneticPr fontId="1" type="noConversion"/>
  </si>
  <si>
    <t>6. Equity elasticity sensitivity</t>
    <phoneticPr fontId="1" type="noConversion"/>
  </si>
  <si>
    <t>Scenario</t>
    <phoneticPr fontId="1" type="noConversion"/>
  </si>
  <si>
    <t>Elasticity</t>
    <phoneticPr fontId="1" type="noConversion"/>
  </si>
  <si>
    <t>Weighted benefits</t>
    <phoneticPr fontId="1" type="noConversion"/>
  </si>
  <si>
    <t>PV costs</t>
    <phoneticPr fontId="1" type="noConversion"/>
  </si>
  <si>
    <t>Weighted NPV</t>
    <phoneticPr fontId="1" type="noConversion"/>
  </si>
  <si>
    <t>Weighted BCR</t>
    <phoneticPr fontId="1" type="noConversion"/>
  </si>
  <si>
    <t>No weighting</t>
  </si>
  <si>
    <t>7. Sensitivity test results</t>
    <phoneticPr fontId="1" type="noConversion"/>
  </si>
  <si>
    <t>Parameter</t>
    <phoneticPr fontId="1" type="noConversion"/>
  </si>
  <si>
    <t>Base value</t>
    <phoneticPr fontId="1" type="noConversion"/>
  </si>
  <si>
    <t>PV benefits</t>
    <phoneticPr fontId="1" type="noConversion"/>
  </si>
  <si>
    <t>BCR</t>
    <phoneticPr fontId="1" type="noConversion"/>
  </si>
  <si>
    <t>NPV change</t>
    <phoneticPr fontId="1" type="noConversion"/>
  </si>
  <si>
    <t>Base results</t>
    <phoneticPr fontId="1" type="noConversion"/>
  </si>
  <si>
    <t>-</t>
    <phoneticPr fontId="1" type="noConversion"/>
  </si>
  <si>
    <t>Baseline parameters</t>
    <phoneticPr fontId="1" type="noConversion"/>
  </si>
  <si>
    <t>Confirm the constant-dollar year, analysis start, opening year, analysis period, real discount rate, growth or escalation assumptions, and ramp-up profile before entering benefits or costs. These settings implement the framework's common timing and present-value conventions across every calculation tab.</t>
    <phoneticPr fontId="1" type="noConversion"/>
  </si>
  <si>
    <t>Baseline Parameters and Assumptions</t>
    <phoneticPr fontId="1" type="noConversion"/>
  </si>
  <si>
    <t>GDP Deflator</t>
    <phoneticPr fontId="1" type="noConversion"/>
  </si>
  <si>
    <t>Year</t>
    <phoneticPr fontId="1" type="noConversion"/>
  </si>
  <si>
    <t>GDP deflator</t>
    <phoneticPr fontId="1" type="noConversion"/>
  </si>
  <si>
    <t>Multiplier to 2024$</t>
    <phoneticPr fontId="1" type="noConversion"/>
  </si>
  <si>
    <t>Dollar base year</t>
  </si>
  <si>
    <t>year</t>
  </si>
  <si>
    <t>All values must use this constant-dollar year</t>
  </si>
  <si>
    <t>Analysis start year</t>
  </si>
  <si>
    <t>Present-value year and first modeled year</t>
  </si>
  <si>
    <t>Opening / implementation year</t>
  </si>
  <si>
    <t>Benefits and O&amp;M begin in this year</t>
  </si>
  <si>
    <t>Real annual benefit growth</t>
  </si>
  <si>
    <t>%</t>
  </si>
  <si>
    <t>Use only for documented real growth, not inflation</t>
  </si>
  <si>
    <t>First-year benefit realization</t>
    <phoneticPr fontId="1" type="noConversion"/>
  </si>
  <si>
    <t>Share of steady-state benefits in opening year</t>
  </si>
  <si>
    <t>Second-year benefit realization</t>
    <phoneticPr fontId="1" type="noConversion"/>
  </si>
  <si>
    <t>Share of steady-state benefits in second year</t>
  </si>
  <si>
    <t>Full-effect year</t>
    <phoneticPr fontId="1" type="noConversion"/>
  </si>
  <si>
    <t>Applied thereafter</t>
  </si>
  <si>
    <t>Analysis end year</t>
  </si>
  <si>
    <t>Calculated</t>
  </si>
  <si>
    <t>Master annual timeline</t>
  </si>
  <si>
    <t>Calendar year</t>
  </si>
  <si>
    <t>Analysis year</t>
  </si>
  <si>
    <t>Operating?</t>
  </si>
  <si>
    <t>Realization factor</t>
    <phoneticPr fontId="1" type="noConversion"/>
  </si>
  <si>
    <t>Growth factor</t>
    <phoneticPr fontId="1" type="noConversion"/>
  </si>
  <si>
    <t>Discount factor</t>
  </si>
  <si>
    <t>Parameter library</t>
    <phoneticPr fontId="1" type="noConversion"/>
  </si>
  <si>
    <t>Review each category band before using monetized values. Confirm the parameter's definition, unit, dollar year, geography, source vintage, and applicability to the scenario; replace a default only with a documented value of equal or better relevance. The library includes both monetized unit values and underlying technical assumptions so analysts can reproduce or update the framework calculations.</t>
  </si>
  <si>
    <t>Assumptions</t>
    <phoneticPr fontId="1" type="noConversion"/>
  </si>
  <si>
    <t>ID</t>
  </si>
  <si>
    <t>Category Flag</t>
    <phoneticPr fontId="1" type="noConversion"/>
  </si>
  <si>
    <t>Parameter</t>
  </si>
  <si>
    <t>Geography designation</t>
    <phoneticPr fontId="1" type="noConversion"/>
  </si>
  <si>
    <t>Description</t>
    <phoneticPr fontId="1" type="noConversion"/>
  </si>
  <si>
    <t>Unit</t>
  </si>
  <si>
    <t>Source</t>
  </si>
  <si>
    <t>Notes</t>
  </si>
  <si>
    <t>Annualization Factor</t>
    <phoneticPr fontId="1" type="noConversion"/>
  </si>
  <si>
    <t>General</t>
    <phoneticPr fontId="1" type="noConversion"/>
  </si>
  <si>
    <t>Calendar days</t>
    <phoneticPr fontId="1" type="noConversion"/>
  </si>
  <si>
    <t>days/year</t>
  </si>
  <si>
    <t>Day-to-Annual conversion</t>
    <phoneticPr fontId="1" type="noConversion"/>
  </si>
  <si>
    <t>Workdays</t>
    <phoneticPr fontId="1" type="noConversion"/>
  </si>
  <si>
    <t>Standard working days per year</t>
    <phoneticPr fontId="1" type="noConversion"/>
  </si>
  <si>
    <t>Weekday service</t>
    <phoneticPr fontId="1" type="noConversion"/>
  </si>
  <si>
    <t>Annual weekday service days</t>
    <phoneticPr fontId="1" type="noConversion"/>
  </si>
  <si>
    <t>Work hours</t>
    <phoneticPr fontId="1" type="noConversion"/>
  </si>
  <si>
    <t>hour</t>
    <phoneticPr fontId="1" type="noConversion"/>
  </si>
  <si>
    <t>Standard full-time work hours per year</t>
    <phoneticPr fontId="1" type="noConversion"/>
  </si>
  <si>
    <t>Employer Costs for Employee Compensation</t>
    <phoneticPr fontId="1" type="noConversion"/>
  </si>
  <si>
    <t>Employer costs for employee compensation, all</t>
    <phoneticPr fontId="1" type="noConversion"/>
  </si>
  <si>
    <t>factor</t>
    <phoneticPr fontId="1" type="noConversion"/>
  </si>
  <si>
    <t>BLS Employer Costs for Employee Compensation (March, 2024)</t>
    <phoneticPr fontId="1" type="noConversion"/>
  </si>
  <si>
    <t>Total compensation/Wages and Salaries of Civilian workers</t>
    <phoneticPr fontId="1" type="noConversion"/>
  </si>
  <si>
    <t>Employer Costs for Employee Compensation for Transportation and material moving occupation</t>
    <phoneticPr fontId="1" type="noConversion"/>
  </si>
  <si>
    <t>Employer costs for employee compensation, transportation and material moving occupation group</t>
    <phoneticPr fontId="1" type="noConversion"/>
  </si>
  <si>
    <t>Total compensation/Wages and Salaries of Transportation and material moving occupation group under Civilian workers</t>
    <phoneticPr fontId="1" type="noConversion"/>
  </si>
  <si>
    <t>Local-personal travel VOTT factor</t>
    <phoneticPr fontId="1" type="noConversion"/>
  </si>
  <si>
    <t>VOTT estimation factor, local travel, personal travel</t>
    <phoneticPr fontId="1" type="noConversion"/>
  </si>
  <si>
    <t>USDOT BCA Guidance (2024)</t>
    <phoneticPr fontId="1" type="noConversion"/>
  </si>
  <si>
    <t>Intercity-personal travel VOTT factor</t>
    <phoneticPr fontId="1" type="noConversion"/>
  </si>
  <si>
    <t>VOTT estimation factor, intercity travel, personal travel</t>
    <phoneticPr fontId="1" type="noConversion"/>
  </si>
  <si>
    <t>Business travel VOTT factor</t>
    <phoneticPr fontId="1" type="noConversion"/>
  </si>
  <si>
    <t>VOTT estimation factor, business travel</t>
    <phoneticPr fontId="1" type="noConversion"/>
  </si>
  <si>
    <t>Air/HSR factor for personal travel</t>
    <phoneticPr fontId="1" type="noConversion"/>
  </si>
  <si>
    <t>Air/HSR factor, personal travel</t>
    <phoneticPr fontId="1" type="noConversion"/>
  </si>
  <si>
    <t>Factor for intercity personal travel VOT using air and high-speed rail</t>
    <phoneticPr fontId="1" type="noConversion"/>
  </si>
  <si>
    <t>Air/HSR factor for business travel</t>
    <phoneticPr fontId="1" type="noConversion"/>
  </si>
  <si>
    <t>Air/HSR factor, business travel</t>
    <phoneticPr fontId="1" type="noConversion"/>
  </si>
  <si>
    <t>Factor for intercity business travel VOT using air and high-speed rail</t>
    <phoneticPr fontId="1" type="noConversion"/>
  </si>
  <si>
    <t>Statewide VMT (statewide)</t>
    <phoneticPr fontId="1" type="noConversion"/>
  </si>
  <si>
    <t>Statewide</t>
    <phoneticPr fontId="1" type="noConversion"/>
  </si>
  <si>
    <t>Oregon statewide VMT, statewide</t>
    <phoneticPr fontId="1" type="noConversion"/>
  </si>
  <si>
    <t>million VMT/year</t>
  </si>
  <si>
    <t>ODOT Traffic Counting (2024)</t>
    <phoneticPr fontId="1" type="noConversion"/>
  </si>
  <si>
    <t>Factor for crash rates</t>
    <phoneticPr fontId="1" type="noConversion"/>
  </si>
  <si>
    <t>Statewide VMT (urban)</t>
    <phoneticPr fontId="1" type="noConversion"/>
  </si>
  <si>
    <t>Urban</t>
    <phoneticPr fontId="1" type="noConversion"/>
  </si>
  <si>
    <t>Oregon statewide VMT, urban</t>
    <phoneticPr fontId="1" type="noConversion"/>
  </si>
  <si>
    <t>FHWA Highway Statistics (2024)</t>
    <phoneticPr fontId="1" type="noConversion"/>
  </si>
  <si>
    <t>Statewide VMT (rural)</t>
    <phoneticPr fontId="1" type="noConversion"/>
  </si>
  <si>
    <t>Rural</t>
    <phoneticPr fontId="1" type="noConversion"/>
  </si>
  <si>
    <t>Oregon statewide VMT, rural</t>
    <phoneticPr fontId="1" type="noConversion"/>
  </si>
  <si>
    <t>Walking population share (aged 20-74)</t>
    <phoneticPr fontId="1" type="noConversion"/>
  </si>
  <si>
    <t>Population share aged 20-74</t>
    <phoneticPr fontId="1" type="noConversion"/>
  </si>
  <si>
    <t>ACS 1-year Estimate (2024)</t>
    <phoneticPr fontId="1" type="noConversion"/>
  </si>
  <si>
    <t>Assumed proportion of the population falling into age range for walking</t>
    <phoneticPr fontId="1" type="noConversion"/>
  </si>
  <si>
    <t>Cycling population share (aged 20-74)</t>
    <phoneticPr fontId="1" type="noConversion"/>
  </si>
  <si>
    <t>Population share aged 20-64</t>
    <phoneticPr fontId="1" type="noConversion"/>
  </si>
  <si>
    <t>Assumed proportion of the population falling into the age range for cycling</t>
    <phoneticPr fontId="1" type="noConversion"/>
  </si>
  <si>
    <t>Pollutant conversion factor</t>
    <phoneticPr fontId="1" type="noConversion"/>
  </si>
  <si>
    <t>Conversion factor (metric ton vs. short ton)</t>
    <phoneticPr fontId="1" type="noConversion"/>
  </si>
  <si>
    <t>EIA</t>
    <phoneticPr fontId="1" type="noConversion"/>
  </si>
  <si>
    <t>Factor for converting pollutant amount between metric ton and short ton</t>
    <phoneticPr fontId="1" type="noConversion"/>
  </si>
  <si>
    <t>Transit operating speed</t>
    <phoneticPr fontId="1" type="noConversion"/>
  </si>
  <si>
    <t>mile/hour</t>
    <phoneticPr fontId="1" type="noConversion"/>
  </si>
  <si>
    <t>FTA NTD (2024)</t>
    <phoneticPr fontId="1" type="noConversion"/>
  </si>
  <si>
    <t>Aggregated fixed-route transit operating speed; Exclude Demand Response, Vanpool, Aerial Tramway</t>
    <phoneticPr fontId="1" type="noConversion"/>
  </si>
  <si>
    <t>Work hours per day</t>
    <phoneticPr fontId="1" type="noConversion"/>
  </si>
  <si>
    <t>hours/day</t>
    <phoneticPr fontId="1" type="noConversion"/>
  </si>
  <si>
    <t>Income &amp; Wage</t>
    <phoneticPr fontId="1" type="noConversion"/>
  </si>
  <si>
    <t>Median household income (statewide)</t>
    <phoneticPr fontId="1" type="noConversion"/>
  </si>
  <si>
    <t>Median household income, households, statewide</t>
    <phoneticPr fontId="1" type="noConversion"/>
  </si>
  <si>
    <t>2024$</t>
    <phoneticPr fontId="1" type="noConversion"/>
  </si>
  <si>
    <t>Median household income (urban)</t>
    <phoneticPr fontId="1" type="noConversion"/>
  </si>
  <si>
    <t>Median household income, households, urban</t>
    <phoneticPr fontId="1" type="noConversion"/>
  </si>
  <si>
    <t>SAIPE (2024)</t>
    <phoneticPr fontId="1" type="noConversion"/>
  </si>
  <si>
    <t>Median household income (rural)</t>
    <phoneticPr fontId="1" type="noConversion"/>
  </si>
  <si>
    <t>Median household income, households, rural</t>
    <phoneticPr fontId="1" type="noConversion"/>
  </si>
  <si>
    <t>Median hourly wage (statewide)</t>
    <phoneticPr fontId="1" type="noConversion"/>
  </si>
  <si>
    <t>Median hourly wage, all occupations, statewide</t>
    <phoneticPr fontId="1" type="noConversion"/>
  </si>
  <si>
    <t>BLS OEWS (2024)</t>
    <phoneticPr fontId="1" type="noConversion"/>
  </si>
  <si>
    <t>Median hourly wage (urban)</t>
    <phoneticPr fontId="1" type="noConversion"/>
  </si>
  <si>
    <t>Median hourly wage, all occupations, urban</t>
    <phoneticPr fontId="1" type="noConversion"/>
  </si>
  <si>
    <t>Median hourly wage (rural)</t>
    <phoneticPr fontId="1" type="noConversion"/>
  </si>
  <si>
    <t>Median hourly wage, all occupations, rural</t>
    <phoneticPr fontId="1" type="noConversion"/>
  </si>
  <si>
    <t>Median hourly wage (Light Truck Drivers)</t>
    <phoneticPr fontId="1" type="noConversion"/>
  </si>
  <si>
    <t>Median hourly wage, Light Truck Drivers</t>
    <phoneticPr fontId="1" type="noConversion"/>
  </si>
  <si>
    <t>Median hourly wage (Heavy and Tractor-Trailer Truck Drivers)</t>
    <phoneticPr fontId="1" type="noConversion"/>
  </si>
  <si>
    <t>Median hourly wage, Heavy and Tractor-Trailer Truck Drivers</t>
    <phoneticPr fontId="1" type="noConversion"/>
  </si>
  <si>
    <t>Median hourly wage (Bus Drivers)</t>
    <phoneticPr fontId="1" type="noConversion"/>
  </si>
  <si>
    <t>Median hourly wage, Bus Drivers</t>
    <phoneticPr fontId="1" type="noConversion"/>
  </si>
  <si>
    <t>Median hourly wage (Subway and Streetcar Operators)</t>
    <phoneticPr fontId="1" type="noConversion"/>
  </si>
  <si>
    <t>Median hourly wage, Subway and Streetcar Operators</t>
    <phoneticPr fontId="1" type="noConversion"/>
  </si>
  <si>
    <t>Median hourly wage (Locomotive engineers)</t>
    <phoneticPr fontId="1" type="noConversion"/>
  </si>
  <si>
    <t>Median hourly wage, Locomotive engineers</t>
    <phoneticPr fontId="1" type="noConversion"/>
  </si>
  <si>
    <t>Average household income - lowest quintile (statewide)</t>
    <phoneticPr fontId="1" type="noConversion"/>
  </si>
  <si>
    <t>Average household income, lowest quintile, statewide</t>
    <phoneticPr fontId="1" type="noConversion"/>
  </si>
  <si>
    <t>2024$/household/year</t>
    <phoneticPr fontId="1" type="noConversion"/>
  </si>
  <si>
    <t>ACS 5-year Estimate (2024)</t>
    <phoneticPr fontId="1" type="noConversion"/>
  </si>
  <si>
    <t>Average household income - second quintile (statewide)</t>
    <phoneticPr fontId="1" type="noConversion"/>
  </si>
  <si>
    <t>Average household income, second quintile, statewide</t>
    <phoneticPr fontId="1" type="noConversion"/>
  </si>
  <si>
    <t>Average household income - third quintile (statewide)</t>
    <phoneticPr fontId="1" type="noConversion"/>
  </si>
  <si>
    <t>Average household income, third quintile, statewide</t>
    <phoneticPr fontId="1" type="noConversion"/>
  </si>
  <si>
    <t>Average household income - fourth quintile (statewide)</t>
    <phoneticPr fontId="1" type="noConversion"/>
  </si>
  <si>
    <t>Average household income, fourth quintile, statewide</t>
    <phoneticPr fontId="1" type="noConversion"/>
  </si>
  <si>
    <t>Average household income - highest quintile (statewide)</t>
    <phoneticPr fontId="1" type="noConversion"/>
  </si>
  <si>
    <t>Average household income, highest quintile, statewide</t>
    <phoneticPr fontId="1" type="noConversion"/>
  </si>
  <si>
    <t>Average household income - lowest quintile (urban)</t>
  </si>
  <si>
    <t>Average household income, lowest quintile, urban</t>
  </si>
  <si>
    <t>Average quintile income aggregated using number of households</t>
    <phoneticPr fontId="1" type="noConversion"/>
  </si>
  <si>
    <t>Average household income - second quintile (urban)</t>
  </si>
  <si>
    <t>Average household income, second quintile, urban</t>
  </si>
  <si>
    <t>Average household income - third quintile (urban)</t>
  </si>
  <si>
    <t>Average household income, third quintile, urban</t>
  </si>
  <si>
    <t>Average household income - fourth quintile (urban)</t>
  </si>
  <si>
    <t>Average household income, fourth quintile, urban</t>
  </si>
  <si>
    <t>Average household income - highest quintile (urban)</t>
  </si>
  <si>
    <t>Average household income, highest quintile, urban</t>
  </si>
  <si>
    <t>Average household income - lowest quintile (rural)</t>
  </si>
  <si>
    <t>Average household income, lowest quintile, rural</t>
  </si>
  <si>
    <t>Average household income - second quintile (rural)</t>
  </si>
  <si>
    <t>Average household income, second quintile, rural</t>
  </si>
  <si>
    <t>Average household income - third quintile (rural)</t>
  </si>
  <si>
    <t>Average household income, third quintile, rural</t>
  </si>
  <si>
    <t>Average household income - fourth quintile (rural)</t>
  </si>
  <si>
    <t>Average household income, fourth quintile, rural</t>
  </si>
  <si>
    <t>Average household income - highest quintile (rural)</t>
  </si>
  <si>
    <t>Average household income, highest quintile, rural</t>
  </si>
  <si>
    <t>Travel Pattern</t>
    <phoneticPr fontId="1" type="noConversion"/>
  </si>
  <si>
    <t>Share of local travel by surface modes (personal)</t>
  </si>
  <si>
    <t>Trip share, local travel, personal travel</t>
    <phoneticPr fontId="1" type="noConversion"/>
  </si>
  <si>
    <t>Oregon Travel Survey (2024)</t>
    <phoneticPr fontId="1" type="noConversion"/>
  </si>
  <si>
    <t>Share of local travel by surface modes (business)</t>
  </si>
  <si>
    <t>Trip share, local travel, business travel</t>
    <phoneticPr fontId="1" type="noConversion"/>
  </si>
  <si>
    <t>Share of intercity travel by surface modes (personal)</t>
  </si>
  <si>
    <t>Trip share, intercity travel, personal travel</t>
    <phoneticPr fontId="1" type="noConversion"/>
  </si>
  <si>
    <t>Share of intercity travel by surface modes (business)</t>
  </si>
  <si>
    <t>Trip share, intercity travel, business travel</t>
    <phoneticPr fontId="1" type="noConversion"/>
  </si>
  <si>
    <t>Automobile mode share (personal)</t>
    <phoneticPr fontId="1" type="noConversion"/>
  </si>
  <si>
    <t>Mode share, automobile, personal travel</t>
    <phoneticPr fontId="1" type="noConversion"/>
  </si>
  <si>
    <t>Walk mode share (personal)</t>
    <phoneticPr fontId="1" type="noConversion"/>
  </si>
  <si>
    <t>Mode share, walk, personal travel</t>
    <phoneticPr fontId="1" type="noConversion"/>
  </si>
  <si>
    <t>Bike mode share (personal)</t>
    <phoneticPr fontId="1" type="noConversion"/>
  </si>
  <si>
    <t>Mode share, bike, personal travel</t>
    <phoneticPr fontId="1" type="noConversion"/>
  </si>
  <si>
    <t>Micromobility mode share (personal)</t>
    <phoneticPr fontId="1" type="noConversion"/>
  </si>
  <si>
    <t>Mode share, micromobility, personal travel</t>
    <phoneticPr fontId="1" type="noConversion"/>
  </si>
  <si>
    <t>Automobile mode share (business)</t>
    <phoneticPr fontId="1" type="noConversion"/>
  </si>
  <si>
    <t>Mode share, automobile, business travel</t>
    <phoneticPr fontId="1" type="noConversion"/>
  </si>
  <si>
    <t>Walk mode share (business)</t>
    <phoneticPr fontId="1" type="noConversion"/>
  </si>
  <si>
    <t>Mode share, walk, business travel</t>
    <phoneticPr fontId="1" type="noConversion"/>
  </si>
  <si>
    <t>Bike mode share (business)</t>
    <phoneticPr fontId="1" type="noConversion"/>
  </si>
  <si>
    <t>Mode share, bike, business travel</t>
    <phoneticPr fontId="1" type="noConversion"/>
  </si>
  <si>
    <t>Micromobility mode share (business)</t>
    <phoneticPr fontId="1" type="noConversion"/>
  </si>
  <si>
    <t>Mode share, micromobility, business travel</t>
    <phoneticPr fontId="1" type="noConversion"/>
  </si>
  <si>
    <t>Automobile mode share (all)</t>
    <phoneticPr fontId="1" type="noConversion"/>
  </si>
  <si>
    <t>Mode share, automobile, all travel</t>
    <phoneticPr fontId="1" type="noConversion"/>
  </si>
  <si>
    <t>Walk mode share (all)</t>
    <phoneticPr fontId="1" type="noConversion"/>
  </si>
  <si>
    <t>Mode share, walk, all travel</t>
    <phoneticPr fontId="1" type="noConversion"/>
  </si>
  <si>
    <t>Bike mode share (all)</t>
    <phoneticPr fontId="1" type="noConversion"/>
  </si>
  <si>
    <t>Mode share, bike, all travel</t>
    <phoneticPr fontId="1" type="noConversion"/>
  </si>
  <si>
    <t>Micromobility mode share (all)</t>
    <phoneticPr fontId="1" type="noConversion"/>
  </si>
  <si>
    <t>Mode share, micromobility, all travel</t>
    <phoneticPr fontId="1" type="noConversion"/>
  </si>
  <si>
    <t>Average trip length (auto)</t>
    <phoneticPr fontId="1" type="noConversion"/>
  </si>
  <si>
    <t>Average trip length, automobile, statewide</t>
    <phoneticPr fontId="1" type="noConversion"/>
  </si>
  <si>
    <t>mile/trip</t>
    <phoneticPr fontId="1" type="noConversion"/>
  </si>
  <si>
    <t>Average trip length (walk)</t>
    <phoneticPr fontId="1" type="noConversion"/>
  </si>
  <si>
    <t>Average trip length, walk, statewide</t>
    <phoneticPr fontId="1" type="noConversion"/>
  </si>
  <si>
    <t>Average trip length (bike)</t>
    <phoneticPr fontId="1" type="noConversion"/>
  </si>
  <si>
    <t>Average trip length, bike, statewide</t>
    <phoneticPr fontId="1" type="noConversion"/>
  </si>
  <si>
    <t>Average trip duration (auto)</t>
    <phoneticPr fontId="1" type="noConversion"/>
  </si>
  <si>
    <t>Average trip duration, automobile, statewide</t>
    <phoneticPr fontId="1" type="noConversion"/>
  </si>
  <si>
    <t>minute/trip</t>
    <phoneticPr fontId="1" type="noConversion"/>
  </si>
  <si>
    <t>Average trip duration (walk)</t>
  </si>
  <si>
    <t>Average trip duration, walk, statewide</t>
    <phoneticPr fontId="1" type="noConversion"/>
  </si>
  <si>
    <t>Average trip duration (bike)</t>
  </si>
  <si>
    <t>Average trip duration, bike, statewide</t>
    <phoneticPr fontId="1" type="noConversion"/>
  </si>
  <si>
    <t>Share of commute trips (walk)</t>
    <phoneticPr fontId="1" type="noConversion"/>
  </si>
  <si>
    <t>Commute trip share, walk</t>
    <phoneticPr fontId="1" type="noConversion"/>
  </si>
  <si>
    <t>Share of commute trips (bike)</t>
    <phoneticPr fontId="1" type="noConversion"/>
  </si>
  <si>
    <t>Commute trip share, bike</t>
    <phoneticPr fontId="1" type="noConversion"/>
  </si>
  <si>
    <t>Annual commute trips per employed worker (walk)</t>
    <phoneticPr fontId="1" type="noConversion"/>
  </si>
  <si>
    <t>Annual commute trips per employed worker, walk</t>
    <phoneticPr fontId="1" type="noConversion"/>
  </si>
  <si>
    <t>trips/worker/year</t>
    <phoneticPr fontId="1" type="noConversion"/>
  </si>
  <si>
    <t>Annual commute trips per employed worker (bike)</t>
    <phoneticPr fontId="1" type="noConversion"/>
  </si>
  <si>
    <t>Annual commute trips per employed worker, bike</t>
    <phoneticPr fontId="1" type="noConversion"/>
  </si>
  <si>
    <t>Vehicle Occupancy</t>
    <phoneticPr fontId="1" type="noConversion"/>
  </si>
  <si>
    <t>Vehicle occupancy (statewide)</t>
    <phoneticPr fontId="1" type="noConversion"/>
  </si>
  <si>
    <t>VOR</t>
    <phoneticPr fontId="1" type="noConversion"/>
  </si>
  <si>
    <t>persons/vehicle</t>
  </si>
  <si>
    <t>Vehicle occupancy (urban)</t>
    <phoneticPr fontId="1" type="noConversion"/>
  </si>
  <si>
    <t>VOR, urban</t>
    <phoneticPr fontId="1" type="noConversion"/>
  </si>
  <si>
    <t>Vehicle occupancy (rural)</t>
    <phoneticPr fontId="1" type="noConversion"/>
  </si>
  <si>
    <t>VOR, rural</t>
    <phoneticPr fontId="1" type="noConversion"/>
  </si>
  <si>
    <t>Vehicle occupancy - Weekday peak (statewide)</t>
    <phoneticPr fontId="1" type="noConversion"/>
  </si>
  <si>
    <t>VOR, weekday, peak</t>
    <phoneticPr fontId="1" type="noConversion"/>
  </si>
  <si>
    <t>Vehicle occupancy - Weekday off-peak (statewide)</t>
    <phoneticPr fontId="1" type="noConversion"/>
  </si>
  <si>
    <t>VOR, weekday, off-peak</t>
    <phoneticPr fontId="1" type="noConversion"/>
  </si>
  <si>
    <t>Vehicle occupancy - Weekday peak (urban)</t>
    <phoneticPr fontId="1" type="noConversion"/>
  </si>
  <si>
    <t>VOR, weekday, peak, urban</t>
    <phoneticPr fontId="1" type="noConversion"/>
  </si>
  <si>
    <t>Vehicle occupancy - Weekday peak (rural)</t>
    <phoneticPr fontId="1" type="noConversion"/>
  </si>
  <si>
    <t>VOR, weekday, peak, rural</t>
    <phoneticPr fontId="1" type="noConversion"/>
  </si>
  <si>
    <t>Vehicle occupancy - Weekday off-peak (urban)</t>
    <phoneticPr fontId="1" type="noConversion"/>
  </si>
  <si>
    <t>VOR, weekday, off-peak, urban</t>
    <phoneticPr fontId="1" type="noConversion"/>
  </si>
  <si>
    <t>Vehicle occupancy - Weekday off-peak (rural)</t>
    <phoneticPr fontId="1" type="noConversion"/>
  </si>
  <si>
    <t>VOR, weekday, off-peak, rural</t>
    <phoneticPr fontId="1" type="noConversion"/>
  </si>
  <si>
    <t>Vehicle occupancy - Weekend</t>
    <phoneticPr fontId="1" type="noConversion"/>
  </si>
  <si>
    <t>VOR, weekend</t>
    <phoneticPr fontId="1" type="noConversion"/>
  </si>
  <si>
    <t>Vehicle fleet</t>
    <phoneticPr fontId="1" type="noConversion"/>
  </si>
  <si>
    <t>Vehicle fleet share - gasoline (statewide)</t>
    <phoneticPr fontId="1" type="noConversion"/>
  </si>
  <si>
    <t>Vehicle fleet share, gasoline, statewide</t>
    <phoneticPr fontId="1" type="noConversion"/>
  </si>
  <si>
    <t>Oregon DMV (2024)</t>
    <phoneticPr fontId="1" type="noConversion"/>
  </si>
  <si>
    <t>Registration-based proxy; Oregon ZIPs only; Other and Not Applicable fuel type excluded; supported fuel shares normalized to 100%.</t>
    <phoneticPr fontId="1" type="noConversion"/>
  </si>
  <si>
    <t>Vehicle fleet share - diesel (statewide)</t>
    <phoneticPr fontId="1" type="noConversion"/>
  </si>
  <si>
    <t>Vehicle fleet share, diesel, statewide</t>
    <phoneticPr fontId="1" type="noConversion"/>
  </si>
  <si>
    <t>Vehicle fleet share - electric (statewide)</t>
    <phoneticPr fontId="1" type="noConversion"/>
  </si>
  <si>
    <t>Vehicle fleet share, electric, statewide</t>
    <phoneticPr fontId="1" type="noConversion"/>
  </si>
  <si>
    <t>Vehicle fleet share - gasoline (urban)</t>
  </si>
  <si>
    <t>Vehicle fleet share, gasoline, urban</t>
  </si>
  <si>
    <t>Vehicle fleet share - diesel (urban)</t>
  </si>
  <si>
    <t>Vehicle fleet share, diesel, urban</t>
  </si>
  <si>
    <t>Vehicle fleet share - electric (urban)</t>
  </si>
  <si>
    <t>Vehicle fleet share, electric, urban</t>
  </si>
  <si>
    <t>Vehicle fleet share - gasoline (rural)</t>
  </si>
  <si>
    <t>Vehicle fleet share, gasoline, rural</t>
  </si>
  <si>
    <t>Vehicle fleet share - diesel (rural)</t>
  </si>
  <si>
    <t>Vehicle fleet share, diesel, rural</t>
  </si>
  <si>
    <t>Vehicle fleet share - electric (rural)</t>
  </si>
  <si>
    <t>Vehicle fleet share, electric, rural</t>
  </si>
  <si>
    <t>Value of Travel Time</t>
    <phoneticPr fontId="1" type="noConversion"/>
  </si>
  <si>
    <t>Local travel VOTT (personal)</t>
    <phoneticPr fontId="1" type="noConversion"/>
  </si>
  <si>
    <t>Value of travel time, local travel, personal travel, statewide</t>
    <phoneticPr fontId="1" type="noConversion"/>
  </si>
  <si>
    <t>2024$/person-hour</t>
  </si>
  <si>
    <t>Calculated (ACS 1-year Estimate (2024), USDOT BCA Guidance (2024))</t>
    <phoneticPr fontId="1" type="noConversion"/>
  </si>
  <si>
    <t>(Median household income/work hours)*VOTT estimation factor</t>
    <phoneticPr fontId="1" type="noConversion"/>
  </si>
  <si>
    <t>Local travel VOTT (business)</t>
  </si>
  <si>
    <t>Value of travel time, local travel, business travel, statewide</t>
    <phoneticPr fontId="1" type="noConversion"/>
  </si>
  <si>
    <t>Median hourly wage*ECEC*VOTT estimation factor</t>
    <phoneticPr fontId="1" type="noConversion"/>
  </si>
  <si>
    <t>Local travel VOTT (all purposes)</t>
  </si>
  <si>
    <t>Value of travel time, local travel, all travel, statewide</t>
    <phoneticPr fontId="1" type="noConversion"/>
  </si>
  <si>
    <t>Average value of local travel by surface modes share</t>
  </si>
  <si>
    <t>Intercity travel VOTT (personal)</t>
  </si>
  <si>
    <t>Value of travel time, intercity travel, personal travel, statewide</t>
    <phoneticPr fontId="1" type="noConversion"/>
  </si>
  <si>
    <t>Intercity travel VOTT (business)</t>
  </si>
  <si>
    <t>Value of travel time, intercity travel, business travel, statewide</t>
    <phoneticPr fontId="1" type="noConversion"/>
  </si>
  <si>
    <t>Intercity travel VOTT (all purposes)</t>
  </si>
  <si>
    <t>Value of travel time, intercity travel, all travel, statewide</t>
    <phoneticPr fontId="1" type="noConversion"/>
  </si>
  <si>
    <t>Average value of intercity travel by surface modes share</t>
    <phoneticPr fontId="1" type="noConversion"/>
  </si>
  <si>
    <t>Local travel VOTT (personal) - urban</t>
    <phoneticPr fontId="1" type="noConversion"/>
  </si>
  <si>
    <t>Value of travel time, local travel, personal travel, urban</t>
    <phoneticPr fontId="1" type="noConversion"/>
  </si>
  <si>
    <t>Local travel VOTT (personal) - rural</t>
    <phoneticPr fontId="1" type="noConversion"/>
  </si>
  <si>
    <t>Value of travel time, local travel, personal travel, rural</t>
    <phoneticPr fontId="1" type="noConversion"/>
  </si>
  <si>
    <t>Local travel VOTT (business) - urban</t>
  </si>
  <si>
    <t>Value of travel time, local travel, business travel, urban</t>
  </si>
  <si>
    <t>Local travel VOTT (business) - rural</t>
  </si>
  <si>
    <t>Value of travel time, local travel, business travel, rural</t>
  </si>
  <si>
    <t>Local travel VOTT (all purposes) - urban</t>
    <phoneticPr fontId="1" type="noConversion"/>
  </si>
  <si>
    <t>Value of travel time, local travel, all travel, urban</t>
    <phoneticPr fontId="1" type="noConversion"/>
  </si>
  <si>
    <t>Local travel VOTT (all purposes) - rural</t>
    <phoneticPr fontId="1" type="noConversion"/>
  </si>
  <si>
    <t>Value of travel time, local travel, all travel, rural</t>
    <phoneticPr fontId="1" type="noConversion"/>
  </si>
  <si>
    <t>Intercity travel VOTT (personal) - urban</t>
    <phoneticPr fontId="1" type="noConversion"/>
  </si>
  <si>
    <t>Value of travel time, intercity travel, personal travel, urban</t>
    <phoneticPr fontId="1" type="noConversion"/>
  </si>
  <si>
    <t>Intercity travel VOTT (personal) - rural</t>
    <phoneticPr fontId="1" type="noConversion"/>
  </si>
  <si>
    <t>Value of travel time, intercity travel, personal travel, rural</t>
    <phoneticPr fontId="1" type="noConversion"/>
  </si>
  <si>
    <t>Intercity travel VOTT (business) - urban</t>
  </si>
  <si>
    <t>Value of travel time, intercity travel, business travel, urban</t>
  </si>
  <si>
    <t>Intercity travel VOTT (business) - rural</t>
  </si>
  <si>
    <t>Value of travel time, intercity travel, business travel, rural</t>
  </si>
  <si>
    <t>Intercity travel VOTT (all purposes) - urban</t>
  </si>
  <si>
    <t>Value of travel time, intercity travel, all travel, urban</t>
    <phoneticPr fontId="1" type="noConversion"/>
  </si>
  <si>
    <t>Intercity travel VOTT (all purposes) - rural</t>
  </si>
  <si>
    <t>Value of travel time, intercity travel, all travel, rural</t>
    <phoneticPr fontId="1" type="noConversion"/>
  </si>
  <si>
    <t>Truck drivers VOTT (business)</t>
    <phoneticPr fontId="1" type="noConversion"/>
  </si>
  <si>
    <t>Value of time, truck drivers</t>
    <phoneticPr fontId="1" type="noConversion"/>
  </si>
  <si>
    <t>Calculated (BLS Employer Costs for Employee Compensation (March, 2024), BLS OEWS (2024))</t>
    <phoneticPr fontId="1" type="noConversion"/>
  </si>
  <si>
    <t>Employment-weighted average hourly wage of truck drivers (light, heavy)*ECEC</t>
    <phoneticPr fontId="1" type="noConversion"/>
  </si>
  <si>
    <t>Bus drivers VOTT (business)</t>
    <phoneticPr fontId="1" type="noConversion"/>
  </si>
  <si>
    <t>Value of time, bus drivers</t>
    <phoneticPr fontId="1" type="noConversion"/>
  </si>
  <si>
    <t>Total compensation*ECEC</t>
  </si>
  <si>
    <t>Subway and Streetcar Operators VOTT (business)</t>
    <phoneticPr fontId="1" type="noConversion"/>
  </si>
  <si>
    <t>Value of time, subway and streetcar operators</t>
    <phoneticPr fontId="1" type="noConversion"/>
  </si>
  <si>
    <t>Locomotive Engineers VOTT (business)</t>
    <phoneticPr fontId="1" type="noConversion"/>
  </si>
  <si>
    <t>Value of time, locomotive engineers</t>
    <phoneticPr fontId="1" type="noConversion"/>
  </si>
  <si>
    <t>Airline Pilots and Engineers VOTT (business)</t>
    <phoneticPr fontId="1" type="noConversion"/>
  </si>
  <si>
    <t>Value of time, airline pilots and engineers</t>
    <phoneticPr fontId="1" type="noConversion"/>
  </si>
  <si>
    <t>86.7 (2015$)*ECEC*inflation adjustment</t>
    <phoneticPr fontId="1" type="noConversion"/>
  </si>
  <si>
    <t>Walking, Cycling, Waiting, Standing, and Transfer Time</t>
    <phoneticPr fontId="1" type="noConversion"/>
  </si>
  <si>
    <t>Value of time, walking, cycling, waiting, standing, and transfer time, statewide</t>
    <phoneticPr fontId="1" type="noConversion"/>
  </si>
  <si>
    <t>Calculated (ACS 1-year Estimate (2024))</t>
    <phoneticPr fontId="1" type="noConversion"/>
  </si>
  <si>
    <t>(Median household income/work hours)</t>
  </si>
  <si>
    <t>Walking, Cycling, Waiting, Standing, and Transfer Time (urban)</t>
    <phoneticPr fontId="1" type="noConversion"/>
  </si>
  <si>
    <t>Value of time, walking, cycling, waiting, standing, and transfer time, urban</t>
    <phoneticPr fontId="1" type="noConversion"/>
  </si>
  <si>
    <t>Calculated (ACS 1-year Estimate (2024), SAIPE (2024))</t>
    <phoneticPr fontId="1" type="noConversion"/>
  </si>
  <si>
    <t>(Median household income in urban area/work hours)</t>
    <phoneticPr fontId="1" type="noConversion"/>
  </si>
  <si>
    <t>Walking, Cycling, Waiting, Standing, and Transfer Time (rural)</t>
    <phoneticPr fontId="1" type="noConversion"/>
  </si>
  <si>
    <t>Value of time, walking, cycling, waiting, standing, and transfer time, rural</t>
    <phoneticPr fontId="1" type="noConversion"/>
  </si>
  <si>
    <t>(Median household income in rural area/work hours)</t>
    <phoneticPr fontId="1" type="noConversion"/>
  </si>
  <si>
    <t>Safety</t>
    <phoneticPr fontId="1" type="noConversion"/>
  </si>
  <si>
    <t>Number of fatal crashes (urban)</t>
    <phoneticPr fontId="1" type="noConversion"/>
  </si>
  <si>
    <t>Number of crashes, fatal crash, urban</t>
    <phoneticPr fontId="1" type="noConversion"/>
  </si>
  <si>
    <t>crashes/year</t>
    <phoneticPr fontId="1" type="noConversion"/>
  </si>
  <si>
    <t>Oregon Traffic Crash Database (2024)</t>
    <phoneticPr fontId="1" type="noConversion"/>
  </si>
  <si>
    <t>Number of injury crashes (urban)</t>
    <phoneticPr fontId="1" type="noConversion"/>
  </si>
  <si>
    <t>Number of crashes, injury crash, urban</t>
    <phoneticPr fontId="1" type="noConversion"/>
  </si>
  <si>
    <t>Number of PDO crashes (urban)</t>
    <phoneticPr fontId="1" type="noConversion"/>
  </si>
  <si>
    <t>Number of crashes, PDO crash, urban</t>
    <phoneticPr fontId="1" type="noConversion"/>
  </si>
  <si>
    <t>Number of fatal crashes (rural)</t>
  </si>
  <si>
    <t>Number of crashes, fatal crash, rural</t>
    <phoneticPr fontId="1" type="noConversion"/>
  </si>
  <si>
    <t>Number of injury crashes (rural)</t>
  </si>
  <si>
    <t>Number of crashes, injury crash, rural</t>
    <phoneticPr fontId="1" type="noConversion"/>
  </si>
  <si>
    <t>Number of PDO crashes (rural)</t>
    <phoneticPr fontId="1" type="noConversion"/>
  </si>
  <si>
    <t>Number of crashes, PDO crash, rural</t>
    <phoneticPr fontId="1" type="noConversion"/>
  </si>
  <si>
    <t>Number of KABCO-K persons (urban)</t>
    <phoneticPr fontId="1" type="noConversion"/>
  </si>
  <si>
    <t>Number of persons, KABCO-K severity, urban</t>
    <phoneticPr fontId="1" type="noConversion"/>
  </si>
  <si>
    <t>persons/year</t>
    <phoneticPr fontId="1" type="noConversion"/>
  </si>
  <si>
    <t>Number of KABCO-A persons (urban)</t>
  </si>
  <si>
    <t>Number of persons, KABCO-A severity, urban</t>
    <phoneticPr fontId="1" type="noConversion"/>
  </si>
  <si>
    <t>Number of KABCO-B persons (urban)</t>
  </si>
  <si>
    <t>Number of persons, KABCO-B severity, urban</t>
    <phoneticPr fontId="1" type="noConversion"/>
  </si>
  <si>
    <t>Number of KABCO-C persons (urban)</t>
  </si>
  <si>
    <t>Number of persons, KABCO-C severity, urban</t>
    <phoneticPr fontId="1" type="noConversion"/>
  </si>
  <si>
    <t>Number of KABCO-O persons (urban)</t>
  </si>
  <si>
    <t>Number of persons, KABCO-O severity, urban</t>
    <phoneticPr fontId="1" type="noConversion"/>
  </si>
  <si>
    <t>Number of KABCO-K persons (rural)</t>
  </si>
  <si>
    <t>Number of persons, KABCO-K severity, rural</t>
    <phoneticPr fontId="1" type="noConversion"/>
  </si>
  <si>
    <t>Number of KABCO-A persons (rural)</t>
  </si>
  <si>
    <t>Number of persons, KABCO-A severity, rural</t>
    <phoneticPr fontId="1" type="noConversion"/>
  </si>
  <si>
    <t>Number of KABCO-B persons (rural)</t>
  </si>
  <si>
    <t>Number of persons, KABCO-B severity, rural</t>
    <phoneticPr fontId="1" type="noConversion"/>
  </si>
  <si>
    <t>Number of KABCO-C persons (rural)</t>
  </si>
  <si>
    <t>Number of persons, KABCO-C severity, rural</t>
    <phoneticPr fontId="1" type="noConversion"/>
  </si>
  <si>
    <t>Number of KABCO-O persons (rural)</t>
  </si>
  <si>
    <t>Number of persons, KABCO-O severity, rural</t>
    <phoneticPr fontId="1" type="noConversion"/>
  </si>
  <si>
    <t>Fatal crash rates (statewide)</t>
    <phoneticPr fontId="1" type="noConversion"/>
  </si>
  <si>
    <t>Crash rates, fatal crash, statewide</t>
  </si>
  <si>
    <t>crashes/million VMT</t>
    <phoneticPr fontId="1" type="noConversion"/>
  </si>
  <si>
    <t>Calculated (Oregon Traffic Crash Database (2024), ODOT Traffic Counting (2024))</t>
    <phoneticPr fontId="1" type="noConversion"/>
  </si>
  <si>
    <t>Injury crash rates (statewide)</t>
  </si>
  <si>
    <t>Crash rates, injury crash, statewide</t>
  </si>
  <si>
    <t>PDO crash rates (statewide)</t>
  </si>
  <si>
    <t>Crash rates, PDO crash, statewide</t>
  </si>
  <si>
    <t>Fatal crash rates (urban)</t>
    <phoneticPr fontId="1" type="noConversion"/>
  </si>
  <si>
    <t>Crash rates, fatal crash, urban</t>
    <phoneticPr fontId="1" type="noConversion"/>
  </si>
  <si>
    <t>Calculated (Oregon Traffic Crash Database (2024), FHWA Highway Statistics (2024))</t>
    <phoneticPr fontId="1" type="noConversion"/>
  </si>
  <si>
    <t>Injury crash rates (urban)</t>
    <phoneticPr fontId="1" type="noConversion"/>
  </si>
  <si>
    <t>Crash rates, injury crash, urban</t>
    <phoneticPr fontId="1" type="noConversion"/>
  </si>
  <si>
    <t>PDO crash rates (urban)</t>
    <phoneticPr fontId="1" type="noConversion"/>
  </si>
  <si>
    <t>Crash rates, PDO crash, urban</t>
    <phoneticPr fontId="1" type="noConversion"/>
  </si>
  <si>
    <t>Fatal crash rates (rural)</t>
  </si>
  <si>
    <t>Crash rates, fatal crash, rural</t>
    <phoneticPr fontId="1" type="noConversion"/>
  </si>
  <si>
    <t>Injury crash rates (rural)</t>
  </si>
  <si>
    <t>Crash rates, injury crash, rural</t>
    <phoneticPr fontId="1" type="noConversion"/>
  </si>
  <si>
    <t>PDO crash rates (rural)</t>
  </si>
  <si>
    <t>Crash rates, PDO crash, rural</t>
    <phoneticPr fontId="1" type="noConversion"/>
  </si>
  <si>
    <t>KABCO-K crash rates (statewide)</t>
  </si>
  <si>
    <t>Crash rates, KABCO-K severity, statewide</t>
  </si>
  <si>
    <t>persons/million VMT</t>
    <phoneticPr fontId="1" type="noConversion"/>
  </si>
  <si>
    <t>KABCO-A crash rates (statewide)</t>
  </si>
  <si>
    <t>Crash rates, KABCO-A severity, statewide</t>
  </si>
  <si>
    <t>KABCO-B crash rates (statewide)</t>
  </si>
  <si>
    <t>Crash rates, KABCO-B severity, statewide</t>
  </si>
  <si>
    <t>KABCO-C crash rates (statewide)</t>
  </si>
  <si>
    <t>Crash rates, KABCO-C severity, statewide</t>
  </si>
  <si>
    <t>KABCO-O crash rates (statewide)</t>
  </si>
  <si>
    <t>Crash rates, KABCO-O severity, statewide</t>
  </si>
  <si>
    <t>KABCO-K crash rates (urban)</t>
    <phoneticPr fontId="1" type="noConversion"/>
  </si>
  <si>
    <t>Crash rates, KABCO-K severity, urban</t>
    <phoneticPr fontId="1" type="noConversion"/>
  </si>
  <si>
    <t>KABCO-A crash rates (urban)</t>
    <phoneticPr fontId="1" type="noConversion"/>
  </si>
  <si>
    <t>Crash rates, KABCO-A severity, urban</t>
    <phoneticPr fontId="1" type="noConversion"/>
  </si>
  <si>
    <t>KABCO-B crash rates (urban)</t>
    <phoneticPr fontId="1" type="noConversion"/>
  </si>
  <si>
    <t>Crash rates, KABCO-B severity, urban</t>
    <phoneticPr fontId="1" type="noConversion"/>
  </si>
  <si>
    <t>KABCO-C crash rates (urban)</t>
    <phoneticPr fontId="1" type="noConversion"/>
  </si>
  <si>
    <t>Crash rates, KABCO-C severity, urban</t>
    <phoneticPr fontId="1" type="noConversion"/>
  </si>
  <si>
    <t>KABCO-O crash rates (urban)</t>
    <phoneticPr fontId="1" type="noConversion"/>
  </si>
  <si>
    <t>Crash rates, KABCO-O severity, urban</t>
    <phoneticPr fontId="1" type="noConversion"/>
  </si>
  <si>
    <t>KABCO-K crash rates (rural)</t>
  </si>
  <si>
    <t>Crash rates, KABCO-K severity, rural</t>
    <phoneticPr fontId="1" type="noConversion"/>
  </si>
  <si>
    <t>KABCO-A crash rates (rural)</t>
  </si>
  <si>
    <t>Crash rates, KABCO-A severity, rural</t>
    <phoneticPr fontId="1" type="noConversion"/>
  </si>
  <si>
    <t>KABCO-B crash rates (rural)</t>
  </si>
  <si>
    <t>Crash rates, KABCO-B severity, rural</t>
    <phoneticPr fontId="1" type="noConversion"/>
  </si>
  <si>
    <t>KABCO-C crash rates (rural)</t>
  </si>
  <si>
    <t>Crash rates, KABCO-C severity, rural</t>
    <phoneticPr fontId="1" type="noConversion"/>
  </si>
  <si>
    <t>KABCO-O crash rates (rural)</t>
  </si>
  <si>
    <t>Crash rates, KABCO-O severity, rural</t>
    <phoneticPr fontId="1" type="noConversion"/>
  </si>
  <si>
    <t>Monetized value per PDO crash</t>
    <phoneticPr fontId="1" type="noConversion"/>
  </si>
  <si>
    <t>Value per crash, PDO crash or KABCO-O severity</t>
    <phoneticPr fontId="1" type="noConversion"/>
  </si>
  <si>
    <t>2024$/crash</t>
    <phoneticPr fontId="1" type="noConversion"/>
  </si>
  <si>
    <t>ODOT Benefit Cost Analysis Form</t>
    <phoneticPr fontId="1" type="noConversion"/>
  </si>
  <si>
    <t>Same value in urban and rural areas</t>
    <phoneticPr fontId="1" type="noConversion"/>
  </si>
  <si>
    <t>Monetized value per Moderate and Minor Injury crash (statewide) - Interstate</t>
  </si>
  <si>
    <t>Value per crash, injury crash or KABCO-B and C severity, interstate, statewide</t>
  </si>
  <si>
    <t>Combined value for injury crash type and KABCO-B and C severity</t>
    <phoneticPr fontId="1" type="noConversion"/>
  </si>
  <si>
    <t>Monetized value per Moderate and Minor Injury crash (statewide) - Other state highway</t>
  </si>
  <si>
    <t>Value per crash, injury crash or KABCO-B and C severity, other state highway, statewide</t>
  </si>
  <si>
    <t>Monetized value per moderate and minor injury crash (statewide) - Off system</t>
  </si>
  <si>
    <t>Value per crash, injury crash or KABCO-B and C severity, off system, statewide</t>
  </si>
  <si>
    <t>Monetized value per Fatal and Serious crash (statewide) - Interstate</t>
  </si>
  <si>
    <t>Value per crash, fatal crash or KABCO-K and A severity, interstate, rural</t>
  </si>
  <si>
    <t>Combined value for fatal crash type and KABCO-K and A severity</t>
    <phoneticPr fontId="1" type="noConversion"/>
  </si>
  <si>
    <t>Monetized value per Fatal and Serious crash (statewide) - Other state highway</t>
  </si>
  <si>
    <t>Value per crash, fatal crash or KABCO-K and A severity, other state highway, rural</t>
  </si>
  <si>
    <t>Monetized value per Fatal and Serious crash (statewide) - Off system</t>
  </si>
  <si>
    <t>Value per crash, fatal crash or KABCO-K and A severity, off system, rural</t>
  </si>
  <si>
    <t>Monetized value per Moderate and Minor Injury crash (urban) - Interstate</t>
    <phoneticPr fontId="1" type="noConversion"/>
  </si>
  <si>
    <t>Value per crash, injury crash or KABCO-B and C severity, interstate, urban</t>
    <phoneticPr fontId="1" type="noConversion"/>
  </si>
  <si>
    <t>Monetized value per Moderate and Minor Injury crash (urban) - Other state highway</t>
    <phoneticPr fontId="1" type="noConversion"/>
  </si>
  <si>
    <t>Value per crash, injury crash or KABCO-B and C severity, other state highway, urban</t>
    <phoneticPr fontId="1" type="noConversion"/>
  </si>
  <si>
    <t>Monetized value per moderate and minor injury crash (urban) - Off system</t>
    <phoneticPr fontId="1" type="noConversion"/>
  </si>
  <si>
    <t>Value per crash, injury crash or KABCO-B and C severity, off system, urban</t>
    <phoneticPr fontId="1" type="noConversion"/>
  </si>
  <si>
    <t>Monetized value per Fatal and Serious crash (urban) - Interstate</t>
    <phoneticPr fontId="1" type="noConversion"/>
  </si>
  <si>
    <t>Value per crash, fatal crash or KABCO-K and A severity, interstate, urban</t>
    <phoneticPr fontId="1" type="noConversion"/>
  </si>
  <si>
    <t>Monetized value per Fatal and Serious crash (urban) - Other state highway</t>
    <phoneticPr fontId="1" type="noConversion"/>
  </si>
  <si>
    <t>Value per crash, fatal crash or KABCO-K and A severity, other state highway, urban</t>
    <phoneticPr fontId="1" type="noConversion"/>
  </si>
  <si>
    <t>Monetized value per Fatal and Serious crash (urban) - Off system</t>
    <phoneticPr fontId="1" type="noConversion"/>
  </si>
  <si>
    <t>Value per crash, fatal crash or KABCO-K and A severity, off system, urban</t>
    <phoneticPr fontId="1" type="noConversion"/>
  </si>
  <si>
    <t>Monetized value per Moderate and Minor Injury crash (rural) - Interstate</t>
  </si>
  <si>
    <t>Value per crash, injury crash or KABCO-B and C severity, interstate, rural</t>
  </si>
  <si>
    <t>Monetized value per Moderate and Minor Injury crash (rural) - Other state highway</t>
  </si>
  <si>
    <t>Value per crash, injury crash or KABCO-B and C severity, other state highway, rural</t>
  </si>
  <si>
    <t>Monetized value per moderate and minor injury crash (rural) - Off system</t>
  </si>
  <si>
    <t>Value per crash, injury crash or KABCO-B and C severity, off system, rural</t>
  </si>
  <si>
    <t>Monetized value per Fatal and Serious crash (rural) - Interstate</t>
  </si>
  <si>
    <t>Monetized value per Fatal and Serious crash (rural) - Other state highway</t>
  </si>
  <si>
    <t>Monetized value per Fatal and Serious crash (rural) - Off system</t>
  </si>
  <si>
    <t>VOC</t>
    <phoneticPr fontId="1" type="noConversion"/>
  </si>
  <si>
    <t>State fuel tax</t>
    <phoneticPr fontId="1" type="noConversion"/>
  </si>
  <si>
    <t>Fuel tax, gasoline, diesel</t>
    <phoneticPr fontId="1" type="noConversion"/>
  </si>
  <si>
    <t>2024$/gallon</t>
    <phoneticPr fontId="1" type="noConversion"/>
  </si>
  <si>
    <t>ODOT</t>
    <phoneticPr fontId="1" type="noConversion"/>
  </si>
  <si>
    <t>Fuel prices (gasoline)</t>
    <phoneticPr fontId="1" type="noConversion"/>
  </si>
  <si>
    <t>Fuel prices, automobile, gasoline</t>
    <phoneticPr fontId="1" type="noConversion"/>
  </si>
  <si>
    <t>AAA Fuel Prices</t>
    <phoneticPr fontId="1" type="noConversion"/>
  </si>
  <si>
    <t>Realtime gasoline prices</t>
    <phoneticPr fontId="1" type="noConversion"/>
  </si>
  <si>
    <t>Federal fuel excise tax (gasoline)</t>
    <phoneticPr fontId="1" type="noConversion"/>
  </si>
  <si>
    <t>Fuel excise tax, federal, gasoline</t>
    <phoneticPr fontId="1" type="noConversion"/>
  </si>
  <si>
    <t>IRS Publication (510)</t>
    <phoneticPr fontId="1" type="noConversion"/>
  </si>
  <si>
    <t>Local fuel tax (gasoline)</t>
    <phoneticPr fontId="1" type="noConversion"/>
  </si>
  <si>
    <t>Local tax, gasoline</t>
    <phoneticPr fontId="1" type="noConversion"/>
  </si>
  <si>
    <t>ODOT Fuel Tax Rates</t>
    <phoneticPr fontId="1" type="noConversion"/>
  </si>
  <si>
    <t>Average value of tax rates on gasoline</t>
    <phoneticPr fontId="1" type="noConversion"/>
  </si>
  <si>
    <t>Fuel prices (diesel)</t>
  </si>
  <si>
    <t>Fuel prices, automobile, diesel</t>
  </si>
  <si>
    <t>Federal fuel excise tax (diesel)</t>
  </si>
  <si>
    <t>Fuel excise tax, federal, diesel</t>
  </si>
  <si>
    <t>Local fuel tax (diesel)</t>
  </si>
  <si>
    <t>Local tax, diesel</t>
  </si>
  <si>
    <t>Average value of tax rates on diesel</t>
    <phoneticPr fontId="1" type="noConversion"/>
  </si>
  <si>
    <t>Depreciation costs</t>
    <phoneticPr fontId="1" type="noConversion"/>
  </si>
  <si>
    <t>2024$/15k mile/year</t>
    <phoneticPr fontId="1" type="noConversion"/>
  </si>
  <si>
    <t>AAA Your Driving Costs</t>
    <phoneticPr fontId="1" type="noConversion"/>
  </si>
  <si>
    <t>2024 weighted average value of all the vehicle type</t>
    <phoneticPr fontId="1" type="noConversion"/>
  </si>
  <si>
    <t>Maintenance, repair &amp; tires costs</t>
    <phoneticPr fontId="1" type="noConversion"/>
  </si>
  <si>
    <t>Value including retail parts &amp; labor for routine maintenance</t>
    <phoneticPr fontId="1" type="noConversion"/>
  </si>
  <si>
    <t>2024$/mile</t>
    <phoneticPr fontId="1" type="noConversion"/>
  </si>
  <si>
    <t>Average costs</t>
    <phoneticPr fontId="1" type="noConversion"/>
  </si>
  <si>
    <t>Fuel cost (gasoline)</t>
  </si>
  <si>
    <t>Fuel costs, gasoline</t>
    <phoneticPr fontId="1" type="noConversion"/>
  </si>
  <si>
    <t>2024$/gal</t>
  </si>
  <si>
    <t>Calculated (ODOT, AAA Fuel Prices, IRS Publication (510), ODOT Fuel Tax Rates)</t>
    <phoneticPr fontId="1" type="noConversion"/>
  </si>
  <si>
    <t>Fuel cost (diesel)</t>
  </si>
  <si>
    <t>Fuel costs, diesel</t>
    <phoneticPr fontId="1" type="noConversion"/>
  </si>
  <si>
    <t>Fuel cost (EV)</t>
  </si>
  <si>
    <t>Fuel costs, EV</t>
    <phoneticPr fontId="1" type="noConversion"/>
  </si>
  <si>
    <t>2024$/mile</t>
  </si>
  <si>
    <t>Non fuel cost (gasoline)</t>
  </si>
  <si>
    <t>Non fuel costs, gasoline</t>
    <phoneticPr fontId="1" type="noConversion"/>
  </si>
  <si>
    <t>Calculated (AAA Your Driving Costs)</t>
    <phoneticPr fontId="1" type="noConversion"/>
  </si>
  <si>
    <t>Mileage-dependent maintenance, repair, tire wear, and depreciation</t>
  </si>
  <si>
    <t>Non fuel cost (diesel)</t>
  </si>
  <si>
    <t>Non fuel costs, diesel</t>
    <phoneticPr fontId="1" type="noConversion"/>
  </si>
  <si>
    <t>American Transportation Research Institute (2025)</t>
    <phoneticPr fontId="1" type="noConversion"/>
  </si>
  <si>
    <t>Mileage-dependent truck operating cost excluding fuel</t>
  </si>
  <si>
    <t>Non fuel cost (EV)</t>
  </si>
  <si>
    <t>Non fuel costs, EV</t>
    <phoneticPr fontId="1" type="noConversion"/>
  </si>
  <si>
    <t>Fuel economy (gasoline) - passenger vehicle (statewide)</t>
    <phoneticPr fontId="1" type="noConversion"/>
  </si>
  <si>
    <t>Fuel economy, gasoline, passenger vehicle, statewide</t>
    <phoneticPr fontId="1" type="noConversion"/>
  </si>
  <si>
    <t>mile/gallon</t>
    <phoneticPr fontId="1" type="noConversion"/>
  </si>
  <si>
    <t>Fuel economy (diesel) - passenger vehicle (statewide)</t>
    <phoneticPr fontId="1" type="noConversion"/>
  </si>
  <si>
    <t>Fuel economy, diesel, passenger vehicle, statewide</t>
    <phoneticPr fontId="1" type="noConversion"/>
  </si>
  <si>
    <t>Fuel economy (gasoline) - motorcycle (statewide)</t>
    <phoneticPr fontId="1" type="noConversion"/>
  </si>
  <si>
    <t>Fuel economy, gasoline, motorcycle, statewide</t>
    <phoneticPr fontId="1" type="noConversion"/>
  </si>
  <si>
    <t>Fuel economy (diesel) - motorcycle (statewide)</t>
    <phoneticPr fontId="1" type="noConversion"/>
  </si>
  <si>
    <t>Fuel economy, diesel, motorcycle, statewide</t>
    <phoneticPr fontId="1" type="noConversion"/>
  </si>
  <si>
    <t>Fuel economy (gasoline) - truck (statewide)</t>
    <phoneticPr fontId="1" type="noConversion"/>
  </si>
  <si>
    <t>Fuel economy, gasoline, truck, statewide</t>
    <phoneticPr fontId="1" type="noConversion"/>
  </si>
  <si>
    <t>Fuel economy (diesel) - truck (statewide)</t>
    <phoneticPr fontId="1" type="noConversion"/>
  </si>
  <si>
    <t>Fuel economy, diesel, truck, statewide</t>
    <phoneticPr fontId="1" type="noConversion"/>
  </si>
  <si>
    <t>Fuel economy (gasoline) - passenger vehicle (urban)</t>
    <phoneticPr fontId="1" type="noConversion"/>
  </si>
  <si>
    <t>Fuel economy, gasoline, passenger vehicle, urban</t>
    <phoneticPr fontId="1" type="noConversion"/>
  </si>
  <si>
    <t>Fuel economy (diesel) - passenger vehicle (urban)</t>
    <phoneticPr fontId="1" type="noConversion"/>
  </si>
  <si>
    <t>Fuel economy, diesel, passenger vehicle, urban</t>
    <phoneticPr fontId="1" type="noConversion"/>
  </si>
  <si>
    <t>Fuel economy (gasoline) - motorcycle (urban)</t>
    <phoneticPr fontId="1" type="noConversion"/>
  </si>
  <si>
    <t>Fuel economy, gasoline, motorcycle, urban</t>
    <phoneticPr fontId="1" type="noConversion"/>
  </si>
  <si>
    <t>Fuel economy (diesel) - motorcycle (urban)</t>
    <phoneticPr fontId="1" type="noConversion"/>
  </si>
  <si>
    <t>Fuel economy, diesel, motorcycle, urban</t>
    <phoneticPr fontId="1" type="noConversion"/>
  </si>
  <si>
    <t>Fuel economy (gasoline) - truck (urban)</t>
    <phoneticPr fontId="1" type="noConversion"/>
  </si>
  <si>
    <t>Fuel economy, gasoline, truck, urban</t>
    <phoneticPr fontId="1" type="noConversion"/>
  </si>
  <si>
    <t>Fuel economy (diesel) - truck (urban)</t>
    <phoneticPr fontId="1" type="noConversion"/>
  </si>
  <si>
    <t>Fuel economy, diesel, truck, urban</t>
    <phoneticPr fontId="1" type="noConversion"/>
  </si>
  <si>
    <t>Fuel economy (gasoline) - passenger vehicle (rural)</t>
    <phoneticPr fontId="1" type="noConversion"/>
  </si>
  <si>
    <t>Fuel economy, gasoline, passenger vehicle, rural</t>
  </si>
  <si>
    <t>Fuel economy (diesel) - passenger vehicle (rural)</t>
    <phoneticPr fontId="1" type="noConversion"/>
  </si>
  <si>
    <t>Fuel economy, diesel, passenger vehicle, rural</t>
  </si>
  <si>
    <t>Fuel economy (gasoline) - motorcycle (rural)</t>
    <phoneticPr fontId="1" type="noConversion"/>
  </si>
  <si>
    <t>Fuel economy, gasoline, motorcycle, rural</t>
  </si>
  <si>
    <t>Fuel economy (diesel) - motorcycle (rural)</t>
    <phoneticPr fontId="1" type="noConversion"/>
  </si>
  <si>
    <t>Fuel economy, diesel, motorcycle, rural</t>
  </si>
  <si>
    <t>Fuel economy (gasoline) - truck (rural)</t>
    <phoneticPr fontId="1" type="noConversion"/>
  </si>
  <si>
    <t>Fuel economy, gasoline, truck, rural</t>
  </si>
  <si>
    <t>Fuel economy (diesel) - truck (rural)</t>
    <phoneticPr fontId="1" type="noConversion"/>
  </si>
  <si>
    <t>Fuel economy, diesel, truck, rural</t>
  </si>
  <si>
    <t>Transit operating cost per passenger-mile</t>
  </si>
  <si>
    <t>Transit operating cost per passenger mile</t>
    <phoneticPr fontId="1" type="noConversion"/>
  </si>
  <si>
    <t>2024$/passenger-mile</t>
  </si>
  <si>
    <t>Federal Transit Administration NTD Metrics</t>
    <phoneticPr fontId="1" type="noConversion"/>
  </si>
  <si>
    <t>Emission Reductions</t>
    <phoneticPr fontId="1" type="noConversion"/>
  </si>
  <si>
    <t>Annual social cost of carbon</t>
    <phoneticPr fontId="1" type="noConversion"/>
  </si>
  <si>
    <t>Emission year</t>
    <phoneticPr fontId="1" type="noConversion"/>
  </si>
  <si>
    <t>2.5% case</t>
    <phoneticPr fontId="1" type="noConversion"/>
  </si>
  <si>
    <t>Reference 2.0%</t>
    <phoneticPr fontId="1" type="noConversion"/>
  </si>
  <si>
    <t>1.5% case</t>
    <phoneticPr fontId="1" type="noConversion"/>
  </si>
  <si>
    <t>Emission amount (NOx)</t>
    <phoneticPr fontId="1" type="noConversion"/>
  </si>
  <si>
    <t>Emission amount, NOx</t>
    <phoneticPr fontId="1" type="noConversion"/>
  </si>
  <si>
    <t>thousand ton</t>
    <phoneticPr fontId="1" type="noConversion"/>
  </si>
  <si>
    <t>EPA Air Pollutant Emission Trends</t>
    <phoneticPr fontId="1" type="noConversion"/>
  </si>
  <si>
    <t>Aggregated value of highway vehicles and off highway in the data</t>
    <phoneticPr fontId="1" type="noConversion"/>
  </si>
  <si>
    <t>Emission amount (SOx)</t>
    <phoneticPr fontId="1" type="noConversion"/>
  </si>
  <si>
    <t>Emission amount, SOx</t>
    <phoneticPr fontId="1" type="noConversion"/>
  </si>
  <si>
    <t>Aggregated value of highway vehicles and off highway in the data; SO2 represented value in the data</t>
    <phoneticPr fontId="1" type="noConversion"/>
  </si>
  <si>
    <t>Emission amount (PM2.5)</t>
    <phoneticPr fontId="1" type="noConversion"/>
  </si>
  <si>
    <t>Emission amount, PM2.5</t>
    <phoneticPr fontId="1" type="noConversion"/>
  </si>
  <si>
    <t>Emission amount (CO)</t>
    <phoneticPr fontId="1" type="noConversion"/>
  </si>
  <si>
    <t>Emission amount, CO</t>
    <phoneticPr fontId="1" type="noConversion"/>
  </si>
  <si>
    <t>Emission amount (VOC)</t>
    <phoneticPr fontId="1" type="noConversion"/>
  </si>
  <si>
    <t>Emission amount, VOC</t>
    <phoneticPr fontId="1" type="noConversion"/>
  </si>
  <si>
    <t>Emission rate (NOx) - statewide</t>
    <phoneticPr fontId="1" type="noConversion"/>
  </si>
  <si>
    <t>Emission rate, NOx, statewide</t>
    <phoneticPr fontId="1" type="noConversion"/>
  </si>
  <si>
    <t>gram/vehicle-mile</t>
    <phoneticPr fontId="1" type="noConversion"/>
  </si>
  <si>
    <t>Calculated (EPA Air Pollutant Emission Trends, ODOT Traffic Counting (2024), EIA)</t>
    <phoneticPr fontId="1" type="noConversion"/>
  </si>
  <si>
    <t>Emission rate (SOx) - statewide</t>
    <phoneticPr fontId="1" type="noConversion"/>
  </si>
  <si>
    <t>Emission rate, SOx, statewide</t>
    <phoneticPr fontId="1" type="noConversion"/>
  </si>
  <si>
    <t>Emission rate (PM2.5) - statewide</t>
    <phoneticPr fontId="1" type="noConversion"/>
  </si>
  <si>
    <t>Emission rate, PM2.5, statewide</t>
    <phoneticPr fontId="1" type="noConversion"/>
  </si>
  <si>
    <t>Emission rate (CO) - statewide</t>
    <phoneticPr fontId="1" type="noConversion"/>
  </si>
  <si>
    <t>Emission rate, CO, statewide</t>
    <phoneticPr fontId="1" type="noConversion"/>
  </si>
  <si>
    <t>Emission rate (VOC) - statewide</t>
    <phoneticPr fontId="1" type="noConversion"/>
  </si>
  <si>
    <t>Emission rate, VOC, statewide</t>
    <phoneticPr fontId="1" type="noConversion"/>
  </si>
  <si>
    <t>Emission rate (NOx) - urban</t>
    <phoneticPr fontId="1" type="noConversion"/>
  </si>
  <si>
    <t>Emission rate, NOx, urban</t>
    <phoneticPr fontId="1" type="noConversion"/>
  </si>
  <si>
    <t>Calculated (EPA Air Pollutant Emission Trends, FHWA Highway Statistics (2024), EIA)</t>
    <phoneticPr fontId="1" type="noConversion"/>
  </si>
  <si>
    <t>Emission rate (SOx) - urban</t>
    <phoneticPr fontId="1" type="noConversion"/>
  </si>
  <si>
    <t>Emission rate, SOx, urban</t>
    <phoneticPr fontId="1" type="noConversion"/>
  </si>
  <si>
    <t>Emission rate (PM2.5) - urban</t>
    <phoneticPr fontId="1" type="noConversion"/>
  </si>
  <si>
    <t>Emission rate, PM2.5, urban</t>
    <phoneticPr fontId="1" type="noConversion"/>
  </si>
  <si>
    <t>Emission rate (CO) - urban</t>
    <phoneticPr fontId="1" type="noConversion"/>
  </si>
  <si>
    <t>Emission rate, CO, urban</t>
    <phoneticPr fontId="1" type="noConversion"/>
  </si>
  <si>
    <t>Emission rate (VOC) - urban</t>
    <phoneticPr fontId="1" type="noConversion"/>
  </si>
  <si>
    <t>Emission rate, VOC, urban</t>
    <phoneticPr fontId="1" type="noConversion"/>
  </si>
  <si>
    <t>Emission rate (NOx) - rural</t>
  </si>
  <si>
    <t>Emission rate, NOx, rural</t>
  </si>
  <si>
    <t>Emission rate (SOx) - rural</t>
  </si>
  <si>
    <t>Emission rate, SOx, rural</t>
  </si>
  <si>
    <t>Emission rate (PM2.5) - rural</t>
  </si>
  <si>
    <t>Emission rate, PM2.5, rural</t>
  </si>
  <si>
    <t>Emission rate (CO) - rural</t>
  </si>
  <si>
    <t>Emission rate, CO, rural</t>
  </si>
  <si>
    <t>Emission rate (VOC) - rural</t>
  </si>
  <si>
    <t>Emission rate, VOC, rural</t>
  </si>
  <si>
    <t>Emission rates (CO2e) - Passenger car</t>
    <phoneticPr fontId="1" type="noConversion"/>
  </si>
  <si>
    <t>Emission rates, CO2e, passenger car</t>
    <phoneticPr fontId="1" type="noConversion"/>
  </si>
  <si>
    <t>g CO2e/vehicle-mile</t>
    <phoneticPr fontId="1" type="noConversion"/>
  </si>
  <si>
    <t>EPA GHG emission factors hub</t>
    <phoneticPr fontId="1" type="noConversion"/>
  </si>
  <si>
    <t>CO2 equivalent value adjusted by three greenhouse gases (CO2, CH4, N2O) using 100-year global warming potential</t>
    <phoneticPr fontId="1" type="noConversion"/>
  </si>
  <si>
    <t>Emission rates (CO2e) - Light-Duty Truck</t>
    <phoneticPr fontId="1" type="noConversion"/>
  </si>
  <si>
    <t>Emission rates, CO2e, light duty truck</t>
    <phoneticPr fontId="1" type="noConversion"/>
  </si>
  <si>
    <t>Emission costs (NOx)</t>
    <phoneticPr fontId="1" type="noConversion"/>
  </si>
  <si>
    <t>Emission costs per metric ton, NOx</t>
    <phoneticPr fontId="1" type="noConversion"/>
  </si>
  <si>
    <t>2024$/metric ton</t>
  </si>
  <si>
    <t>Emission costs (SOx)</t>
    <phoneticPr fontId="1" type="noConversion"/>
  </si>
  <si>
    <t>Emission costs per metric ton, SOx</t>
    <phoneticPr fontId="1" type="noConversion"/>
  </si>
  <si>
    <t>Emission costs (PM2.5)</t>
    <phoneticPr fontId="1" type="noConversion"/>
  </si>
  <si>
    <t>Emission costs per metric ton, PM2.5</t>
    <phoneticPr fontId="1" type="noConversion"/>
  </si>
  <si>
    <t>Emission costs (CO)</t>
    <phoneticPr fontId="1" type="noConversion"/>
  </si>
  <si>
    <t>Emission costs per metric ton, CO</t>
    <phoneticPr fontId="1" type="noConversion"/>
  </si>
  <si>
    <t>ODOT Mosaic (2014)</t>
    <phoneticPr fontId="1" type="noConversion"/>
  </si>
  <si>
    <t>Emission costs (VOC)</t>
    <phoneticPr fontId="1" type="noConversion"/>
  </si>
  <si>
    <t>Emission costs per metric ton, VOC</t>
    <phoneticPr fontId="1" type="noConversion"/>
  </si>
  <si>
    <t>Health Benefits</t>
    <phoneticPr fontId="1" type="noConversion"/>
  </si>
  <si>
    <t>Share shifted from non-active transportation modes</t>
    <phoneticPr fontId="1" type="noConversion"/>
  </si>
  <si>
    <t>Ridership share shifted from non-active transportation modes</t>
    <phoneticPr fontId="1" type="noConversion"/>
  </si>
  <si>
    <t>Percentage for calculating additional walking and cycling trips from other modes</t>
    <phoneticPr fontId="1" type="noConversion"/>
  </si>
  <si>
    <t>Average annual absences</t>
  </si>
  <si>
    <t>Average annual absences of employees</t>
    <phoneticPr fontId="1" type="noConversion"/>
  </si>
  <si>
    <t>Cal-BC (2022)</t>
    <phoneticPr fontId="1" type="noConversion"/>
  </si>
  <si>
    <t>Short-term sick-leave share</t>
  </si>
  <si>
    <t>Percentage accounted for by short-term sick leave</t>
    <phoneticPr fontId="1" type="noConversion"/>
  </si>
  <si>
    <t>Physical-activity reduction in sick days</t>
  </si>
  <si>
    <t>Percentage of sick days reduced by being active for at least 30 minutes a day</t>
    <phoneticPr fontId="1" type="noConversion"/>
  </si>
  <si>
    <t>Mortality reduction value (walking)</t>
  </si>
  <si>
    <t>Value per induced trips, walking</t>
    <phoneticPr fontId="1" type="noConversion"/>
  </si>
  <si>
    <t>2024$/trip</t>
  </si>
  <si>
    <t>Mortality reduction value (cycle)</t>
  </si>
  <si>
    <t>Value per induced trips, cycle</t>
    <phoneticPr fontId="1" type="noConversion"/>
  </si>
  <si>
    <t>Reduced sick days</t>
  </si>
  <si>
    <t>Reduced sick days of employee</t>
    <phoneticPr fontId="1" type="noConversion"/>
  </si>
  <si>
    <t>Calculated (Cal-BC (2022))</t>
    <phoneticPr fontId="1" type="noConversion"/>
  </si>
  <si>
    <t>Average annual absences*short-term sick-leave share*physical-activity reduction in sick days</t>
  </si>
  <si>
    <t>Noise Pollution</t>
    <phoneticPr fontId="1" type="noConversion"/>
  </si>
  <si>
    <t>Threshold traffic noise level</t>
    <phoneticPr fontId="1" type="noConversion"/>
  </si>
  <si>
    <t>dBA</t>
    <phoneticPr fontId="1" type="noConversion"/>
  </si>
  <si>
    <t>Dodson and Dunleavy (2024)</t>
    <phoneticPr fontId="1" type="noConversion"/>
  </si>
  <si>
    <t>Near-facility housing adjustment</t>
  </si>
  <si>
    <t xml:space="preserve">Adjustment factor for housing located near facilities </t>
    <phoneticPr fontId="1" type="noConversion"/>
  </si>
  <si>
    <t>Housing annualization factor</t>
  </si>
  <si>
    <t xml:space="preserve">Annualization factor </t>
    <phoneticPr fontId="1" type="noConversion"/>
  </si>
  <si>
    <t>Housing-value change per dBA</t>
  </si>
  <si>
    <t>Estimated housing-value change per additional dBA</t>
    <phoneticPr fontId="1" type="noConversion"/>
  </si>
  <si>
    <t>Marginal external cost - Automobiles (statewide)</t>
  </si>
  <si>
    <t>Marginal external noise cost, automobile, statewide</t>
  </si>
  <si>
    <r>
      <t>2024 cents</t>
    </r>
    <r>
      <rPr>
        <sz val="11"/>
        <rFont val="맑은 고딕"/>
        <family val="2"/>
        <charset val="129"/>
      </rPr>
      <t>/</t>
    </r>
    <r>
      <rPr>
        <sz val="11"/>
        <rFont val="Calibri"/>
        <family val="2"/>
      </rPr>
      <t>mile</t>
    </r>
    <phoneticPr fontId="1" type="noConversion"/>
  </si>
  <si>
    <t>FHWA (1997)</t>
    <phoneticPr fontId="1" type="noConversion"/>
  </si>
  <si>
    <t>Marginal external cost - Pickups and Vans (statewide)</t>
  </si>
  <si>
    <t>Marginal external noise cost, pickups and vans, statewide</t>
  </si>
  <si>
    <t>Marginal external cost - Buses (statewide)</t>
  </si>
  <si>
    <t>Marginal external noise cost, buses, statewide</t>
  </si>
  <si>
    <t>Marginal external cost - Single Unit Trucks (statewide)</t>
  </si>
  <si>
    <t>Marginal external noise cost, single unit trucks, statewide</t>
  </si>
  <si>
    <t>Marginal external cost - Combination Trucks (statewide)</t>
  </si>
  <si>
    <t>Marginal external noise cost, combination trucks, statewide</t>
  </si>
  <si>
    <t>Marginal external cost - Automobiles (urban)</t>
    <phoneticPr fontId="1" type="noConversion"/>
  </si>
  <si>
    <t>Marginal external noise cost, automobile, urban</t>
    <phoneticPr fontId="1" type="noConversion"/>
  </si>
  <si>
    <t>Marginal external cost - Pickups and Vans (urban)</t>
    <phoneticPr fontId="1" type="noConversion"/>
  </si>
  <si>
    <t>Marginal external noise cost, pickups and vans, urban</t>
    <phoneticPr fontId="1" type="noConversion"/>
  </si>
  <si>
    <t>Marginal external cost - Buses (urban)</t>
    <phoneticPr fontId="1" type="noConversion"/>
  </si>
  <si>
    <t>Marginal external noise cost, buses, urban</t>
    <phoneticPr fontId="1" type="noConversion"/>
  </si>
  <si>
    <t>Marginal external cost - Single Unit Trucks (urban)</t>
    <phoneticPr fontId="1" type="noConversion"/>
  </si>
  <si>
    <t>Marginal external noise cost, single unit trucks, urban</t>
    <phoneticPr fontId="1" type="noConversion"/>
  </si>
  <si>
    <t>Marginal external cost - Combination Trucks (urban)</t>
    <phoneticPr fontId="1" type="noConversion"/>
  </si>
  <si>
    <t>Marginal external noise cost, combination trucks, urban</t>
    <phoneticPr fontId="1" type="noConversion"/>
  </si>
  <si>
    <t>Marginal external cost - Automobiles (rural)</t>
  </si>
  <si>
    <t>Marginal external noise cost, automobile, rural</t>
  </si>
  <si>
    <t>2024 cents/mile</t>
  </si>
  <si>
    <t>Marginal external cost - Pickups and Vans (rural)</t>
  </si>
  <si>
    <t>Marginal external noise cost, pickups and vans, rural</t>
  </si>
  <si>
    <t>Marginal external cost - Buses (rural)</t>
  </si>
  <si>
    <t>Marginal external noise cost, buses, rural</t>
  </si>
  <si>
    <t>Marginal external cost - Single Unit Trucks (rural)</t>
  </si>
  <si>
    <t>Marginal external noise cost, single unit trucks, rural</t>
  </si>
  <si>
    <t>Marginal external cost - Combination Trucks (rural)</t>
  </si>
  <si>
    <t>Marginal external noise cost, combination trucks, rural</t>
  </si>
  <si>
    <t>Travel Time Savings</t>
    <phoneticPr fontId="1" type="noConversion"/>
  </si>
  <si>
    <t>Calculation summary</t>
    <phoneticPr fontId="1" type="noConversion"/>
  </si>
  <si>
    <t>Steady-state annual benefit</t>
  </si>
  <si>
    <t>First operating-year benefit</t>
  </si>
  <si>
    <t>Present value - total</t>
  </si>
  <si>
    <t>Mode-level calculation</t>
    <phoneticPr fontId="1" type="noConversion"/>
  </si>
  <si>
    <t>Mode</t>
  </si>
  <si>
    <t>Annual mileage change</t>
  </si>
  <si>
    <t>Mileage unit</t>
  </si>
  <si>
    <t>Time basis</t>
  </si>
  <si>
    <t>Mileage-derived time savings</t>
  </si>
  <si>
    <t>Direct/additional time</t>
  </si>
  <si>
    <t>Total time savings</t>
  </si>
  <si>
    <t>Applicable VOTT</t>
  </si>
  <si>
    <t>Annual benefit</t>
  </si>
  <si>
    <t>vehicle-miles/year</t>
  </si>
  <si>
    <t>Internal parameter linkage</t>
    <phoneticPr fontId="1" type="noConversion"/>
  </si>
  <si>
    <t>Helper</t>
    <phoneticPr fontId="1" type="noConversion"/>
  </si>
  <si>
    <t>Occupancy</t>
  </si>
  <si>
    <t>Local personal</t>
  </si>
  <si>
    <t>Local business</t>
  </si>
  <si>
    <t>Local all</t>
  </si>
  <si>
    <t>Intercity personal</t>
  </si>
  <si>
    <t>Intercity business</t>
  </si>
  <si>
    <t>Intercity all</t>
  </si>
  <si>
    <t>Active VOTT</t>
  </si>
  <si>
    <t>Scope index</t>
  </si>
  <si>
    <t>Purpose index</t>
  </si>
  <si>
    <t>VOTT column index</t>
  </si>
  <si>
    <t>Selected regular VOTT</t>
  </si>
  <si>
    <t>Selected active-time VOTT</t>
  </si>
  <si>
    <t>Selected vehicle occupancy</t>
  </si>
  <si>
    <t>Auto ATL</t>
  </si>
  <si>
    <t>Auto ATD</t>
  </si>
  <si>
    <t>Transit operating speed</t>
  </si>
  <si>
    <t>Walk ATL</t>
  </si>
  <si>
    <t>Walk ATD</t>
  </si>
  <si>
    <t>Bike ATL</t>
  </si>
  <si>
    <t>Bike ATD</t>
  </si>
  <si>
    <t>Auto person-mile change</t>
  </si>
  <si>
    <t>Annual benefit stream</t>
    <phoneticPr fontId="1" type="noConversion"/>
  </si>
  <si>
    <t>Calendar year</t>
    <phoneticPr fontId="1" type="noConversion"/>
  </si>
  <si>
    <t>Analysis year</t>
    <phoneticPr fontId="1" type="noConversion"/>
  </si>
  <si>
    <t>Operating?</t>
    <phoneticPr fontId="1" type="noConversion"/>
  </si>
  <si>
    <t>Realization</t>
    <phoneticPr fontId="1" type="noConversion"/>
  </si>
  <si>
    <t>Annual benefit</t>
    <phoneticPr fontId="1" type="noConversion"/>
  </si>
  <si>
    <t>Discount factor</t>
    <phoneticPr fontId="1" type="noConversion"/>
  </si>
  <si>
    <t>PV benefit</t>
    <phoneticPr fontId="1" type="noConversion"/>
  </si>
  <si>
    <t>Safety calculation</t>
    <phoneticPr fontId="1" type="noConversion"/>
  </si>
  <si>
    <t>Severity</t>
  </si>
  <si>
    <t>Crash rate</t>
  </si>
  <si>
    <t>VMT change</t>
  </si>
  <si>
    <t>Avoided crashes</t>
  </si>
  <si>
    <t>Monetized value</t>
  </si>
  <si>
    <t>Fatal / serious</t>
  </si>
  <si>
    <t>Moderate / minor injury</t>
  </si>
  <si>
    <t>PDO</t>
  </si>
  <si>
    <t>Fatal rate</t>
  </si>
  <si>
    <t>Injury rate</t>
  </si>
  <si>
    <t>PDO rate</t>
  </si>
  <si>
    <t>Facility index</t>
  </si>
  <si>
    <t>Annual VMT change</t>
  </si>
  <si>
    <t>Fatal crash rate</t>
  </si>
  <si>
    <t>Injury crash rate</t>
  </si>
  <si>
    <t>Fatal Interstate</t>
  </si>
  <si>
    <t>Fatal Other SH</t>
  </si>
  <si>
    <t>Fatal Off System</t>
  </si>
  <si>
    <t>PDO crash rate</t>
  </si>
  <si>
    <t>Fatal/serious value</t>
  </si>
  <si>
    <t>Moderate/minor value</t>
  </si>
  <si>
    <t>PDO value</t>
  </si>
  <si>
    <t>Injury Interstate</t>
  </si>
  <si>
    <t>Injury Other SH</t>
  </si>
  <si>
    <t>Injury Off System</t>
  </si>
  <si>
    <t>VOC calculation</t>
    <phoneticPr fontId="1" type="noConversion"/>
  </si>
  <si>
    <t>Fuel type</t>
  </si>
  <si>
    <t>Fleet share</t>
  </si>
  <si>
    <t>Fuel economy</t>
  </si>
  <si>
    <t>Unit operating cost</t>
    <phoneticPr fontId="1" type="noConversion"/>
  </si>
  <si>
    <t>Cost change</t>
  </si>
  <si>
    <t>Gasoline</t>
  </si>
  <si>
    <t>Diesel</t>
  </si>
  <si>
    <t>Electric</t>
  </si>
  <si>
    <t>Common automobile non-fuel cost</t>
  </si>
  <si>
    <t>Transit operating cost</t>
    <phoneticPr fontId="1" type="noConversion"/>
  </si>
  <si>
    <t>Gas share</t>
  </si>
  <si>
    <t>Diesel share</t>
  </si>
  <si>
    <t>EV share</t>
  </si>
  <si>
    <t>Fuel-economy vehicle type index</t>
  </si>
  <si>
    <t>Gas mpg</t>
  </si>
  <si>
    <t>Diesel mpg</t>
  </si>
  <si>
    <t>Motorcycle</t>
  </si>
  <si>
    <t>Truck</t>
  </si>
  <si>
    <t>Gas resource cost</t>
  </si>
  <si>
    <t>Diesel resource cost</t>
  </si>
  <si>
    <t>EV cost per mile</t>
  </si>
  <si>
    <t>Common non-fuel cost proxy</t>
  </si>
  <si>
    <t>Non-fuel cost change</t>
  </si>
  <si>
    <t>Annual transit PMT change</t>
    <phoneticPr fontId="1" type="noConversion"/>
  </si>
  <si>
    <t>Transit cost / passenger-mile</t>
  </si>
  <si>
    <t>Criteria-pollutant calculation</t>
    <phoneticPr fontId="1" type="noConversion"/>
  </si>
  <si>
    <t>Pollutant</t>
  </si>
  <si>
    <t>Emission rate</t>
  </si>
  <si>
    <t>Emission change</t>
  </si>
  <si>
    <t>Damage cost</t>
  </si>
  <si>
    <t>NOx</t>
  </si>
  <si>
    <t>SOx</t>
  </si>
  <si>
    <t>PM2.5</t>
  </si>
  <si>
    <t>CO</t>
  </si>
  <si>
    <t>Criteria annual benefit</t>
  </si>
  <si>
    <t>CO2e rate used</t>
  </si>
  <si>
    <t>Steady-state CO2e change</t>
  </si>
  <si>
    <t>NOx cost</t>
  </si>
  <si>
    <t>SOx cost</t>
  </si>
  <si>
    <t>PM2.5 cost</t>
  </si>
  <si>
    <t>CO cost</t>
  </si>
  <si>
    <t>VOC cost</t>
  </si>
  <si>
    <t>SCC case index</t>
  </si>
  <si>
    <t>Opening-year SCC</t>
  </si>
  <si>
    <t>Opening-year steady-state total benefit</t>
  </si>
  <si>
    <t>SCC schedule end year</t>
  </si>
  <si>
    <t>CO2e rate basis</t>
  </si>
  <si>
    <t>Passenger car default</t>
  </si>
  <si>
    <t>Criteria component</t>
    <phoneticPr fontId="1" type="noConversion"/>
  </si>
  <si>
    <t>CO2e change</t>
    <phoneticPr fontId="1" type="noConversion"/>
  </si>
  <si>
    <t>SCC</t>
    <phoneticPr fontId="1" type="noConversion"/>
  </si>
  <si>
    <t>CO2e component</t>
    <phoneticPr fontId="1" type="noConversion"/>
  </si>
  <si>
    <t>Health</t>
    <phoneticPr fontId="1" type="noConversion"/>
  </si>
  <si>
    <t>Mode-level health calculation</t>
    <phoneticPr fontId="1" type="noConversion"/>
  </si>
  <si>
    <t>ATL</t>
  </si>
  <si>
    <t>Annual active trips</t>
  </si>
  <si>
    <t>Eligible induced trips</t>
  </si>
  <si>
    <t>Mortality benefit</t>
  </si>
  <si>
    <t>Commute trips</t>
  </si>
  <si>
    <t>Employed active users</t>
  </si>
  <si>
    <t>Absenteeism benefit</t>
  </si>
  <si>
    <t>Total annual benefit</t>
  </si>
  <si>
    <t>Median hourly wage</t>
    <phoneticPr fontId="1" type="noConversion"/>
  </si>
  <si>
    <t>Selected median hourly wage</t>
  </si>
  <si>
    <t>Daily wage</t>
  </si>
  <si>
    <t>Walk eligible age share</t>
  </si>
  <si>
    <t>Bike eligible age share</t>
  </si>
  <si>
    <t>Shifted-from-non-active share</t>
  </si>
  <si>
    <t>Walk mortality value</t>
  </si>
  <si>
    <t>Bike mortality value</t>
  </si>
  <si>
    <t>Walk commute-trip share</t>
  </si>
  <si>
    <t>Bike commute-trip share</t>
  </si>
  <si>
    <t>Walk annual commute trips/worker</t>
  </si>
  <si>
    <t>Bike annual commute trips/worker</t>
  </si>
  <si>
    <t>Work hours per day</t>
  </si>
  <si>
    <t>Noise</t>
    <phoneticPr fontId="1" type="noConversion"/>
  </si>
  <si>
    <t>Noise calculation</t>
    <phoneticPr fontId="1" type="noConversion"/>
  </si>
  <si>
    <t>Automobile annual mileage change</t>
  </si>
  <si>
    <t>Marginal automobile noise cost</t>
  </si>
  <si>
    <t>Annual noise benefit</t>
  </si>
  <si>
    <t>Noise rate (automobile)</t>
    <phoneticPr fontId="1" type="noConversion"/>
  </si>
  <si>
    <t>Noise rate (Pickups and Vans)</t>
    <phoneticPr fontId="1" type="noConversion"/>
  </si>
  <si>
    <t>Noise vehicle class index</t>
  </si>
  <si>
    <t>Selected noise rate</t>
  </si>
  <si>
    <t>Equity</t>
    <phoneticPr fontId="1" type="noConversion"/>
  </si>
  <si>
    <t>Distribution method</t>
  </si>
  <si>
    <t>Unweighted PV benefits</t>
  </si>
  <si>
    <t>Unweighted NPV</t>
  </si>
  <si>
    <t>Primary weighted NPV</t>
  </si>
  <si>
    <t>Primary weighted PV benefits</t>
  </si>
  <si>
    <t>Primary weighted BCR</t>
  </si>
  <si>
    <t>Income reference and welfare weights</t>
    <phoneticPr fontId="1" type="noConversion"/>
  </si>
  <si>
    <t>Income group</t>
  </si>
  <si>
    <t>Average income used</t>
  </si>
  <si>
    <t>Reference income</t>
  </si>
  <si>
    <t>Primary weight</t>
  </si>
  <si>
    <t>Lower weight</t>
  </si>
  <si>
    <t>Higher weight</t>
  </si>
  <si>
    <t>Distribution allocation</t>
    <phoneticPr fontId="1" type="noConversion"/>
  </si>
  <si>
    <t>Number of selected quintiles</t>
  </si>
  <si>
    <t>Total PV benefits</t>
  </si>
  <si>
    <t>Share of benefits</t>
    <phoneticPr fontId="1" type="noConversion"/>
  </si>
  <si>
    <t>Primary weight</t>
    <phoneticPr fontId="1" type="noConversion"/>
  </si>
  <si>
    <t>Elasticity sensitivity</t>
    <phoneticPr fontId="1" type="noConversion"/>
  </si>
  <si>
    <t>Sensitivity test</t>
    <phoneticPr fontId="1" type="noConversion"/>
  </si>
  <si>
    <t>Base discount rate</t>
  </si>
  <si>
    <t>Test discount rate</t>
  </si>
  <si>
    <t>Base analysis period</t>
  </si>
  <si>
    <t>Test analysis period</t>
  </si>
  <si>
    <t>Base PV benefits</t>
  </si>
  <si>
    <t>Base NPV</t>
  </si>
  <si>
    <t>Discount-rate test NPV</t>
  </si>
  <si>
    <t>Analysis-period test NPV</t>
  </si>
  <si>
    <t>Aggregate-benefit test NPV</t>
  </si>
  <si>
    <t>Base PV cost</t>
  </si>
  <si>
    <t>Base BCR</t>
  </si>
  <si>
    <t>Discount-rate test BCR</t>
  </si>
  <si>
    <t>Analysis-period test BCR</t>
  </si>
  <si>
    <t>Aggregate-benefit test BCR</t>
  </si>
  <si>
    <t>Individual parameter tests</t>
    <phoneticPr fontId="1" type="noConversion"/>
  </si>
  <si>
    <t>Test value</t>
  </si>
  <si>
    <t>PV benefits</t>
  </si>
  <si>
    <t>PV costs</t>
  </si>
  <si>
    <t>NPV</t>
  </si>
  <si>
    <t>BCR</t>
  </si>
  <si>
    <t>NPV change</t>
  </si>
  <si>
    <t>BCR change</t>
  </si>
  <si>
    <t>Internal annual benefit linkage</t>
    <phoneticPr fontId="1" type="noConversion"/>
  </si>
  <si>
    <t>TTS</t>
  </si>
  <si>
    <t>Base PV</t>
  </si>
  <si>
    <t>Discount-test PV</t>
  </si>
  <si>
    <t>Period-test PV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</si>
</sst>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8" formatCode="&quot;$&quot;#,##0.00_);[Red]\(&quot;$&quot;#,##0.00\)"/>
    <numFmt numFmtId="43" formatCode="_(* #,##0.00_);_(* \(#,##0.00\);_(* &quot;-&quot;??_);_(@_)"/>
    <numFmt numFmtId="164" formatCode="_-* #,##0_-;\-* #,##0_-;_-* &quot;-&quot;_-;_-@_-"/>
    <numFmt numFmtId="165" formatCode="_-* #,##0.00_-;\-* #,##0.00_-;_-* &quot;-&quot;??_-;_-@_-"/>
    <numFmt numFmtId="166" formatCode="\$#,##0_);[Red]\(\$#,##0\)"/>
    <numFmt numFmtId="167" formatCode="\$#,##0.00_);[Red]\(\$#,##0.00\)"/>
    <numFmt numFmtId="168" formatCode="0.0%"/>
    <numFmt numFmtId="169" formatCode="0.0000"/>
    <numFmt numFmtId="170" formatCode="#,##0.000"/>
    <numFmt numFmtId="171" formatCode="0.000"/>
    <numFmt numFmtId="172" formatCode="\$#,##0.000_);[Red]\(\$#,##0.000\)"/>
    <numFmt numFmtId="173" formatCode="\$#,##0.0000_);[Red]\(\$#,##0.0000\)"/>
    <numFmt numFmtId="174" formatCode="#,##0.00&quot; cents&quot;"/>
    <numFmt numFmtId="175" formatCode="\$#,##0.00"/>
    <numFmt numFmtId="176" formatCode="#,##0_ "/>
    <numFmt numFmtId="177" formatCode="_-* #,##0.0000_-;\-* #,##0.0000_-;_-* &quot;-&quot;??_-;_-@_-"/>
    <numFmt numFmtId="178" formatCode="#,##0.0_ "/>
    <numFmt numFmtId="179" formatCode="0.00000"/>
    <numFmt numFmtId="180" formatCode="0.0"/>
    <numFmt numFmtId="181" formatCode="[$-409]mmmm\ d\,\ yyyy;@"/>
  </numFmts>
  <fonts count="32">
    <font>
      <sz val="11"/>
      <color theme="1"/>
      <name val="Aptos Narrow"/>
      <family val="2"/>
      <charset val="129"/>
      <scheme val="minor"/>
    </font>
    <font>
      <sz val="8"/>
      <name val="Aptos Narrow"/>
      <family val="2"/>
      <charset val="129"/>
      <scheme val="minor"/>
    </font>
    <font>
      <b/>
      <sz val="18"/>
      <color theme="0"/>
      <name val="Calibri"/>
      <family val="2"/>
    </font>
    <font>
      <sz val="11"/>
      <color theme="1"/>
      <name val="Calibri"/>
      <family val="2"/>
    </font>
    <font>
      <sz val="12"/>
      <color theme="1"/>
      <name val="Calibri"/>
      <family val="2"/>
    </font>
    <font>
      <b/>
      <sz val="12"/>
      <color theme="0"/>
      <name val="Calibri"/>
      <family val="2"/>
    </font>
    <font>
      <sz val="11"/>
      <color theme="1"/>
      <name val="Aptos Narrow"/>
      <family val="2"/>
      <charset val="129"/>
      <scheme val="minor"/>
    </font>
    <font>
      <b/>
      <sz val="9"/>
      <color rgb="FFFFFFFF"/>
      <name val="Calibri"/>
      <family val="2"/>
    </font>
    <font>
      <sz val="11"/>
      <name val="Calibri"/>
      <family val="2"/>
    </font>
    <font>
      <sz val="11"/>
      <name val="맑은 고딕"/>
      <family val="2"/>
      <charset val="129"/>
    </font>
    <font>
      <b/>
      <sz val="12"/>
      <color rgb="FFFFFFFF"/>
      <name val="Calibri"/>
      <family val="2"/>
    </font>
    <font>
      <b/>
      <sz val="18"/>
      <color rgb="FFFFFFFF"/>
      <name val="Calibri"/>
      <family val="2"/>
    </font>
    <font>
      <b/>
      <sz val="10"/>
      <color rgb="FFFFFFFF"/>
      <name val="Calibri"/>
      <family val="2"/>
    </font>
    <font>
      <sz val="10"/>
      <color rgb="FF1F1F1F"/>
      <name val="Calibri"/>
      <family val="2"/>
    </font>
    <font>
      <sz val="12"/>
      <color rgb="FF1F1F1F"/>
      <name val="Calibri"/>
      <family val="2"/>
    </font>
    <font>
      <sz val="12"/>
      <color rgb="FF53616B"/>
      <name val="Calibri"/>
      <family val="2"/>
    </font>
    <font>
      <b/>
      <sz val="14"/>
      <color rgb="FFFFFFFF"/>
      <name val="Calibri"/>
      <family val="2"/>
    </font>
    <font>
      <sz val="14"/>
      <color theme="1"/>
      <name val="Calibri"/>
      <family val="2"/>
    </font>
    <font>
      <b/>
      <sz val="14"/>
      <color rgb="FF1F1F1F"/>
      <name val="Calibri"/>
      <family val="2"/>
    </font>
    <font>
      <b/>
      <sz val="14"/>
      <color theme="1"/>
      <name val="Calibri"/>
      <family val="2"/>
    </font>
    <font>
      <b/>
      <sz val="14"/>
      <color theme="3" tint="0.499984740745262"/>
      <name val="Calibri"/>
      <family val="2"/>
    </font>
    <font>
      <u/>
      <sz val="11"/>
      <color theme="10"/>
      <name val="Aptos Narrow"/>
      <family val="2"/>
      <charset val="129"/>
      <scheme val="minor"/>
    </font>
    <font>
      <sz val="11"/>
      <color rgb="FF000000"/>
      <name val="Calibri"/>
      <family val="2"/>
    </font>
    <font>
      <b/>
      <u/>
      <sz val="12"/>
      <color theme="10"/>
      <name val="Calibri"/>
      <family val="2"/>
    </font>
    <font>
      <b/>
      <u/>
      <sz val="12"/>
      <color theme="3" tint="0.249977111117893"/>
      <name val="Calibri"/>
      <family val="2"/>
    </font>
    <font>
      <b/>
      <sz val="12"/>
      <color theme="3" tint="0.249977111117893"/>
      <name val="Calibri"/>
      <family val="2"/>
    </font>
    <font>
      <b/>
      <sz val="14"/>
      <color theme="0"/>
      <name val="Calibri"/>
      <family val="2"/>
    </font>
    <font>
      <sz val="14"/>
      <name val="Calibri"/>
      <family val="2"/>
    </font>
    <font>
      <b/>
      <sz val="12"/>
      <color theme="1"/>
      <name val="Calibri"/>
      <family val="2"/>
    </font>
    <font>
      <sz val="12"/>
      <color rgb="FF1F2933"/>
      <name val="Calibri"/>
      <family val="2"/>
    </font>
    <font>
      <b/>
      <sz val="12"/>
      <color rgb="FF1F1F1F"/>
      <name val="Calibri"/>
      <family val="2"/>
    </font>
    <font>
      <b/>
      <sz val="11"/>
      <color rgb="FFFFFFFF"/>
      <name val="Calibri"/>
      <family val="2"/>
    </font>
  </fonts>
  <fills count="18">
    <fill>
      <patternFill patternType="none"/>
    </fill>
    <fill>
      <patternFill patternType="gray125"/>
    </fill>
    <fill>
      <patternFill patternType="solid">
        <fgColor rgb="FFEAF3F8"/>
        <bgColor indexed="64"/>
      </patternFill>
    </fill>
    <fill>
      <patternFill patternType="solid">
        <fgColor rgb="FFF2F4F5"/>
        <bgColor indexed="64"/>
      </patternFill>
    </fill>
    <fill>
      <patternFill patternType="solid">
        <fgColor rgb="FFE6F4EA"/>
        <bgColor indexed="64"/>
      </patternFill>
    </fill>
    <fill>
      <patternFill patternType="solid">
        <fgColor rgb="FF173B57"/>
        <bgColor indexed="64"/>
      </patternFill>
    </fill>
    <fill>
      <patternFill patternType="solid">
        <fgColor rgb="FF007F86"/>
        <bgColor indexed="64"/>
      </patternFill>
    </fill>
    <fill>
      <patternFill patternType="solid">
        <fgColor rgb="FF007F86"/>
      </patternFill>
    </fill>
    <fill>
      <patternFill patternType="solid">
        <fgColor rgb="FF173B57"/>
      </patternFill>
    </fill>
    <fill>
      <patternFill patternType="solid">
        <fgColor rgb="FFF2F4F5"/>
      </patternFill>
    </fill>
    <fill>
      <patternFill patternType="solid">
        <fgColor rgb="FF173F5F"/>
      </patternFill>
    </fill>
    <fill>
      <patternFill patternType="solid">
        <fgColor theme="3" tint="0.499984740745262"/>
        <bgColor indexed="64"/>
      </patternFill>
    </fill>
    <fill>
      <patternFill patternType="solid">
        <fgColor rgb="FFD9D2E9"/>
        <bgColor indexed="64"/>
      </patternFill>
    </fill>
    <fill>
      <patternFill patternType="solid">
        <fgColor rgb="FFFFE089"/>
        <bgColor indexed="64"/>
      </patternFill>
    </fill>
    <fill>
      <patternFill patternType="solid">
        <fgColor theme="4" tint="0.79998168889431442"/>
        <bgColor indexed="64"/>
      </patternFill>
    </fill>
    <fill>
      <patternFill patternType="solid">
        <fgColor rgb="FFF3F6F8"/>
      </patternFill>
    </fill>
    <fill>
      <patternFill patternType="solid">
        <fgColor theme="9" tint="-0.249977111117893"/>
        <bgColor indexed="64"/>
      </patternFill>
    </fill>
    <fill>
      <patternFill patternType="solid">
        <fgColor rgb="FFC0E6F5"/>
        <bgColor indexed="64"/>
      </patternFill>
    </fill>
  </fills>
  <borders count="15">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6795556505021"/>
      </top>
      <bottom/>
      <diagonal/>
    </border>
    <border>
      <left style="thin">
        <color rgb="FF173B57"/>
      </left>
      <right style="thin">
        <color rgb="FF173B57"/>
      </right>
      <top style="thin">
        <color rgb="FF173B57"/>
      </top>
      <bottom style="thin">
        <color rgb="FF173B57"/>
      </bottom>
      <diagonal/>
    </border>
    <border>
      <left style="thin">
        <color rgb="FFD6DEE3"/>
      </left>
      <right style="thin">
        <color rgb="FFD6DEE3"/>
      </right>
      <top style="thin">
        <color rgb="FFD6DEE3"/>
      </top>
      <bottom style="thin">
        <color rgb="FFD6DEE3"/>
      </bottom>
      <diagonal/>
    </border>
    <border>
      <left style="thin">
        <color rgb="FF173B57"/>
      </left>
      <right style="thin">
        <color rgb="FF173B57"/>
      </right>
      <top style="thin">
        <color rgb="FF173B57"/>
      </top>
      <bottom/>
      <diagonal/>
    </border>
    <border>
      <left style="thin">
        <color rgb="FFD9E2E8"/>
      </left>
      <right style="thin">
        <color rgb="FFD9E2E8"/>
      </right>
      <top style="thin">
        <color rgb="FFD9E2E8"/>
      </top>
      <bottom style="thin">
        <color rgb="FFD9E2E8"/>
      </bottom>
      <diagonal/>
    </border>
    <border>
      <left/>
      <right/>
      <top/>
      <bottom style="thin">
        <color rgb="FFD9E2E8"/>
      </bottom>
      <diagonal/>
    </border>
    <border>
      <left/>
      <right/>
      <top/>
      <bottom style="thin">
        <color rgb="FF173B57"/>
      </bottom>
      <diagonal/>
    </border>
    <border>
      <left style="thin">
        <color theme="0" tint="-0.14996795556505021"/>
      </left>
      <right style="thin">
        <color theme="0" tint="-0.14996795556505021"/>
      </right>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s>
  <cellStyleXfs count="5">
    <xf numFmtId="0" fontId="0" fillId="0" borderId="0">
      <alignment vertical="center"/>
    </xf>
    <xf numFmtId="9" fontId="6" fillId="0" borderId="0" applyFont="0" applyFill="0" applyBorder="0" applyAlignment="0" applyProtection="0">
      <alignment vertical="center"/>
    </xf>
    <xf numFmtId="164" fontId="6" fillId="0" borderId="0" applyFont="0" applyFill="0" applyBorder="0" applyAlignment="0" applyProtection="0">
      <alignment vertical="center"/>
    </xf>
    <xf numFmtId="0" fontId="21" fillId="0" borderId="0" applyNumberFormat="0" applyFill="0" applyBorder="0" applyAlignment="0" applyProtection="0">
      <alignment vertical="center"/>
    </xf>
    <xf numFmtId="43" fontId="6" fillId="0" borderId="0" applyFont="0" applyFill="0" applyBorder="0" applyAlignment="0" applyProtection="0"/>
  </cellStyleXfs>
  <cellXfs count="143">
    <xf numFmtId="0" fontId="0" fillId="0" borderId="0" xfId="0">
      <alignment vertical="center"/>
    </xf>
    <xf numFmtId="0" fontId="3" fillId="0" borderId="0" xfId="0" applyFont="1">
      <alignment vertical="center"/>
    </xf>
    <xf numFmtId="0" fontId="4" fillId="0" borderId="0" xfId="0" applyFont="1">
      <alignment vertical="center"/>
    </xf>
    <xf numFmtId="0" fontId="4" fillId="2" borderId="0" xfId="0" applyFont="1" applyFill="1">
      <alignment vertical="center"/>
    </xf>
    <xf numFmtId="0" fontId="4" fillId="3" borderId="0" xfId="0" applyFont="1" applyFill="1">
      <alignment vertical="center"/>
    </xf>
    <xf numFmtId="0" fontId="4" fillId="4" borderId="0" xfId="0" applyFont="1" applyFill="1">
      <alignment vertical="center"/>
    </xf>
    <xf numFmtId="0" fontId="5" fillId="5" borderId="0" xfId="0" applyFont="1" applyFill="1">
      <alignment vertical="center"/>
    </xf>
    <xf numFmtId="0" fontId="4" fillId="0" borderId="0" xfId="0" applyFont="1" applyAlignment="1">
      <alignment vertical="center" wrapText="1"/>
    </xf>
    <xf numFmtId="0" fontId="5" fillId="5" borderId="0" xfId="0" applyFont="1" applyFill="1" applyAlignment="1">
      <alignment horizontal="center" vertical="center"/>
    </xf>
    <xf numFmtId="0" fontId="4" fillId="2" borderId="1" xfId="0" applyFont="1" applyFill="1" applyBorder="1">
      <alignment vertical="center"/>
    </xf>
    <xf numFmtId="2" fontId="3" fillId="0" borderId="0" xfId="0" applyNumberFormat="1" applyFont="1">
      <alignment vertical="center"/>
    </xf>
    <xf numFmtId="0" fontId="7" fillId="8" borderId="5" xfId="0" applyFont="1" applyFill="1" applyBorder="1" applyAlignment="1">
      <alignment horizontal="center" vertical="center" wrapText="1"/>
    </xf>
    <xf numFmtId="170" fontId="7" fillId="8" borderId="5" xfId="0" applyNumberFormat="1" applyFont="1" applyFill="1" applyBorder="1" applyAlignment="1">
      <alignment horizontal="center" vertical="center" wrapText="1"/>
    </xf>
    <xf numFmtId="9" fontId="3" fillId="0" borderId="0" xfId="0" applyNumberFormat="1" applyFont="1">
      <alignment vertical="center"/>
    </xf>
    <xf numFmtId="10" fontId="3" fillId="0" borderId="0" xfId="0" applyNumberFormat="1" applyFont="1">
      <alignment vertical="center"/>
    </xf>
    <xf numFmtId="167" fontId="3" fillId="0" borderId="0" xfId="0" applyNumberFormat="1" applyFont="1">
      <alignment vertical="center"/>
    </xf>
    <xf numFmtId="171" fontId="3" fillId="0" borderId="0" xfId="0" applyNumberFormat="1" applyFont="1">
      <alignment vertical="center"/>
    </xf>
    <xf numFmtId="172" fontId="3" fillId="0" borderId="0" xfId="0" applyNumberFormat="1" applyFont="1">
      <alignment vertical="center"/>
    </xf>
    <xf numFmtId="0" fontId="8" fillId="0" borderId="0" xfId="0" applyFont="1">
      <alignment vertical="center"/>
    </xf>
    <xf numFmtId="9" fontId="8" fillId="0" borderId="0" xfId="0" applyNumberFormat="1" applyFont="1">
      <alignment vertical="center"/>
    </xf>
    <xf numFmtId="2" fontId="8" fillId="0" borderId="0" xfId="0" applyNumberFormat="1" applyFont="1">
      <alignment vertical="center"/>
    </xf>
    <xf numFmtId="10" fontId="8" fillId="0" borderId="0" xfId="0" applyNumberFormat="1" applyFont="1">
      <alignment vertical="center"/>
    </xf>
    <xf numFmtId="174" fontId="8" fillId="0" borderId="0" xfId="0" applyNumberFormat="1" applyFont="1">
      <alignment vertical="center"/>
    </xf>
    <xf numFmtId="175" fontId="4" fillId="3" borderId="1" xfId="0" applyNumberFormat="1" applyFont="1" applyFill="1" applyBorder="1">
      <alignment vertical="center"/>
    </xf>
    <xf numFmtId="0" fontId="10" fillId="8" borderId="5" xfId="0" applyFont="1" applyFill="1" applyBorder="1" applyAlignment="1">
      <alignment horizontal="center" vertical="center" wrapText="1"/>
    </xf>
    <xf numFmtId="1" fontId="3" fillId="0" borderId="0" xfId="0" applyNumberFormat="1" applyFont="1">
      <alignment vertical="center"/>
    </xf>
    <xf numFmtId="165" fontId="3" fillId="0" borderId="0" xfId="0" applyNumberFormat="1" applyFont="1">
      <alignment vertical="center"/>
    </xf>
    <xf numFmtId="9" fontId="4" fillId="0" borderId="0" xfId="1" applyFont="1">
      <alignment vertical="center"/>
    </xf>
    <xf numFmtId="177" fontId="3" fillId="0" borderId="0" xfId="0" applyNumberFormat="1" applyFont="1">
      <alignment vertical="center"/>
    </xf>
    <xf numFmtId="9" fontId="4" fillId="0" borderId="0" xfId="0" applyNumberFormat="1" applyFont="1">
      <alignment vertical="center"/>
    </xf>
    <xf numFmtId="0" fontId="5" fillId="5" borderId="0" xfId="0" applyFont="1" applyFill="1" applyAlignment="1">
      <alignment horizontal="center" vertical="center" wrapText="1"/>
    </xf>
    <xf numFmtId="0" fontId="12" fillId="10" borderId="0" xfId="0" applyFont="1" applyFill="1" applyAlignment="1">
      <alignment horizontal="center" vertical="center" wrapText="1"/>
    </xf>
    <xf numFmtId="0" fontId="13" fillId="0" borderId="0" xfId="0" applyFont="1" applyAlignment="1">
      <alignment vertical="center" wrapText="1"/>
    </xf>
    <xf numFmtId="167" fontId="0" fillId="0" borderId="0" xfId="0" applyNumberFormat="1">
      <alignment vertical="center"/>
    </xf>
    <xf numFmtId="167" fontId="4" fillId="0" borderId="0" xfId="0" applyNumberFormat="1" applyFont="1">
      <alignment vertical="center"/>
    </xf>
    <xf numFmtId="167" fontId="4" fillId="4" borderId="1" xfId="0" applyNumberFormat="1" applyFont="1" applyFill="1" applyBorder="1">
      <alignment vertical="center"/>
    </xf>
    <xf numFmtId="171" fontId="4" fillId="0" borderId="0" xfId="0" applyNumberFormat="1" applyFont="1">
      <alignment vertical="center"/>
    </xf>
    <xf numFmtId="169" fontId="4" fillId="0" borderId="0" xfId="0" applyNumberFormat="1" applyFont="1">
      <alignment vertical="center"/>
    </xf>
    <xf numFmtId="173" fontId="4" fillId="0" borderId="0" xfId="0" applyNumberFormat="1" applyFont="1">
      <alignment vertical="center"/>
    </xf>
    <xf numFmtId="0" fontId="14" fillId="0" borderId="0" xfId="0" applyFont="1" applyAlignment="1">
      <alignment vertical="center" wrapText="1"/>
    </xf>
    <xf numFmtId="10" fontId="14" fillId="0" borderId="0" xfId="0" applyNumberFormat="1" applyFont="1" applyAlignment="1">
      <alignment vertical="center" wrapText="1"/>
    </xf>
    <xf numFmtId="171" fontId="14" fillId="0" borderId="0" xfId="0" applyNumberFormat="1" applyFont="1" applyAlignment="1">
      <alignment vertical="center" wrapText="1"/>
    </xf>
    <xf numFmtId="167" fontId="14" fillId="0" borderId="0" xfId="0" applyNumberFormat="1" applyFont="1" applyAlignment="1">
      <alignment vertical="center" wrapText="1"/>
    </xf>
    <xf numFmtId="0" fontId="10" fillId="10" borderId="0" xfId="0" applyFont="1" applyFill="1" applyAlignment="1">
      <alignment horizontal="center" vertical="center" wrapText="1"/>
    </xf>
    <xf numFmtId="1" fontId="14" fillId="0" borderId="0" xfId="0" applyNumberFormat="1" applyFont="1" applyAlignment="1">
      <alignment vertical="center" wrapText="1"/>
    </xf>
    <xf numFmtId="179" fontId="14" fillId="0" borderId="0" xfId="0" applyNumberFormat="1" applyFont="1" applyAlignment="1">
      <alignment vertical="center" wrapText="1"/>
    </xf>
    <xf numFmtId="2" fontId="4" fillId="0" borderId="0" xfId="0" applyNumberFormat="1" applyFont="1">
      <alignment vertical="center"/>
    </xf>
    <xf numFmtId="2" fontId="14" fillId="0" borderId="0" xfId="0" applyNumberFormat="1" applyFont="1" applyAlignment="1">
      <alignment vertical="center" wrapText="1"/>
    </xf>
    <xf numFmtId="166" fontId="3" fillId="0" borderId="0" xfId="0" applyNumberFormat="1" applyFont="1">
      <alignment vertical="center"/>
    </xf>
    <xf numFmtId="166" fontId="4" fillId="0" borderId="0" xfId="0" applyNumberFormat="1" applyFont="1">
      <alignment vertical="center"/>
    </xf>
    <xf numFmtId="164" fontId="14" fillId="0" borderId="0" xfId="2" applyFont="1" applyAlignment="1">
      <alignment vertical="center" wrapText="1"/>
    </xf>
    <xf numFmtId="9" fontId="14" fillId="0" borderId="0" xfId="0" applyNumberFormat="1" applyFont="1" applyAlignment="1">
      <alignment vertical="center" wrapText="1"/>
    </xf>
    <xf numFmtId="169" fontId="14" fillId="0" borderId="0" xfId="0" applyNumberFormat="1" applyFont="1" applyAlignment="1">
      <alignment vertical="center" wrapText="1"/>
    </xf>
    <xf numFmtId="176" fontId="14" fillId="0" borderId="0" xfId="2" applyNumberFormat="1" applyFont="1" applyAlignment="1">
      <alignment vertical="center" wrapText="1"/>
    </xf>
    <xf numFmtId="180" fontId="4" fillId="0" borderId="0" xfId="0" applyNumberFormat="1" applyFont="1">
      <alignment vertical="center"/>
    </xf>
    <xf numFmtId="0" fontId="4" fillId="4" borderId="1" xfId="0" applyFont="1" applyFill="1" applyBorder="1">
      <alignment vertical="center"/>
    </xf>
    <xf numFmtId="1" fontId="4" fillId="0" borderId="0" xfId="0" applyNumberFormat="1" applyFont="1">
      <alignment vertical="center"/>
    </xf>
    <xf numFmtId="9" fontId="4" fillId="4" borderId="1" xfId="0" applyNumberFormat="1" applyFont="1" applyFill="1" applyBorder="1">
      <alignment vertical="center"/>
    </xf>
    <xf numFmtId="1" fontId="15" fillId="9" borderId="6" xfId="0" applyNumberFormat="1" applyFont="1" applyFill="1" applyBorder="1">
      <alignment vertical="center"/>
    </xf>
    <xf numFmtId="168" fontId="15" fillId="9" borderId="6" xfId="0" applyNumberFormat="1" applyFont="1" applyFill="1" applyBorder="1">
      <alignment vertical="center"/>
    </xf>
    <xf numFmtId="169" fontId="15" fillId="9" borderId="6" xfId="0" applyNumberFormat="1" applyFont="1" applyFill="1" applyBorder="1">
      <alignment vertical="center"/>
    </xf>
    <xf numFmtId="176" fontId="4" fillId="0" borderId="0" xfId="0" applyNumberFormat="1" applyFont="1">
      <alignment vertical="center"/>
    </xf>
    <xf numFmtId="0" fontId="17" fillId="0" borderId="0" xfId="0" applyFont="1">
      <alignment vertical="center"/>
    </xf>
    <xf numFmtId="0" fontId="16" fillId="8" borderId="5" xfId="0" applyFont="1" applyFill="1" applyBorder="1" applyAlignment="1">
      <alignment horizontal="center" vertical="center" wrapText="1"/>
    </xf>
    <xf numFmtId="0" fontId="16" fillId="8" borderId="7" xfId="0" applyFont="1" applyFill="1" applyBorder="1" applyAlignment="1">
      <alignment horizontal="center" vertical="center" wrapText="1"/>
    </xf>
    <xf numFmtId="0" fontId="17" fillId="2" borderId="1" xfId="0" applyFont="1" applyFill="1" applyBorder="1">
      <alignment vertical="center"/>
    </xf>
    <xf numFmtId="176" fontId="17" fillId="2" borderId="3" xfId="0" applyNumberFormat="1" applyFont="1" applyFill="1" applyBorder="1">
      <alignment vertical="center"/>
    </xf>
    <xf numFmtId="0" fontId="17" fillId="2" borderId="4" xfId="0" applyFont="1" applyFill="1" applyBorder="1">
      <alignment vertical="center"/>
    </xf>
    <xf numFmtId="0" fontId="17" fillId="2" borderId="8" xfId="0" applyFont="1" applyFill="1" applyBorder="1">
      <alignment vertical="center"/>
    </xf>
    <xf numFmtId="0" fontId="17" fillId="2" borderId="3" xfId="0" applyFont="1" applyFill="1" applyBorder="1">
      <alignment vertical="center"/>
    </xf>
    <xf numFmtId="0" fontId="17" fillId="0" borderId="0" xfId="0" applyFont="1">
      <alignment vertical="center"/>
      <extLst>
        <ext xmlns:xfpb="http://schemas.microsoft.com/office/spreadsheetml/2022/featurepropertybag" uri="{C7286773-470A-42A8-94C5-96B5CB345126}">
          <xfpb:xfComplement i="0"/>
        </ext>
      </extLst>
    </xf>
    <xf numFmtId="167" fontId="17" fillId="2" borderId="1" xfId="0" applyNumberFormat="1" applyFont="1" applyFill="1" applyBorder="1">
      <alignment vertical="center"/>
    </xf>
    <xf numFmtId="9" fontId="17" fillId="2" borderId="1" xfId="0" applyNumberFormat="1" applyFont="1" applyFill="1" applyBorder="1">
      <alignment vertical="center"/>
    </xf>
    <xf numFmtId="167" fontId="18" fillId="2" borderId="3" xfId="0" applyNumberFormat="1" applyFont="1" applyFill="1" applyBorder="1" applyAlignment="1">
      <alignment vertical="center" wrapText="1"/>
    </xf>
    <xf numFmtId="167" fontId="17" fillId="2" borderId="11" xfId="0" applyNumberFormat="1" applyFont="1" applyFill="1" applyBorder="1">
      <alignment vertical="center"/>
    </xf>
    <xf numFmtId="0" fontId="4" fillId="0" borderId="1" xfId="0" applyFont="1" applyBorder="1">
      <alignment vertical="center"/>
    </xf>
    <xf numFmtId="9" fontId="17" fillId="2" borderId="13" xfId="0" applyNumberFormat="1" applyFont="1" applyFill="1" applyBorder="1">
      <alignment vertical="center"/>
    </xf>
    <xf numFmtId="0" fontId="17" fillId="2" borderId="12" xfId="0" applyFont="1" applyFill="1" applyBorder="1">
      <alignment vertical="center"/>
    </xf>
    <xf numFmtId="9" fontId="17" fillId="2" borderId="12" xfId="0" applyNumberFormat="1" applyFont="1" applyFill="1" applyBorder="1">
      <alignment vertical="center"/>
    </xf>
    <xf numFmtId="2" fontId="17" fillId="2" borderId="11" xfId="0" applyNumberFormat="1" applyFont="1" applyFill="1" applyBorder="1">
      <alignment vertical="center"/>
    </xf>
    <xf numFmtId="2" fontId="17" fillId="2" borderId="1" xfId="0" applyNumberFormat="1" applyFont="1" applyFill="1" applyBorder="1">
      <alignment vertical="center"/>
    </xf>
    <xf numFmtId="2" fontId="18" fillId="2" borderId="3" xfId="0" applyNumberFormat="1" applyFont="1" applyFill="1" applyBorder="1" applyAlignment="1">
      <alignment vertical="center" wrapText="1"/>
    </xf>
    <xf numFmtId="0" fontId="4" fillId="12" borderId="1" xfId="0" applyFont="1" applyFill="1" applyBorder="1">
      <alignment vertical="center"/>
    </xf>
    <xf numFmtId="176" fontId="4" fillId="13" borderId="1" xfId="0" applyNumberFormat="1" applyFont="1" applyFill="1" applyBorder="1">
      <alignment vertical="center"/>
    </xf>
    <xf numFmtId="176" fontId="4" fillId="12" borderId="1" xfId="0" applyNumberFormat="1" applyFont="1" applyFill="1" applyBorder="1">
      <alignment vertical="center"/>
    </xf>
    <xf numFmtId="178" fontId="4" fillId="12" borderId="1" xfId="0" applyNumberFormat="1" applyFont="1" applyFill="1" applyBorder="1">
      <alignment vertical="center"/>
    </xf>
    <xf numFmtId="178" fontId="4" fillId="12" borderId="1" xfId="0" applyNumberFormat="1" applyFont="1" applyFill="1" applyBorder="1">
      <alignment vertical="center"/>
      <extLst>
        <ext xmlns:xfpb="http://schemas.microsoft.com/office/spreadsheetml/2022/featurepropertybag" uri="{C7286773-470A-42A8-94C5-96B5CB345126}">
          <xfpb:xfComplement i="0"/>
        </ext>
      </extLst>
    </xf>
    <xf numFmtId="9" fontId="4" fillId="12" borderId="1" xfId="0" applyNumberFormat="1" applyFont="1" applyFill="1" applyBorder="1">
      <alignment vertical="center"/>
    </xf>
    <xf numFmtId="0" fontId="4" fillId="13" borderId="0" xfId="0" applyFont="1" applyFill="1">
      <alignment vertical="center"/>
    </xf>
    <xf numFmtId="0" fontId="4" fillId="12" borderId="0" xfId="0" applyFont="1" applyFill="1">
      <alignment vertical="center"/>
    </xf>
    <xf numFmtId="0" fontId="19" fillId="14" borderId="2" xfId="0" applyFont="1" applyFill="1" applyBorder="1">
      <alignment vertical="center"/>
    </xf>
    <xf numFmtId="0" fontId="4" fillId="14" borderId="3" xfId="0" applyFont="1" applyFill="1" applyBorder="1">
      <alignment vertical="center"/>
    </xf>
    <xf numFmtId="0" fontId="4" fillId="14" borderId="12" xfId="0" applyFont="1" applyFill="1" applyBorder="1">
      <alignment vertical="center"/>
    </xf>
    <xf numFmtId="167" fontId="18" fillId="14" borderId="1" xfId="0" applyNumberFormat="1" applyFont="1" applyFill="1" applyBorder="1" applyAlignment="1">
      <alignment vertical="center" wrapText="1"/>
    </xf>
    <xf numFmtId="167" fontId="19" fillId="14" borderId="1" xfId="0" applyNumberFormat="1" applyFont="1" applyFill="1" applyBorder="1">
      <alignment vertical="center"/>
    </xf>
    <xf numFmtId="2" fontId="18" fillId="14" borderId="1" xfId="0" applyNumberFormat="1" applyFont="1" applyFill="1" applyBorder="1" applyAlignment="1">
      <alignment vertical="center" wrapText="1"/>
    </xf>
    <xf numFmtId="0" fontId="18" fillId="14" borderId="1" xfId="0" applyFont="1" applyFill="1" applyBorder="1" applyAlignment="1">
      <alignment vertical="center" wrapText="1"/>
    </xf>
    <xf numFmtId="10" fontId="4" fillId="14" borderId="3" xfId="0" applyNumberFormat="1" applyFont="1" applyFill="1" applyBorder="1">
      <alignment vertical="center"/>
    </xf>
    <xf numFmtId="9" fontId="4" fillId="14" borderId="3" xfId="0" applyNumberFormat="1" applyFont="1" applyFill="1" applyBorder="1">
      <alignment vertical="center"/>
    </xf>
    <xf numFmtId="2" fontId="4" fillId="4" borderId="1" xfId="0" applyNumberFormat="1" applyFont="1" applyFill="1" applyBorder="1">
      <alignment vertical="center"/>
    </xf>
    <xf numFmtId="0" fontId="20" fillId="2" borderId="1" xfId="0" applyFont="1" applyFill="1" applyBorder="1">
      <alignment vertical="center"/>
    </xf>
    <xf numFmtId="10" fontId="20" fillId="2" borderId="1" xfId="0" applyNumberFormat="1" applyFont="1" applyFill="1" applyBorder="1">
      <alignment vertical="center"/>
    </xf>
    <xf numFmtId="0" fontId="20" fillId="2" borderId="4" xfId="0" applyFont="1" applyFill="1" applyBorder="1">
      <alignment vertical="center"/>
    </xf>
    <xf numFmtId="0" fontId="20" fillId="2" borderId="8" xfId="0" applyFont="1" applyFill="1" applyBorder="1">
      <alignment vertical="center"/>
    </xf>
    <xf numFmtId="167" fontId="20" fillId="2" borderId="3" xfId="0" applyNumberFormat="1" applyFont="1" applyFill="1" applyBorder="1" applyAlignment="1">
      <alignment vertical="center" wrapText="1"/>
    </xf>
    <xf numFmtId="176" fontId="20" fillId="2" borderId="3" xfId="0" applyNumberFormat="1" applyFont="1" applyFill="1" applyBorder="1">
      <alignment vertical="center"/>
    </xf>
    <xf numFmtId="0" fontId="5" fillId="6" borderId="0" xfId="0" applyFont="1" applyFill="1">
      <alignment vertical="center"/>
    </xf>
    <xf numFmtId="10" fontId="4" fillId="12" borderId="1" xfId="0" applyNumberFormat="1" applyFont="1" applyFill="1" applyBorder="1">
      <alignment vertical="center"/>
    </xf>
    <xf numFmtId="10" fontId="4" fillId="12" borderId="1" xfId="0" applyNumberFormat="1" applyFont="1" applyFill="1" applyBorder="1" applyAlignment="1">
      <alignment horizontal="right" vertical="center"/>
    </xf>
    <xf numFmtId="0" fontId="4" fillId="12" borderId="1" xfId="0" applyFont="1" applyFill="1" applyBorder="1" applyAlignment="1">
      <alignment horizontal="right" vertical="center"/>
    </xf>
    <xf numFmtId="0" fontId="4" fillId="12" borderId="14" xfId="0" applyFont="1" applyFill="1" applyBorder="1" applyAlignment="1">
      <alignment horizontal="right" vertical="center"/>
    </xf>
    <xf numFmtId="176" fontId="4" fillId="14" borderId="1" xfId="0" applyNumberFormat="1" applyFont="1" applyFill="1" applyBorder="1">
      <alignment vertical="center"/>
    </xf>
    <xf numFmtId="175" fontId="4" fillId="14" borderId="1" xfId="0" applyNumberFormat="1" applyFont="1" applyFill="1" applyBorder="1">
      <alignment vertical="center"/>
    </xf>
    <xf numFmtId="8" fontId="22" fillId="0" borderId="0" xfId="0" applyNumberFormat="1" applyFont="1">
      <alignment vertical="center"/>
    </xf>
    <xf numFmtId="0" fontId="4" fillId="14" borderId="0" xfId="0" applyFont="1" applyFill="1">
      <alignment vertical="center"/>
    </xf>
    <xf numFmtId="0" fontId="2" fillId="5" borderId="0" xfId="0" applyFont="1" applyFill="1">
      <alignment vertical="center"/>
    </xf>
    <xf numFmtId="176" fontId="4" fillId="0" borderId="0" xfId="2" applyNumberFormat="1" applyFont="1">
      <alignment vertical="center"/>
    </xf>
    <xf numFmtId="0" fontId="26" fillId="6" borderId="0" xfId="0" applyFont="1" applyFill="1">
      <alignment vertical="center"/>
    </xf>
    <xf numFmtId="0" fontId="10" fillId="5" borderId="0" xfId="0" applyFont="1" applyFill="1" applyAlignment="1">
      <alignment horizontal="center" vertical="center"/>
    </xf>
    <xf numFmtId="3" fontId="28" fillId="0" borderId="0" xfId="4" applyNumberFormat="1" applyFont="1" applyAlignment="1">
      <alignment vertical="center"/>
    </xf>
    <xf numFmtId="0" fontId="10" fillId="10" borderId="0" xfId="0" applyFont="1" applyFill="1" applyAlignment="1">
      <alignment horizontal="center" vertical="center"/>
    </xf>
    <xf numFmtId="0" fontId="29" fillId="15" borderId="0" xfId="0" applyFont="1" applyFill="1">
      <alignment vertical="center"/>
    </xf>
    <xf numFmtId="167" fontId="30" fillId="2" borderId="3" xfId="0" applyNumberFormat="1" applyFont="1" applyFill="1" applyBorder="1" applyAlignment="1">
      <alignment vertical="center" wrapText="1"/>
    </xf>
    <xf numFmtId="2" fontId="30" fillId="2" borderId="3" xfId="0" applyNumberFormat="1" applyFont="1" applyFill="1" applyBorder="1" applyAlignment="1">
      <alignment vertical="center" wrapText="1"/>
    </xf>
    <xf numFmtId="0" fontId="10" fillId="16" borderId="0" xfId="0" applyFont="1" applyFill="1">
      <alignment vertical="center"/>
    </xf>
    <xf numFmtId="0" fontId="31" fillId="16" borderId="0" xfId="0" applyFont="1" applyFill="1">
      <alignment vertical="center"/>
    </xf>
    <xf numFmtId="0" fontId="27" fillId="0" borderId="0" xfId="0" applyFont="1">
      <alignment vertical="center"/>
    </xf>
    <xf numFmtId="175" fontId="4" fillId="17" borderId="1" xfId="0" applyNumberFormat="1" applyFont="1" applyFill="1" applyBorder="1">
      <alignment vertical="center"/>
    </xf>
    <xf numFmtId="0" fontId="21" fillId="0" borderId="0" xfId="3">
      <alignment vertical="center"/>
    </xf>
    <xf numFmtId="181" fontId="4" fillId="0" borderId="0" xfId="0" applyNumberFormat="1" applyFont="1" applyAlignment="1">
      <alignment horizontal="left" vertical="center"/>
    </xf>
    <xf numFmtId="0" fontId="23" fillId="0" borderId="0" xfId="3" applyFont="1" applyAlignment="1">
      <alignment horizontal="left" vertical="center"/>
    </xf>
    <xf numFmtId="0" fontId="24" fillId="0" borderId="0" xfId="3" applyFont="1" applyAlignment="1">
      <alignment horizontal="left" vertical="center"/>
    </xf>
    <xf numFmtId="0" fontId="25" fillId="0" borderId="0" xfId="3" applyFont="1" applyAlignment="1">
      <alignment horizontal="left" vertical="center"/>
    </xf>
    <xf numFmtId="0" fontId="2" fillId="5" borderId="0" xfId="0" applyFont="1" applyFill="1" applyAlignment="1">
      <alignment horizontal="left" vertical="center"/>
    </xf>
    <xf numFmtId="0" fontId="16" fillId="11" borderId="0" xfId="0" applyFont="1" applyFill="1" applyAlignment="1">
      <alignment horizontal="left" vertical="center"/>
    </xf>
    <xf numFmtId="0" fontId="27" fillId="0" borderId="0" xfId="0" applyFont="1" applyAlignment="1">
      <alignment horizontal="left" vertical="center" wrapText="1"/>
    </xf>
    <xf numFmtId="0" fontId="5" fillId="6" borderId="0" xfId="0" applyFont="1" applyFill="1" applyAlignment="1">
      <alignment horizontal="left" vertical="center"/>
    </xf>
    <xf numFmtId="0" fontId="4" fillId="2" borderId="0" xfId="0" applyFont="1" applyFill="1" applyAlignment="1">
      <alignment horizontal="left" vertical="center" wrapText="1"/>
    </xf>
    <xf numFmtId="0" fontId="16" fillId="7" borderId="9" xfId="0" applyFont="1" applyFill="1" applyBorder="1" applyAlignment="1">
      <alignment horizontal="left" vertical="center"/>
    </xf>
    <xf numFmtId="0" fontId="16" fillId="7" borderId="0" xfId="0" applyFont="1" applyFill="1" applyAlignment="1">
      <alignment horizontal="left" vertical="center"/>
    </xf>
    <xf numFmtId="0" fontId="11" fillId="8" borderId="0" xfId="0" applyFont="1" applyFill="1" applyAlignment="1">
      <alignment horizontal="left" vertical="center"/>
    </xf>
    <xf numFmtId="0" fontId="16" fillId="11" borderId="9" xfId="0" applyFont="1" applyFill="1" applyBorder="1" applyAlignment="1">
      <alignment horizontal="left" vertical="center"/>
    </xf>
    <xf numFmtId="0" fontId="10" fillId="7" borderId="10" xfId="0" applyFont="1" applyFill="1" applyBorder="1" applyAlignment="1">
      <alignment horizontal="left" vertical="center"/>
    </xf>
  </cellXfs>
  <cellStyles count="5">
    <cellStyle name="Comma" xfId="4" builtinId="3"/>
    <cellStyle name="Comma [0]" xfId="2" builtinId="6"/>
    <cellStyle name="Hyperlink" xfId="3" builtinId="8"/>
    <cellStyle name="Normal" xfId="0" builtinId="0"/>
    <cellStyle name="Percent" xfId="1" builtinId="5"/>
  </cellStyles>
  <dxfs count="0"/>
  <tableStyles count="0" defaultTableStyle="TableStyleMedium2" defaultPivotStyle="PivotStyleLight16"/>
  <colors>
    <mruColors>
      <color rgb="FFD9D2E9"/>
      <color rgb="FFFFF2CC"/>
      <color rgb="FFFFE089"/>
      <color rgb="FFFFC82D"/>
      <color rgb="FFEAD1DC"/>
      <color rgb="FFFF9BF8"/>
      <color rgb="FFD9EAF7"/>
      <color rgb="FFF2F4F5"/>
      <color rgb="FFEAF3F8"/>
      <color rgb="FFE6F4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22/11/relationships/FeaturePropertyBag" Target="featurePropertyBag/featurePropertyBag.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ysClr val="windowText" lastClr="000000"/>
                </a:solidFill>
                <a:latin typeface="Calibri" panose="020F0502020204030204" pitchFamily="34" charset="0"/>
                <a:ea typeface="+mn-ea"/>
                <a:cs typeface="Calibri" panose="020F0502020204030204" pitchFamily="34" charset="0"/>
              </a:defRPr>
            </a:pPr>
            <a:r>
              <a:rPr lang="en-US" sz="1600" b="1"/>
              <a:t>Equity outcome by income quintile</a:t>
            </a:r>
          </a:p>
        </c:rich>
      </c:tx>
      <c:overlay val="0"/>
      <c:spPr>
        <a:noFill/>
        <a:ln>
          <a:noFill/>
        </a:ln>
        <a:effectLst/>
      </c:spPr>
      <c:txPr>
        <a:bodyPr rot="0" spcFirstLastPara="1" vertOverflow="ellipsis" vert="horz" wrap="square" anchor="ctr" anchorCtr="1"/>
        <a:lstStyle/>
        <a:p>
          <a:pPr>
            <a:defRPr sz="1600" b="1" i="0" u="none" strike="noStrike" kern="1200" spc="0" baseline="0">
              <a:solidFill>
                <a:sysClr val="windowText" lastClr="000000"/>
              </a:solidFill>
              <a:latin typeface="Calibri" panose="020F0502020204030204" pitchFamily="34" charset="0"/>
              <a:ea typeface="+mn-ea"/>
              <a:cs typeface="Calibri" panose="020F0502020204030204" pitchFamily="34" charset="0"/>
            </a:defRPr>
          </a:pPr>
          <a:endParaRPr lang="en-US"/>
        </a:p>
      </c:txPr>
    </c:title>
    <c:autoTitleDeleted val="0"/>
    <c:plotArea>
      <c:layout/>
      <c:barChart>
        <c:barDir val="col"/>
        <c:grouping val="clustered"/>
        <c:varyColors val="0"/>
        <c:ser>
          <c:idx val="0"/>
          <c:order val="0"/>
          <c:tx>
            <c:strRef>
              <c:f>'Output Summary'!$E$58</c:f>
              <c:strCache>
                <c:ptCount val="1"/>
                <c:pt idx="0">
                  <c:v>Unweighted benefit</c:v>
                </c:pt>
              </c:strCache>
            </c:strRef>
          </c:tx>
          <c:spPr>
            <a:solidFill>
              <a:schemeClr val="accent1"/>
            </a:solidFill>
            <a:ln>
              <a:noFill/>
            </a:ln>
            <a:effectLst/>
          </c:spPr>
          <c:invertIfNegative val="0"/>
          <c:cat>
            <c:strRef>
              <c:f>'Output Summary'!$A$59:$A$63</c:f>
              <c:strCache>
                <c:ptCount val="5"/>
                <c:pt idx="0">
                  <c:v>Lowest Quintile</c:v>
                </c:pt>
                <c:pt idx="1">
                  <c:v>Second Quintile</c:v>
                </c:pt>
                <c:pt idx="2">
                  <c:v>Third Quintile</c:v>
                </c:pt>
                <c:pt idx="3">
                  <c:v>Fourth Quintile</c:v>
                </c:pt>
                <c:pt idx="4">
                  <c:v>Highest Quintile</c:v>
                </c:pt>
              </c:strCache>
            </c:strRef>
          </c:cat>
          <c:val>
            <c:numRef>
              <c:f>'Output Summary'!$E$59:$E$63</c:f>
              <c:numCache>
                <c:formatCode>\$#,##0.00_);[Red]\(\$#,##0.00\)</c:formatCode>
                <c:ptCount val="5"/>
                <c:pt idx="0">
                  <c:v>-1167319.5791258309</c:v>
                </c:pt>
                <c:pt idx="1">
                  <c:v>-1167319.5791258309</c:v>
                </c:pt>
                <c:pt idx="2">
                  <c:v>-1167319.5791258309</c:v>
                </c:pt>
                <c:pt idx="3">
                  <c:v>-1167319.5791258309</c:v>
                </c:pt>
                <c:pt idx="4">
                  <c:v>-1167319.5791258309</c:v>
                </c:pt>
              </c:numCache>
            </c:numRef>
          </c:val>
          <c:extLst>
            <c:ext xmlns:c16="http://schemas.microsoft.com/office/drawing/2014/chart" uri="{C3380CC4-5D6E-409C-BE32-E72D297353CC}">
              <c16:uniqueId val="{00000000-36DE-4925-9155-FADE3323D199}"/>
            </c:ext>
          </c:extLst>
        </c:ser>
        <c:ser>
          <c:idx val="1"/>
          <c:order val="1"/>
          <c:tx>
            <c:strRef>
              <c:f>'Output Summary'!$F$58</c:f>
              <c:strCache>
                <c:ptCount val="1"/>
                <c:pt idx="0">
                  <c:v>Weighted benefit</c:v>
                </c:pt>
              </c:strCache>
            </c:strRef>
          </c:tx>
          <c:spPr>
            <a:solidFill>
              <a:schemeClr val="accent2"/>
            </a:solidFill>
            <a:ln>
              <a:noFill/>
            </a:ln>
            <a:effectLst/>
          </c:spPr>
          <c:invertIfNegative val="0"/>
          <c:cat>
            <c:strRef>
              <c:f>'Output Summary'!$A$59:$A$63</c:f>
              <c:strCache>
                <c:ptCount val="5"/>
                <c:pt idx="0">
                  <c:v>Lowest Quintile</c:v>
                </c:pt>
                <c:pt idx="1">
                  <c:v>Second Quintile</c:v>
                </c:pt>
                <c:pt idx="2">
                  <c:v>Third Quintile</c:v>
                </c:pt>
                <c:pt idx="3">
                  <c:v>Fourth Quintile</c:v>
                </c:pt>
                <c:pt idx="4">
                  <c:v>Highest Quintile</c:v>
                </c:pt>
              </c:strCache>
            </c:strRef>
          </c:cat>
          <c:val>
            <c:numRef>
              <c:f>'Output Summary'!$F$59:$F$63</c:f>
              <c:numCache>
                <c:formatCode>\$#,##0.00_);[Red]\(\$#,##0.00\)</c:formatCode>
                <c:ptCount val="5"/>
                <c:pt idx="0">
                  <c:v>-8198053.15960766</c:v>
                </c:pt>
                <c:pt idx="1">
                  <c:v>-1968558.0665664072</c:v>
                </c:pt>
                <c:pt idx="2">
                  <c:v>-962729.17438030045</c:v>
                </c:pt>
                <c:pt idx="3">
                  <c:v>-962729.17438030045</c:v>
                </c:pt>
                <c:pt idx="4">
                  <c:v>-525714.23440545693</c:v>
                </c:pt>
              </c:numCache>
            </c:numRef>
          </c:val>
          <c:extLst>
            <c:ext xmlns:c16="http://schemas.microsoft.com/office/drawing/2014/chart" uri="{C3380CC4-5D6E-409C-BE32-E72D297353CC}">
              <c16:uniqueId val="{00000000-219F-4A4E-B75A-21A45EF3C5DF}"/>
            </c:ext>
          </c:extLst>
        </c:ser>
        <c:dLbls>
          <c:showLegendKey val="0"/>
          <c:showVal val="0"/>
          <c:showCatName val="0"/>
          <c:showSerName val="0"/>
          <c:showPercent val="0"/>
          <c:showBubbleSize val="0"/>
        </c:dLbls>
        <c:gapWidth val="219"/>
        <c:overlap val="-27"/>
        <c:axId val="847672095"/>
        <c:axId val="722632031"/>
      </c:barChart>
      <c:catAx>
        <c:axId val="8476720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Calibri" panose="020F0502020204030204" pitchFamily="34" charset="0"/>
                <a:ea typeface="+mn-ea"/>
                <a:cs typeface="Calibri" panose="020F0502020204030204" pitchFamily="34" charset="0"/>
              </a:defRPr>
            </a:pPr>
            <a:endParaRPr lang="en-US"/>
          </a:p>
        </c:txPr>
        <c:crossAx val="722632031"/>
        <c:crosses val="autoZero"/>
        <c:auto val="1"/>
        <c:lblAlgn val="ctr"/>
        <c:lblOffset val="100"/>
        <c:noMultiLvlLbl val="0"/>
      </c:catAx>
      <c:valAx>
        <c:axId val="722632031"/>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Calibri" panose="020F0502020204030204" pitchFamily="34" charset="0"/>
                <a:ea typeface="+mn-ea"/>
                <a:cs typeface="Calibri" panose="020F0502020204030204" pitchFamily="34" charset="0"/>
              </a:defRPr>
            </a:pPr>
            <a:endParaRPr lang="en-US"/>
          </a:p>
        </c:txPr>
        <c:crossAx val="84767209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Calibri" panose="020F0502020204030204" pitchFamily="34" charset="0"/>
              <a:ea typeface="+mn-ea"/>
              <a:cs typeface="Calibri" panose="020F050202020403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50">
          <a:solidFill>
            <a:sysClr val="windowText" lastClr="000000"/>
          </a:solidFill>
          <a:latin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Calibri" panose="020F0502020204030204" pitchFamily="34" charset="0"/>
                <a:ea typeface="Calibri" panose="020F0502020204030204" pitchFamily="34" charset="0"/>
                <a:cs typeface="Calibri" panose="020F0502020204030204" pitchFamily="34" charset="0"/>
              </a:defRPr>
            </a:pPr>
            <a:r>
              <a:rPr lang="en-US"/>
              <a:t>Benefits by Category</a:t>
            </a:r>
          </a:p>
        </c:rich>
      </c:tx>
      <c:overlay val="0"/>
      <c:spPr>
        <a:noFill/>
        <a:ln>
          <a:noFill/>
        </a:ln>
        <a:effectLst/>
      </c:spPr>
    </c:title>
    <c:autoTitleDeleted val="0"/>
    <c:plotArea>
      <c:layout>
        <c:manualLayout>
          <c:layoutTarget val="inner"/>
          <c:xMode val="edge"/>
          <c:yMode val="edge"/>
          <c:x val="0.14805395758418277"/>
          <c:y val="0.16821092298989551"/>
          <c:w val="0.80958088766234959"/>
          <c:h val="0.66826384329371191"/>
        </c:manualLayout>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dPt>
            <c:idx val="1"/>
            <c:invertIfNegative val="0"/>
            <c:bubble3D val="0"/>
            <c:spPr>
              <a:solidFill>
                <a:schemeClr val="accent2"/>
              </a:solidFill>
              <a:ln>
                <a:noFill/>
              </a:ln>
              <a:effectLst/>
            </c:spPr>
            <c:extLst>
              <c:ext xmlns:c16="http://schemas.microsoft.com/office/drawing/2014/chart" uri="{C3380CC4-5D6E-409C-BE32-E72D297353CC}">
                <c16:uniqueId val="{00000001-B27E-427A-9B1B-C547C0E57B35}"/>
              </c:ext>
            </c:extLst>
          </c:dPt>
          <c:dPt>
            <c:idx val="2"/>
            <c:invertIfNegative val="0"/>
            <c:bubble3D val="0"/>
            <c:spPr>
              <a:solidFill>
                <a:schemeClr val="accent4"/>
              </a:solidFill>
              <a:ln>
                <a:noFill/>
              </a:ln>
              <a:effectLst/>
            </c:spPr>
            <c:extLst>
              <c:ext xmlns:c16="http://schemas.microsoft.com/office/drawing/2014/chart" uri="{C3380CC4-5D6E-409C-BE32-E72D297353CC}">
                <c16:uniqueId val="{00000003-B27E-427A-9B1B-C547C0E57B35}"/>
              </c:ext>
            </c:extLst>
          </c:dPt>
          <c:dPt>
            <c:idx val="3"/>
            <c:invertIfNegative val="0"/>
            <c:bubble3D val="0"/>
            <c:spPr>
              <a:solidFill>
                <a:schemeClr val="accent5"/>
              </a:solidFill>
              <a:ln>
                <a:noFill/>
              </a:ln>
              <a:effectLst/>
            </c:spPr>
            <c:extLst>
              <c:ext xmlns:c16="http://schemas.microsoft.com/office/drawing/2014/chart" uri="{C3380CC4-5D6E-409C-BE32-E72D297353CC}">
                <c16:uniqueId val="{00000005-B27E-427A-9B1B-C547C0E57B35}"/>
              </c:ext>
            </c:extLst>
          </c:dPt>
          <c:dPt>
            <c:idx val="4"/>
            <c:invertIfNegative val="0"/>
            <c:bubble3D val="0"/>
            <c:spPr>
              <a:solidFill>
                <a:schemeClr val="accent6"/>
              </a:solidFill>
              <a:ln>
                <a:noFill/>
              </a:ln>
              <a:effectLst/>
            </c:spPr>
            <c:extLst>
              <c:ext xmlns:c16="http://schemas.microsoft.com/office/drawing/2014/chart" uri="{C3380CC4-5D6E-409C-BE32-E72D297353CC}">
                <c16:uniqueId val="{00000007-B27E-427A-9B1B-C547C0E57B35}"/>
              </c:ext>
            </c:extLst>
          </c:dPt>
          <c:dPt>
            <c:idx val="5"/>
            <c:invertIfNegative val="0"/>
            <c:bubble3D val="0"/>
            <c:spPr>
              <a:solidFill>
                <a:srgbClr val="0070C0"/>
              </a:solidFill>
              <a:ln>
                <a:noFill/>
              </a:ln>
              <a:effectLst/>
            </c:spPr>
            <c:extLst>
              <c:ext xmlns:c16="http://schemas.microsoft.com/office/drawing/2014/chart" uri="{C3380CC4-5D6E-409C-BE32-E72D297353CC}">
                <c16:uniqueId val="{00000009-B27E-427A-9B1B-C547C0E57B35}"/>
              </c:ext>
            </c:extLst>
          </c:dPt>
          <c:dLbls>
            <c:numFmt formatCode="&quot;$&quot;#,##0" sourceLinked="0"/>
            <c:spPr>
              <a:noFill/>
              <a:ln>
                <a:noFill/>
              </a:ln>
              <a:effectLst/>
            </c:spPr>
            <c:txPr>
              <a:bodyPr rot="0" spcFirstLastPara="1" vertOverflow="ellipsis" vert="horz" wrap="square" anchor="ctr" anchorCtr="1"/>
              <a:lstStyle/>
              <a:p>
                <a:pPr>
                  <a:defRPr sz="1100" b="0" i="0" u="none" strike="noStrike" kern="1200" baseline="0">
                    <a:solidFill>
                      <a:schemeClr val="tx2"/>
                    </a:solidFill>
                    <a:latin typeface="Calibri" panose="020F0502020204030204" pitchFamily="34" charset="0"/>
                    <a:ea typeface="Calibri" panose="020F0502020204030204" pitchFamily="34" charset="0"/>
                    <a:cs typeface="Calibri" panose="020F050202020403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a:solidFill>
                        <a:schemeClr val="tx2">
                          <a:lumMod val="35000"/>
                          <a:lumOff val="65000"/>
                        </a:schemeClr>
                      </a:solidFill>
                    </a:ln>
                    <a:effectLst/>
                  </c:spPr>
                </c15:leaderLines>
              </c:ext>
            </c:extLst>
          </c:dLbls>
          <c:cat>
            <c:strRef>
              <c:f>'Output Summary'!$A$48:$A$53</c:f>
              <c:strCache>
                <c:ptCount val="6"/>
                <c:pt idx="0">
                  <c:v>Travel Time Savings</c:v>
                </c:pt>
                <c:pt idx="1">
                  <c:v>Safety</c:v>
                </c:pt>
                <c:pt idx="2">
                  <c:v>VOC</c:v>
                </c:pt>
                <c:pt idx="3">
                  <c:v>Emissions</c:v>
                </c:pt>
                <c:pt idx="4">
                  <c:v>Health</c:v>
                </c:pt>
                <c:pt idx="5">
                  <c:v>Noise</c:v>
                </c:pt>
              </c:strCache>
            </c:strRef>
          </c:cat>
          <c:val>
            <c:numRef>
              <c:f>'Output Summary'!$D$48:$D$53</c:f>
              <c:numCache>
                <c:formatCode>\$#,##0.00_);[Red]\(\$#,##0.00\)</c:formatCode>
                <c:ptCount val="6"/>
                <c:pt idx="0">
                  <c:v>-2175004.1467643515</c:v>
                </c:pt>
                <c:pt idx="1">
                  <c:v>0</c:v>
                </c:pt>
                <c:pt idx="2">
                  <c:v>-3661593.7488648035</c:v>
                </c:pt>
                <c:pt idx="3">
                  <c:v>0</c:v>
                </c:pt>
                <c:pt idx="4">
                  <c:v>0</c:v>
                </c:pt>
                <c:pt idx="5">
                  <c:v>0</c:v>
                </c:pt>
              </c:numCache>
            </c:numRef>
          </c:val>
          <c:extLst>
            <c:ext xmlns:c16="http://schemas.microsoft.com/office/drawing/2014/chart" uri="{C3380CC4-5D6E-409C-BE32-E72D297353CC}">
              <c16:uniqueId val="{0000000A-B27E-427A-9B1B-C547C0E57B35}"/>
            </c:ext>
          </c:extLst>
        </c:ser>
        <c:dLbls>
          <c:dLblPos val="outEnd"/>
          <c:showLegendKey val="0"/>
          <c:showVal val="1"/>
          <c:showCatName val="0"/>
          <c:showSerName val="0"/>
          <c:showPercent val="0"/>
          <c:showBubbleSize val="0"/>
        </c:dLbls>
        <c:gapWidth val="80"/>
        <c:axId val="159066368"/>
        <c:axId val="159067328"/>
      </c:barChart>
      <c:catAx>
        <c:axId val="159066368"/>
        <c:scaling>
          <c:orientation val="minMax"/>
        </c:scaling>
        <c:delete val="0"/>
        <c:axPos val="b"/>
        <c:numFmt formatCode="General" sourceLinked="1"/>
        <c:majorTickMark val="none"/>
        <c:minorTickMark val="none"/>
        <c:tickLblPos val="low"/>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2"/>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159067328"/>
        <c:crosses val="autoZero"/>
        <c:auto val="1"/>
        <c:lblAlgn val="ctr"/>
        <c:lblOffset val="100"/>
        <c:noMultiLvlLbl val="0"/>
      </c:catAx>
      <c:valAx>
        <c:axId val="159067328"/>
        <c:scaling>
          <c:orientation val="minMax"/>
        </c:scaling>
        <c:delete val="0"/>
        <c:axPos val="l"/>
        <c:majorGridlines>
          <c:spPr>
            <a:ln w="9525" cap="flat" cmpd="sng" algn="ctr">
              <a:solidFill>
                <a:schemeClr val="tx2">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2"/>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15906636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latin typeface="Calibri" panose="020F0502020204030204" pitchFamily="34" charset="0"/>
          <a:ea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-1</xdr:colOff>
      <xdr:row>15</xdr:row>
      <xdr:rowOff>293389</xdr:rowOff>
    </xdr:from>
    <xdr:to>
      <xdr:col>9</xdr:col>
      <xdr:colOff>656704</xdr:colOff>
      <xdr:row>34</xdr:row>
      <xdr:rowOff>0</xdr:rowOff>
    </xdr:to>
    <xdr:graphicFrame macro="">
      <xdr:nvGraphicFramePr>
        <xdr:cNvPr id="3" name="차트 1">
          <a:extLst>
            <a:ext uri="{FF2B5EF4-FFF2-40B4-BE49-F238E27FC236}">
              <a16:creationId xmlns:a16="http://schemas.microsoft.com/office/drawing/2014/main" id="{722D3960-0891-4FBD-96D0-7D7FFC89E0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0</xdr:colOff>
      <xdr:row>15</xdr:row>
      <xdr:rowOff>197426</xdr:rowOff>
    </xdr:from>
    <xdr:to>
      <xdr:col>6</xdr:col>
      <xdr:colOff>0</xdr:colOff>
      <xdr:row>33</xdr:row>
      <xdr:rowOff>182513</xdr:rowOff>
    </xdr:to>
    <xdr:graphicFrame macro="">
      <xdr:nvGraphicFramePr>
        <xdr:cNvPr id="2" name="Chart 1">
          <a:extLst>
            <a:ext uri="{FF2B5EF4-FFF2-40B4-BE49-F238E27FC236}">
              <a16:creationId xmlns:a16="http://schemas.microsoft.com/office/drawing/2014/main" id="{1A63A787-DFBB-4AC8-A553-C4D87E4071F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jenny.liu@pdx.ed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0A848-0131-40F6-8736-726D0A336475}">
  <sheetPr codeName="Sheet1">
    <tabColor theme="7" tint="0.79998168889431442"/>
  </sheetPr>
  <dimension ref="A1:F30"/>
  <sheetViews>
    <sheetView topLeftCell="A3" zoomScale="90" zoomScaleNormal="90" workbookViewId="0">
      <selection activeCell="F19" sqref="F19"/>
    </sheetView>
  </sheetViews>
  <sheetFormatPr defaultColWidth="8.75" defaultRowHeight="15"/>
  <cols>
    <col min="1" max="1" width="23.5" style="1" customWidth="1"/>
    <col min="2" max="2" width="95.75" style="1" customWidth="1"/>
    <col min="3" max="16384" width="8.75" style="1"/>
  </cols>
  <sheetData>
    <row r="1" spans="1:6" ht="30" customHeight="1">
      <c r="A1" s="115" t="s">
        <v>0</v>
      </c>
      <c r="B1" s="115"/>
      <c r="C1" s="115"/>
      <c r="D1" s="115"/>
      <c r="E1" s="115"/>
      <c r="F1" s="115"/>
    </row>
    <row r="2" spans="1:6" ht="112.7" customHeight="1">
      <c r="A2" s="137" t="s">
        <v>1</v>
      </c>
      <c r="B2" s="137"/>
      <c r="C2" s="137"/>
      <c r="D2" s="137"/>
      <c r="E2" s="137"/>
      <c r="F2" s="137"/>
    </row>
    <row r="3" spans="1:6" ht="15.75">
      <c r="A3" s="2"/>
      <c r="B3" s="2"/>
    </row>
    <row r="4" spans="1:6" ht="22.9" customHeight="1">
      <c r="A4" s="136" t="s">
        <v>2</v>
      </c>
      <c r="B4" s="136"/>
    </row>
    <row r="5" spans="1:6" ht="15.75">
      <c r="A5" s="6" t="s">
        <v>3</v>
      </c>
      <c r="B5" s="6" t="s">
        <v>4</v>
      </c>
    </row>
    <row r="6" spans="1:6" ht="15.75">
      <c r="A6" s="2" t="s">
        <v>5</v>
      </c>
      <c r="B6" s="7" t="s">
        <v>6</v>
      </c>
    </row>
    <row r="7" spans="1:6" ht="15.75">
      <c r="A7" s="2" t="s">
        <v>7</v>
      </c>
      <c r="B7" s="7" t="s">
        <v>8</v>
      </c>
    </row>
    <row r="8" spans="1:6" ht="31.5">
      <c r="A8" s="2" t="s">
        <v>9</v>
      </c>
      <c r="B8" s="7" t="s">
        <v>10</v>
      </c>
    </row>
    <row r="9" spans="1:6" ht="31.5">
      <c r="A9" s="2" t="s">
        <v>11</v>
      </c>
      <c r="B9" s="7" t="s">
        <v>12</v>
      </c>
    </row>
    <row r="10" spans="1:6" ht="15.75">
      <c r="A10" s="2" t="s">
        <v>13</v>
      </c>
      <c r="B10" s="7" t="s">
        <v>14</v>
      </c>
    </row>
    <row r="11" spans="1:6" ht="15.75">
      <c r="A11" s="2" t="s">
        <v>15</v>
      </c>
      <c r="B11" s="7" t="s">
        <v>16</v>
      </c>
    </row>
    <row r="12" spans="1:6" ht="47.25">
      <c r="A12" s="7" t="s">
        <v>17</v>
      </c>
      <c r="B12" s="7" t="s">
        <v>18</v>
      </c>
    </row>
    <row r="13" spans="1:6" ht="15.75">
      <c r="A13" s="2" t="s">
        <v>19</v>
      </c>
      <c r="B13" s="7" t="s">
        <v>20</v>
      </c>
    </row>
    <row r="14" spans="1:6" ht="15.75">
      <c r="A14" s="2" t="s">
        <v>21</v>
      </c>
      <c r="B14" s="2" t="s">
        <v>22</v>
      </c>
    </row>
    <row r="15" spans="1:6" ht="15.75">
      <c r="A15" s="2"/>
      <c r="B15" s="2"/>
    </row>
    <row r="16" spans="1:6" ht="22.9" customHeight="1">
      <c r="A16" s="136" t="s">
        <v>23</v>
      </c>
      <c r="B16" s="136"/>
    </row>
    <row r="17" spans="1:2" ht="15.75">
      <c r="A17" s="88" t="s">
        <v>24</v>
      </c>
      <c r="B17" s="2" t="s">
        <v>25</v>
      </c>
    </row>
    <row r="18" spans="1:2" ht="15.75">
      <c r="A18" s="89" t="s">
        <v>26</v>
      </c>
      <c r="B18" s="2" t="s">
        <v>27</v>
      </c>
    </row>
    <row r="19" spans="1:2" ht="15.75">
      <c r="A19" s="114" t="s">
        <v>28</v>
      </c>
      <c r="B19" s="2" t="s">
        <v>29</v>
      </c>
    </row>
    <row r="20" spans="1:2" ht="15.75">
      <c r="A20" s="3" t="s">
        <v>30</v>
      </c>
      <c r="B20" s="2" t="s">
        <v>31</v>
      </c>
    </row>
    <row r="21" spans="1:2" ht="15.75">
      <c r="A21" s="4" t="s">
        <v>32</v>
      </c>
      <c r="B21" s="2" t="s">
        <v>33</v>
      </c>
    </row>
    <row r="22" spans="1:2" ht="15.75">
      <c r="A22" s="5" t="s">
        <v>34</v>
      </c>
      <c r="B22" s="2" t="s">
        <v>35</v>
      </c>
    </row>
    <row r="24" spans="1:2" ht="15.75">
      <c r="A24" s="136" t="s">
        <v>36</v>
      </c>
      <c r="B24" s="136"/>
    </row>
    <row r="25" spans="1:2" ht="15.75">
      <c r="A25" s="2" t="s">
        <v>37</v>
      </c>
      <c r="B25" s="2" t="s">
        <v>38</v>
      </c>
    </row>
    <row r="26" spans="1:2" ht="15.75">
      <c r="A26" s="2" t="s">
        <v>39</v>
      </c>
      <c r="B26" s="2" t="s">
        <v>40</v>
      </c>
    </row>
    <row r="27" spans="1:2" ht="15.75">
      <c r="A27" s="2" t="s">
        <v>41</v>
      </c>
      <c r="B27" s="128" t="s">
        <v>42</v>
      </c>
    </row>
    <row r="28" spans="1:2" ht="15.75">
      <c r="A28" s="2" t="s">
        <v>43</v>
      </c>
      <c r="B28" s="129">
        <v>46225</v>
      </c>
    </row>
    <row r="29" spans="1:2" ht="15.75">
      <c r="A29" s="2" t="s">
        <v>44</v>
      </c>
      <c r="B29" s="129">
        <v>46327</v>
      </c>
    </row>
    <row r="30" spans="1:2" ht="15.75">
      <c r="A30" s="2" t="s">
        <v>45</v>
      </c>
      <c r="B30" s="2" t="s">
        <v>46</v>
      </c>
    </row>
  </sheetData>
  <sheetProtection algorithmName="SHA-512" hashValue="Jue2WAmh+V8ItcWc8jsv7/gySHM+AhO+PFXbXZ+DRwDHCDxIyu1wH9xIqhNVmx7KBLrGUeAS7DIZq/FpK/XLog==" saltValue="5u6UyOX9zMqqqvnVOEbN3A==" spinCount="100000" sheet="1" objects="1" scenarios="1"/>
  <dataConsolidate/>
  <mergeCells count="4">
    <mergeCell ref="A16:B16"/>
    <mergeCell ref="A4:B4"/>
    <mergeCell ref="A2:F2"/>
    <mergeCell ref="A24:B24"/>
  </mergeCells>
  <phoneticPr fontId="1" type="noConversion"/>
  <hyperlinks>
    <hyperlink ref="B27" r:id="rId1" xr:uid="{71287505-E22A-4737-B68C-BDBFF29EDFA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683FE-BF01-4659-A6CB-81421602DE57}">
  <sheetPr>
    <tabColor theme="5"/>
  </sheetPr>
  <dimension ref="A1:J16"/>
  <sheetViews>
    <sheetView tabSelected="1" topLeftCell="A3" zoomScale="80" zoomScaleNormal="80" zoomScaleSheetLayoutView="68" workbookViewId="0">
      <selection activeCell="B6" sqref="B6"/>
    </sheetView>
  </sheetViews>
  <sheetFormatPr defaultColWidth="8.875" defaultRowHeight="15"/>
  <cols>
    <col min="1" max="1" width="22.75" style="1" customWidth="1"/>
    <col min="2" max="2" width="21.625" style="1" bestFit="1" customWidth="1"/>
    <col min="3" max="3" width="28.875" style="1" customWidth="1"/>
    <col min="4" max="4" width="8.875" style="1"/>
    <col min="5" max="5" width="35.5" style="1" customWidth="1"/>
    <col min="6" max="6" width="36.5" style="1" customWidth="1"/>
    <col min="7" max="7" width="8.875" style="1"/>
    <col min="8" max="8" width="24.375" style="1" customWidth="1"/>
    <col min="9" max="9" width="39" style="1" customWidth="1"/>
    <col min="10" max="16384" width="8.875" style="1"/>
  </cols>
  <sheetData>
    <row r="1" spans="1:10" s="2" customFormat="1" ht="30" customHeight="1">
      <c r="A1" s="133" t="s">
        <v>47</v>
      </c>
      <c r="B1" s="133"/>
      <c r="C1" s="133"/>
      <c r="D1" s="133"/>
      <c r="E1" s="133"/>
      <c r="F1" s="133"/>
      <c r="G1" s="133"/>
      <c r="H1" s="133"/>
      <c r="I1" s="133"/>
      <c r="J1" s="133"/>
    </row>
    <row r="3" spans="1:10" ht="22.9" customHeight="1">
      <c r="A3" s="117" t="s">
        <v>48</v>
      </c>
      <c r="B3" s="106"/>
      <c r="C3" s="106"/>
      <c r="E3" s="134" t="s">
        <v>49</v>
      </c>
      <c r="F3" s="134"/>
      <c r="G3" s="134"/>
      <c r="H3" s="134"/>
      <c r="I3" s="134"/>
      <c r="J3" s="134"/>
    </row>
    <row r="4" spans="1:10" ht="18.75">
      <c r="A4" s="118" t="s">
        <v>50</v>
      </c>
      <c r="B4" s="118" t="s">
        <v>51</v>
      </c>
      <c r="C4" s="118" t="s">
        <v>52</v>
      </c>
      <c r="E4" s="2" t="s">
        <v>53</v>
      </c>
      <c r="F4" s="119">
        <f>'Output Summary'!B28</f>
        <v>3000000</v>
      </c>
      <c r="G4" s="126"/>
      <c r="H4" s="135" t="str">
        <f>"Assumes a " &amp; 'Scenario Inputs'!B6 &amp;" year analysis period (" &amp; 'Output Summary'!B7 &amp; "-" &amp; Baseline!B13 &amp; "), benefits starting in year " &amp; Baseline!B8 &amp; ", and " &amp; 'Scenario Inputs'!B5*100 &amp; "% real discount rate at the Oregon " &amp; 'Scenario Inputs'!B7 &amp; " geography level. All results are displayed in " &amp; Baseline!B6 &amp; " dollars."</f>
        <v>Assumes a 30 year analysis period (2027-2056), benefits starting in year 2027, and 7% real discount rate at the Oregon Statewide geography level. All results are displayed in 2024 dollars.</v>
      </c>
      <c r="I4" s="135"/>
      <c r="J4" s="135"/>
    </row>
    <row r="5" spans="1:10" ht="15.75">
      <c r="A5" s="2" t="s">
        <v>54</v>
      </c>
      <c r="B5" s="83">
        <v>0</v>
      </c>
      <c r="C5" s="2" t="s">
        <v>55</v>
      </c>
      <c r="E5" s="120" t="s">
        <v>56</v>
      </c>
      <c r="F5" s="120" t="s">
        <v>57</v>
      </c>
      <c r="H5" s="135"/>
      <c r="I5" s="135"/>
      <c r="J5" s="135"/>
    </row>
    <row r="6" spans="1:10" ht="15.75">
      <c r="A6" s="2" t="s">
        <v>58</v>
      </c>
      <c r="B6" s="83">
        <v>100000</v>
      </c>
      <c r="C6" s="2" t="s">
        <v>59</v>
      </c>
      <c r="E6" s="121" t="s">
        <v>60</v>
      </c>
      <c r="F6" s="122">
        <f>'Output Summary'!E19</f>
        <v>-1.9455326318763848</v>
      </c>
      <c r="H6" s="135"/>
      <c r="I6" s="135"/>
      <c r="J6" s="135"/>
    </row>
    <row r="7" spans="1:10" ht="15.75">
      <c r="A7" s="2" t="s">
        <v>61</v>
      </c>
      <c r="B7" s="83">
        <v>0</v>
      </c>
      <c r="C7" s="2" t="s">
        <v>62</v>
      </c>
      <c r="E7" s="121" t="s">
        <v>63</v>
      </c>
      <c r="F7" s="122">
        <f>'Output Summary'!B19</f>
        <v>-5836597.8956291545</v>
      </c>
      <c r="H7" s="135"/>
      <c r="I7" s="135"/>
      <c r="J7" s="135"/>
    </row>
    <row r="8" spans="1:10" ht="15.75">
      <c r="A8" s="2" t="s">
        <v>64</v>
      </c>
      <c r="B8" s="83">
        <v>0</v>
      </c>
      <c r="C8" s="2" t="s">
        <v>62</v>
      </c>
      <c r="E8" s="121" t="s">
        <v>65</v>
      </c>
      <c r="F8" s="122">
        <f>'Scenario Inputs'!B18</f>
        <v>0</v>
      </c>
      <c r="H8" s="1" t="s">
        <v>66</v>
      </c>
    </row>
    <row r="9" spans="1:10" ht="15.75">
      <c r="E9" s="121" t="s">
        <v>67</v>
      </c>
      <c r="F9" s="122">
        <f>'Output Summary'!B22</f>
        <v>-5836597.8956291545</v>
      </c>
    </row>
    <row r="10" spans="1:10" ht="15.75">
      <c r="A10" s="131" t="str">
        <f>HYPERLINK("#'Scenario Inputs'!A1","Open full Scenario Inputs →")</f>
        <v>Open full Scenario Inputs →</v>
      </c>
      <c r="B10" s="131"/>
      <c r="C10" s="131"/>
      <c r="E10" s="121" t="s">
        <v>68</v>
      </c>
      <c r="F10" s="123" t="str">
        <f>'Output Summary'!B23</f>
        <v/>
      </c>
    </row>
    <row r="11" spans="1:10" ht="15.75">
      <c r="A11" s="130" t="str">
        <f>HYPERLINK("#'Baseline'!A1","Open full Baseline →")</f>
        <v>Open full Baseline →</v>
      </c>
      <c r="B11" s="131"/>
      <c r="C11" s="131"/>
      <c r="E11" s="2"/>
      <c r="F11" s="2"/>
    </row>
    <row r="12" spans="1:10" ht="15.75">
      <c r="A12" s="130" t="str">
        <f>HYPERLINK("#'Output Summary'!A1","Open full Output Summary →")</f>
        <v>Open full Output Summary →</v>
      </c>
      <c r="B12" s="132"/>
      <c r="C12" s="132"/>
      <c r="E12" s="121" t="s">
        <v>69</v>
      </c>
      <c r="F12" s="122">
        <f>'Output Summary'!E33</f>
        <v>-12617783.809340125</v>
      </c>
    </row>
    <row r="13" spans="1:10" ht="15.75">
      <c r="E13" s="121" t="s">
        <v>70</v>
      </c>
      <c r="F13" s="122">
        <f>'Output Summary'!E34</f>
        <v>-12617783.809340125</v>
      </c>
    </row>
    <row r="14" spans="1:10" ht="15.75">
      <c r="A14" s="2"/>
      <c r="B14" s="2"/>
      <c r="C14" s="2"/>
      <c r="E14" s="121" t="s">
        <v>71</v>
      </c>
      <c r="F14" s="123" t="str">
        <f>'Output Summary'!E35</f>
        <v/>
      </c>
    </row>
    <row r="16" spans="1:10" ht="15.75">
      <c r="E16" s="124" t="s">
        <v>72</v>
      </c>
      <c r="F16" s="125"/>
      <c r="H16" s="124" t="s">
        <v>73</v>
      </c>
      <c r="I16" s="125"/>
      <c r="J16" s="125"/>
    </row>
  </sheetData>
  <mergeCells count="6">
    <mergeCell ref="A11:C11"/>
    <mergeCell ref="A12:C12"/>
    <mergeCell ref="A10:C10"/>
    <mergeCell ref="A1:J1"/>
    <mergeCell ref="E3:J3"/>
    <mergeCell ref="H4:J7"/>
  </mergeCells>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2ACFA-DB70-4B27-85B0-0A808A1D8B10}">
  <sheetPr codeName="Sheet2">
    <tabColor rgb="FFFFC000"/>
  </sheetPr>
  <dimension ref="A1:I58"/>
  <sheetViews>
    <sheetView zoomScale="70" zoomScaleNormal="70" workbookViewId="0">
      <selection activeCell="D40" sqref="D40"/>
    </sheetView>
  </sheetViews>
  <sheetFormatPr defaultColWidth="8.75" defaultRowHeight="15.75"/>
  <cols>
    <col min="1" max="1" width="37.5" style="2" customWidth="1"/>
    <col min="2" max="2" width="20.875" style="2" customWidth="1"/>
    <col min="3" max="3" width="26.875" style="2" customWidth="1"/>
    <col min="4" max="4" width="25.625" style="2" customWidth="1"/>
    <col min="5" max="5" width="43.25" style="2" customWidth="1"/>
    <col min="6" max="6" width="23.625" style="2" customWidth="1"/>
    <col min="7" max="7" width="14.625" style="2" customWidth="1"/>
    <col min="8" max="8" width="14.75" style="2" customWidth="1"/>
    <col min="9" max="9" width="11.25" style="2" customWidth="1"/>
    <col min="10" max="16384" width="8.75" style="2"/>
  </cols>
  <sheetData>
    <row r="1" spans="1:6" ht="30" customHeight="1">
      <c r="A1" s="133" t="s">
        <v>9</v>
      </c>
      <c r="B1" s="133"/>
      <c r="C1" s="133"/>
      <c r="D1" s="133"/>
      <c r="E1" s="133"/>
      <c r="F1" s="133"/>
    </row>
    <row r="2" spans="1:6" ht="58.15" customHeight="1">
      <c r="A2" s="137" t="s">
        <v>74</v>
      </c>
      <c r="B2" s="137"/>
      <c r="C2" s="137"/>
      <c r="D2" s="137"/>
      <c r="E2" s="137"/>
      <c r="F2" s="137"/>
    </row>
    <row r="4" spans="1:6" ht="22.9" customHeight="1">
      <c r="A4" s="136" t="s">
        <v>48</v>
      </c>
      <c r="B4" s="136"/>
      <c r="C4" s="136"/>
      <c r="D4" s="136"/>
      <c r="E4" s="136"/>
      <c r="F4" s="136"/>
    </row>
    <row r="5" spans="1:6" ht="22.9" customHeight="1">
      <c r="A5" s="2" t="s">
        <v>75</v>
      </c>
      <c r="B5" s="108">
        <v>7.0000000000000007E-2</v>
      </c>
      <c r="C5" s="2" t="s">
        <v>76</v>
      </c>
      <c r="D5" s="2" t="s">
        <v>77</v>
      </c>
    </row>
    <row r="6" spans="1:6" ht="22.9" customHeight="1">
      <c r="A6" s="2" t="s">
        <v>78</v>
      </c>
      <c r="B6" s="109">
        <v>30</v>
      </c>
      <c r="C6" s="2" t="s">
        <v>79</v>
      </c>
      <c r="D6" s="2" t="s">
        <v>80</v>
      </c>
    </row>
    <row r="7" spans="1:6" ht="22.9" customHeight="1">
      <c r="A7" s="2" t="s">
        <v>81</v>
      </c>
      <c r="B7" s="110" t="s">
        <v>82</v>
      </c>
      <c r="D7" s="2" t="s">
        <v>83</v>
      </c>
    </row>
    <row r="8" spans="1:6" ht="22.9" customHeight="1">
      <c r="A8" s="2" t="s">
        <v>84</v>
      </c>
      <c r="B8" s="109" t="s">
        <v>85</v>
      </c>
      <c r="D8" s="2" t="s">
        <v>86</v>
      </c>
    </row>
    <row r="9" spans="1:6" ht="22.9" customHeight="1"/>
    <row r="10" spans="1:6">
      <c r="A10" s="8" t="s">
        <v>50</v>
      </c>
      <c r="B10" s="8" t="s">
        <v>51</v>
      </c>
      <c r="C10" s="8" t="s">
        <v>52</v>
      </c>
      <c r="D10" s="8" t="s">
        <v>87</v>
      </c>
      <c r="E10" s="8" t="s">
        <v>88</v>
      </c>
    </row>
    <row r="11" spans="1:6" ht="25.15" customHeight="1">
      <c r="A11" s="2" t="s">
        <v>54</v>
      </c>
      <c r="B11" s="83">
        <f>START!B5</f>
        <v>0</v>
      </c>
      <c r="C11" s="2" t="s">
        <v>55</v>
      </c>
      <c r="D11" s="2" t="s">
        <v>89</v>
      </c>
    </row>
    <row r="12" spans="1:6" ht="25.15" customHeight="1">
      <c r="A12" s="2" t="s">
        <v>58</v>
      </c>
      <c r="B12" s="83">
        <f>START!B6</f>
        <v>100000</v>
      </c>
      <c r="C12" s="2" t="s">
        <v>59</v>
      </c>
      <c r="D12" s="2" t="s">
        <v>89</v>
      </c>
    </row>
    <row r="13" spans="1:6" ht="25.15" customHeight="1">
      <c r="A13" s="2" t="s">
        <v>61</v>
      </c>
      <c r="B13" s="83">
        <f>START!B7</f>
        <v>0</v>
      </c>
      <c r="C13" s="2" t="s">
        <v>62</v>
      </c>
      <c r="D13" s="2" t="s">
        <v>89</v>
      </c>
    </row>
    <row r="14" spans="1:6" ht="25.15" customHeight="1">
      <c r="A14" s="2" t="s">
        <v>64</v>
      </c>
      <c r="B14" s="83">
        <f>START!B8</f>
        <v>0</v>
      </c>
      <c r="C14" s="2" t="s">
        <v>62</v>
      </c>
      <c r="D14" s="2" t="s">
        <v>89</v>
      </c>
    </row>
    <row r="16" spans="1:6" ht="22.9" customHeight="1">
      <c r="A16" s="136" t="s">
        <v>90</v>
      </c>
      <c r="B16" s="136"/>
      <c r="C16" s="136"/>
      <c r="D16" s="136"/>
      <c r="E16" s="136"/>
      <c r="F16" s="136"/>
    </row>
    <row r="17" spans="1:6" ht="24" customHeight="1">
      <c r="A17" s="2" t="s">
        <v>91</v>
      </c>
      <c r="B17" s="84" t="s">
        <v>85</v>
      </c>
      <c r="D17" s="2" t="s">
        <v>92</v>
      </c>
    </row>
    <row r="18" spans="1:6" ht="24" customHeight="1">
      <c r="A18" s="2" t="s">
        <v>93</v>
      </c>
      <c r="B18" s="112">
        <v>0</v>
      </c>
      <c r="C18" s="2" t="s">
        <v>94</v>
      </c>
      <c r="D18" s="2" t="s">
        <v>95</v>
      </c>
    </row>
    <row r="20" spans="1:6" ht="22.9" customHeight="1">
      <c r="A20" s="136" t="s">
        <v>96</v>
      </c>
      <c r="B20" s="136"/>
      <c r="C20" s="136"/>
      <c r="D20" s="136"/>
      <c r="E20" s="136"/>
      <c r="F20" s="136"/>
    </row>
    <row r="21" spans="1:6" ht="25.9" customHeight="1">
      <c r="A21" s="2" t="s">
        <v>97</v>
      </c>
      <c r="B21" s="84" t="s">
        <v>98</v>
      </c>
      <c r="D21" s="2" t="s">
        <v>99</v>
      </c>
      <c r="E21" s="84" t="s">
        <v>100</v>
      </c>
    </row>
    <row r="22" spans="1:6" ht="25.9" customHeight="1"/>
    <row r="23" spans="1:6">
      <c r="A23" s="8" t="s">
        <v>50</v>
      </c>
      <c r="B23" s="8" t="s">
        <v>101</v>
      </c>
      <c r="C23" s="8" t="s">
        <v>102</v>
      </c>
      <c r="D23" s="8" t="s">
        <v>52</v>
      </c>
      <c r="E23" s="8" t="s">
        <v>103</v>
      </c>
    </row>
    <row r="24" spans="1:6" ht="20.100000000000001" customHeight="1">
      <c r="A24" s="2" t="s">
        <v>54</v>
      </c>
      <c r="B24" s="111" t="s">
        <v>104</v>
      </c>
      <c r="C24" s="111"/>
      <c r="D24" s="2" t="s">
        <v>105</v>
      </c>
      <c r="E24" s="2" t="s">
        <v>106</v>
      </c>
    </row>
    <row r="25" spans="1:6" ht="20.100000000000001" customHeight="1">
      <c r="A25" s="2" t="s">
        <v>58</v>
      </c>
      <c r="B25" s="111" t="s">
        <v>104</v>
      </c>
      <c r="C25" s="111"/>
      <c r="D25" s="2" t="s">
        <v>105</v>
      </c>
      <c r="E25" s="2" t="s">
        <v>107</v>
      </c>
    </row>
    <row r="26" spans="1:6" ht="20.100000000000001" customHeight="1">
      <c r="A26" s="2" t="s">
        <v>61</v>
      </c>
      <c r="B26" s="111" t="s">
        <v>104</v>
      </c>
      <c r="C26" s="111"/>
      <c r="D26" s="2" t="s">
        <v>105</v>
      </c>
      <c r="E26" s="2" t="s">
        <v>108</v>
      </c>
    </row>
    <row r="27" spans="1:6" ht="20.100000000000001" customHeight="1">
      <c r="A27" s="2" t="s">
        <v>64</v>
      </c>
      <c r="B27" s="111" t="s">
        <v>104</v>
      </c>
      <c r="C27" s="111"/>
      <c r="D27" s="2" t="s">
        <v>105</v>
      </c>
      <c r="E27" s="2" t="s">
        <v>109</v>
      </c>
    </row>
    <row r="29" spans="1:6" ht="22.9" customHeight="1">
      <c r="A29" s="136" t="s">
        <v>110</v>
      </c>
      <c r="B29" s="136"/>
      <c r="C29" s="136"/>
      <c r="D29" s="136"/>
      <c r="E29" s="136"/>
      <c r="F29" s="136"/>
    </row>
    <row r="30" spans="1:6" ht="24" customHeight="1">
      <c r="A30" s="2" t="s">
        <v>111</v>
      </c>
      <c r="B30" s="84" t="s">
        <v>112</v>
      </c>
      <c r="C30" s="2" t="s">
        <v>113</v>
      </c>
      <c r="D30" s="84" t="s">
        <v>114</v>
      </c>
      <c r="E30" s="2" t="s">
        <v>115</v>
      </c>
      <c r="F30" s="84" t="s">
        <v>116</v>
      </c>
    </row>
    <row r="32" spans="1:6" ht="22.9" customHeight="1">
      <c r="A32" s="136" t="s">
        <v>117</v>
      </c>
      <c r="B32" s="136"/>
      <c r="C32" s="136"/>
      <c r="D32" s="136"/>
      <c r="E32" s="136"/>
      <c r="F32" s="136"/>
    </row>
    <row r="33" spans="1:6" ht="21.6" customHeight="1">
      <c r="A33" s="2" t="s">
        <v>118</v>
      </c>
      <c r="B33" s="84" t="s">
        <v>85</v>
      </c>
    </row>
    <row r="34" spans="1:6" ht="21.6" customHeight="1">
      <c r="A34" s="2" t="s">
        <v>119</v>
      </c>
      <c r="B34" s="84" t="s">
        <v>120</v>
      </c>
    </row>
    <row r="36" spans="1:6" ht="22.9" customHeight="1">
      <c r="A36" s="136" t="s">
        <v>121</v>
      </c>
      <c r="B36" s="136"/>
      <c r="C36" s="136"/>
      <c r="D36" s="136"/>
      <c r="E36" s="136"/>
      <c r="F36" s="136"/>
    </row>
    <row r="37" spans="1:6" ht="21.6" customHeight="1">
      <c r="A37" s="2" t="s">
        <v>122</v>
      </c>
      <c r="B37" s="85">
        <v>1.4</v>
      </c>
      <c r="C37" s="2" t="s">
        <v>123</v>
      </c>
      <c r="D37" s="84" t="s">
        <v>124</v>
      </c>
    </row>
    <row r="38" spans="1:6" ht="21.6" customHeight="1">
      <c r="A38" s="2" t="s">
        <v>125</v>
      </c>
      <c r="B38" s="85">
        <v>1</v>
      </c>
      <c r="C38" s="2" t="s">
        <v>126</v>
      </c>
      <c r="D38" s="84" t="s">
        <v>127</v>
      </c>
    </row>
    <row r="39" spans="1:6" ht="21.6" customHeight="1">
      <c r="A39" s="2" t="s">
        <v>128</v>
      </c>
      <c r="B39" s="85">
        <v>1.8</v>
      </c>
      <c r="C39" s="2" t="s">
        <v>129</v>
      </c>
      <c r="D39" s="82">
        <f>COUNTIF(D43:D47,TRUE())</f>
        <v>2</v>
      </c>
    </row>
    <row r="40" spans="1:6" ht="21.6" customHeight="1"/>
    <row r="42" spans="1:6">
      <c r="A42" s="8" t="s">
        <v>130</v>
      </c>
      <c r="B42" s="30" t="s">
        <v>131</v>
      </c>
      <c r="C42" s="8" t="s">
        <v>132</v>
      </c>
      <c r="D42" s="8" t="s">
        <v>133</v>
      </c>
      <c r="E42" s="8" t="s">
        <v>52</v>
      </c>
    </row>
    <row r="43" spans="1:6" ht="28.15" customHeight="1">
      <c r="A43" s="2" t="s">
        <v>134</v>
      </c>
      <c r="B43" s="23">
        <f>IF($D$37="Calculator default",INDEX($D$50:$I$52,$B$50,1),IF(C43&gt;0,C43,""))</f>
        <v>18076</v>
      </c>
      <c r="C43" s="127">
        <v>0</v>
      </c>
      <c r="D43" s="86" t="b">
        <v>1</v>
      </c>
      <c r="E43" s="2" t="s">
        <v>135</v>
      </c>
    </row>
    <row r="44" spans="1:6" ht="28.15" customHeight="1">
      <c r="A44" s="2" t="s">
        <v>136</v>
      </c>
      <c r="B44" s="23">
        <f>IF($D$37="Calculator default",INDEX($D$50:$I$52,$B$50,2),IF(C44&gt;0,C44,""))</f>
        <v>50078</v>
      </c>
      <c r="C44" s="127">
        <v>0</v>
      </c>
      <c r="D44" s="86" t="b">
        <v>1</v>
      </c>
      <c r="E44" s="2" t="s">
        <v>135</v>
      </c>
    </row>
    <row r="45" spans="1:6" ht="28.15" customHeight="1">
      <c r="A45" s="2" t="s">
        <v>137</v>
      </c>
      <c r="B45" s="23">
        <f>IF($D$37="Calculator default",INDEX($D$50:$I$52,$B$50,3),IF(C45&gt;0,C45,""))</f>
        <v>83471</v>
      </c>
      <c r="C45" s="127">
        <v>0</v>
      </c>
      <c r="D45" s="86" t="b">
        <v>0</v>
      </c>
      <c r="E45" s="2" t="s">
        <v>135</v>
      </c>
    </row>
    <row r="46" spans="1:6" ht="28.15" customHeight="1">
      <c r="A46" s="2" t="s">
        <v>138</v>
      </c>
      <c r="B46" s="23">
        <f>IF($D$37="Calculator default",INDEX($D$50:$I$52,$B$50,4),IF(C46&gt;0,C46,""))</f>
        <v>83471</v>
      </c>
      <c r="C46" s="127">
        <v>0</v>
      </c>
      <c r="D46" s="86" t="b">
        <v>0</v>
      </c>
      <c r="E46" s="2" t="s">
        <v>135</v>
      </c>
    </row>
    <row r="47" spans="1:6" ht="28.15" customHeight="1">
      <c r="A47" s="2" t="s">
        <v>139</v>
      </c>
      <c r="B47" s="23">
        <f>IF($D$37="Calculator default",INDEX($D$50:$I$52,$B$50,5),IF(C47&gt;0,C47,""))</f>
        <v>128593</v>
      </c>
      <c r="C47" s="127">
        <v>0</v>
      </c>
      <c r="D47" s="86" t="b">
        <v>0</v>
      </c>
      <c r="E47" s="2" t="s">
        <v>135</v>
      </c>
    </row>
    <row r="49" spans="1:9" hidden="1">
      <c r="A49" s="31" t="s">
        <v>140</v>
      </c>
      <c r="B49" s="31" t="s">
        <v>141</v>
      </c>
      <c r="C49" s="31" t="s">
        <v>142</v>
      </c>
      <c r="D49" s="31" t="s">
        <v>143</v>
      </c>
      <c r="E49" s="31" t="s">
        <v>144</v>
      </c>
      <c r="F49" s="31" t="s">
        <v>145</v>
      </c>
      <c r="G49" s="31" t="s">
        <v>145</v>
      </c>
      <c r="H49" s="31" t="s">
        <v>146</v>
      </c>
      <c r="I49" s="31" t="s">
        <v>147</v>
      </c>
    </row>
    <row r="50" spans="1:9" hidden="1">
      <c r="A50" s="32" t="s">
        <v>148</v>
      </c>
      <c r="B50">
        <f>MATCH($B$7,{"Statewide","Urban","Rural"},0)</f>
        <v>1</v>
      </c>
      <c r="C50" t="s">
        <v>82</v>
      </c>
      <c r="D50" s="33">
        <f>'Parameter Library'!$E$40</f>
        <v>18076</v>
      </c>
      <c r="E50" s="33">
        <f>'Parameter Library'!$E$41</f>
        <v>50078</v>
      </c>
      <c r="F50" s="33">
        <f>'Parameter Library'!$E$42</f>
        <v>83471</v>
      </c>
      <c r="G50" s="33">
        <f>'Parameter Library'!$E$42</f>
        <v>83471</v>
      </c>
      <c r="H50" s="33">
        <f>'Parameter Library'!$E$43</f>
        <v>128593</v>
      </c>
      <c r="I50" s="33">
        <f>'Parameter Library'!$E$44</f>
        <v>277493</v>
      </c>
    </row>
    <row r="51" spans="1:9" hidden="1">
      <c r="A51" s="32" t="s">
        <v>149</v>
      </c>
      <c r="B51">
        <f>COUNTIF(C43:C47,"&gt;0")</f>
        <v>0</v>
      </c>
      <c r="C51" t="s">
        <v>150</v>
      </c>
      <c r="D51" s="33">
        <f>'Parameter Library'!$E$45</f>
        <v>19893.732413959333</v>
      </c>
      <c r="E51" s="33">
        <f>'Parameter Library'!$E$46</f>
        <v>54018.18399393971</v>
      </c>
      <c r="F51" s="33">
        <f>'Parameter Library'!$E$47</f>
        <v>88576.547075736453</v>
      </c>
      <c r="G51" s="33">
        <f>'Parameter Library'!$E$47</f>
        <v>88576.547075736453</v>
      </c>
      <c r="H51" s="33">
        <f>'Parameter Library'!$E$48</f>
        <v>135194.46567842571</v>
      </c>
      <c r="I51" s="33">
        <f>'Parameter Library'!$E$49</f>
        <v>284031.68642459926</v>
      </c>
    </row>
    <row r="52" spans="1:9" hidden="1">
      <c r="A52" s="32" t="s">
        <v>151</v>
      </c>
      <c r="B52"/>
      <c r="C52" t="s">
        <v>151</v>
      </c>
      <c r="D52" s="33">
        <f>'Parameter Library'!$E$50</f>
        <v>14489.541215031519</v>
      </c>
      <c r="E52" s="33">
        <f>'Parameter Library'!$E$51</f>
        <v>38796.360908889532</v>
      </c>
      <c r="F52" s="33">
        <f>'Parameter Library'!$E$52</f>
        <v>64605.277198541749</v>
      </c>
      <c r="G52" s="33">
        <f>'Parameter Library'!$E$52</f>
        <v>64605.277198541749</v>
      </c>
      <c r="H52" s="33">
        <f>'Parameter Library'!$E$53</f>
        <v>99678.794013073173</v>
      </c>
      <c r="I52" s="33">
        <f>'Parameter Library'!$E$54</f>
        <v>209274.31803624594</v>
      </c>
    </row>
    <row r="53" spans="1:9" hidden="1"/>
    <row r="54" spans="1:9" ht="22.9" customHeight="1">
      <c r="A54" s="136" t="s">
        <v>152</v>
      </c>
      <c r="B54" s="136"/>
      <c r="C54" s="136"/>
      <c r="D54" s="136"/>
      <c r="E54" s="136"/>
      <c r="F54" s="136"/>
    </row>
    <row r="55" spans="1:9">
      <c r="A55" s="8" t="s">
        <v>153</v>
      </c>
      <c r="B55" s="8" t="s">
        <v>154</v>
      </c>
      <c r="C55" s="8" t="s">
        <v>155</v>
      </c>
      <c r="D55" s="8" t="s">
        <v>156</v>
      </c>
      <c r="E55" s="8" t="s">
        <v>103</v>
      </c>
    </row>
    <row r="56" spans="1:9" ht="22.5" customHeight="1">
      <c r="A56" s="2" t="s">
        <v>157</v>
      </c>
      <c r="B56" s="84" t="s">
        <v>85</v>
      </c>
      <c r="C56" s="2" t="s">
        <v>158</v>
      </c>
      <c r="D56" s="87">
        <v>0.03</v>
      </c>
      <c r="E56" s="2" t="s">
        <v>159</v>
      </c>
    </row>
    <row r="57" spans="1:9" ht="22.5" customHeight="1">
      <c r="A57" s="2" t="s">
        <v>160</v>
      </c>
      <c r="B57" s="84" t="s">
        <v>85</v>
      </c>
      <c r="C57" s="2">
        <v>30</v>
      </c>
      <c r="D57" s="82">
        <v>20</v>
      </c>
      <c r="E57" s="2" t="s">
        <v>161</v>
      </c>
    </row>
    <row r="58" spans="1:9" ht="22.5" customHeight="1">
      <c r="A58" s="2" t="s">
        <v>162</v>
      </c>
      <c r="B58" s="84" t="s">
        <v>85</v>
      </c>
      <c r="C58" s="29">
        <v>1</v>
      </c>
      <c r="D58" s="87">
        <v>0.8</v>
      </c>
      <c r="E58" s="2" t="s">
        <v>163</v>
      </c>
    </row>
  </sheetData>
  <mergeCells count="9">
    <mergeCell ref="A1:F1"/>
    <mergeCell ref="A2:F2"/>
    <mergeCell ref="A36:F36"/>
    <mergeCell ref="A54:F54"/>
    <mergeCell ref="A4:F4"/>
    <mergeCell ref="A16:F16"/>
    <mergeCell ref="A20:F20"/>
    <mergeCell ref="A29:F29"/>
    <mergeCell ref="A32:F32"/>
  </mergeCells>
  <phoneticPr fontId="1" type="noConversion"/>
  <dataValidations count="12">
    <dataValidation type="list" allowBlank="1" showInputMessage="1" showErrorMessage="1" sqref="B8" xr:uid="{055903DE-459C-430D-B36D-D3B71D9E3FD0}">
      <formula1>"Yes, No"</formula1>
    </dataValidation>
    <dataValidation type="list" allowBlank="1" showInputMessage="1" showErrorMessage="1" sqref="B7:B8" xr:uid="{22FB1290-67E4-46D9-A866-5984DCC0A6AE}">
      <formula1>"Statewide,Urban,Rural"</formula1>
    </dataValidation>
    <dataValidation type="list" sqref="B21" xr:uid="{5D17378F-36DC-4213-96EF-488AD2B15BC0}">
      <formula1>"Local,Intercity"</formula1>
    </dataValidation>
    <dataValidation type="list" sqref="E21" xr:uid="{58CD9880-7A28-407A-8B0F-CC4A7173A38B}">
      <formula1>"Personal,Business,All purposes"</formula1>
    </dataValidation>
    <dataValidation type="list" sqref="B24:B27" xr:uid="{DE984C4E-B971-4AA5-BC07-5355884C99A6}">
      <formula1>"Mileage-derived,Mileage + additional,Direct total time change"</formula1>
    </dataValidation>
    <dataValidation type="list" sqref="B30" xr:uid="{170303DC-084D-408C-AB22-2207B20DFC9D}">
      <formula1>"Interstate,Other State Highway,Off System"</formula1>
    </dataValidation>
    <dataValidation type="list" sqref="B33 B56:B58 B17" xr:uid="{95E50773-7FAF-46DD-939A-45E09B39DC1E}">
      <formula1>"Yes,No"</formula1>
    </dataValidation>
    <dataValidation type="list" sqref="B34" xr:uid="{82B29608-B04C-477B-A2A7-C9CC10CB7D0B}">
      <formula1>"2.5% case,Reference 2.0%,1.5% case"</formula1>
    </dataValidation>
    <dataValidation type="list" sqref="D37" xr:uid="{67798E12-AE9F-4F7E-B9E9-888276FAE53F}">
      <formula1>"Calculator default,Project-specific"</formula1>
    </dataValidation>
    <dataValidation type="list" sqref="D38" xr:uid="{6CD62109-D50C-42D1-9898-FA2011B42F92}">
      <formula1>"Equal,Selected quintile"</formula1>
    </dataValidation>
    <dataValidation type="list" allowBlank="1" showInputMessage="1" showErrorMessage="1" sqref="D30" xr:uid="{C547FB92-E96C-41B5-9CB5-46F72E6132CA}">
      <formula1>"Passenger vehicle,Motorcycle,Truck"</formula1>
    </dataValidation>
    <dataValidation type="list" allowBlank="1" showInputMessage="1" showErrorMessage="1" sqref="F30" xr:uid="{DC33550A-BA98-4433-AA1A-4D16330775DA}">
      <formula1>"Automobile,Pickups and Vans"</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DCEA4-8E21-4F26-8B27-74C94B91B614}">
  <sheetPr codeName="Sheet18">
    <tabColor rgb="FF002060"/>
  </sheetPr>
  <dimension ref="A1:I80"/>
  <sheetViews>
    <sheetView zoomScale="70" zoomScaleNormal="70" workbookViewId="0">
      <selection activeCell="C25" sqref="C25"/>
    </sheetView>
  </sheetViews>
  <sheetFormatPr defaultColWidth="8.75" defaultRowHeight="15.75"/>
  <cols>
    <col min="1" max="1" width="30.375" style="2" customWidth="1"/>
    <col min="2" max="2" width="19.125" style="2" customWidth="1"/>
    <col min="3" max="3" width="19.75" style="2" customWidth="1"/>
    <col min="4" max="4" width="27" style="2" customWidth="1"/>
    <col min="5" max="5" width="24.5" style="2" customWidth="1"/>
    <col min="6" max="6" width="16.375" style="2" customWidth="1"/>
    <col min="7" max="7" width="25" style="2" customWidth="1"/>
    <col min="8" max="8" width="18.375" style="2" customWidth="1"/>
    <col min="9" max="16384" width="8.75" style="2"/>
  </cols>
  <sheetData>
    <row r="1" spans="1:8" ht="23.25">
      <c r="A1" s="140" t="s">
        <v>164</v>
      </c>
      <c r="B1" s="140"/>
      <c r="C1" s="140"/>
      <c r="D1" s="140"/>
      <c r="E1" s="140"/>
      <c r="F1" s="140"/>
      <c r="G1" s="140"/>
      <c r="H1" s="140"/>
    </row>
    <row r="4" spans="1:8" s="62" customFormat="1" ht="22.9" customHeight="1">
      <c r="A4" s="139" t="s">
        <v>165</v>
      </c>
      <c r="B4" s="139"/>
      <c r="C4" s="139"/>
      <c r="D4" s="139"/>
      <c r="E4" s="139"/>
      <c r="F4" s="139"/>
      <c r="G4" s="139"/>
      <c r="H4" s="139"/>
    </row>
    <row r="5" spans="1:8" s="62" customFormat="1" ht="18.75">
      <c r="A5" s="63" t="s">
        <v>166</v>
      </c>
      <c r="B5" s="64" t="s">
        <v>57</v>
      </c>
      <c r="D5" s="63" t="s">
        <v>50</v>
      </c>
      <c r="E5" s="64" t="s">
        <v>167</v>
      </c>
      <c r="G5" s="63" t="s">
        <v>168</v>
      </c>
      <c r="H5" s="64" t="s">
        <v>57</v>
      </c>
    </row>
    <row r="6" spans="1:8" s="62" customFormat="1" ht="18.75">
      <c r="A6" s="62" t="s">
        <v>169</v>
      </c>
      <c r="B6" s="100">
        <f>Baseline!$B$6</f>
        <v>2024</v>
      </c>
      <c r="D6" s="62" t="s">
        <v>116</v>
      </c>
      <c r="E6" s="105">
        <f>'Scenario Inputs'!$B$11</f>
        <v>0</v>
      </c>
      <c r="G6" s="62" t="s">
        <v>170</v>
      </c>
      <c r="H6" s="100" t="str">
        <f>'Scenario Inputs'!$B$21</f>
        <v>Local</v>
      </c>
    </row>
    <row r="7" spans="1:8" s="62" customFormat="1" ht="18.75">
      <c r="A7" s="62" t="s">
        <v>171</v>
      </c>
      <c r="B7" s="100">
        <f>Baseline!$B$7</f>
        <v>2027</v>
      </c>
      <c r="D7" s="62" t="s">
        <v>172</v>
      </c>
      <c r="E7" s="105">
        <f>'Scenario Inputs'!$B$12</f>
        <v>100000</v>
      </c>
      <c r="G7" s="62" t="s">
        <v>173</v>
      </c>
      <c r="H7" s="100" t="str">
        <f>'Scenario Inputs'!$E$21</f>
        <v>All purposes</v>
      </c>
    </row>
    <row r="8" spans="1:8" s="62" customFormat="1" ht="18.75">
      <c r="A8" s="62" t="s">
        <v>174</v>
      </c>
      <c r="B8" s="100">
        <f>Baseline!$B$8</f>
        <v>2027</v>
      </c>
      <c r="D8" s="62" t="s">
        <v>175</v>
      </c>
      <c r="E8" s="105">
        <f>'Scenario Inputs'!$B$13</f>
        <v>0</v>
      </c>
      <c r="G8" s="62" t="s">
        <v>176</v>
      </c>
      <c r="H8" s="100" t="str">
        <f>'Scenario Inputs'!$B$30</f>
        <v>Interstate</v>
      </c>
    </row>
    <row r="9" spans="1:8" s="62" customFormat="1" ht="18.75">
      <c r="A9" s="62" t="s">
        <v>177</v>
      </c>
      <c r="B9" s="101">
        <f>'Scenario Inputs'!$B$5</f>
        <v>7.0000000000000007E-2</v>
      </c>
      <c r="D9" s="62" t="s">
        <v>178</v>
      </c>
      <c r="E9" s="105">
        <f>'Scenario Inputs'!$B$14</f>
        <v>0</v>
      </c>
      <c r="G9" s="62" t="s">
        <v>113</v>
      </c>
      <c r="H9" s="100" t="str">
        <f>'Scenario Inputs'!$D$30</f>
        <v>Passenger vehicle</v>
      </c>
    </row>
    <row r="10" spans="1:8" s="62" customFormat="1" ht="18.75">
      <c r="A10" s="62" t="s">
        <v>160</v>
      </c>
      <c r="B10" s="102">
        <f>'Scenario Inputs'!$B$6</f>
        <v>30</v>
      </c>
      <c r="G10" s="62" t="s">
        <v>179</v>
      </c>
      <c r="H10" s="100" t="str">
        <f>'Scenario Inputs'!$F$30</f>
        <v>Automobile</v>
      </c>
    </row>
    <row r="11" spans="1:8" s="62" customFormat="1" ht="18.75">
      <c r="A11" s="62" t="s">
        <v>180</v>
      </c>
      <c r="B11" s="103" t="str">
        <f>'Scenario Inputs'!B7</f>
        <v>Statewide</v>
      </c>
      <c r="G11" s="62" t="s">
        <v>181</v>
      </c>
      <c r="H11" s="100" t="str">
        <f>'Scenario Inputs'!$B$33</f>
        <v>Yes</v>
      </c>
    </row>
    <row r="12" spans="1:8" s="62" customFormat="1" ht="18.75">
      <c r="A12" s="62" t="s">
        <v>182</v>
      </c>
      <c r="B12" s="100" t="str">
        <f>'Scenario Inputs'!B8</f>
        <v>Yes</v>
      </c>
      <c r="G12" s="62" t="s">
        <v>183</v>
      </c>
      <c r="H12" s="100" t="str">
        <f>'Scenario Inputs'!$B$34</f>
        <v>Reference 2.0%</v>
      </c>
    </row>
    <row r="13" spans="1:8" s="62" customFormat="1" ht="18.75">
      <c r="A13" s="62" t="s">
        <v>184</v>
      </c>
      <c r="B13" s="104">
        <f>'Scenario Inputs'!$B$18</f>
        <v>0</v>
      </c>
    </row>
    <row r="14" spans="1:8" s="62" customFormat="1" ht="18.75"/>
    <row r="15" spans="1:8" s="62" customFormat="1" ht="18.75"/>
    <row r="16" spans="1:8" s="62" customFormat="1" ht="18.75"/>
    <row r="17" spans="1:8" s="62" customFormat="1" ht="22.9" customHeight="1">
      <c r="A17" s="141" t="s">
        <v>185</v>
      </c>
      <c r="B17" s="141"/>
      <c r="C17" s="141"/>
      <c r="D17" s="141"/>
      <c r="E17" s="141"/>
      <c r="F17" s="134"/>
      <c r="G17" s="141"/>
      <c r="H17" s="141"/>
    </row>
    <row r="18" spans="1:8" s="62" customFormat="1" ht="18.75">
      <c r="A18" s="63" t="s">
        <v>186</v>
      </c>
      <c r="B18" s="64" t="s">
        <v>57</v>
      </c>
      <c r="D18" s="63" t="s">
        <v>187</v>
      </c>
      <c r="E18" s="64" t="s">
        <v>57</v>
      </c>
    </row>
    <row r="19" spans="1:8" s="62" customFormat="1" ht="18.75">
      <c r="A19" s="62" t="s">
        <v>188</v>
      </c>
      <c r="B19" s="73">
        <f>'Travel Time Savings'!$B$6+Safety!$B$6+VOC!$B$6+Emissions!$B$6+Health!$B$6+Noise!$B$6</f>
        <v>-5836597.8956291545</v>
      </c>
      <c r="D19" s="62" t="s">
        <v>189</v>
      </c>
      <c r="E19" s="73">
        <f>IF(B28=0,"",B19/B28)</f>
        <v>-1.9455326318763848</v>
      </c>
    </row>
    <row r="20" spans="1:8" s="62" customFormat="1" ht="18.75">
      <c r="A20" s="62" t="s">
        <v>190</v>
      </c>
      <c r="B20" s="73">
        <f>'Travel Time Savings'!$B$5+Safety!$B$5+VOC!$B$5+Emissions!$B$5+Health!$B$5+Noise!$B$5</f>
        <v>-356075.06246397871</v>
      </c>
      <c r="D20" s="62" t="s">
        <v>191</v>
      </c>
      <c r="E20" s="73">
        <f>IF(B28=0,"",E33/B28)</f>
        <v>-4.2059279364467086</v>
      </c>
    </row>
    <row r="21" spans="1:8" s="62" customFormat="1" ht="18.75">
      <c r="A21" s="62" t="s">
        <v>65</v>
      </c>
      <c r="B21" s="73">
        <f>'Scenario Inputs'!$B$18</f>
        <v>0</v>
      </c>
    </row>
    <row r="22" spans="1:8" s="62" customFormat="1" ht="18.75">
      <c r="A22" s="62" t="s">
        <v>192</v>
      </c>
      <c r="B22" s="73">
        <f>B19-B21</f>
        <v>-5836597.8956291545</v>
      </c>
    </row>
    <row r="23" spans="1:8" s="62" customFormat="1" ht="18.75">
      <c r="A23" s="62" t="s">
        <v>193</v>
      </c>
      <c r="B23" s="81" t="str">
        <f>IF(B21=0,"",B19/B21)</f>
        <v/>
      </c>
    </row>
    <row r="24" spans="1:8" s="62" customFormat="1" ht="18.75"/>
    <row r="25" spans="1:8" s="62" customFormat="1" ht="18.75">
      <c r="A25" s="63" t="s">
        <v>194</v>
      </c>
      <c r="B25" s="64" t="s">
        <v>57</v>
      </c>
    </row>
    <row r="26" spans="1:8" s="62" customFormat="1" ht="18.75">
      <c r="A26" s="62" t="s">
        <v>195</v>
      </c>
      <c r="B26" s="66">
        <f>ABS('Travel Time Savings'!$B$33)+ABS(E7)+ABS(E8)+ABS(E9)</f>
        <v>100000</v>
      </c>
    </row>
    <row r="27" spans="1:8" s="62" customFormat="1" ht="18.75">
      <c r="A27" s="62" t="s">
        <v>196</v>
      </c>
      <c r="B27" s="66">
        <f>$B$26*Baseline!$B$10</f>
        <v>80000</v>
      </c>
    </row>
    <row r="28" spans="1:8" s="62" customFormat="1" ht="18.75">
      <c r="A28" s="62" t="s">
        <v>197</v>
      </c>
      <c r="B28" s="66">
        <f>B26*'Scenario Inputs'!$B$6</f>
        <v>3000000</v>
      </c>
    </row>
    <row r="29" spans="1:8" s="62" customFormat="1" ht="18.75"/>
    <row r="30" spans="1:8" s="62" customFormat="1" ht="18.75"/>
    <row r="31" spans="1:8" s="62" customFormat="1" ht="22.9" customHeight="1">
      <c r="A31" s="141" t="s">
        <v>198</v>
      </c>
      <c r="B31" s="141"/>
      <c r="C31" s="141"/>
      <c r="D31" s="141"/>
      <c r="E31" s="141"/>
      <c r="F31" s="134"/>
      <c r="G31" s="141"/>
      <c r="H31" s="141"/>
    </row>
    <row r="32" spans="1:8" s="62" customFormat="1" ht="18.75">
      <c r="A32" s="63" t="s">
        <v>199</v>
      </c>
      <c r="B32" s="64" t="s">
        <v>57</v>
      </c>
      <c r="D32" s="63" t="s">
        <v>200</v>
      </c>
      <c r="E32" s="64" t="s">
        <v>57</v>
      </c>
    </row>
    <row r="33" spans="1:8" s="62" customFormat="1" ht="18.75">
      <c r="A33" s="62" t="s">
        <v>180</v>
      </c>
      <c r="B33" s="68" t="str">
        <f>'Scenario Inputs'!B7</f>
        <v>Statewide</v>
      </c>
      <c r="D33" s="62" t="s">
        <v>69</v>
      </c>
      <c r="E33" s="73">
        <f>'Equity Welfare'!$B$9</f>
        <v>-12617783.809340125</v>
      </c>
    </row>
    <row r="34" spans="1:8" s="62" customFormat="1" ht="18.75">
      <c r="A34" s="62" t="s">
        <v>122</v>
      </c>
      <c r="B34" s="65">
        <f>'Scenario Inputs'!$B$37</f>
        <v>1.4</v>
      </c>
      <c r="D34" s="62" t="s">
        <v>70</v>
      </c>
      <c r="E34" s="73">
        <f>'Equity Welfare'!$D$8</f>
        <v>-12617783.809340125</v>
      </c>
    </row>
    <row r="35" spans="1:8" s="62" customFormat="1" ht="18.75">
      <c r="A35" s="62" t="s">
        <v>123</v>
      </c>
      <c r="B35" s="67" t="str">
        <f>'Scenario Inputs'!$D$37</f>
        <v>Calculator default</v>
      </c>
      <c r="D35" s="62" t="s">
        <v>201</v>
      </c>
      <c r="E35" s="81" t="str">
        <f>'Equity Welfare'!$D$9</f>
        <v/>
      </c>
    </row>
    <row r="36" spans="1:8" s="62" customFormat="1" ht="18.75">
      <c r="A36" s="62" t="s">
        <v>202</v>
      </c>
      <c r="B36" s="69" t="str">
        <f>'Scenario Inputs'!$D$38</f>
        <v>Equal</v>
      </c>
    </row>
    <row r="37" spans="1:8" s="62" customFormat="1" ht="18.75"/>
    <row r="38" spans="1:8" s="62" customFormat="1" ht="37.5">
      <c r="A38" s="63" t="s">
        <v>130</v>
      </c>
      <c r="B38" s="64" t="s">
        <v>133</v>
      </c>
    </row>
    <row r="39" spans="1:8" s="62" customFormat="1" ht="18.75">
      <c r="A39" s="62" t="s">
        <v>134</v>
      </c>
      <c r="B39" s="70" t="b">
        <f>'Scenario Inputs'!D43</f>
        <v>1</v>
      </c>
    </row>
    <row r="40" spans="1:8" s="62" customFormat="1" ht="18.75">
      <c r="A40" s="62" t="s">
        <v>136</v>
      </c>
      <c r="B40" s="70" t="b">
        <f>'Scenario Inputs'!D44</f>
        <v>1</v>
      </c>
    </row>
    <row r="41" spans="1:8" s="62" customFormat="1" ht="18.75">
      <c r="A41" s="62" t="s">
        <v>137</v>
      </c>
      <c r="B41" s="70" t="b">
        <f>'Scenario Inputs'!D45</f>
        <v>0</v>
      </c>
    </row>
    <row r="42" spans="1:8" s="62" customFormat="1" ht="18.75">
      <c r="A42" s="62" t="s">
        <v>138</v>
      </c>
      <c r="B42" s="70" t="b">
        <f>'Scenario Inputs'!D46</f>
        <v>0</v>
      </c>
    </row>
    <row r="43" spans="1:8" s="62" customFormat="1" ht="18.75">
      <c r="A43" s="62" t="s">
        <v>139</v>
      </c>
      <c r="B43" s="70" t="b">
        <f>'Scenario Inputs'!D47</f>
        <v>0</v>
      </c>
    </row>
    <row r="44" spans="1:8" s="62" customFormat="1" ht="18.75"/>
    <row r="45" spans="1:8" s="62" customFormat="1" ht="18.75"/>
    <row r="46" spans="1:8" s="62" customFormat="1" ht="22.9" customHeight="1">
      <c r="A46" s="138" t="s">
        <v>203</v>
      </c>
      <c r="B46" s="138"/>
      <c r="C46" s="138"/>
      <c r="D46" s="138"/>
      <c r="E46" s="138"/>
      <c r="F46" s="139"/>
      <c r="G46" s="138"/>
      <c r="H46" s="138"/>
    </row>
    <row r="47" spans="1:8" s="62" customFormat="1" ht="37.5">
      <c r="A47" s="63" t="s">
        <v>204</v>
      </c>
      <c r="B47" s="64" t="s">
        <v>205</v>
      </c>
      <c r="C47" s="64" t="s">
        <v>206</v>
      </c>
      <c r="D47" s="64" t="s">
        <v>207</v>
      </c>
    </row>
    <row r="48" spans="1:8" s="62" customFormat="1" ht="18.75">
      <c r="A48" s="62" t="s">
        <v>208</v>
      </c>
      <c r="B48" s="71">
        <f>'Travel Time Savings'!$B$4</f>
        <v>-165863.90549503619</v>
      </c>
      <c r="C48" s="71">
        <f>'Travel Time Savings'!$B$5</f>
        <v>-132691.12439602896</v>
      </c>
      <c r="D48" s="71">
        <f>'Travel Time Savings'!$B$6</f>
        <v>-2175004.1467643515</v>
      </c>
    </row>
    <row r="49" spans="1:8" s="62" customFormat="1" ht="18.75">
      <c r="A49" s="62" t="s">
        <v>209</v>
      </c>
      <c r="B49" s="71">
        <f>Safety!$B$4</f>
        <v>0</v>
      </c>
      <c r="C49" s="71">
        <f>Safety!$B$5</f>
        <v>0</v>
      </c>
      <c r="D49" s="71">
        <f>Safety!$B$6</f>
        <v>0</v>
      </c>
    </row>
    <row r="50" spans="1:8" s="62" customFormat="1" ht="18.75">
      <c r="A50" s="62" t="s">
        <v>210</v>
      </c>
      <c r="B50" s="71">
        <f>VOC!$B$4</f>
        <v>-279229.92258493719</v>
      </c>
      <c r="C50" s="71">
        <f>VOC!$B$5</f>
        <v>-223383.93806794976</v>
      </c>
      <c r="D50" s="71">
        <f>VOC!$B$6</f>
        <v>-3661593.7488648035</v>
      </c>
    </row>
    <row r="51" spans="1:8" s="62" customFormat="1" ht="18.75">
      <c r="A51" s="62" t="s">
        <v>211</v>
      </c>
      <c r="B51" s="71">
        <f>Emissions!$B$4</f>
        <v>0</v>
      </c>
      <c r="C51" s="71">
        <f>Emissions!$B$5</f>
        <v>0</v>
      </c>
      <c r="D51" s="71">
        <f>Emissions!$B$6</f>
        <v>0</v>
      </c>
    </row>
    <row r="52" spans="1:8" s="62" customFormat="1" ht="18.75">
      <c r="A52" s="62" t="s">
        <v>212</v>
      </c>
      <c r="B52" s="71">
        <f>Health!$B$4</f>
        <v>0</v>
      </c>
      <c r="C52" s="71">
        <f>Health!$B$5</f>
        <v>0</v>
      </c>
      <c r="D52" s="71">
        <f>Health!$B$6</f>
        <v>0</v>
      </c>
    </row>
    <row r="53" spans="1:8" s="62" customFormat="1" ht="18.75">
      <c r="A53" s="62" t="s">
        <v>213</v>
      </c>
      <c r="B53" s="71">
        <f>Noise!$B$4</f>
        <v>0</v>
      </c>
      <c r="C53" s="71">
        <f>Noise!$B$5</f>
        <v>0</v>
      </c>
      <c r="D53" s="71">
        <f>Noise!$B$6</f>
        <v>0</v>
      </c>
    </row>
    <row r="54" spans="1:8" s="62" customFormat="1" ht="18.75">
      <c r="A54" s="62" t="s">
        <v>214</v>
      </c>
      <c r="B54" s="71">
        <f>SUM(B48:B53)</f>
        <v>-445093.82807997335</v>
      </c>
      <c r="C54" s="71">
        <f t="shared" ref="C54:D54" si="0">SUM(C48:C53)</f>
        <v>-356075.06246397871</v>
      </c>
      <c r="D54" s="71">
        <f t="shared" si="0"/>
        <v>-5836597.8956291545</v>
      </c>
    </row>
    <row r="55" spans="1:8" s="62" customFormat="1" ht="18.75"/>
    <row r="56" spans="1:8" s="62" customFormat="1" ht="18.75"/>
    <row r="57" spans="1:8" s="62" customFormat="1" ht="22.9" customHeight="1">
      <c r="A57" s="138" t="s">
        <v>215</v>
      </c>
      <c r="B57" s="138"/>
      <c r="C57" s="138"/>
      <c r="D57" s="138"/>
      <c r="E57" s="138"/>
      <c r="F57" s="139"/>
      <c r="G57" s="138"/>
      <c r="H57" s="138"/>
    </row>
    <row r="58" spans="1:8" s="62" customFormat="1" ht="37.5">
      <c r="A58" s="64" t="s">
        <v>130</v>
      </c>
      <c r="B58" s="64" t="s">
        <v>216</v>
      </c>
      <c r="C58" s="64" t="s">
        <v>217</v>
      </c>
      <c r="D58" s="64" t="s">
        <v>218</v>
      </c>
      <c r="E58" s="64" t="s">
        <v>219</v>
      </c>
      <c r="F58" s="64" t="s">
        <v>220</v>
      </c>
    </row>
    <row r="59" spans="1:8" s="62" customFormat="1" ht="18.75">
      <c r="A59" s="62" t="s">
        <v>221</v>
      </c>
      <c r="B59" s="71">
        <f>'Equity Welfare'!$B$14</f>
        <v>18076</v>
      </c>
      <c r="C59" s="72">
        <f>'Equity Welfare'!$B$28</f>
        <v>0.2</v>
      </c>
      <c r="D59" s="65">
        <f>'Equity Welfare'!$D$14</f>
        <v>7.0229723772361679</v>
      </c>
      <c r="E59" s="71">
        <f>'Equity Welfare'!$C$28</f>
        <v>-1167319.5791258309</v>
      </c>
      <c r="F59" s="71">
        <f>'Equity Welfare'!$E$28</f>
        <v>-8198053.15960766</v>
      </c>
    </row>
    <row r="60" spans="1:8" s="62" customFormat="1" ht="18.75">
      <c r="A60" s="62" t="s">
        <v>222</v>
      </c>
      <c r="B60" s="71">
        <f>'Equity Welfare'!$B$15</f>
        <v>50078</v>
      </c>
      <c r="C60" s="72">
        <f>'Equity Welfare'!$B$29</f>
        <v>0.2</v>
      </c>
      <c r="D60" s="65">
        <f>'Equity Welfare'!$D$15</f>
        <v>1.6863917146327647</v>
      </c>
      <c r="E60" s="71">
        <f>'Equity Welfare'!$C$29</f>
        <v>-1167319.5791258309</v>
      </c>
      <c r="F60" s="71">
        <f>'Equity Welfare'!$E$29</f>
        <v>-1968558.0665664072</v>
      </c>
    </row>
    <row r="61" spans="1:8" s="62" customFormat="1" ht="18.75">
      <c r="A61" s="62" t="s">
        <v>223</v>
      </c>
      <c r="B61" s="71">
        <f>'Equity Welfare'!$B$16</f>
        <v>83471</v>
      </c>
      <c r="C61" s="72">
        <f>'Equity Welfare'!$B$30</f>
        <v>0.2</v>
      </c>
      <c r="D61" s="65">
        <f>'Equity Welfare'!$D$16</f>
        <v>0.8247348811721793</v>
      </c>
      <c r="E61" s="71">
        <f>'Equity Welfare'!$C$30</f>
        <v>-1167319.5791258309</v>
      </c>
      <c r="F61" s="71">
        <f>'Equity Welfare'!$E$30</f>
        <v>-962729.17438030045</v>
      </c>
    </row>
    <row r="62" spans="1:8" s="62" customFormat="1" ht="18.75">
      <c r="A62" s="62" t="s">
        <v>224</v>
      </c>
      <c r="B62" s="71">
        <f>'Equity Welfare'!$B$17</f>
        <v>83471</v>
      </c>
      <c r="C62" s="72">
        <f>'Equity Welfare'!B31</f>
        <v>0.2</v>
      </c>
      <c r="D62" s="65">
        <f>'Equity Welfare'!$D$17</f>
        <v>0.8247348811721793</v>
      </c>
      <c r="E62" s="71">
        <f>'Equity Welfare'!$C$31</f>
        <v>-1167319.5791258309</v>
      </c>
      <c r="F62" s="71">
        <f>'Equity Welfare'!$E$31</f>
        <v>-962729.17438030045</v>
      </c>
    </row>
    <row r="63" spans="1:8" s="62" customFormat="1" ht="18.75">
      <c r="A63" s="62" t="s">
        <v>225</v>
      </c>
      <c r="B63" s="71">
        <f>'Equity Welfare'!$B$18</f>
        <v>128593</v>
      </c>
      <c r="C63" s="72">
        <f>'Equity Welfare'!$B$32</f>
        <v>0.2</v>
      </c>
      <c r="D63" s="65">
        <f>'Equity Welfare'!$D$18</f>
        <v>0.45036016169552118</v>
      </c>
      <c r="E63" s="71">
        <f>'Equity Welfare'!$C$32</f>
        <v>-1167319.5791258309</v>
      </c>
      <c r="F63" s="71">
        <f>'Equity Welfare'!E32</f>
        <v>-525714.23440545693</v>
      </c>
    </row>
    <row r="64" spans="1:8" s="62" customFormat="1" ht="18.75">
      <c r="A64" s="62" t="s">
        <v>226</v>
      </c>
      <c r="B64" s="71">
        <f>SUM(B59:B63)</f>
        <v>363689</v>
      </c>
      <c r="C64" s="72">
        <f>SUM(C59:C63)</f>
        <v>1</v>
      </c>
      <c r="D64" s="65"/>
      <c r="E64" s="71">
        <f t="shared" ref="E64:F64" si="1">SUM(E59:E63)</f>
        <v>-5836597.8956291545</v>
      </c>
      <c r="F64" s="71">
        <f t="shared" si="1"/>
        <v>-12617783.809340125</v>
      </c>
    </row>
    <row r="65" spans="1:9" s="62" customFormat="1" ht="18.75"/>
    <row r="66" spans="1:9" s="62" customFormat="1" ht="18.75"/>
    <row r="67" spans="1:9" s="62" customFormat="1" ht="22.9" customHeight="1">
      <c r="A67" s="138" t="s">
        <v>227</v>
      </c>
      <c r="B67" s="138"/>
      <c r="C67" s="138"/>
      <c r="D67" s="138"/>
      <c r="E67" s="138"/>
      <c r="F67" s="139"/>
      <c r="G67" s="138"/>
      <c r="H67" s="138"/>
    </row>
    <row r="68" spans="1:9" s="62" customFormat="1" ht="37.5">
      <c r="A68" s="64" t="s">
        <v>228</v>
      </c>
      <c r="B68" s="64" t="s">
        <v>229</v>
      </c>
      <c r="C68" s="64" t="s">
        <v>230</v>
      </c>
      <c r="D68" s="64" t="s">
        <v>231</v>
      </c>
      <c r="E68" s="64" t="s">
        <v>232</v>
      </c>
      <c r="F68" s="64" t="s">
        <v>233</v>
      </c>
    </row>
    <row r="69" spans="1:9" s="62" customFormat="1" ht="18.75">
      <c r="A69" s="62" t="s">
        <v>234</v>
      </c>
      <c r="B69" s="65">
        <f>'Equity Welfare'!$B$38</f>
        <v>0</v>
      </c>
      <c r="C69" s="71">
        <f>'Equity Welfare'!$C$38</f>
        <v>-5836597.8956291545</v>
      </c>
      <c r="D69" s="71">
        <f>'Equity Welfare'!$D$38</f>
        <v>0</v>
      </c>
      <c r="E69" s="71">
        <f>'Equity Welfare'!$E$38</f>
        <v>-5836597.8956291545</v>
      </c>
      <c r="F69" s="80" t="str">
        <f>'Equity Welfare'!$F$38</f>
        <v/>
      </c>
    </row>
    <row r="70" spans="1:9" s="62" customFormat="1" ht="18.75">
      <c r="A70" s="62" t="s">
        <v>125</v>
      </c>
      <c r="B70" s="65">
        <f>'Equity Welfare'!$B$39</f>
        <v>1</v>
      </c>
      <c r="C70" s="71">
        <f>'Equity Welfare'!C39</f>
        <v>-9087536.6717073936</v>
      </c>
      <c r="D70" s="71">
        <f>'Equity Welfare'!D39</f>
        <v>0</v>
      </c>
      <c r="E70" s="71">
        <f>'Equity Welfare'!$E$39</f>
        <v>-9087536.6717073936</v>
      </c>
      <c r="F70" s="80" t="str">
        <f>'Equity Welfare'!$F$39</f>
        <v/>
      </c>
    </row>
    <row r="71" spans="1:9" s="62" customFormat="1" ht="18.75">
      <c r="A71" s="62" t="s">
        <v>122</v>
      </c>
      <c r="B71" s="65">
        <f>'Equity Welfare'!$B$40</f>
        <v>1.4</v>
      </c>
      <c r="C71" s="71">
        <f>'Equity Welfare'!$C$40</f>
        <v>-12617783.809340125</v>
      </c>
      <c r="D71" s="71">
        <f>'Equity Welfare'!$D$40</f>
        <v>0</v>
      </c>
      <c r="E71" s="71">
        <f>'Equity Welfare'!$E$40</f>
        <v>-12617783.809340125</v>
      </c>
      <c r="F71" s="80" t="str">
        <f>'Equity Welfare'!$F$40</f>
        <v/>
      </c>
    </row>
    <row r="72" spans="1:9" s="62" customFormat="1" ht="18.75">
      <c r="A72" s="62" t="s">
        <v>128</v>
      </c>
      <c r="B72" s="65">
        <f>'Equity Welfare'!$B$41</f>
        <v>1.8</v>
      </c>
      <c r="C72" s="71">
        <f>'Equity Welfare'!$C$41</f>
        <v>-18834283.488409176</v>
      </c>
      <c r="D72" s="71">
        <f>'Equity Welfare'!$D$41</f>
        <v>0</v>
      </c>
      <c r="E72" s="71">
        <f>'Equity Welfare'!$E$41</f>
        <v>-18834283.488409176</v>
      </c>
      <c r="F72" s="80" t="str">
        <f>'Equity Welfare'!$F$41</f>
        <v/>
      </c>
    </row>
    <row r="73" spans="1:9" s="62" customFormat="1" ht="18.75"/>
    <row r="74" spans="1:9" s="62" customFormat="1" ht="18.75"/>
    <row r="75" spans="1:9" s="62" customFormat="1" ht="22.9" customHeight="1">
      <c r="A75" s="138" t="s">
        <v>235</v>
      </c>
      <c r="B75" s="138"/>
      <c r="C75" s="138"/>
      <c r="D75" s="138"/>
      <c r="E75" s="138"/>
      <c r="F75" s="139"/>
      <c r="G75" s="138"/>
      <c r="H75" s="138"/>
    </row>
    <row r="76" spans="1:9" ht="18.75">
      <c r="A76" s="64" t="s">
        <v>236</v>
      </c>
      <c r="B76" s="64" t="s">
        <v>237</v>
      </c>
      <c r="C76" s="64" t="s">
        <v>156</v>
      </c>
      <c r="D76" s="64" t="s">
        <v>238</v>
      </c>
      <c r="E76" s="64" t="s">
        <v>231</v>
      </c>
      <c r="F76" s="64" t="s">
        <v>67</v>
      </c>
      <c r="G76" s="64" t="s">
        <v>239</v>
      </c>
      <c r="H76" s="64" t="s">
        <v>240</v>
      </c>
    </row>
    <row r="77" spans="1:9" ht="18.75">
      <c r="A77" s="90" t="s">
        <v>241</v>
      </c>
      <c r="B77" s="91" t="s">
        <v>242</v>
      </c>
      <c r="C77" s="92" t="s">
        <v>242</v>
      </c>
      <c r="D77" s="93">
        <f>'Travel Time Savings'!$B$6+Safety!$B$6+VOC!$B$6+Emissions!$B$6+Health!$B$6+Noise!$B$6</f>
        <v>-5836597.8956291545</v>
      </c>
      <c r="E77" s="94">
        <f>'Scenario Inputs'!$B$18</f>
        <v>0</v>
      </c>
      <c r="F77" s="93">
        <f>B19-B21</f>
        <v>-5836597.8956291545</v>
      </c>
      <c r="G77" s="95" t="str">
        <f>IF(B21=0,"",B19/B21)</f>
        <v/>
      </c>
      <c r="H77" s="96" t="str">
        <f>IF(C21=0,"",C19/C21)</f>
        <v/>
      </c>
      <c r="I77" s="75"/>
    </row>
    <row r="78" spans="1:9" ht="18.75">
      <c r="A78" s="62" t="s">
        <v>157</v>
      </c>
      <c r="B78" s="97">
        <f>'Scenario Inputs'!$B$5</f>
        <v>7.0000000000000007E-2</v>
      </c>
      <c r="C78" s="76">
        <f>Sensitivity!$C$11</f>
        <v>0.03</v>
      </c>
      <c r="D78" s="74">
        <f>Sensitivity!$D$11</f>
        <v>-8891564.8964774292</v>
      </c>
      <c r="E78" s="74">
        <f>Sensitivity!$E$11</f>
        <v>0</v>
      </c>
      <c r="F78" s="74">
        <f>Sensitivity!$F$11</f>
        <v>-8891564.8964774292</v>
      </c>
      <c r="G78" s="79" t="str">
        <f>Sensitivity!$G$11</f>
        <v/>
      </c>
      <c r="H78" s="74">
        <f>Sensitivity!$H$11</f>
        <v>-3054967.0008482747</v>
      </c>
    </row>
    <row r="79" spans="1:9" ht="18.75">
      <c r="A79" s="62" t="s">
        <v>160</v>
      </c>
      <c r="B79" s="91">
        <f>'Scenario Inputs'!$B$6</f>
        <v>30</v>
      </c>
      <c r="C79" s="77">
        <f>Sensitivity!$C$12</f>
        <v>20</v>
      </c>
      <c r="D79" s="71">
        <f>Sensitivity!$D$12</f>
        <v>-4972190.59757818</v>
      </c>
      <c r="E79" s="71">
        <f>Sensitivity!$E$12</f>
        <v>0</v>
      </c>
      <c r="F79" s="71">
        <f>Sensitivity!$F$12</f>
        <v>-4972190.59757818</v>
      </c>
      <c r="G79" s="80" t="str">
        <f>Sensitivity!$G$12</f>
        <v/>
      </c>
      <c r="H79" s="71">
        <f>Sensitivity!$H$12</f>
        <v>864407.2980509745</v>
      </c>
    </row>
    <row r="80" spans="1:9" ht="18.75">
      <c r="A80" s="62" t="s">
        <v>162</v>
      </c>
      <c r="B80" s="98">
        <v>1</v>
      </c>
      <c r="C80" s="78">
        <f>Sensitivity!$C$13</f>
        <v>0.8</v>
      </c>
      <c r="D80" s="71">
        <f>Sensitivity!$D$13</f>
        <v>-4669278.3165033236</v>
      </c>
      <c r="E80" s="71">
        <f>Sensitivity!$E$13</f>
        <v>0</v>
      </c>
      <c r="F80" s="71">
        <f>Sensitivity!$F$13</f>
        <v>-4669278.3165033236</v>
      </c>
      <c r="G80" s="80" t="str">
        <f>Sensitivity!$G$13</f>
        <v/>
      </c>
      <c r="H80" s="71">
        <f>Sensitivity!$H$13</f>
        <v>1167319.5791258309</v>
      </c>
    </row>
  </sheetData>
  <mergeCells count="8">
    <mergeCell ref="A57:H57"/>
    <mergeCell ref="A67:H67"/>
    <mergeCell ref="A75:H75"/>
    <mergeCell ref="A1:H1"/>
    <mergeCell ref="A17:H17"/>
    <mergeCell ref="A46:H46"/>
    <mergeCell ref="A31:H31"/>
    <mergeCell ref="A4:H4"/>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89468-6686-48C2-B959-BCDD9CBFC287}">
  <sheetPr codeName="Sheet3">
    <tabColor theme="2" tint="-9.9978637043366805E-2"/>
  </sheetPr>
  <dimension ref="A1:I81"/>
  <sheetViews>
    <sheetView zoomScale="70" zoomScaleNormal="70" workbookViewId="0">
      <selection activeCell="A2" sqref="A2:I2"/>
    </sheetView>
  </sheetViews>
  <sheetFormatPr defaultColWidth="8.75" defaultRowHeight="15.75"/>
  <cols>
    <col min="1" max="1" width="27.75" style="2" customWidth="1"/>
    <col min="2" max="2" width="11.875" style="2" customWidth="1"/>
    <col min="3" max="3" width="10.5" style="2" customWidth="1"/>
    <col min="4" max="4" width="44.5" style="2" customWidth="1"/>
    <col min="5" max="5" width="14.875" style="2" customWidth="1"/>
    <col min="6" max="6" width="16.625" style="2" customWidth="1"/>
    <col min="7" max="7" width="15.75" style="2" customWidth="1"/>
    <col min="8" max="8" width="18.75" style="2" customWidth="1"/>
    <col min="9" max="16384" width="8.75" style="2"/>
  </cols>
  <sheetData>
    <row r="1" spans="1:9" ht="30" customHeight="1">
      <c r="A1" s="133" t="s">
        <v>243</v>
      </c>
      <c r="B1" s="133"/>
      <c r="C1" s="133"/>
      <c r="D1" s="133"/>
      <c r="E1" s="133"/>
      <c r="F1" s="133"/>
      <c r="G1" s="133"/>
      <c r="H1" s="133"/>
      <c r="I1" s="133"/>
    </row>
    <row r="2" spans="1:9" ht="40.700000000000003" customHeight="1">
      <c r="A2" s="137" t="s">
        <v>244</v>
      </c>
      <c r="B2" s="137"/>
      <c r="C2" s="137"/>
      <c r="D2" s="137"/>
      <c r="E2" s="137"/>
      <c r="F2" s="137"/>
      <c r="G2" s="137"/>
      <c r="H2" s="137"/>
      <c r="I2" s="137"/>
    </row>
    <row r="4" spans="1:9" ht="22.9" customHeight="1">
      <c r="A4" s="136" t="s">
        <v>245</v>
      </c>
      <c r="B4" s="136"/>
      <c r="C4" s="136"/>
      <c r="D4" s="136"/>
      <c r="F4" s="136" t="s">
        <v>246</v>
      </c>
      <c r="G4" s="136"/>
      <c r="H4" s="136"/>
      <c r="I4" s="136"/>
    </row>
    <row r="5" spans="1:9">
      <c r="A5" s="8" t="s">
        <v>236</v>
      </c>
      <c r="B5" s="8" t="s">
        <v>57</v>
      </c>
      <c r="C5" s="8" t="s">
        <v>52</v>
      </c>
      <c r="D5" s="8" t="s">
        <v>103</v>
      </c>
      <c r="F5" s="8" t="s">
        <v>247</v>
      </c>
      <c r="G5" s="8" t="s">
        <v>248</v>
      </c>
      <c r="H5" s="8" t="s">
        <v>249</v>
      </c>
    </row>
    <row r="6" spans="1:9">
      <c r="A6" s="2" t="s">
        <v>250</v>
      </c>
      <c r="B6" s="82">
        <v>2024</v>
      </c>
      <c r="C6" s="2" t="s">
        <v>251</v>
      </c>
      <c r="D6" s="2" t="s">
        <v>252</v>
      </c>
      <c r="F6" s="2">
        <v>2004</v>
      </c>
      <c r="G6" s="2">
        <v>79.076999999999998</v>
      </c>
      <c r="H6" s="46">
        <f t="shared" ref="H6:H26" si="0">$G$26/G6</f>
        <v>1.5861502080250895</v>
      </c>
    </row>
    <row r="7" spans="1:9">
      <c r="A7" s="2" t="s">
        <v>253</v>
      </c>
      <c r="B7" s="82">
        <v>2027</v>
      </c>
      <c r="C7" s="2" t="s">
        <v>251</v>
      </c>
      <c r="D7" s="2" t="s">
        <v>254</v>
      </c>
      <c r="F7" s="2">
        <v>2005</v>
      </c>
      <c r="G7" s="2">
        <v>81.555999999999997</v>
      </c>
      <c r="H7" s="46">
        <f t="shared" si="0"/>
        <v>1.537937122958458</v>
      </c>
    </row>
    <row r="8" spans="1:9">
      <c r="A8" s="2" t="s">
        <v>255</v>
      </c>
      <c r="B8" s="82">
        <v>2027</v>
      </c>
      <c r="C8" s="2" t="s">
        <v>251</v>
      </c>
      <c r="D8" s="2" t="s">
        <v>256</v>
      </c>
      <c r="F8" s="2">
        <v>2006</v>
      </c>
      <c r="G8" s="2">
        <v>84.070999999999998</v>
      </c>
      <c r="H8" s="46">
        <f t="shared" si="0"/>
        <v>1.4919294405918806</v>
      </c>
    </row>
    <row r="9" spans="1:9">
      <c r="A9" s="2" t="s">
        <v>257</v>
      </c>
      <c r="B9" s="107">
        <v>0</v>
      </c>
      <c r="C9" s="2" t="s">
        <v>258</v>
      </c>
      <c r="D9" s="2" t="s">
        <v>259</v>
      </c>
      <c r="F9" s="2">
        <v>2007</v>
      </c>
      <c r="G9" s="2">
        <v>86.349000000000004</v>
      </c>
      <c r="H9" s="46">
        <f t="shared" si="0"/>
        <v>1.4525703829806946</v>
      </c>
    </row>
    <row r="10" spans="1:9">
      <c r="A10" s="2" t="s">
        <v>260</v>
      </c>
      <c r="B10" s="87">
        <v>0.8</v>
      </c>
      <c r="C10" s="2" t="s">
        <v>258</v>
      </c>
      <c r="D10" s="2" t="s">
        <v>261</v>
      </c>
      <c r="F10" s="2">
        <v>2008</v>
      </c>
      <c r="G10" s="2">
        <v>88.013000000000005</v>
      </c>
      <c r="H10" s="46">
        <f t="shared" si="0"/>
        <v>1.4251076545510322</v>
      </c>
    </row>
    <row r="11" spans="1:9">
      <c r="A11" s="2" t="s">
        <v>262</v>
      </c>
      <c r="B11" s="87">
        <v>0.9</v>
      </c>
      <c r="C11" s="2" t="s">
        <v>258</v>
      </c>
      <c r="D11" s="2" t="s">
        <v>263</v>
      </c>
      <c r="F11" s="2">
        <v>2009</v>
      </c>
      <c r="G11" s="2">
        <v>88.555999999999997</v>
      </c>
      <c r="H11" s="46">
        <f t="shared" si="0"/>
        <v>1.4163693030398843</v>
      </c>
    </row>
    <row r="12" spans="1:9">
      <c r="A12" s="2" t="s">
        <v>264</v>
      </c>
      <c r="B12" s="87">
        <v>1</v>
      </c>
      <c r="C12" s="2" t="s">
        <v>258</v>
      </c>
      <c r="D12" s="2" t="s">
        <v>265</v>
      </c>
      <c r="F12" s="2">
        <v>2010</v>
      </c>
      <c r="G12" s="2">
        <v>89.632000000000005</v>
      </c>
      <c r="H12" s="46">
        <f t="shared" si="0"/>
        <v>1.3993662977508032</v>
      </c>
    </row>
    <row r="13" spans="1:9">
      <c r="A13" s="2" t="s">
        <v>266</v>
      </c>
      <c r="B13" s="9">
        <f>B7+'Scenario Inputs'!B6-1</f>
        <v>2056</v>
      </c>
      <c r="C13" s="2" t="s">
        <v>251</v>
      </c>
      <c r="D13" s="2" t="s">
        <v>267</v>
      </c>
      <c r="F13" s="2">
        <v>2011</v>
      </c>
      <c r="G13" s="2">
        <v>91.480999999999995</v>
      </c>
      <c r="H13" s="46">
        <f t="shared" si="0"/>
        <v>1.3710825198675136</v>
      </c>
    </row>
    <row r="14" spans="1:9">
      <c r="F14" s="2">
        <v>2012</v>
      </c>
      <c r="G14" s="2">
        <v>93.185000000000002</v>
      </c>
      <c r="H14" s="46">
        <f t="shared" si="0"/>
        <v>1.3460106240274721</v>
      </c>
    </row>
    <row r="15" spans="1:9">
      <c r="F15" s="2">
        <v>2013</v>
      </c>
      <c r="G15" s="2">
        <v>94.771000000000001</v>
      </c>
      <c r="H15" s="46">
        <f t="shared" si="0"/>
        <v>1.3234850323411169</v>
      </c>
    </row>
    <row r="16" spans="1:9">
      <c r="F16" s="2">
        <v>2014</v>
      </c>
      <c r="G16" s="2">
        <v>96.421000000000006</v>
      </c>
      <c r="H16" s="46">
        <f t="shared" si="0"/>
        <v>1.3008369546053244</v>
      </c>
    </row>
    <row r="17" spans="1:8">
      <c r="F17" s="2">
        <v>2015</v>
      </c>
      <c r="G17" s="2">
        <v>97.316000000000003</v>
      </c>
      <c r="H17" s="46">
        <f t="shared" si="0"/>
        <v>1.2888733610094947</v>
      </c>
    </row>
    <row r="18" spans="1:8">
      <c r="F18" s="2">
        <v>2016</v>
      </c>
      <c r="G18" s="2">
        <v>98.241</v>
      </c>
      <c r="H18" s="46">
        <f t="shared" si="0"/>
        <v>1.2767378182225344</v>
      </c>
    </row>
    <row r="19" spans="1:8">
      <c r="F19" s="2">
        <v>2017</v>
      </c>
      <c r="G19" s="2">
        <v>100</v>
      </c>
      <c r="H19" s="46">
        <f t="shared" si="0"/>
        <v>1.2542800000000001</v>
      </c>
    </row>
    <row r="20" spans="1:8">
      <c r="F20" s="2">
        <v>2018</v>
      </c>
      <c r="G20" s="2">
        <v>102.291</v>
      </c>
      <c r="H20" s="46">
        <f t="shared" si="0"/>
        <v>1.2261880321826946</v>
      </c>
    </row>
    <row r="21" spans="1:8" ht="22.9" customHeight="1">
      <c r="F21" s="2">
        <v>2019</v>
      </c>
      <c r="G21" s="2">
        <v>103.979</v>
      </c>
      <c r="H21" s="46">
        <f t="shared" si="0"/>
        <v>1.2062820377191548</v>
      </c>
    </row>
    <row r="22" spans="1:8">
      <c r="F22" s="2">
        <v>2020</v>
      </c>
      <c r="G22" s="2">
        <v>105.377</v>
      </c>
      <c r="H22" s="46">
        <f t="shared" si="0"/>
        <v>1.1902787135712727</v>
      </c>
    </row>
    <row r="23" spans="1:8">
      <c r="F23" s="2">
        <v>2021</v>
      </c>
      <c r="G23" s="2">
        <v>110.18600000000001</v>
      </c>
      <c r="H23" s="46">
        <f t="shared" si="0"/>
        <v>1.1383297333599549</v>
      </c>
    </row>
    <row r="24" spans="1:8">
      <c r="F24" s="2">
        <v>2022</v>
      </c>
      <c r="G24" s="2">
        <v>118.023</v>
      </c>
      <c r="H24" s="46">
        <f t="shared" si="0"/>
        <v>1.0627420079137118</v>
      </c>
    </row>
    <row r="25" spans="1:8">
      <c r="F25" s="2">
        <v>2023</v>
      </c>
      <c r="G25" s="2">
        <v>122.39</v>
      </c>
      <c r="H25" s="46">
        <f t="shared" si="0"/>
        <v>1.024822289402729</v>
      </c>
    </row>
    <row r="26" spans="1:8">
      <c r="F26" s="2">
        <v>2024</v>
      </c>
      <c r="G26" s="2">
        <v>125.428</v>
      </c>
      <c r="H26" s="46">
        <f t="shared" si="0"/>
        <v>1</v>
      </c>
    </row>
    <row r="29" spans="1:8">
      <c r="A29" s="142" t="s">
        <v>268</v>
      </c>
      <c r="B29" s="142"/>
      <c r="C29" s="142"/>
      <c r="D29" s="142"/>
      <c r="E29" s="142"/>
      <c r="F29" s="142"/>
    </row>
    <row r="30" spans="1:8" ht="31.5">
      <c r="A30" s="24" t="s">
        <v>269</v>
      </c>
      <c r="B30" s="24" t="s">
        <v>270</v>
      </c>
      <c r="C30" s="24" t="s">
        <v>271</v>
      </c>
      <c r="D30" s="24" t="s">
        <v>272</v>
      </c>
      <c r="E30" s="24" t="s">
        <v>273</v>
      </c>
      <c r="F30" s="24" t="s">
        <v>274</v>
      </c>
    </row>
    <row r="31" spans="1:8">
      <c r="A31" s="58">
        <f t="shared" ref="A31:A39" si="1">$B$7+ROW(A1)-1</f>
        <v>2027</v>
      </c>
      <c r="B31" s="58">
        <f t="shared" ref="B31:B81" si="2">ROW(A1)-1</f>
        <v>0</v>
      </c>
      <c r="C31" s="58">
        <f t="shared" ref="C31:C62" si="3">IF(AND(A31&gt;=$B$8,A31&lt;=$B$13),1,0)</f>
        <v>1</v>
      </c>
      <c r="D31" s="59">
        <f t="shared" ref="D31:D62" si="4">IF(C31=0,0,IF(A31=$B$8,$B$10,IF(A31=$B$8+1,$B$11,$B$12)))</f>
        <v>0.8</v>
      </c>
      <c r="E31" s="59">
        <f>IF(C31=1,(1+Baseline!$B$9)^(A31-Baseline!$B$8),0)</f>
        <v>1</v>
      </c>
      <c r="F31" s="60">
        <f>IF(B31&lt;'Scenario Inputs'!$B$6,1/(1+'Scenario Inputs'!$B$5)^B31,0)</f>
        <v>1</v>
      </c>
    </row>
    <row r="32" spans="1:8">
      <c r="A32" s="58">
        <f t="shared" si="1"/>
        <v>2028</v>
      </c>
      <c r="B32" s="58">
        <f t="shared" si="2"/>
        <v>1</v>
      </c>
      <c r="C32" s="58">
        <f t="shared" si="3"/>
        <v>1</v>
      </c>
      <c r="D32" s="59">
        <f t="shared" si="4"/>
        <v>0.9</v>
      </c>
      <c r="E32" s="59">
        <f>IF(C32=1,(1+Baseline!$B$9)^(A32-Baseline!$B$8),0)</f>
        <v>1</v>
      </c>
      <c r="F32" s="60">
        <f>IF(B32&lt;'Scenario Inputs'!$B$6,1/(1+'Scenario Inputs'!$B$5)^B32,0)</f>
        <v>0.93457943925233644</v>
      </c>
    </row>
    <row r="33" spans="1:6">
      <c r="A33" s="58">
        <f t="shared" si="1"/>
        <v>2029</v>
      </c>
      <c r="B33" s="58">
        <f t="shared" si="2"/>
        <v>2</v>
      </c>
      <c r="C33" s="58">
        <f t="shared" si="3"/>
        <v>1</v>
      </c>
      <c r="D33" s="59">
        <f t="shared" si="4"/>
        <v>1</v>
      </c>
      <c r="E33" s="59">
        <f>IF(C33=1,(1+Baseline!$B$9)^(A33-Baseline!$B$8),0)</f>
        <v>1</v>
      </c>
      <c r="F33" s="60">
        <f>IF(B33&lt;'Scenario Inputs'!$B$6,1/(1+'Scenario Inputs'!$B$5)^B33,0)</f>
        <v>0.87343872827321156</v>
      </c>
    </row>
    <row r="34" spans="1:6">
      <c r="A34" s="58">
        <f t="shared" si="1"/>
        <v>2030</v>
      </c>
      <c r="B34" s="58">
        <f t="shared" si="2"/>
        <v>3</v>
      </c>
      <c r="C34" s="58">
        <f t="shared" si="3"/>
        <v>1</v>
      </c>
      <c r="D34" s="59">
        <f t="shared" si="4"/>
        <v>1</v>
      </c>
      <c r="E34" s="59">
        <f>IF(C34=1,(1+Baseline!$B$9)^(A34-Baseline!$B$8),0)</f>
        <v>1</v>
      </c>
      <c r="F34" s="60">
        <f>IF(B34&lt;'Scenario Inputs'!$B$6,1/(1+'Scenario Inputs'!$B$5)^B34,0)</f>
        <v>0.81629787689085187</v>
      </c>
    </row>
    <row r="35" spans="1:6">
      <c r="A35" s="58">
        <f t="shared" si="1"/>
        <v>2031</v>
      </c>
      <c r="B35" s="58">
        <f t="shared" si="2"/>
        <v>4</v>
      </c>
      <c r="C35" s="58">
        <f t="shared" si="3"/>
        <v>1</v>
      </c>
      <c r="D35" s="59">
        <f t="shared" si="4"/>
        <v>1</v>
      </c>
      <c r="E35" s="59">
        <f>IF(C35=1,(1+Baseline!$B$9)^(A35-Baseline!$B$8),0)</f>
        <v>1</v>
      </c>
      <c r="F35" s="60">
        <f>IF(B35&lt;'Scenario Inputs'!$B$6,1/(1+'Scenario Inputs'!$B$5)^B35,0)</f>
        <v>0.7628952120475252</v>
      </c>
    </row>
    <row r="36" spans="1:6">
      <c r="A36" s="58">
        <f t="shared" si="1"/>
        <v>2032</v>
      </c>
      <c r="B36" s="58">
        <f t="shared" si="2"/>
        <v>5</v>
      </c>
      <c r="C36" s="58">
        <f t="shared" si="3"/>
        <v>1</v>
      </c>
      <c r="D36" s="59">
        <f t="shared" si="4"/>
        <v>1</v>
      </c>
      <c r="E36" s="59">
        <f>IF(C36=1,(1+Baseline!$B$9)^(A36-Baseline!$B$8),0)</f>
        <v>1</v>
      </c>
      <c r="F36" s="60">
        <f>IF(B36&lt;'Scenario Inputs'!$B$6,1/(1+'Scenario Inputs'!$B$5)^B36,0)</f>
        <v>0.71298617948366838</v>
      </c>
    </row>
    <row r="37" spans="1:6">
      <c r="A37" s="58">
        <f t="shared" si="1"/>
        <v>2033</v>
      </c>
      <c r="B37" s="58">
        <f t="shared" si="2"/>
        <v>6</v>
      </c>
      <c r="C37" s="58">
        <f t="shared" si="3"/>
        <v>1</v>
      </c>
      <c r="D37" s="59">
        <f t="shared" si="4"/>
        <v>1</v>
      </c>
      <c r="E37" s="59">
        <f>IF(C37=1,(1+Baseline!$B$9)^(A37-Baseline!$B$8),0)</f>
        <v>1</v>
      </c>
      <c r="F37" s="60">
        <f>IF(B37&lt;'Scenario Inputs'!$B$6,1/(1+'Scenario Inputs'!$B$5)^B37,0)</f>
        <v>0.66634222381651254</v>
      </c>
    </row>
    <row r="38" spans="1:6">
      <c r="A38" s="58">
        <f t="shared" si="1"/>
        <v>2034</v>
      </c>
      <c r="B38" s="58">
        <f t="shared" si="2"/>
        <v>7</v>
      </c>
      <c r="C38" s="58">
        <f t="shared" si="3"/>
        <v>1</v>
      </c>
      <c r="D38" s="59">
        <f t="shared" si="4"/>
        <v>1</v>
      </c>
      <c r="E38" s="59">
        <f>IF(C38=1,(1+Baseline!$B$9)^(A38-Baseline!$B$8),0)</f>
        <v>1</v>
      </c>
      <c r="F38" s="60">
        <f>IF(B38&lt;'Scenario Inputs'!$B$6,1/(1+'Scenario Inputs'!$B$5)^B38,0)</f>
        <v>0.62274974188459109</v>
      </c>
    </row>
    <row r="39" spans="1:6">
      <c r="A39" s="58">
        <f t="shared" si="1"/>
        <v>2035</v>
      </c>
      <c r="B39" s="58">
        <f t="shared" si="2"/>
        <v>8</v>
      </c>
      <c r="C39" s="58">
        <f t="shared" si="3"/>
        <v>1</v>
      </c>
      <c r="D39" s="59">
        <f t="shared" si="4"/>
        <v>1</v>
      </c>
      <c r="E39" s="59">
        <f>IF(C39=1,(1+Baseline!$B$9)^(A39-Baseline!$B$8),0)</f>
        <v>1</v>
      </c>
      <c r="F39" s="60">
        <f>IF(B39&lt;'Scenario Inputs'!$B$6,1/(1+'Scenario Inputs'!$B$5)^B39,0)</f>
        <v>0.5820091045650384</v>
      </c>
    </row>
    <row r="40" spans="1:6">
      <c r="A40" s="58">
        <f>$B$7+ROW(A10)-1</f>
        <v>2036</v>
      </c>
      <c r="B40" s="58">
        <f>ROW(A10)-1</f>
        <v>9</v>
      </c>
      <c r="C40" s="58">
        <f t="shared" si="3"/>
        <v>1</v>
      </c>
      <c r="D40" s="59">
        <f t="shared" si="4"/>
        <v>1</v>
      </c>
      <c r="E40" s="59">
        <f>IF(C40=1,(1+Baseline!$B$9)^(A40-Baseline!$B$8),0)</f>
        <v>1</v>
      </c>
      <c r="F40" s="60">
        <f>IF(B40&lt;'Scenario Inputs'!$B$6,1/(1+'Scenario Inputs'!$B$5)^B40,0)</f>
        <v>0.54393374258414806</v>
      </c>
    </row>
    <row r="41" spans="1:6">
      <c r="A41" s="58">
        <f>$B$7+ROW(A11)-1</f>
        <v>2037</v>
      </c>
      <c r="B41" s="58">
        <f>ROW(A10)-1</f>
        <v>9</v>
      </c>
      <c r="C41" s="58">
        <f t="shared" si="3"/>
        <v>1</v>
      </c>
      <c r="D41" s="59">
        <f t="shared" si="4"/>
        <v>1</v>
      </c>
      <c r="E41" s="59">
        <f>IF(C41=1,(1+Baseline!$B$9)^(A41-Baseline!$B$8),0)</f>
        <v>1</v>
      </c>
      <c r="F41" s="60">
        <f>IF(B41&lt;'Scenario Inputs'!$B$6,1/(1+'Scenario Inputs'!$B$5)^B41,0)</f>
        <v>0.54393374258414806</v>
      </c>
    </row>
    <row r="42" spans="1:6">
      <c r="A42" s="58">
        <f t="shared" ref="A42:A81" si="5">$B$7+ROW(A12)-1</f>
        <v>2038</v>
      </c>
      <c r="B42" s="58">
        <f>ROW(A11)-1</f>
        <v>10</v>
      </c>
      <c r="C42" s="58">
        <f t="shared" si="3"/>
        <v>1</v>
      </c>
      <c r="D42" s="59">
        <f t="shared" si="4"/>
        <v>1</v>
      </c>
      <c r="E42" s="59">
        <f>IF(C42=1,(1+Baseline!$B$9)^(A42-Baseline!$B$8),0)</f>
        <v>1</v>
      </c>
      <c r="F42" s="60">
        <f>IF(B42&lt;'Scenario Inputs'!$B$6,1/(1+'Scenario Inputs'!$B$5)^B42,0)</f>
        <v>0.5083492921347178</v>
      </c>
    </row>
    <row r="43" spans="1:6">
      <c r="A43" s="58">
        <f t="shared" si="5"/>
        <v>2039</v>
      </c>
      <c r="B43" s="58">
        <f>ROW(A12)-1</f>
        <v>11</v>
      </c>
      <c r="C43" s="58">
        <f t="shared" si="3"/>
        <v>1</v>
      </c>
      <c r="D43" s="59">
        <f t="shared" si="4"/>
        <v>1</v>
      </c>
      <c r="E43" s="59">
        <f>IF(C43=1,(1+Baseline!$B$9)^(A43-Baseline!$B$8),0)</f>
        <v>1</v>
      </c>
      <c r="F43" s="60">
        <f>IF(B43&lt;'Scenario Inputs'!$B$6,1/(1+'Scenario Inputs'!$B$5)^B43,0)</f>
        <v>0.47509279638758667</v>
      </c>
    </row>
    <row r="44" spans="1:6">
      <c r="A44" s="58">
        <f t="shared" si="5"/>
        <v>2040</v>
      </c>
      <c r="B44" s="58">
        <f>ROW(A13)-1</f>
        <v>12</v>
      </c>
      <c r="C44" s="58">
        <f t="shared" si="3"/>
        <v>1</v>
      </c>
      <c r="D44" s="59">
        <f t="shared" si="4"/>
        <v>1</v>
      </c>
      <c r="E44" s="59">
        <f>IF(C44=1,(1+Baseline!$B$9)^(A44-Baseline!$B$8),0)</f>
        <v>1</v>
      </c>
      <c r="F44" s="60">
        <f>IF(B44&lt;'Scenario Inputs'!$B$6,1/(1+'Scenario Inputs'!$B$5)^B44,0)</f>
        <v>0.44401195924073528</v>
      </c>
    </row>
    <row r="45" spans="1:6">
      <c r="A45" s="58">
        <f t="shared" si="5"/>
        <v>2041</v>
      </c>
      <c r="B45" s="58">
        <f t="shared" si="2"/>
        <v>14</v>
      </c>
      <c r="C45" s="58">
        <f t="shared" si="3"/>
        <v>1</v>
      </c>
      <c r="D45" s="59">
        <f t="shared" si="4"/>
        <v>1</v>
      </c>
      <c r="E45" s="59">
        <f>IF(C45=1,(1+Baseline!$B$9)^(A45-Baseline!$B$8),0)</f>
        <v>1</v>
      </c>
      <c r="F45" s="60">
        <f>IF(B45&lt;'Scenario Inputs'!$B$6,1/(1+'Scenario Inputs'!$B$5)^B45,0)</f>
        <v>0.3878172410173249</v>
      </c>
    </row>
    <row r="46" spans="1:6">
      <c r="A46" s="58">
        <f t="shared" si="5"/>
        <v>2042</v>
      </c>
      <c r="B46" s="58">
        <f t="shared" si="2"/>
        <v>15</v>
      </c>
      <c r="C46" s="58">
        <f t="shared" si="3"/>
        <v>1</v>
      </c>
      <c r="D46" s="59">
        <f t="shared" si="4"/>
        <v>1</v>
      </c>
      <c r="E46" s="59">
        <f>IF(C46=1,(1+Baseline!$B$9)^(A46-Baseline!$B$8),0)</f>
        <v>1</v>
      </c>
      <c r="F46" s="60">
        <f>IF(B46&lt;'Scenario Inputs'!$B$6,1/(1+'Scenario Inputs'!$B$5)^B46,0)</f>
        <v>0.36244601964235967</v>
      </c>
    </row>
    <row r="47" spans="1:6">
      <c r="A47" s="58">
        <f t="shared" si="5"/>
        <v>2043</v>
      </c>
      <c r="B47" s="58">
        <f t="shared" si="2"/>
        <v>16</v>
      </c>
      <c r="C47" s="58">
        <f t="shared" si="3"/>
        <v>1</v>
      </c>
      <c r="D47" s="59">
        <f t="shared" si="4"/>
        <v>1</v>
      </c>
      <c r="E47" s="59">
        <f>IF(C47=1,(1+Baseline!$B$9)^(A47-Baseline!$B$8),0)</f>
        <v>1</v>
      </c>
      <c r="F47" s="60">
        <f>IF(B47&lt;'Scenario Inputs'!$B$6,1/(1+'Scenario Inputs'!$B$5)^B47,0)</f>
        <v>0.33873459779659787</v>
      </c>
    </row>
    <row r="48" spans="1:6">
      <c r="A48" s="58">
        <f t="shared" si="5"/>
        <v>2044</v>
      </c>
      <c r="B48" s="58">
        <f t="shared" si="2"/>
        <v>17</v>
      </c>
      <c r="C48" s="58">
        <f t="shared" si="3"/>
        <v>1</v>
      </c>
      <c r="D48" s="59">
        <f t="shared" si="4"/>
        <v>1</v>
      </c>
      <c r="E48" s="59">
        <f>IF(C48=1,(1+Baseline!$B$9)^(A48-Baseline!$B$8),0)</f>
        <v>1</v>
      </c>
      <c r="F48" s="60">
        <f>IF(B48&lt;'Scenario Inputs'!$B$6,1/(1+'Scenario Inputs'!$B$5)^B48,0)</f>
        <v>0.31657439046411018</v>
      </c>
    </row>
    <row r="49" spans="1:6">
      <c r="A49" s="58">
        <f t="shared" si="5"/>
        <v>2045</v>
      </c>
      <c r="B49" s="58">
        <f t="shared" si="2"/>
        <v>18</v>
      </c>
      <c r="C49" s="58">
        <f t="shared" si="3"/>
        <v>1</v>
      </c>
      <c r="D49" s="59">
        <f t="shared" si="4"/>
        <v>1</v>
      </c>
      <c r="E49" s="59">
        <f>IF(C49=1,(1+Baseline!$B$9)^(A49-Baseline!$B$8),0)</f>
        <v>1</v>
      </c>
      <c r="F49" s="60">
        <f>IF(B49&lt;'Scenario Inputs'!$B$6,1/(1+'Scenario Inputs'!$B$5)^B49,0)</f>
        <v>0.29586391632159825</v>
      </c>
    </row>
    <row r="50" spans="1:6">
      <c r="A50" s="58">
        <f t="shared" si="5"/>
        <v>2046</v>
      </c>
      <c r="B50" s="58">
        <f t="shared" si="2"/>
        <v>19</v>
      </c>
      <c r="C50" s="58">
        <f t="shared" si="3"/>
        <v>1</v>
      </c>
      <c r="D50" s="59">
        <f t="shared" si="4"/>
        <v>1</v>
      </c>
      <c r="E50" s="59">
        <f>IF(C50=1,(1+Baseline!$B$9)^(A50-Baseline!$B$8),0)</f>
        <v>1</v>
      </c>
      <c r="F50" s="60">
        <f>IF(B50&lt;'Scenario Inputs'!$B$6,1/(1+'Scenario Inputs'!$B$5)^B50,0)</f>
        <v>0.27650833301083949</v>
      </c>
    </row>
    <row r="51" spans="1:6">
      <c r="A51" s="58">
        <f t="shared" si="5"/>
        <v>2047</v>
      </c>
      <c r="B51" s="58">
        <f t="shared" si="2"/>
        <v>20</v>
      </c>
      <c r="C51" s="58">
        <f t="shared" si="3"/>
        <v>1</v>
      </c>
      <c r="D51" s="59">
        <f t="shared" si="4"/>
        <v>1</v>
      </c>
      <c r="E51" s="59">
        <f>IF(C51=1,(1+Baseline!$B$9)^(A51-Baseline!$B$8),0)</f>
        <v>1</v>
      </c>
      <c r="F51" s="60">
        <f>IF(B51&lt;'Scenario Inputs'!$B$6,1/(1+'Scenario Inputs'!$B$5)^B51,0)</f>
        <v>0.2584190028138687</v>
      </c>
    </row>
    <row r="52" spans="1:6">
      <c r="A52" s="58">
        <f t="shared" si="5"/>
        <v>2048</v>
      </c>
      <c r="B52" s="58">
        <f t="shared" si="2"/>
        <v>21</v>
      </c>
      <c r="C52" s="58">
        <f t="shared" si="3"/>
        <v>1</v>
      </c>
      <c r="D52" s="59">
        <f t="shared" si="4"/>
        <v>1</v>
      </c>
      <c r="E52" s="59">
        <f>IF(C52=1,(1+Baseline!$B$9)^(A52-Baseline!$B$8),0)</f>
        <v>1</v>
      </c>
      <c r="F52" s="60">
        <f>IF(B52&lt;'Scenario Inputs'!$B$6,1/(1+'Scenario Inputs'!$B$5)^B52,0)</f>
        <v>0.24151308674193336</v>
      </c>
    </row>
    <row r="53" spans="1:6">
      <c r="A53" s="58">
        <f t="shared" si="5"/>
        <v>2049</v>
      </c>
      <c r="B53" s="58">
        <f t="shared" si="2"/>
        <v>22</v>
      </c>
      <c r="C53" s="58">
        <f t="shared" si="3"/>
        <v>1</v>
      </c>
      <c r="D53" s="59">
        <f t="shared" si="4"/>
        <v>1</v>
      </c>
      <c r="E53" s="59">
        <f>IF(C53=1,(1+Baseline!$B$9)^(A53-Baseline!$B$8),0)</f>
        <v>1</v>
      </c>
      <c r="F53" s="60">
        <f>IF(B53&lt;'Scenario Inputs'!$B$6,1/(1+'Scenario Inputs'!$B$5)^B53,0)</f>
        <v>0.22571316517937698</v>
      </c>
    </row>
    <row r="54" spans="1:6">
      <c r="A54" s="58">
        <f t="shared" si="5"/>
        <v>2050</v>
      </c>
      <c r="B54" s="58">
        <f t="shared" si="2"/>
        <v>23</v>
      </c>
      <c r="C54" s="58">
        <f t="shared" si="3"/>
        <v>1</v>
      </c>
      <c r="D54" s="59">
        <f t="shared" si="4"/>
        <v>1</v>
      </c>
      <c r="E54" s="59">
        <f>IF(C54=1,(1+Baseline!$B$9)^(A54-Baseline!$B$8),0)</f>
        <v>1</v>
      </c>
      <c r="F54" s="60">
        <f>IF(B54&lt;'Scenario Inputs'!$B$6,1/(1+'Scenario Inputs'!$B$5)^B54,0)</f>
        <v>0.21094688334521211</v>
      </c>
    </row>
    <row r="55" spans="1:6">
      <c r="A55" s="58">
        <f t="shared" si="5"/>
        <v>2051</v>
      </c>
      <c r="B55" s="58">
        <f t="shared" si="2"/>
        <v>24</v>
      </c>
      <c r="C55" s="58">
        <f t="shared" si="3"/>
        <v>1</v>
      </c>
      <c r="D55" s="59">
        <f t="shared" si="4"/>
        <v>1</v>
      </c>
      <c r="E55" s="59">
        <f>IF(C55=1,(1+Baseline!$B$9)^(A55-Baseline!$B$8),0)</f>
        <v>1</v>
      </c>
      <c r="F55" s="60">
        <f>IF(B55&lt;'Scenario Inputs'!$B$6,1/(1+'Scenario Inputs'!$B$5)^B55,0)</f>
        <v>0.19714661994879637</v>
      </c>
    </row>
    <row r="56" spans="1:6">
      <c r="A56" s="58">
        <f t="shared" si="5"/>
        <v>2052</v>
      </c>
      <c r="B56" s="58">
        <f t="shared" si="2"/>
        <v>25</v>
      </c>
      <c r="C56" s="58">
        <f t="shared" si="3"/>
        <v>1</v>
      </c>
      <c r="D56" s="59">
        <f t="shared" si="4"/>
        <v>1</v>
      </c>
      <c r="E56" s="59">
        <f>IF(C56=1,(1+Baseline!$B$9)^(A56-Baseline!$B$8),0)</f>
        <v>1</v>
      </c>
      <c r="F56" s="60">
        <f>IF(B56&lt;'Scenario Inputs'!$B$6,1/(1+'Scenario Inputs'!$B$5)^B56,0)</f>
        <v>0.18424917752223957</v>
      </c>
    </row>
    <row r="57" spans="1:6">
      <c r="A57" s="58">
        <f t="shared" si="5"/>
        <v>2053</v>
      </c>
      <c r="B57" s="58">
        <f t="shared" si="2"/>
        <v>26</v>
      </c>
      <c r="C57" s="58">
        <f t="shared" si="3"/>
        <v>1</v>
      </c>
      <c r="D57" s="59">
        <f t="shared" si="4"/>
        <v>1</v>
      </c>
      <c r="E57" s="59">
        <f>IF(C57=1,(1+Baseline!$B$9)^(A57-Baseline!$B$8),0)</f>
        <v>1</v>
      </c>
      <c r="F57" s="60">
        <f>IF(B57&lt;'Scenario Inputs'!$B$6,1/(1+'Scenario Inputs'!$B$5)^B57,0)</f>
        <v>0.17219549301143888</v>
      </c>
    </row>
    <row r="58" spans="1:6">
      <c r="A58" s="58">
        <f t="shared" si="5"/>
        <v>2054</v>
      </c>
      <c r="B58" s="58">
        <f t="shared" si="2"/>
        <v>27</v>
      </c>
      <c r="C58" s="58">
        <f t="shared" si="3"/>
        <v>1</v>
      </c>
      <c r="D58" s="59">
        <f t="shared" si="4"/>
        <v>1</v>
      </c>
      <c r="E58" s="59">
        <f>IF(C58=1,(1+Baseline!$B$9)^(A58-Baseline!$B$8),0)</f>
        <v>1</v>
      </c>
      <c r="F58" s="60">
        <f>IF(B58&lt;'Scenario Inputs'!$B$6,1/(1+'Scenario Inputs'!$B$5)^B58,0)</f>
        <v>0.16093036730041013</v>
      </c>
    </row>
    <row r="59" spans="1:6">
      <c r="A59" s="58">
        <f t="shared" si="5"/>
        <v>2055</v>
      </c>
      <c r="B59" s="58">
        <f t="shared" si="2"/>
        <v>28</v>
      </c>
      <c r="C59" s="58">
        <f t="shared" si="3"/>
        <v>1</v>
      </c>
      <c r="D59" s="59">
        <f t="shared" si="4"/>
        <v>1</v>
      </c>
      <c r="E59" s="59">
        <f>IF(C59=1,(1+Baseline!$B$9)^(A59-Baseline!$B$8),0)</f>
        <v>1</v>
      </c>
      <c r="F59" s="60">
        <f>IF(B59&lt;'Scenario Inputs'!$B$6,1/(1+'Scenario Inputs'!$B$5)^B59,0)</f>
        <v>0.15040221243028987</v>
      </c>
    </row>
    <row r="60" spans="1:6">
      <c r="A60" s="58">
        <f t="shared" si="5"/>
        <v>2056</v>
      </c>
      <c r="B60" s="58">
        <f t="shared" si="2"/>
        <v>29</v>
      </c>
      <c r="C60" s="58">
        <f t="shared" si="3"/>
        <v>1</v>
      </c>
      <c r="D60" s="59">
        <f t="shared" si="4"/>
        <v>1</v>
      </c>
      <c r="E60" s="59">
        <f>IF(C60=1,(1+Baseline!$B$9)^(A60-Baseline!$B$8),0)</f>
        <v>1</v>
      </c>
      <c r="F60" s="60">
        <f>IF(B60&lt;'Scenario Inputs'!$B$6,1/(1+'Scenario Inputs'!$B$5)^B60,0)</f>
        <v>0.1405628153554111</v>
      </c>
    </row>
    <row r="61" spans="1:6">
      <c r="A61" s="58">
        <f t="shared" si="5"/>
        <v>2057</v>
      </c>
      <c r="B61" s="58">
        <f t="shared" si="2"/>
        <v>30</v>
      </c>
      <c r="C61" s="58">
        <f t="shared" si="3"/>
        <v>0</v>
      </c>
      <c r="D61" s="59">
        <f t="shared" si="4"/>
        <v>0</v>
      </c>
      <c r="E61" s="59">
        <f>IF(C61=1,(1+Baseline!$B$9)^(A61-Baseline!$B$8),0)</f>
        <v>0</v>
      </c>
      <c r="F61" s="60">
        <f>IF(B61&lt;'Scenario Inputs'!$B$6,1/(1+'Scenario Inputs'!$B$5)^B61,0)</f>
        <v>0</v>
      </c>
    </row>
    <row r="62" spans="1:6">
      <c r="A62" s="58">
        <f t="shared" si="5"/>
        <v>2058</v>
      </c>
      <c r="B62" s="58">
        <f t="shared" si="2"/>
        <v>31</v>
      </c>
      <c r="C62" s="58">
        <f t="shared" si="3"/>
        <v>0</v>
      </c>
      <c r="D62" s="59">
        <f t="shared" si="4"/>
        <v>0</v>
      </c>
      <c r="E62" s="59">
        <f>IF(C62=1,(1+Baseline!$B$9)^(A62-Baseline!$B$8),0)</f>
        <v>0</v>
      </c>
      <c r="F62" s="60">
        <f>IF(B62&lt;'Scenario Inputs'!$B$6,1/(1+'Scenario Inputs'!$B$5)^B62,0)</f>
        <v>0</v>
      </c>
    </row>
    <row r="63" spans="1:6">
      <c r="A63" s="58">
        <f t="shared" si="5"/>
        <v>2059</v>
      </c>
      <c r="B63" s="58">
        <f t="shared" si="2"/>
        <v>32</v>
      </c>
      <c r="C63" s="58">
        <f t="shared" ref="C63:C81" si="6">IF(AND(A63&gt;=$B$8,A63&lt;=$B$13),1,0)</f>
        <v>0</v>
      </c>
      <c r="D63" s="59">
        <f t="shared" ref="D63:D81" si="7">IF(C63=0,0,IF(A63=$B$8,$B$10,IF(A63=$B$8+1,$B$11,$B$12)))</f>
        <v>0</v>
      </c>
      <c r="E63" s="59">
        <f>IF(C63=1,(1+Baseline!$B$9)^(A63-Baseline!$B$8),0)</f>
        <v>0</v>
      </c>
      <c r="F63" s="60">
        <f>IF(B63&lt;'Scenario Inputs'!$B$6,1/(1+'Scenario Inputs'!$B$5)^B63,0)</f>
        <v>0</v>
      </c>
    </row>
    <row r="64" spans="1:6">
      <c r="A64" s="58">
        <f t="shared" si="5"/>
        <v>2060</v>
      </c>
      <c r="B64" s="58">
        <f t="shared" si="2"/>
        <v>33</v>
      </c>
      <c r="C64" s="58">
        <f t="shared" si="6"/>
        <v>0</v>
      </c>
      <c r="D64" s="59">
        <f t="shared" si="7"/>
        <v>0</v>
      </c>
      <c r="E64" s="59">
        <f>IF(C64=1,(1+Baseline!$B$9)^(A64-Baseline!$B$8),0)</f>
        <v>0</v>
      </c>
      <c r="F64" s="60">
        <f>IF(B64&lt;'Scenario Inputs'!$B$6,1/(1+'Scenario Inputs'!$B$5)^B64,0)</f>
        <v>0</v>
      </c>
    </row>
    <row r="65" spans="1:6">
      <c r="A65" s="58">
        <f t="shared" si="5"/>
        <v>2061</v>
      </c>
      <c r="B65" s="58">
        <f t="shared" si="2"/>
        <v>34</v>
      </c>
      <c r="C65" s="58">
        <f t="shared" si="6"/>
        <v>0</v>
      </c>
      <c r="D65" s="59">
        <f t="shared" si="7"/>
        <v>0</v>
      </c>
      <c r="E65" s="59">
        <f>IF(C65=1,(1+Baseline!$B$9)^(A65-Baseline!$B$8),0)</f>
        <v>0</v>
      </c>
      <c r="F65" s="60">
        <f>IF(B65&lt;'Scenario Inputs'!$B$6,1/(1+'Scenario Inputs'!$B$5)^B65,0)</f>
        <v>0</v>
      </c>
    </row>
    <row r="66" spans="1:6">
      <c r="A66" s="58">
        <f t="shared" si="5"/>
        <v>2062</v>
      </c>
      <c r="B66" s="58">
        <f t="shared" si="2"/>
        <v>35</v>
      </c>
      <c r="C66" s="58">
        <f t="shared" si="6"/>
        <v>0</v>
      </c>
      <c r="D66" s="59">
        <f t="shared" si="7"/>
        <v>0</v>
      </c>
      <c r="E66" s="59">
        <f>IF(C66=1,(1+Baseline!$B$9)^(A66-Baseline!$B$8),0)</f>
        <v>0</v>
      </c>
      <c r="F66" s="60">
        <f>IF(B66&lt;'Scenario Inputs'!$B$6,1/(1+'Scenario Inputs'!$B$5)^B66,0)</f>
        <v>0</v>
      </c>
    </row>
    <row r="67" spans="1:6">
      <c r="A67" s="58">
        <f t="shared" si="5"/>
        <v>2063</v>
      </c>
      <c r="B67" s="58">
        <f t="shared" si="2"/>
        <v>36</v>
      </c>
      <c r="C67" s="58">
        <f t="shared" si="6"/>
        <v>0</v>
      </c>
      <c r="D67" s="59">
        <f t="shared" si="7"/>
        <v>0</v>
      </c>
      <c r="E67" s="59">
        <f>IF(C67=1,(1+Baseline!$B$9)^(A67-Baseline!$B$8),0)</f>
        <v>0</v>
      </c>
      <c r="F67" s="60">
        <f>IF(B67&lt;'Scenario Inputs'!$B$6,1/(1+'Scenario Inputs'!$B$5)^B67,0)</f>
        <v>0</v>
      </c>
    </row>
    <row r="68" spans="1:6">
      <c r="A68" s="58">
        <f t="shared" si="5"/>
        <v>2064</v>
      </c>
      <c r="B68" s="58">
        <f t="shared" si="2"/>
        <v>37</v>
      </c>
      <c r="C68" s="58">
        <f t="shared" si="6"/>
        <v>0</v>
      </c>
      <c r="D68" s="59">
        <f t="shared" si="7"/>
        <v>0</v>
      </c>
      <c r="E68" s="59">
        <f>IF(C68=1,(1+Baseline!$B$9)^(A68-Baseline!$B$8),0)</f>
        <v>0</v>
      </c>
      <c r="F68" s="60">
        <f>IF(B68&lt;'Scenario Inputs'!$B$6,1/(1+'Scenario Inputs'!$B$5)^B68,0)</f>
        <v>0</v>
      </c>
    </row>
    <row r="69" spans="1:6">
      <c r="A69" s="58">
        <f t="shared" si="5"/>
        <v>2065</v>
      </c>
      <c r="B69" s="58">
        <f t="shared" si="2"/>
        <v>38</v>
      </c>
      <c r="C69" s="58">
        <f t="shared" si="6"/>
        <v>0</v>
      </c>
      <c r="D69" s="59">
        <f t="shared" si="7"/>
        <v>0</v>
      </c>
      <c r="E69" s="59">
        <f>IF(C69=1,(1+Baseline!$B$9)^(A69-Baseline!$B$8),0)</f>
        <v>0</v>
      </c>
      <c r="F69" s="60">
        <f>IF(B69&lt;'Scenario Inputs'!$B$6,1/(1+'Scenario Inputs'!$B$5)^B69,0)</f>
        <v>0</v>
      </c>
    </row>
    <row r="70" spans="1:6">
      <c r="A70" s="58">
        <f t="shared" si="5"/>
        <v>2066</v>
      </c>
      <c r="B70" s="58">
        <f t="shared" si="2"/>
        <v>39</v>
      </c>
      <c r="C70" s="58">
        <f t="shared" si="6"/>
        <v>0</v>
      </c>
      <c r="D70" s="59">
        <f t="shared" si="7"/>
        <v>0</v>
      </c>
      <c r="E70" s="59">
        <f>IF(C70=1,(1+Baseline!$B$9)^(A70-Baseline!$B$8),0)</f>
        <v>0</v>
      </c>
      <c r="F70" s="60">
        <f>IF(B70&lt;'Scenario Inputs'!$B$6,1/(1+'Scenario Inputs'!$B$5)^B70,0)</f>
        <v>0</v>
      </c>
    </row>
    <row r="71" spans="1:6">
      <c r="A71" s="58">
        <f t="shared" si="5"/>
        <v>2067</v>
      </c>
      <c r="B71" s="58">
        <f t="shared" si="2"/>
        <v>40</v>
      </c>
      <c r="C71" s="58">
        <f t="shared" si="6"/>
        <v>0</v>
      </c>
      <c r="D71" s="59">
        <f t="shared" si="7"/>
        <v>0</v>
      </c>
      <c r="E71" s="59">
        <f>IF(C71=1,(1+Baseline!$B$9)^(A71-Baseline!$B$8),0)</f>
        <v>0</v>
      </c>
      <c r="F71" s="60">
        <f>IF(B71&lt;'Scenario Inputs'!$B$6,1/(1+'Scenario Inputs'!$B$5)^B71,0)</f>
        <v>0</v>
      </c>
    </row>
    <row r="72" spans="1:6">
      <c r="A72" s="58">
        <f t="shared" si="5"/>
        <v>2068</v>
      </c>
      <c r="B72" s="58">
        <f t="shared" si="2"/>
        <v>41</v>
      </c>
      <c r="C72" s="58">
        <f t="shared" si="6"/>
        <v>0</v>
      </c>
      <c r="D72" s="59">
        <f t="shared" si="7"/>
        <v>0</v>
      </c>
      <c r="E72" s="59">
        <f>IF(C72=1,(1+Baseline!$B$9)^(A72-Baseline!$B$8),0)</f>
        <v>0</v>
      </c>
      <c r="F72" s="60">
        <f>IF(B72&lt;'Scenario Inputs'!$B$6,1/(1+'Scenario Inputs'!$B$5)^B72,0)</f>
        <v>0</v>
      </c>
    </row>
    <row r="73" spans="1:6">
      <c r="A73" s="58">
        <f t="shared" si="5"/>
        <v>2069</v>
      </c>
      <c r="B73" s="58">
        <f t="shared" si="2"/>
        <v>42</v>
      </c>
      <c r="C73" s="58">
        <f t="shared" si="6"/>
        <v>0</v>
      </c>
      <c r="D73" s="59">
        <f t="shared" si="7"/>
        <v>0</v>
      </c>
      <c r="E73" s="59">
        <f>IF(C73=1,(1+Baseline!$B$9)^(A73-Baseline!$B$8),0)</f>
        <v>0</v>
      </c>
      <c r="F73" s="60">
        <f>IF(B73&lt;'Scenario Inputs'!$B$6,1/(1+'Scenario Inputs'!$B$5)^B73,0)</f>
        <v>0</v>
      </c>
    </row>
    <row r="74" spans="1:6">
      <c r="A74" s="58">
        <f t="shared" si="5"/>
        <v>2070</v>
      </c>
      <c r="B74" s="58">
        <f t="shared" si="2"/>
        <v>43</v>
      </c>
      <c r="C74" s="58">
        <f t="shared" si="6"/>
        <v>0</v>
      </c>
      <c r="D74" s="59">
        <f t="shared" si="7"/>
        <v>0</v>
      </c>
      <c r="E74" s="59">
        <f>IF(C74=1,(1+Baseline!$B$9)^(A74-Baseline!$B$8),0)</f>
        <v>0</v>
      </c>
      <c r="F74" s="60">
        <f>IF(B74&lt;'Scenario Inputs'!$B$6,1/(1+'Scenario Inputs'!$B$5)^B74,0)</f>
        <v>0</v>
      </c>
    </row>
    <row r="75" spans="1:6">
      <c r="A75" s="58">
        <f t="shared" si="5"/>
        <v>2071</v>
      </c>
      <c r="B75" s="58">
        <f t="shared" si="2"/>
        <v>44</v>
      </c>
      <c r="C75" s="58">
        <f t="shared" si="6"/>
        <v>0</v>
      </c>
      <c r="D75" s="59">
        <f t="shared" si="7"/>
        <v>0</v>
      </c>
      <c r="E75" s="59">
        <f>IF(C75=1,(1+Baseline!$B$9)^(A75-Baseline!$B$8),0)</f>
        <v>0</v>
      </c>
      <c r="F75" s="60">
        <f>IF(B75&lt;'Scenario Inputs'!$B$6,1/(1+'Scenario Inputs'!$B$5)^B75,0)</f>
        <v>0</v>
      </c>
    </row>
    <row r="76" spans="1:6">
      <c r="A76" s="58">
        <f t="shared" si="5"/>
        <v>2072</v>
      </c>
      <c r="B76" s="58">
        <f t="shared" si="2"/>
        <v>45</v>
      </c>
      <c r="C76" s="58">
        <f t="shared" si="6"/>
        <v>0</v>
      </c>
      <c r="D76" s="59">
        <f t="shared" si="7"/>
        <v>0</v>
      </c>
      <c r="E76" s="59">
        <f>IF(C76=1,(1+Baseline!$B$9)^(A76-Baseline!$B$8),0)</f>
        <v>0</v>
      </c>
      <c r="F76" s="60">
        <f>IF(B76&lt;'Scenario Inputs'!$B$6,1/(1+'Scenario Inputs'!$B$5)^B76,0)</f>
        <v>0</v>
      </c>
    </row>
    <row r="77" spans="1:6">
      <c r="A77" s="58">
        <f t="shared" si="5"/>
        <v>2073</v>
      </c>
      <c r="B77" s="58">
        <f t="shared" si="2"/>
        <v>46</v>
      </c>
      <c r="C77" s="58">
        <f t="shared" si="6"/>
        <v>0</v>
      </c>
      <c r="D77" s="59">
        <f t="shared" si="7"/>
        <v>0</v>
      </c>
      <c r="E77" s="59">
        <f>IF(C77=1,(1+Baseline!$B$9)^(A77-Baseline!$B$8),0)</f>
        <v>0</v>
      </c>
      <c r="F77" s="60">
        <f>IF(B77&lt;'Scenario Inputs'!$B$6,1/(1+'Scenario Inputs'!$B$5)^B77,0)</f>
        <v>0</v>
      </c>
    </row>
    <row r="78" spans="1:6">
      <c r="A78" s="58">
        <f t="shared" si="5"/>
        <v>2074</v>
      </c>
      <c r="B78" s="58">
        <f t="shared" si="2"/>
        <v>47</v>
      </c>
      <c r="C78" s="58">
        <f t="shared" si="6"/>
        <v>0</v>
      </c>
      <c r="D78" s="59">
        <f t="shared" si="7"/>
        <v>0</v>
      </c>
      <c r="E78" s="59">
        <f>IF(C78=1,(1+Baseline!$B$9)^(A78-Baseline!$B$8),0)</f>
        <v>0</v>
      </c>
      <c r="F78" s="60">
        <f>IF(B78&lt;'Scenario Inputs'!$B$6,1/(1+'Scenario Inputs'!$B$5)^B78,0)</f>
        <v>0</v>
      </c>
    </row>
    <row r="79" spans="1:6">
      <c r="A79" s="58">
        <f t="shared" si="5"/>
        <v>2075</v>
      </c>
      <c r="B79" s="58">
        <f t="shared" si="2"/>
        <v>48</v>
      </c>
      <c r="C79" s="58">
        <f t="shared" si="6"/>
        <v>0</v>
      </c>
      <c r="D79" s="59">
        <f t="shared" si="7"/>
        <v>0</v>
      </c>
      <c r="E79" s="59">
        <f>IF(C79=1,(1+Baseline!$B$9)^(A79-Baseline!$B$8),0)</f>
        <v>0</v>
      </c>
      <c r="F79" s="60">
        <f>IF(B79&lt;'Scenario Inputs'!$B$6,1/(1+'Scenario Inputs'!$B$5)^B79,0)</f>
        <v>0</v>
      </c>
    </row>
    <row r="80" spans="1:6">
      <c r="A80" s="58">
        <f t="shared" si="5"/>
        <v>2076</v>
      </c>
      <c r="B80" s="58">
        <f t="shared" si="2"/>
        <v>49</v>
      </c>
      <c r="C80" s="58">
        <f t="shared" si="6"/>
        <v>0</v>
      </c>
      <c r="D80" s="59">
        <f t="shared" si="7"/>
        <v>0</v>
      </c>
      <c r="E80" s="59">
        <f>IF(C80=1,(1+Baseline!$B$9)^(A80-Baseline!$B$8),0)</f>
        <v>0</v>
      </c>
      <c r="F80" s="60">
        <f>IF(B80&lt;'Scenario Inputs'!$B$6,1/(1+'Scenario Inputs'!$B$5)^B80,0)</f>
        <v>0</v>
      </c>
    </row>
    <row r="81" spans="1:6">
      <c r="A81" s="58">
        <f t="shared" si="5"/>
        <v>2077</v>
      </c>
      <c r="B81" s="58">
        <f t="shared" si="2"/>
        <v>50</v>
      </c>
      <c r="C81" s="58">
        <f t="shared" si="6"/>
        <v>0</v>
      </c>
      <c r="D81" s="59">
        <f t="shared" si="7"/>
        <v>0</v>
      </c>
      <c r="E81" s="59">
        <f>IF(C81=1,(1+Baseline!$B$9)^(A81-Baseline!$B$8),0)</f>
        <v>0</v>
      </c>
      <c r="F81" s="60">
        <f>IF(B81&lt;'Scenario Inputs'!$B$6,1/(1+'Scenario Inputs'!$B$5)^B81,0)</f>
        <v>0</v>
      </c>
    </row>
  </sheetData>
  <mergeCells count="5">
    <mergeCell ref="F4:I4"/>
    <mergeCell ref="A1:I1"/>
    <mergeCell ref="A2:I2"/>
    <mergeCell ref="A4:D4"/>
    <mergeCell ref="A29:F29"/>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CF6CC-C830-47A9-9F1A-AEBD7AF9C760}">
  <sheetPr codeName="Sheet4">
    <tabColor theme="2" tint="-9.9978637043366805E-2"/>
  </sheetPr>
  <dimension ref="A1:Q313"/>
  <sheetViews>
    <sheetView zoomScale="70" zoomScaleNormal="70" workbookViewId="0">
      <selection sqref="A1:L1"/>
    </sheetView>
  </sheetViews>
  <sheetFormatPr defaultColWidth="8.75" defaultRowHeight="15"/>
  <cols>
    <col min="1" max="1" width="8.75" style="1"/>
    <col min="2" max="2" width="23.625" style="1" customWidth="1"/>
    <col min="3" max="3" width="72" style="1" customWidth="1"/>
    <col min="4" max="4" width="16.5" style="1" customWidth="1"/>
    <col min="5" max="5" width="14.375" style="1" customWidth="1"/>
    <col min="6" max="6" width="40.625" style="1" customWidth="1"/>
    <col min="7" max="7" width="23.625" style="1" customWidth="1"/>
    <col min="8" max="9" width="30.625" style="1" customWidth="1"/>
    <col min="10" max="13" width="8.75" style="1"/>
    <col min="14" max="14" width="9.625" style="1" bestFit="1" customWidth="1"/>
    <col min="15" max="15" width="7.5" style="1" bestFit="1" customWidth="1"/>
    <col min="16" max="16" width="12.625" style="1" customWidth="1"/>
    <col min="17" max="17" width="7.5" style="1" bestFit="1" customWidth="1"/>
    <col min="18" max="16384" width="8.75" style="1"/>
  </cols>
  <sheetData>
    <row r="1" spans="1:12" ht="30" customHeight="1">
      <c r="A1" s="133" t="s">
        <v>275</v>
      </c>
      <c r="B1" s="133"/>
      <c r="C1" s="133"/>
      <c r="D1" s="133"/>
      <c r="E1" s="133"/>
      <c r="F1" s="133"/>
      <c r="G1" s="133"/>
      <c r="H1" s="133"/>
      <c r="I1" s="133"/>
      <c r="J1" s="133"/>
      <c r="K1" s="133"/>
      <c r="L1" s="133"/>
    </row>
    <row r="2" spans="1:12" ht="58.15" customHeight="1">
      <c r="A2" s="137" t="s">
        <v>276</v>
      </c>
      <c r="B2" s="137"/>
      <c r="C2" s="137"/>
      <c r="D2" s="137"/>
      <c r="E2" s="137"/>
      <c r="F2" s="137"/>
      <c r="G2" s="137"/>
      <c r="H2" s="137"/>
      <c r="I2" s="137"/>
      <c r="J2" s="137"/>
      <c r="K2" s="137"/>
      <c r="L2" s="137"/>
    </row>
    <row r="3" spans="1:12" ht="15.75">
      <c r="A3" s="2"/>
      <c r="B3" s="2"/>
      <c r="C3" s="2"/>
      <c r="D3" s="2"/>
      <c r="E3" s="2"/>
    </row>
    <row r="4" spans="1:12" ht="22.9" customHeight="1">
      <c r="A4" s="136" t="s">
        <v>277</v>
      </c>
      <c r="B4" s="136"/>
      <c r="C4" s="136"/>
      <c r="D4" s="136"/>
      <c r="E4" s="136"/>
      <c r="F4" s="136"/>
      <c r="G4" s="136"/>
      <c r="H4" s="136"/>
      <c r="I4" s="136"/>
      <c r="J4" s="136"/>
      <c r="K4" s="136"/>
      <c r="L4" s="136"/>
    </row>
    <row r="5" spans="1:12">
      <c r="A5" s="11" t="s">
        <v>278</v>
      </c>
      <c r="B5" s="11" t="s">
        <v>279</v>
      </c>
      <c r="C5" s="11" t="s">
        <v>280</v>
      </c>
      <c r="D5" s="11" t="s">
        <v>281</v>
      </c>
      <c r="E5" s="12" t="s">
        <v>141</v>
      </c>
      <c r="F5" s="11" t="s">
        <v>282</v>
      </c>
      <c r="G5" s="11" t="s">
        <v>283</v>
      </c>
      <c r="H5" s="11" t="s">
        <v>284</v>
      </c>
      <c r="I5" s="11" t="s">
        <v>285</v>
      </c>
    </row>
    <row r="6" spans="1:12">
      <c r="B6" s="1" t="s">
        <v>277</v>
      </c>
      <c r="C6" s="1" t="s">
        <v>286</v>
      </c>
      <c r="D6" s="1" t="s">
        <v>287</v>
      </c>
      <c r="E6" s="1">
        <v>365</v>
      </c>
      <c r="F6" s="1" t="s">
        <v>288</v>
      </c>
      <c r="G6" s="1" t="s">
        <v>289</v>
      </c>
      <c r="I6" s="1" t="s">
        <v>290</v>
      </c>
    </row>
    <row r="7" spans="1:12">
      <c r="B7" s="1" t="s">
        <v>277</v>
      </c>
      <c r="C7" s="1" t="s">
        <v>286</v>
      </c>
      <c r="D7" s="1" t="s">
        <v>287</v>
      </c>
      <c r="E7" s="1">
        <v>261</v>
      </c>
      <c r="F7" s="1" t="s">
        <v>291</v>
      </c>
      <c r="G7" s="1" t="s">
        <v>289</v>
      </c>
      <c r="I7" s="1" t="s">
        <v>292</v>
      </c>
    </row>
    <row r="8" spans="1:12">
      <c r="B8" s="1" t="s">
        <v>277</v>
      </c>
      <c r="C8" s="1" t="s">
        <v>286</v>
      </c>
      <c r="D8" s="1" t="s">
        <v>287</v>
      </c>
      <c r="E8" s="1">
        <v>292</v>
      </c>
      <c r="F8" s="1" t="s">
        <v>293</v>
      </c>
      <c r="G8" s="1" t="s">
        <v>289</v>
      </c>
      <c r="I8" s="1" t="s">
        <v>294</v>
      </c>
    </row>
    <row r="9" spans="1:12">
      <c r="B9" s="1" t="s">
        <v>277</v>
      </c>
      <c r="C9" s="1" t="s">
        <v>295</v>
      </c>
      <c r="D9" s="1" t="s">
        <v>287</v>
      </c>
      <c r="E9" s="1">
        <v>2080</v>
      </c>
      <c r="F9" s="1" t="s">
        <v>295</v>
      </c>
      <c r="G9" s="1" t="s">
        <v>296</v>
      </c>
      <c r="I9" s="1" t="s">
        <v>297</v>
      </c>
    </row>
    <row r="10" spans="1:12">
      <c r="B10" s="1" t="s">
        <v>277</v>
      </c>
      <c r="C10" s="1" t="s">
        <v>298</v>
      </c>
      <c r="D10" s="1" t="s">
        <v>287</v>
      </c>
      <c r="E10" s="1">
        <v>1.45</v>
      </c>
      <c r="F10" s="1" t="s">
        <v>299</v>
      </c>
      <c r="G10" s="1" t="s">
        <v>300</v>
      </c>
      <c r="H10" s="1" t="s">
        <v>301</v>
      </c>
      <c r="I10" s="1" t="s">
        <v>302</v>
      </c>
    </row>
    <row r="11" spans="1:12">
      <c r="B11" s="1" t="s">
        <v>277</v>
      </c>
      <c r="C11" s="1" t="s">
        <v>303</v>
      </c>
      <c r="D11" s="1" t="s">
        <v>287</v>
      </c>
      <c r="E11" s="1">
        <v>1.45</v>
      </c>
      <c r="F11" s="1" t="s">
        <v>304</v>
      </c>
      <c r="G11" s="1" t="s">
        <v>300</v>
      </c>
      <c r="H11" s="1" t="s">
        <v>301</v>
      </c>
      <c r="I11" s="1" t="s">
        <v>305</v>
      </c>
    </row>
    <row r="12" spans="1:12">
      <c r="B12" s="1" t="s">
        <v>277</v>
      </c>
      <c r="C12" s="1" t="s">
        <v>306</v>
      </c>
      <c r="D12" s="1" t="s">
        <v>287</v>
      </c>
      <c r="E12" s="13">
        <v>0.5</v>
      </c>
      <c r="F12" s="1" t="s">
        <v>307</v>
      </c>
      <c r="G12" s="1" t="s">
        <v>76</v>
      </c>
      <c r="H12" s="1" t="s">
        <v>308</v>
      </c>
    </row>
    <row r="13" spans="1:12">
      <c r="B13" s="1" t="s">
        <v>277</v>
      </c>
      <c r="C13" s="1" t="s">
        <v>309</v>
      </c>
      <c r="D13" s="1" t="s">
        <v>287</v>
      </c>
      <c r="E13" s="13">
        <v>0.7</v>
      </c>
      <c r="F13" s="1" t="s">
        <v>310</v>
      </c>
      <c r="G13" s="1" t="s">
        <v>76</v>
      </c>
      <c r="H13" s="1" t="s">
        <v>308</v>
      </c>
    </row>
    <row r="14" spans="1:12">
      <c r="B14" s="1" t="s">
        <v>277</v>
      </c>
      <c r="C14" s="1" t="s">
        <v>311</v>
      </c>
      <c r="D14" s="1" t="s">
        <v>287</v>
      </c>
      <c r="E14" s="13">
        <v>1</v>
      </c>
      <c r="F14" s="1" t="s">
        <v>312</v>
      </c>
      <c r="G14" s="1" t="s">
        <v>76</v>
      </c>
      <c r="H14" s="1" t="s">
        <v>308</v>
      </c>
    </row>
    <row r="15" spans="1:12">
      <c r="B15" s="1" t="s">
        <v>277</v>
      </c>
      <c r="C15" s="1" t="s">
        <v>313</v>
      </c>
      <c r="D15" s="1" t="s">
        <v>287</v>
      </c>
      <c r="E15" s="1">
        <v>1.9</v>
      </c>
      <c r="F15" s="1" t="s">
        <v>314</v>
      </c>
      <c r="G15" s="1" t="s">
        <v>300</v>
      </c>
      <c r="H15" s="1" t="s">
        <v>308</v>
      </c>
      <c r="I15" s="1" t="s">
        <v>315</v>
      </c>
    </row>
    <row r="16" spans="1:12">
      <c r="B16" s="1" t="s">
        <v>277</v>
      </c>
      <c r="C16" s="1" t="s">
        <v>316</v>
      </c>
      <c r="D16" s="1" t="s">
        <v>287</v>
      </c>
      <c r="E16" s="1">
        <v>2.5</v>
      </c>
      <c r="F16" s="1" t="s">
        <v>317</v>
      </c>
      <c r="G16" s="1" t="s">
        <v>300</v>
      </c>
      <c r="H16" s="1" t="s">
        <v>308</v>
      </c>
      <c r="I16" s="1" t="s">
        <v>318</v>
      </c>
    </row>
    <row r="17" spans="1:12">
      <c r="B17" s="1" t="s">
        <v>277</v>
      </c>
      <c r="C17" s="1" t="s">
        <v>319</v>
      </c>
      <c r="D17" s="1" t="s">
        <v>320</v>
      </c>
      <c r="E17" s="1">
        <v>37396</v>
      </c>
      <c r="F17" s="1" t="s">
        <v>321</v>
      </c>
      <c r="G17" s="1" t="s">
        <v>322</v>
      </c>
      <c r="H17" s="1" t="s">
        <v>323</v>
      </c>
      <c r="I17" s="1" t="s">
        <v>324</v>
      </c>
    </row>
    <row r="18" spans="1:12">
      <c r="B18" s="1" t="s">
        <v>277</v>
      </c>
      <c r="C18" s="1" t="s">
        <v>325</v>
      </c>
      <c r="D18" s="1" t="s">
        <v>326</v>
      </c>
      <c r="E18" s="25">
        <v>22100.393319999999</v>
      </c>
      <c r="F18" s="1" t="s">
        <v>327</v>
      </c>
      <c r="G18" s="1" t="s">
        <v>322</v>
      </c>
      <c r="H18" s="1" t="s">
        <v>328</v>
      </c>
    </row>
    <row r="19" spans="1:12">
      <c r="B19" s="1" t="s">
        <v>277</v>
      </c>
      <c r="C19" s="1" t="s">
        <v>329</v>
      </c>
      <c r="D19" s="1" t="s">
        <v>330</v>
      </c>
      <c r="E19" s="25">
        <v>15298.49595</v>
      </c>
      <c r="F19" s="1" t="s">
        <v>331</v>
      </c>
      <c r="G19" s="1" t="s">
        <v>322</v>
      </c>
      <c r="H19" s="1" t="s">
        <v>328</v>
      </c>
    </row>
    <row r="20" spans="1:12">
      <c r="B20" s="1" t="s">
        <v>277</v>
      </c>
      <c r="C20" s="1" t="s">
        <v>332</v>
      </c>
      <c r="D20" s="1" t="s">
        <v>287</v>
      </c>
      <c r="E20" s="13">
        <v>0.7</v>
      </c>
      <c r="F20" s="1" t="s">
        <v>333</v>
      </c>
      <c r="G20" s="1" t="s">
        <v>76</v>
      </c>
      <c r="H20" s="1" t="s">
        <v>334</v>
      </c>
      <c r="I20" s="1" t="s">
        <v>335</v>
      </c>
    </row>
    <row r="21" spans="1:12">
      <c r="B21" s="1" t="s">
        <v>277</v>
      </c>
      <c r="C21" s="1" t="s">
        <v>336</v>
      </c>
      <c r="D21" s="1" t="s">
        <v>287</v>
      </c>
      <c r="E21" s="14">
        <v>0.58499999999999996</v>
      </c>
      <c r="F21" s="1" t="s">
        <v>337</v>
      </c>
      <c r="G21" s="1" t="s">
        <v>76</v>
      </c>
      <c r="H21" s="1" t="s">
        <v>334</v>
      </c>
      <c r="I21" s="1" t="s">
        <v>338</v>
      </c>
    </row>
    <row r="22" spans="1:12">
      <c r="B22" s="1" t="s">
        <v>277</v>
      </c>
      <c r="C22" s="1" t="s">
        <v>339</v>
      </c>
      <c r="D22" s="1" t="s">
        <v>287</v>
      </c>
      <c r="E22" s="1">
        <v>1.1023099999999999</v>
      </c>
      <c r="F22" s="1" t="s">
        <v>340</v>
      </c>
      <c r="G22" s="1" t="s">
        <v>300</v>
      </c>
      <c r="H22" s="1" t="s">
        <v>341</v>
      </c>
      <c r="I22" s="1" t="s">
        <v>342</v>
      </c>
    </row>
    <row r="23" spans="1:12">
      <c r="B23" s="1" t="s">
        <v>277</v>
      </c>
      <c r="C23" s="1" t="s">
        <v>343</v>
      </c>
      <c r="D23" s="1" t="s">
        <v>287</v>
      </c>
      <c r="E23" s="16">
        <v>12.855342464826496</v>
      </c>
      <c r="F23" s="1" t="s">
        <v>343</v>
      </c>
      <c r="G23" s="1" t="s">
        <v>344</v>
      </c>
      <c r="H23" s="1" t="s">
        <v>345</v>
      </c>
      <c r="I23" s="1" t="s">
        <v>346</v>
      </c>
    </row>
    <row r="24" spans="1:12">
      <c r="B24" s="1" t="s">
        <v>277</v>
      </c>
      <c r="C24" s="1" t="s">
        <v>347</v>
      </c>
      <c r="D24" s="1" t="s">
        <v>287</v>
      </c>
      <c r="E24" s="16">
        <v>8</v>
      </c>
      <c r="F24" s="1" t="s">
        <v>347</v>
      </c>
      <c r="G24" s="1" t="s">
        <v>348</v>
      </c>
    </row>
    <row r="27" spans="1:12" ht="22.9" customHeight="1">
      <c r="A27" s="136" t="s">
        <v>349</v>
      </c>
      <c r="B27" s="136"/>
      <c r="C27" s="136"/>
      <c r="D27" s="136"/>
      <c r="E27" s="136"/>
      <c r="F27" s="136"/>
      <c r="G27" s="136"/>
      <c r="H27" s="136"/>
      <c r="I27" s="136"/>
      <c r="J27" s="136"/>
      <c r="K27" s="136"/>
      <c r="L27" s="136"/>
    </row>
    <row r="28" spans="1:12">
      <c r="A28" s="11" t="s">
        <v>278</v>
      </c>
      <c r="B28" s="11" t="s">
        <v>279</v>
      </c>
      <c r="C28" s="11" t="s">
        <v>280</v>
      </c>
      <c r="D28" s="11" t="s">
        <v>281</v>
      </c>
      <c r="E28" s="12" t="s">
        <v>141</v>
      </c>
      <c r="F28" s="11" t="s">
        <v>282</v>
      </c>
      <c r="G28" s="11" t="s">
        <v>283</v>
      </c>
      <c r="H28" s="11" t="s">
        <v>284</v>
      </c>
      <c r="I28" s="11" t="s">
        <v>285</v>
      </c>
    </row>
    <row r="29" spans="1:12">
      <c r="B29" s="1" t="s">
        <v>349</v>
      </c>
      <c r="C29" s="1" t="s">
        <v>350</v>
      </c>
      <c r="D29" s="1" t="s">
        <v>320</v>
      </c>
      <c r="E29" s="15">
        <v>85220</v>
      </c>
      <c r="F29" s="1" t="s">
        <v>351</v>
      </c>
      <c r="G29" s="1" t="s">
        <v>352</v>
      </c>
      <c r="H29" s="1" t="s">
        <v>334</v>
      </c>
    </row>
    <row r="30" spans="1:12">
      <c r="B30" s="1" t="s">
        <v>349</v>
      </c>
      <c r="C30" s="1" t="s">
        <v>353</v>
      </c>
      <c r="D30" s="1" t="s">
        <v>326</v>
      </c>
      <c r="E30" s="15">
        <v>84466.066666666666</v>
      </c>
      <c r="F30" s="1" t="s">
        <v>354</v>
      </c>
      <c r="G30" s="1" t="s">
        <v>352</v>
      </c>
      <c r="H30" s="1" t="s">
        <v>355</v>
      </c>
    </row>
    <row r="31" spans="1:12">
      <c r="B31" s="1" t="s">
        <v>349</v>
      </c>
      <c r="C31" s="1" t="s">
        <v>356</v>
      </c>
      <c r="D31" s="1" t="s">
        <v>330</v>
      </c>
      <c r="E31" s="15">
        <v>66013.095238095237</v>
      </c>
      <c r="F31" s="1" t="s">
        <v>357</v>
      </c>
      <c r="G31" s="1" t="s">
        <v>352</v>
      </c>
      <c r="H31" s="1" t="s">
        <v>355</v>
      </c>
    </row>
    <row r="32" spans="1:12">
      <c r="B32" s="1" t="s">
        <v>349</v>
      </c>
      <c r="C32" s="1" t="s">
        <v>358</v>
      </c>
      <c r="D32" s="1" t="s">
        <v>320</v>
      </c>
      <c r="E32" s="15">
        <v>25.67</v>
      </c>
      <c r="F32" s="1" t="s">
        <v>359</v>
      </c>
      <c r="G32" s="1" t="s">
        <v>352</v>
      </c>
      <c r="H32" s="1" t="s">
        <v>360</v>
      </c>
    </row>
    <row r="33" spans="2:9">
      <c r="B33" s="1" t="s">
        <v>349</v>
      </c>
      <c r="C33" s="1" t="s">
        <v>361</v>
      </c>
      <c r="D33" s="1" t="s">
        <v>326</v>
      </c>
      <c r="E33" s="15">
        <v>27.658508751059625</v>
      </c>
      <c r="F33" s="1" t="s">
        <v>362</v>
      </c>
      <c r="G33" s="1" t="s">
        <v>352</v>
      </c>
      <c r="H33" s="1" t="s">
        <v>360</v>
      </c>
    </row>
    <row r="34" spans="2:9">
      <c r="B34" s="1" t="s">
        <v>349</v>
      </c>
      <c r="C34" s="1" t="s">
        <v>363</v>
      </c>
      <c r="D34" s="1" t="s">
        <v>330</v>
      </c>
      <c r="E34" s="15">
        <v>22.967305695504443</v>
      </c>
      <c r="F34" s="1" t="s">
        <v>364</v>
      </c>
      <c r="G34" s="1" t="s">
        <v>352</v>
      </c>
      <c r="H34" s="1" t="s">
        <v>360</v>
      </c>
    </row>
    <row r="35" spans="2:9">
      <c r="B35" s="1" t="s">
        <v>349</v>
      </c>
      <c r="C35" s="1" t="s">
        <v>365</v>
      </c>
      <c r="D35" s="1" t="s">
        <v>287</v>
      </c>
      <c r="E35" s="15">
        <v>21.98</v>
      </c>
      <c r="F35" s="1" t="s">
        <v>366</v>
      </c>
      <c r="G35" s="1" t="s">
        <v>352</v>
      </c>
      <c r="H35" s="1" t="s">
        <v>360</v>
      </c>
    </row>
    <row r="36" spans="2:9">
      <c r="B36" s="1" t="s">
        <v>349</v>
      </c>
      <c r="C36" s="1" t="s">
        <v>367</v>
      </c>
      <c r="D36" s="1" t="s">
        <v>287</v>
      </c>
      <c r="E36" s="15">
        <v>29.41</v>
      </c>
      <c r="F36" s="1" t="s">
        <v>368</v>
      </c>
      <c r="G36" s="1" t="s">
        <v>352</v>
      </c>
      <c r="H36" s="1" t="s">
        <v>360</v>
      </c>
    </row>
    <row r="37" spans="2:9">
      <c r="B37" s="1" t="s">
        <v>349</v>
      </c>
      <c r="C37" s="1" t="s">
        <v>369</v>
      </c>
      <c r="D37" s="1" t="s">
        <v>287</v>
      </c>
      <c r="E37" s="15">
        <v>30.24</v>
      </c>
      <c r="F37" s="1" t="s">
        <v>370</v>
      </c>
      <c r="G37" s="1" t="s">
        <v>352</v>
      </c>
      <c r="H37" s="1" t="s">
        <v>360</v>
      </c>
    </row>
    <row r="38" spans="2:9">
      <c r="B38" s="1" t="s">
        <v>349</v>
      </c>
      <c r="C38" s="1" t="s">
        <v>371</v>
      </c>
      <c r="D38" s="1" t="s">
        <v>287</v>
      </c>
      <c r="E38" s="15">
        <v>40.78</v>
      </c>
      <c r="F38" s="1" t="s">
        <v>372</v>
      </c>
      <c r="G38" s="1" t="s">
        <v>352</v>
      </c>
      <c r="H38" s="1" t="s">
        <v>360</v>
      </c>
    </row>
    <row r="39" spans="2:9">
      <c r="B39" s="1" t="s">
        <v>349</v>
      </c>
      <c r="C39" s="1" t="s">
        <v>373</v>
      </c>
      <c r="D39" s="1" t="s">
        <v>287</v>
      </c>
      <c r="E39" s="15">
        <v>37.119999999999997</v>
      </c>
      <c r="F39" s="1" t="s">
        <v>374</v>
      </c>
      <c r="G39" s="1" t="s">
        <v>352</v>
      </c>
      <c r="H39" s="1" t="s">
        <v>360</v>
      </c>
    </row>
    <row r="40" spans="2:9">
      <c r="B40" s="1" t="s">
        <v>349</v>
      </c>
      <c r="C40" s="1" t="s">
        <v>375</v>
      </c>
      <c r="D40" s="1" t="s">
        <v>320</v>
      </c>
      <c r="E40" s="15">
        <v>18076</v>
      </c>
      <c r="F40" s="1" t="s">
        <v>376</v>
      </c>
      <c r="G40" s="1" t="s">
        <v>377</v>
      </c>
      <c r="H40" s="1" t="s">
        <v>378</v>
      </c>
    </row>
    <row r="41" spans="2:9">
      <c r="B41" s="1" t="s">
        <v>349</v>
      </c>
      <c r="C41" s="1" t="s">
        <v>379</v>
      </c>
      <c r="D41" s="1" t="s">
        <v>320</v>
      </c>
      <c r="E41" s="15">
        <v>50078</v>
      </c>
      <c r="F41" s="1" t="s">
        <v>380</v>
      </c>
      <c r="G41" s="1" t="s">
        <v>377</v>
      </c>
      <c r="H41" s="1" t="s">
        <v>378</v>
      </c>
    </row>
    <row r="42" spans="2:9">
      <c r="B42" s="1" t="s">
        <v>349</v>
      </c>
      <c r="C42" s="1" t="s">
        <v>381</v>
      </c>
      <c r="D42" s="1" t="s">
        <v>320</v>
      </c>
      <c r="E42" s="15">
        <v>83471</v>
      </c>
      <c r="F42" s="1" t="s">
        <v>382</v>
      </c>
      <c r="G42" s="1" t="s">
        <v>377</v>
      </c>
      <c r="H42" s="1" t="s">
        <v>378</v>
      </c>
    </row>
    <row r="43" spans="2:9">
      <c r="B43" s="1" t="s">
        <v>349</v>
      </c>
      <c r="C43" s="1" t="s">
        <v>383</v>
      </c>
      <c r="D43" s="1" t="s">
        <v>320</v>
      </c>
      <c r="E43" s="15">
        <v>128593</v>
      </c>
      <c r="F43" s="1" t="s">
        <v>384</v>
      </c>
      <c r="G43" s="1" t="s">
        <v>377</v>
      </c>
      <c r="H43" s="1" t="s">
        <v>378</v>
      </c>
    </row>
    <row r="44" spans="2:9">
      <c r="B44" s="1" t="s">
        <v>349</v>
      </c>
      <c r="C44" s="1" t="s">
        <v>385</v>
      </c>
      <c r="D44" s="1" t="s">
        <v>320</v>
      </c>
      <c r="E44" s="15">
        <v>277493</v>
      </c>
      <c r="F44" s="1" t="s">
        <v>386</v>
      </c>
      <c r="G44" s="1" t="s">
        <v>377</v>
      </c>
      <c r="H44" s="1" t="s">
        <v>378</v>
      </c>
    </row>
    <row r="45" spans="2:9">
      <c r="B45" s="1" t="s">
        <v>349</v>
      </c>
      <c r="C45" s="1" t="s">
        <v>387</v>
      </c>
      <c r="D45" s="1" t="s">
        <v>326</v>
      </c>
      <c r="E45" s="15">
        <v>19893.732413959333</v>
      </c>
      <c r="F45" s="1" t="s">
        <v>388</v>
      </c>
      <c r="G45" s="1" t="s">
        <v>377</v>
      </c>
      <c r="H45" s="1" t="s">
        <v>378</v>
      </c>
      <c r="I45" s="1" t="s">
        <v>389</v>
      </c>
    </row>
    <row r="46" spans="2:9">
      <c r="B46" s="1" t="s">
        <v>349</v>
      </c>
      <c r="C46" s="1" t="s">
        <v>390</v>
      </c>
      <c r="D46" s="1" t="s">
        <v>326</v>
      </c>
      <c r="E46" s="15">
        <v>54018.18399393971</v>
      </c>
      <c r="F46" s="1" t="s">
        <v>391</v>
      </c>
      <c r="G46" s="1" t="s">
        <v>377</v>
      </c>
      <c r="H46" s="1" t="s">
        <v>378</v>
      </c>
      <c r="I46" s="1" t="s">
        <v>389</v>
      </c>
    </row>
    <row r="47" spans="2:9">
      <c r="B47" s="1" t="s">
        <v>349</v>
      </c>
      <c r="C47" s="1" t="s">
        <v>392</v>
      </c>
      <c r="D47" s="1" t="s">
        <v>326</v>
      </c>
      <c r="E47" s="15">
        <v>88576.547075736453</v>
      </c>
      <c r="F47" s="1" t="s">
        <v>393</v>
      </c>
      <c r="G47" s="1" t="s">
        <v>377</v>
      </c>
      <c r="H47" s="1" t="s">
        <v>378</v>
      </c>
      <c r="I47" s="1" t="s">
        <v>389</v>
      </c>
    </row>
    <row r="48" spans="2:9">
      <c r="B48" s="1" t="s">
        <v>349</v>
      </c>
      <c r="C48" s="1" t="s">
        <v>394</v>
      </c>
      <c r="D48" s="1" t="s">
        <v>326</v>
      </c>
      <c r="E48" s="15">
        <v>135194.46567842571</v>
      </c>
      <c r="F48" s="1" t="s">
        <v>395</v>
      </c>
      <c r="G48" s="1" t="s">
        <v>377</v>
      </c>
      <c r="H48" s="1" t="s">
        <v>378</v>
      </c>
      <c r="I48" s="1" t="s">
        <v>389</v>
      </c>
    </row>
    <row r="49" spans="1:12">
      <c r="B49" s="1" t="s">
        <v>349</v>
      </c>
      <c r="C49" s="1" t="s">
        <v>396</v>
      </c>
      <c r="D49" s="1" t="s">
        <v>326</v>
      </c>
      <c r="E49" s="15">
        <v>284031.68642459926</v>
      </c>
      <c r="F49" s="1" t="s">
        <v>397</v>
      </c>
      <c r="G49" s="1" t="s">
        <v>377</v>
      </c>
      <c r="H49" s="1" t="s">
        <v>378</v>
      </c>
      <c r="I49" s="1" t="s">
        <v>389</v>
      </c>
    </row>
    <row r="50" spans="1:12">
      <c r="B50" s="1" t="s">
        <v>349</v>
      </c>
      <c r="C50" s="1" t="s">
        <v>398</v>
      </c>
      <c r="D50" s="1" t="s">
        <v>330</v>
      </c>
      <c r="E50" s="15">
        <v>14489.541215031519</v>
      </c>
      <c r="F50" s="1" t="s">
        <v>399</v>
      </c>
      <c r="G50" s="1" t="s">
        <v>377</v>
      </c>
      <c r="H50" s="1" t="s">
        <v>378</v>
      </c>
      <c r="I50" s="1" t="s">
        <v>389</v>
      </c>
    </row>
    <row r="51" spans="1:12">
      <c r="B51" s="1" t="s">
        <v>349</v>
      </c>
      <c r="C51" s="1" t="s">
        <v>400</v>
      </c>
      <c r="D51" s="1" t="s">
        <v>330</v>
      </c>
      <c r="E51" s="15">
        <v>38796.360908889532</v>
      </c>
      <c r="F51" s="1" t="s">
        <v>401</v>
      </c>
      <c r="G51" s="1" t="s">
        <v>377</v>
      </c>
      <c r="H51" s="1" t="s">
        <v>378</v>
      </c>
      <c r="I51" s="1" t="s">
        <v>389</v>
      </c>
    </row>
    <row r="52" spans="1:12">
      <c r="B52" s="1" t="s">
        <v>349</v>
      </c>
      <c r="C52" s="1" t="s">
        <v>402</v>
      </c>
      <c r="D52" s="1" t="s">
        <v>330</v>
      </c>
      <c r="E52" s="15">
        <v>64605.277198541749</v>
      </c>
      <c r="F52" s="1" t="s">
        <v>403</v>
      </c>
      <c r="G52" s="1" t="s">
        <v>377</v>
      </c>
      <c r="H52" s="1" t="s">
        <v>378</v>
      </c>
      <c r="I52" s="1" t="s">
        <v>389</v>
      </c>
    </row>
    <row r="53" spans="1:12">
      <c r="B53" s="1" t="s">
        <v>349</v>
      </c>
      <c r="C53" s="1" t="s">
        <v>404</v>
      </c>
      <c r="D53" s="1" t="s">
        <v>330</v>
      </c>
      <c r="E53" s="15">
        <v>99678.794013073173</v>
      </c>
      <c r="F53" s="1" t="s">
        <v>405</v>
      </c>
      <c r="G53" s="1" t="s">
        <v>377</v>
      </c>
      <c r="H53" s="1" t="s">
        <v>378</v>
      </c>
      <c r="I53" s="1" t="s">
        <v>389</v>
      </c>
    </row>
    <row r="54" spans="1:12">
      <c r="B54" s="1" t="s">
        <v>349</v>
      </c>
      <c r="C54" s="1" t="s">
        <v>406</v>
      </c>
      <c r="D54" s="1" t="s">
        <v>330</v>
      </c>
      <c r="E54" s="15">
        <v>209274.31803624594</v>
      </c>
      <c r="F54" s="1" t="s">
        <v>407</v>
      </c>
      <c r="G54" s="1" t="s">
        <v>377</v>
      </c>
      <c r="H54" s="1" t="s">
        <v>378</v>
      </c>
      <c r="I54" s="1" t="s">
        <v>389</v>
      </c>
    </row>
    <row r="57" spans="1:12" ht="22.9" customHeight="1">
      <c r="A57" s="136" t="s">
        <v>408</v>
      </c>
      <c r="B57" s="136"/>
      <c r="C57" s="136"/>
      <c r="D57" s="136"/>
      <c r="E57" s="136"/>
      <c r="F57" s="136"/>
      <c r="G57" s="136"/>
      <c r="H57" s="136"/>
      <c r="I57" s="136"/>
      <c r="J57" s="136"/>
      <c r="K57" s="136"/>
      <c r="L57" s="136"/>
    </row>
    <row r="58" spans="1:12">
      <c r="A58" s="11" t="s">
        <v>278</v>
      </c>
      <c r="B58" s="11" t="s">
        <v>279</v>
      </c>
      <c r="C58" s="11" t="s">
        <v>280</v>
      </c>
      <c r="D58" s="11" t="s">
        <v>281</v>
      </c>
      <c r="E58" s="12" t="s">
        <v>141</v>
      </c>
      <c r="F58" s="11" t="s">
        <v>282</v>
      </c>
      <c r="G58" s="11" t="s">
        <v>283</v>
      </c>
      <c r="H58" s="11" t="s">
        <v>284</v>
      </c>
      <c r="I58" s="11" t="s">
        <v>285</v>
      </c>
    </row>
    <row r="59" spans="1:12">
      <c r="B59" s="1" t="s">
        <v>408</v>
      </c>
      <c r="C59" s="1" t="s">
        <v>409</v>
      </c>
      <c r="D59" s="1" t="s">
        <v>287</v>
      </c>
      <c r="E59" s="14">
        <v>0.95</v>
      </c>
      <c r="F59" s="1" t="s">
        <v>410</v>
      </c>
      <c r="G59" s="1" t="s">
        <v>76</v>
      </c>
      <c r="H59" s="1" t="s">
        <v>411</v>
      </c>
    </row>
    <row r="60" spans="1:12">
      <c r="B60" s="1" t="s">
        <v>408</v>
      </c>
      <c r="C60" s="1" t="s">
        <v>412</v>
      </c>
      <c r="D60" s="1" t="s">
        <v>287</v>
      </c>
      <c r="E60" s="14">
        <v>0.05</v>
      </c>
      <c r="F60" s="1" t="s">
        <v>413</v>
      </c>
      <c r="G60" s="1" t="s">
        <v>76</v>
      </c>
      <c r="H60" s="1" t="s">
        <v>411</v>
      </c>
    </row>
    <row r="61" spans="1:12">
      <c r="B61" s="1" t="s">
        <v>408</v>
      </c>
      <c r="C61" s="1" t="s">
        <v>414</v>
      </c>
      <c r="D61" s="1" t="s">
        <v>287</v>
      </c>
      <c r="E61" s="14">
        <v>0.90500000000000003</v>
      </c>
      <c r="F61" s="1" t="s">
        <v>415</v>
      </c>
      <c r="G61" s="1" t="s">
        <v>76</v>
      </c>
      <c r="H61" s="1" t="s">
        <v>411</v>
      </c>
    </row>
    <row r="62" spans="1:12">
      <c r="B62" s="1" t="s">
        <v>408</v>
      </c>
      <c r="C62" s="1" t="s">
        <v>416</v>
      </c>
      <c r="D62" s="1" t="s">
        <v>287</v>
      </c>
      <c r="E62" s="14">
        <v>9.5000000000000001E-2</v>
      </c>
      <c r="F62" s="1" t="s">
        <v>417</v>
      </c>
      <c r="G62" s="1" t="s">
        <v>76</v>
      </c>
      <c r="H62" s="1" t="s">
        <v>411</v>
      </c>
    </row>
    <row r="63" spans="1:12">
      <c r="B63" s="1" t="s">
        <v>408</v>
      </c>
      <c r="C63" s="1" t="s">
        <v>418</v>
      </c>
      <c r="D63" s="1" t="s">
        <v>287</v>
      </c>
      <c r="E63" s="14">
        <v>0.86699999999999999</v>
      </c>
      <c r="F63" s="1" t="s">
        <v>419</v>
      </c>
      <c r="G63" s="1" t="s">
        <v>76</v>
      </c>
      <c r="H63" s="1" t="s">
        <v>411</v>
      </c>
    </row>
    <row r="64" spans="1:12">
      <c r="B64" s="1" t="s">
        <v>408</v>
      </c>
      <c r="C64" s="1" t="s">
        <v>420</v>
      </c>
      <c r="D64" s="1" t="s">
        <v>287</v>
      </c>
      <c r="E64" s="14">
        <v>7.6999999999999999E-2</v>
      </c>
      <c r="F64" s="1" t="s">
        <v>421</v>
      </c>
      <c r="G64" s="1" t="s">
        <v>76</v>
      </c>
      <c r="H64" s="1" t="s">
        <v>411</v>
      </c>
    </row>
    <row r="65" spans="2:8">
      <c r="B65" s="1" t="s">
        <v>408</v>
      </c>
      <c r="C65" s="1" t="s">
        <v>422</v>
      </c>
      <c r="D65" s="1" t="s">
        <v>287</v>
      </c>
      <c r="E65" s="14">
        <v>1.7000000000000001E-2</v>
      </c>
      <c r="F65" s="1" t="s">
        <v>423</v>
      </c>
      <c r="G65" s="1" t="s">
        <v>76</v>
      </c>
      <c r="H65" s="1" t="s">
        <v>411</v>
      </c>
    </row>
    <row r="66" spans="2:8">
      <c r="B66" s="1" t="s">
        <v>408</v>
      </c>
      <c r="C66" s="1" t="s">
        <v>424</v>
      </c>
      <c r="D66" s="1" t="s">
        <v>287</v>
      </c>
      <c r="E66" s="14">
        <v>1E-3</v>
      </c>
      <c r="F66" s="1" t="s">
        <v>425</v>
      </c>
      <c r="G66" s="1" t="s">
        <v>76</v>
      </c>
      <c r="H66" s="1" t="s">
        <v>411</v>
      </c>
    </row>
    <row r="67" spans="2:8">
      <c r="B67" s="1" t="s">
        <v>408</v>
      </c>
      <c r="C67" s="1" t="s">
        <v>426</v>
      </c>
      <c r="D67" s="1" t="s">
        <v>287</v>
      </c>
      <c r="E67" s="14">
        <v>0.89500000000000002</v>
      </c>
      <c r="F67" s="1" t="s">
        <v>427</v>
      </c>
      <c r="G67" s="1" t="s">
        <v>76</v>
      </c>
      <c r="H67" s="1" t="s">
        <v>411</v>
      </c>
    </row>
    <row r="68" spans="2:8">
      <c r="B68" s="1" t="s">
        <v>408</v>
      </c>
      <c r="C68" s="1" t="s">
        <v>428</v>
      </c>
      <c r="D68" s="1" t="s">
        <v>287</v>
      </c>
      <c r="E68" s="14">
        <v>4.5999999999999999E-2</v>
      </c>
      <c r="F68" s="1" t="s">
        <v>429</v>
      </c>
      <c r="G68" s="1" t="s">
        <v>76</v>
      </c>
      <c r="H68" s="1" t="s">
        <v>411</v>
      </c>
    </row>
    <row r="69" spans="2:8">
      <c r="B69" s="1" t="s">
        <v>408</v>
      </c>
      <c r="C69" s="1" t="s">
        <v>430</v>
      </c>
      <c r="D69" s="1" t="s">
        <v>287</v>
      </c>
      <c r="E69" s="14">
        <v>7.0000000000000001E-3</v>
      </c>
      <c r="F69" s="1" t="s">
        <v>431</v>
      </c>
      <c r="G69" s="1" t="s">
        <v>76</v>
      </c>
      <c r="H69" s="1" t="s">
        <v>411</v>
      </c>
    </row>
    <row r="70" spans="2:8">
      <c r="B70" s="1" t="s">
        <v>408</v>
      </c>
      <c r="C70" s="1" t="s">
        <v>432</v>
      </c>
      <c r="D70" s="1" t="s">
        <v>287</v>
      </c>
      <c r="E70" s="14">
        <v>5.0000000000000001E-4</v>
      </c>
      <c r="F70" s="1" t="s">
        <v>433</v>
      </c>
      <c r="G70" s="1" t="s">
        <v>76</v>
      </c>
      <c r="H70" s="1" t="s">
        <v>411</v>
      </c>
    </row>
    <row r="71" spans="2:8">
      <c r="B71" s="1" t="s">
        <v>408</v>
      </c>
      <c r="C71" s="1" t="s">
        <v>434</v>
      </c>
      <c r="D71" s="1" t="s">
        <v>287</v>
      </c>
      <c r="E71" s="14">
        <v>0.85</v>
      </c>
      <c r="F71" s="1" t="s">
        <v>435</v>
      </c>
      <c r="G71" s="1" t="s">
        <v>76</v>
      </c>
      <c r="H71" s="1" t="s">
        <v>411</v>
      </c>
    </row>
    <row r="72" spans="2:8">
      <c r="B72" s="1" t="s">
        <v>408</v>
      </c>
      <c r="C72" s="1" t="s">
        <v>436</v>
      </c>
      <c r="D72" s="1" t="s">
        <v>287</v>
      </c>
      <c r="E72" s="14">
        <v>9.4E-2</v>
      </c>
      <c r="F72" s="1" t="s">
        <v>437</v>
      </c>
      <c r="G72" s="1" t="s">
        <v>76</v>
      </c>
      <c r="H72" s="1" t="s">
        <v>411</v>
      </c>
    </row>
    <row r="73" spans="2:8">
      <c r="B73" s="1" t="s">
        <v>408</v>
      </c>
      <c r="C73" s="1" t="s">
        <v>438</v>
      </c>
      <c r="D73" s="1" t="s">
        <v>287</v>
      </c>
      <c r="E73" s="14">
        <v>1.6E-2</v>
      </c>
      <c r="F73" s="1" t="s">
        <v>439</v>
      </c>
      <c r="G73" s="1" t="s">
        <v>76</v>
      </c>
      <c r="H73" s="1" t="s">
        <v>411</v>
      </c>
    </row>
    <row r="74" spans="2:8">
      <c r="B74" s="1" t="s">
        <v>408</v>
      </c>
      <c r="C74" s="1" t="s">
        <v>440</v>
      </c>
      <c r="D74" s="1" t="s">
        <v>287</v>
      </c>
      <c r="E74" s="14">
        <v>1E-3</v>
      </c>
      <c r="F74" s="1" t="s">
        <v>441</v>
      </c>
      <c r="G74" s="1" t="s">
        <v>76</v>
      </c>
      <c r="H74" s="1" t="s">
        <v>411</v>
      </c>
    </row>
    <row r="75" spans="2:8">
      <c r="B75" s="1" t="s">
        <v>408</v>
      </c>
      <c r="C75" s="1" t="s">
        <v>442</v>
      </c>
      <c r="D75" s="1" t="s">
        <v>287</v>
      </c>
      <c r="E75" s="16">
        <v>7.6573128055574182</v>
      </c>
      <c r="F75" s="1" t="s">
        <v>443</v>
      </c>
      <c r="G75" s="1" t="s">
        <v>444</v>
      </c>
      <c r="H75" s="1" t="s">
        <v>411</v>
      </c>
    </row>
    <row r="76" spans="2:8">
      <c r="B76" s="1" t="s">
        <v>408</v>
      </c>
      <c r="C76" s="1" t="s">
        <v>445</v>
      </c>
      <c r="D76" s="1" t="s">
        <v>287</v>
      </c>
      <c r="E76" s="16">
        <v>0.69900353723742836</v>
      </c>
      <c r="F76" s="1" t="s">
        <v>446</v>
      </c>
      <c r="G76" s="1" t="s">
        <v>444</v>
      </c>
      <c r="H76" s="1" t="s">
        <v>411</v>
      </c>
    </row>
    <row r="77" spans="2:8">
      <c r="B77" s="1" t="s">
        <v>408</v>
      </c>
      <c r="C77" s="1" t="s">
        <v>447</v>
      </c>
      <c r="D77" s="1" t="s">
        <v>287</v>
      </c>
      <c r="E77" s="16">
        <v>2.5293017881025901</v>
      </c>
      <c r="F77" s="1" t="s">
        <v>448</v>
      </c>
      <c r="G77" s="1" t="s">
        <v>444</v>
      </c>
      <c r="H77" s="1" t="s">
        <v>411</v>
      </c>
    </row>
    <row r="78" spans="2:8">
      <c r="B78" s="1" t="s">
        <v>408</v>
      </c>
      <c r="C78" s="1" t="s">
        <v>449</v>
      </c>
      <c r="D78" s="1" t="s">
        <v>287</v>
      </c>
      <c r="E78" s="16">
        <v>20.644070635499894</v>
      </c>
      <c r="F78" s="1" t="s">
        <v>450</v>
      </c>
      <c r="G78" s="1" t="s">
        <v>451</v>
      </c>
      <c r="H78" s="1" t="s">
        <v>411</v>
      </c>
    </row>
    <row r="79" spans="2:8">
      <c r="B79" s="1" t="s">
        <v>408</v>
      </c>
      <c r="C79" s="1" t="s">
        <v>452</v>
      </c>
      <c r="D79" s="1" t="s">
        <v>287</v>
      </c>
      <c r="E79" s="16">
        <v>20.708101592107045</v>
      </c>
      <c r="F79" s="1" t="s">
        <v>453</v>
      </c>
      <c r="G79" s="1" t="s">
        <v>451</v>
      </c>
      <c r="H79" s="1" t="s">
        <v>411</v>
      </c>
    </row>
    <row r="80" spans="2:8">
      <c r="B80" s="1" t="s">
        <v>408</v>
      </c>
      <c r="C80" s="1" t="s">
        <v>454</v>
      </c>
      <c r="D80" s="1" t="s">
        <v>287</v>
      </c>
      <c r="E80" s="16">
        <v>23.083785075183787</v>
      </c>
      <c r="F80" s="1" t="s">
        <v>455</v>
      </c>
      <c r="G80" s="1" t="s">
        <v>451</v>
      </c>
      <c r="H80" s="1" t="s">
        <v>411</v>
      </c>
    </row>
    <row r="81" spans="1:12">
      <c r="B81" s="1" t="s">
        <v>408</v>
      </c>
      <c r="C81" s="1" t="s">
        <v>456</v>
      </c>
      <c r="D81" s="1" t="s">
        <v>287</v>
      </c>
      <c r="E81" s="14">
        <v>3.775294942857825E-2</v>
      </c>
      <c r="F81" s="1" t="s">
        <v>457</v>
      </c>
      <c r="G81" s="1" t="s">
        <v>76</v>
      </c>
      <c r="H81" s="1" t="s">
        <v>411</v>
      </c>
    </row>
    <row r="82" spans="1:12">
      <c r="B82" s="1" t="s">
        <v>408</v>
      </c>
      <c r="C82" s="1" t="s">
        <v>458</v>
      </c>
      <c r="D82" s="1" t="s">
        <v>287</v>
      </c>
      <c r="E82" s="14">
        <v>0.13263153967861324</v>
      </c>
      <c r="F82" s="1" t="s">
        <v>459</v>
      </c>
      <c r="G82" s="1" t="s">
        <v>76</v>
      </c>
      <c r="H82" s="1" t="s">
        <v>411</v>
      </c>
    </row>
    <row r="83" spans="1:12">
      <c r="B83" s="1" t="s">
        <v>408</v>
      </c>
      <c r="C83" s="1" t="s">
        <v>460</v>
      </c>
      <c r="D83" s="1" t="s">
        <v>287</v>
      </c>
      <c r="E83" s="10">
        <v>382.48201140838955</v>
      </c>
      <c r="F83" s="1" t="s">
        <v>461</v>
      </c>
      <c r="G83" s="1" t="s">
        <v>462</v>
      </c>
      <c r="H83" s="1" t="s">
        <v>411</v>
      </c>
    </row>
    <row r="84" spans="1:12">
      <c r="B84" s="1" t="s">
        <v>408</v>
      </c>
      <c r="C84" s="1" t="s">
        <v>463</v>
      </c>
      <c r="D84" s="1" t="s">
        <v>287</v>
      </c>
      <c r="E84" s="10">
        <v>400.86837195135001</v>
      </c>
      <c r="F84" s="1" t="s">
        <v>464</v>
      </c>
      <c r="G84" s="1" t="s">
        <v>462</v>
      </c>
      <c r="H84" s="1" t="s">
        <v>411</v>
      </c>
    </row>
    <row r="87" spans="1:12" ht="22.9" customHeight="1">
      <c r="A87" s="136" t="s">
        <v>465</v>
      </c>
      <c r="B87" s="136"/>
      <c r="C87" s="136"/>
      <c r="D87" s="136"/>
      <c r="E87" s="136"/>
      <c r="F87" s="136"/>
      <c r="G87" s="136"/>
      <c r="H87" s="136"/>
      <c r="I87" s="136"/>
      <c r="J87" s="136"/>
      <c r="K87" s="136"/>
      <c r="L87" s="136"/>
    </row>
    <row r="88" spans="1:12">
      <c r="A88" s="11" t="s">
        <v>278</v>
      </c>
      <c r="B88" s="11" t="s">
        <v>279</v>
      </c>
      <c r="C88" s="11" t="s">
        <v>280</v>
      </c>
      <c r="D88" s="11" t="s">
        <v>281</v>
      </c>
      <c r="E88" s="12" t="s">
        <v>141</v>
      </c>
      <c r="F88" s="11" t="s">
        <v>282</v>
      </c>
      <c r="G88" s="11" t="s">
        <v>283</v>
      </c>
      <c r="H88" s="11" t="s">
        <v>284</v>
      </c>
      <c r="I88" s="11" t="s">
        <v>285</v>
      </c>
    </row>
    <row r="89" spans="1:12">
      <c r="B89" s="1" t="s">
        <v>465</v>
      </c>
      <c r="C89" s="1" t="s">
        <v>466</v>
      </c>
      <c r="D89" s="1" t="s">
        <v>320</v>
      </c>
      <c r="E89" s="1">
        <v>1.4</v>
      </c>
      <c r="F89" s="1" t="s">
        <v>467</v>
      </c>
      <c r="G89" s="1" t="s">
        <v>468</v>
      </c>
      <c r="H89" s="1" t="s">
        <v>411</v>
      </c>
    </row>
    <row r="90" spans="1:12">
      <c r="B90" s="1" t="s">
        <v>465</v>
      </c>
      <c r="C90" s="1" t="s">
        <v>469</v>
      </c>
      <c r="D90" s="1" t="s">
        <v>326</v>
      </c>
      <c r="E90" s="1">
        <v>1.391</v>
      </c>
      <c r="F90" s="1" t="s">
        <v>470</v>
      </c>
      <c r="G90" s="1" t="s">
        <v>468</v>
      </c>
      <c r="H90" s="1" t="s">
        <v>411</v>
      </c>
    </row>
    <row r="91" spans="1:12">
      <c r="B91" s="1" t="s">
        <v>465</v>
      </c>
      <c r="C91" s="1" t="s">
        <v>471</v>
      </c>
      <c r="D91" s="1" t="s">
        <v>330</v>
      </c>
      <c r="E91" s="1">
        <v>1.397</v>
      </c>
      <c r="F91" s="1" t="s">
        <v>472</v>
      </c>
      <c r="G91" s="1" t="s">
        <v>468</v>
      </c>
      <c r="H91" s="1" t="s">
        <v>411</v>
      </c>
    </row>
    <row r="92" spans="1:12">
      <c r="B92" s="1" t="s">
        <v>465</v>
      </c>
      <c r="C92" s="1" t="s">
        <v>473</v>
      </c>
      <c r="D92" s="1" t="s">
        <v>320</v>
      </c>
      <c r="E92" s="1">
        <v>1.427</v>
      </c>
      <c r="F92" s="1" t="s">
        <v>474</v>
      </c>
      <c r="G92" s="1" t="s">
        <v>468</v>
      </c>
      <c r="H92" s="1" t="s">
        <v>411</v>
      </c>
    </row>
    <row r="93" spans="1:12">
      <c r="B93" s="1" t="s">
        <v>465</v>
      </c>
      <c r="C93" s="1" t="s">
        <v>475</v>
      </c>
      <c r="D93" s="1" t="s">
        <v>320</v>
      </c>
      <c r="E93" s="1">
        <v>1.383</v>
      </c>
      <c r="F93" s="1" t="s">
        <v>476</v>
      </c>
      <c r="G93" s="1" t="s">
        <v>468</v>
      </c>
      <c r="H93" s="1" t="s">
        <v>411</v>
      </c>
    </row>
    <row r="94" spans="1:12">
      <c r="B94" s="1" t="s">
        <v>465</v>
      </c>
      <c r="C94" s="1" t="s">
        <v>477</v>
      </c>
      <c r="D94" s="1" t="s">
        <v>326</v>
      </c>
      <c r="E94" s="1">
        <v>1.42</v>
      </c>
      <c r="F94" s="1" t="s">
        <v>478</v>
      </c>
      <c r="G94" s="1" t="s">
        <v>468</v>
      </c>
      <c r="H94" s="1" t="s">
        <v>411</v>
      </c>
    </row>
    <row r="95" spans="1:12">
      <c r="B95" s="1" t="s">
        <v>465</v>
      </c>
      <c r="C95" s="1" t="s">
        <v>479</v>
      </c>
      <c r="D95" s="1" t="s">
        <v>330</v>
      </c>
      <c r="E95" s="1">
        <v>1.43</v>
      </c>
      <c r="F95" s="1" t="s">
        <v>480</v>
      </c>
      <c r="G95" s="1" t="s">
        <v>468</v>
      </c>
      <c r="H95" s="1" t="s">
        <v>411</v>
      </c>
    </row>
    <row r="96" spans="1:12">
      <c r="B96" s="1" t="s">
        <v>465</v>
      </c>
      <c r="C96" s="1" t="s">
        <v>481</v>
      </c>
      <c r="D96" s="1" t="s">
        <v>326</v>
      </c>
      <c r="E96" s="1">
        <v>1.37</v>
      </c>
      <c r="F96" s="1" t="s">
        <v>482</v>
      </c>
      <c r="G96" s="1" t="s">
        <v>468</v>
      </c>
      <c r="H96" s="1" t="s">
        <v>411</v>
      </c>
    </row>
    <row r="97" spans="1:12">
      <c r="B97" s="1" t="s">
        <v>465</v>
      </c>
      <c r="C97" s="1" t="s">
        <v>483</v>
      </c>
      <c r="D97" s="1" t="s">
        <v>330</v>
      </c>
      <c r="E97" s="1">
        <v>1.38</v>
      </c>
      <c r="F97" s="1" t="s">
        <v>484</v>
      </c>
      <c r="G97" s="1" t="s">
        <v>468</v>
      </c>
      <c r="H97" s="1" t="s">
        <v>411</v>
      </c>
    </row>
    <row r="98" spans="1:12">
      <c r="B98" s="1" t="s">
        <v>465</v>
      </c>
      <c r="C98" s="1" t="s">
        <v>485</v>
      </c>
      <c r="D98" s="1" t="s">
        <v>287</v>
      </c>
      <c r="E98" s="1">
        <v>1.81</v>
      </c>
      <c r="F98" s="1" t="s">
        <v>486</v>
      </c>
      <c r="G98" s="1" t="s">
        <v>468</v>
      </c>
      <c r="H98" s="1" t="s">
        <v>308</v>
      </c>
    </row>
    <row r="99" spans="1:12">
      <c r="E99" s="10"/>
    </row>
    <row r="101" spans="1:12" ht="22.9" customHeight="1">
      <c r="A101" s="136" t="s">
        <v>487</v>
      </c>
      <c r="B101" s="136"/>
      <c r="C101" s="136"/>
      <c r="D101" s="136"/>
      <c r="E101" s="136"/>
      <c r="F101" s="136"/>
      <c r="G101" s="136"/>
      <c r="H101" s="136"/>
      <c r="I101" s="136"/>
      <c r="J101" s="136"/>
      <c r="K101" s="136"/>
      <c r="L101" s="136"/>
    </row>
    <row r="102" spans="1:12">
      <c r="A102" s="11" t="s">
        <v>278</v>
      </c>
      <c r="B102" s="11" t="s">
        <v>279</v>
      </c>
      <c r="C102" s="11" t="s">
        <v>280</v>
      </c>
      <c r="D102" s="11" t="s">
        <v>281</v>
      </c>
      <c r="E102" s="12" t="s">
        <v>141</v>
      </c>
      <c r="F102" s="11" t="s">
        <v>282</v>
      </c>
      <c r="G102" s="11" t="s">
        <v>283</v>
      </c>
      <c r="H102" s="11" t="s">
        <v>284</v>
      </c>
      <c r="I102" s="11" t="s">
        <v>285</v>
      </c>
    </row>
    <row r="103" spans="1:12">
      <c r="B103" s="1" t="s">
        <v>487</v>
      </c>
      <c r="C103" s="1" t="s">
        <v>488</v>
      </c>
      <c r="D103" s="1" t="s">
        <v>320</v>
      </c>
      <c r="E103" s="14">
        <v>0.88380730572227695</v>
      </c>
      <c r="F103" s="1" t="s">
        <v>489</v>
      </c>
      <c r="G103" s="1" t="s">
        <v>76</v>
      </c>
      <c r="H103" s="1" t="s">
        <v>490</v>
      </c>
      <c r="I103" s="1" t="s">
        <v>491</v>
      </c>
    </row>
    <row r="104" spans="1:12">
      <c r="B104" s="1" t="s">
        <v>487</v>
      </c>
      <c r="C104" s="1" t="s">
        <v>492</v>
      </c>
      <c r="D104" s="1" t="s">
        <v>320</v>
      </c>
      <c r="E104" s="14">
        <v>8.7362434841890116E-2</v>
      </c>
      <c r="F104" s="1" t="s">
        <v>493</v>
      </c>
      <c r="G104" s="1" t="s">
        <v>76</v>
      </c>
      <c r="H104" s="1" t="s">
        <v>490</v>
      </c>
      <c r="I104" s="1" t="s">
        <v>491</v>
      </c>
    </row>
    <row r="105" spans="1:12">
      <c r="B105" s="1" t="s">
        <v>487</v>
      </c>
      <c r="C105" s="1" t="s">
        <v>494</v>
      </c>
      <c r="D105" s="1" t="s">
        <v>320</v>
      </c>
      <c r="E105" s="14">
        <v>2.8830259435832933E-2</v>
      </c>
      <c r="F105" s="1" t="s">
        <v>495</v>
      </c>
      <c r="G105" s="1" t="s">
        <v>76</v>
      </c>
      <c r="H105" s="1" t="s">
        <v>490</v>
      </c>
      <c r="I105" s="1" t="s">
        <v>491</v>
      </c>
    </row>
    <row r="106" spans="1:12">
      <c r="B106" s="1" t="s">
        <v>487</v>
      </c>
      <c r="C106" s="1" t="s">
        <v>496</v>
      </c>
      <c r="D106" s="1" t="s">
        <v>326</v>
      </c>
      <c r="E106" s="14">
        <v>0.89814547404421707</v>
      </c>
      <c r="F106" s="1" t="s">
        <v>497</v>
      </c>
      <c r="G106" s="1" t="s">
        <v>76</v>
      </c>
      <c r="H106" s="1" t="s">
        <v>490</v>
      </c>
      <c r="I106" s="1" t="s">
        <v>491</v>
      </c>
    </row>
    <row r="107" spans="1:12">
      <c r="B107" s="1" t="s">
        <v>487</v>
      </c>
      <c r="C107" s="1" t="s">
        <v>498</v>
      </c>
      <c r="D107" s="1" t="s">
        <v>326</v>
      </c>
      <c r="E107" s="14">
        <v>6.1913644580428445E-2</v>
      </c>
      <c r="F107" s="1" t="s">
        <v>499</v>
      </c>
      <c r="G107" s="1" t="s">
        <v>76</v>
      </c>
      <c r="H107" s="1" t="s">
        <v>490</v>
      </c>
      <c r="I107" s="1" t="s">
        <v>491</v>
      </c>
    </row>
    <row r="108" spans="1:12">
      <c r="B108" s="1" t="s">
        <v>487</v>
      </c>
      <c r="C108" s="1" t="s">
        <v>500</v>
      </c>
      <c r="D108" s="1" t="s">
        <v>326</v>
      </c>
      <c r="E108" s="14">
        <v>3.9940881375354433E-2</v>
      </c>
      <c r="F108" s="1" t="s">
        <v>501</v>
      </c>
      <c r="G108" s="1" t="s">
        <v>76</v>
      </c>
      <c r="H108" s="1" t="s">
        <v>490</v>
      </c>
      <c r="I108" s="1" t="s">
        <v>491</v>
      </c>
    </row>
    <row r="109" spans="1:12">
      <c r="B109" s="1" t="s">
        <v>487</v>
      </c>
      <c r="C109" s="1" t="s">
        <v>502</v>
      </c>
      <c r="D109" s="1" t="s">
        <v>330</v>
      </c>
      <c r="E109" s="14">
        <v>0.86316245520241275</v>
      </c>
      <c r="F109" s="1" t="s">
        <v>503</v>
      </c>
      <c r="G109" s="1" t="s">
        <v>76</v>
      </c>
      <c r="H109" s="1" t="s">
        <v>490</v>
      </c>
      <c r="I109" s="1" t="s">
        <v>491</v>
      </c>
    </row>
    <row r="110" spans="1:12">
      <c r="B110" s="1" t="s">
        <v>487</v>
      </c>
      <c r="C110" s="1" t="s">
        <v>504</v>
      </c>
      <c r="D110" s="1" t="s">
        <v>330</v>
      </c>
      <c r="E110" s="14">
        <v>0.12400494447509816</v>
      </c>
      <c r="F110" s="1" t="s">
        <v>505</v>
      </c>
      <c r="G110" s="1" t="s">
        <v>76</v>
      </c>
      <c r="H110" s="1" t="s">
        <v>490</v>
      </c>
      <c r="I110" s="1" t="s">
        <v>491</v>
      </c>
    </row>
    <row r="111" spans="1:12">
      <c r="B111" s="1" t="s">
        <v>487</v>
      </c>
      <c r="C111" s="1" t="s">
        <v>506</v>
      </c>
      <c r="D111" s="1" t="s">
        <v>330</v>
      </c>
      <c r="E111" s="14">
        <v>1.2832600322489058E-2</v>
      </c>
      <c r="F111" s="1" t="s">
        <v>507</v>
      </c>
      <c r="G111" s="1" t="s">
        <v>76</v>
      </c>
      <c r="H111" s="1" t="s">
        <v>490</v>
      </c>
      <c r="I111" s="1" t="s">
        <v>491</v>
      </c>
    </row>
    <row r="114" spans="1:12" ht="22.9" customHeight="1">
      <c r="A114" s="136" t="s">
        <v>508</v>
      </c>
      <c r="B114" s="136"/>
      <c r="C114" s="136"/>
      <c r="D114" s="136"/>
      <c r="E114" s="136"/>
      <c r="F114" s="136"/>
      <c r="G114" s="136"/>
      <c r="H114" s="136"/>
      <c r="I114" s="136"/>
      <c r="J114" s="136"/>
      <c r="K114" s="136"/>
      <c r="L114" s="136"/>
    </row>
    <row r="115" spans="1:12">
      <c r="A115" s="11" t="s">
        <v>278</v>
      </c>
      <c r="B115" s="11" t="s">
        <v>279</v>
      </c>
      <c r="C115" s="11" t="s">
        <v>280</v>
      </c>
      <c r="D115" s="11" t="s">
        <v>281</v>
      </c>
      <c r="E115" s="12" t="s">
        <v>141</v>
      </c>
      <c r="F115" s="11" t="s">
        <v>282</v>
      </c>
      <c r="G115" s="11" t="s">
        <v>283</v>
      </c>
      <c r="H115" s="11" t="s">
        <v>284</v>
      </c>
      <c r="I115" s="11" t="s">
        <v>285</v>
      </c>
    </row>
    <row r="116" spans="1:12">
      <c r="B116" s="1" t="s">
        <v>508</v>
      </c>
      <c r="C116" s="1" t="s">
        <v>509</v>
      </c>
      <c r="D116" s="1" t="s">
        <v>320</v>
      </c>
      <c r="E116" s="15">
        <f>$E$29/$E$9*$E$12</f>
        <v>20.485576923076923</v>
      </c>
      <c r="F116" s="1" t="s">
        <v>510</v>
      </c>
      <c r="G116" s="1" t="s">
        <v>511</v>
      </c>
      <c r="H116" s="1" t="s">
        <v>512</v>
      </c>
      <c r="I116" s="1" t="s">
        <v>513</v>
      </c>
    </row>
    <row r="117" spans="1:12">
      <c r="B117" s="1" t="s">
        <v>508</v>
      </c>
      <c r="C117" s="1" t="s">
        <v>514</v>
      </c>
      <c r="D117" s="1" t="s">
        <v>320</v>
      </c>
      <c r="E117" s="15">
        <f>$E$32*$E$10*$E$14</f>
        <v>37.221499999999999</v>
      </c>
      <c r="F117" s="1" t="s">
        <v>515</v>
      </c>
      <c r="G117" s="1" t="s">
        <v>511</v>
      </c>
      <c r="H117" s="1" t="s">
        <v>512</v>
      </c>
      <c r="I117" s="1" t="s">
        <v>516</v>
      </c>
    </row>
    <row r="118" spans="1:12">
      <c r="B118" s="1" t="s">
        <v>508</v>
      </c>
      <c r="C118" s="1" t="s">
        <v>517</v>
      </c>
      <c r="D118" s="1" t="s">
        <v>320</v>
      </c>
      <c r="E118" s="15">
        <f>$E$116*$E$59+$E$117*$E$60</f>
        <v>21.322373076923075</v>
      </c>
      <c r="F118" s="1" t="s">
        <v>518</v>
      </c>
      <c r="G118" s="1" t="s">
        <v>511</v>
      </c>
      <c r="H118" s="1" t="s">
        <v>512</v>
      </c>
      <c r="I118" s="1" t="s">
        <v>519</v>
      </c>
    </row>
    <row r="119" spans="1:12">
      <c r="B119" s="1" t="s">
        <v>508</v>
      </c>
      <c r="C119" s="1" t="s">
        <v>520</v>
      </c>
      <c r="D119" s="1" t="s">
        <v>320</v>
      </c>
      <c r="E119" s="15">
        <f>$E$29/$E$9*$E$13</f>
        <v>28.679807692307691</v>
      </c>
      <c r="F119" s="1" t="s">
        <v>521</v>
      </c>
      <c r="G119" s="1" t="s">
        <v>511</v>
      </c>
      <c r="H119" s="1" t="s">
        <v>512</v>
      </c>
      <c r="I119" s="1" t="s">
        <v>513</v>
      </c>
    </row>
    <row r="120" spans="1:12">
      <c r="B120" s="1" t="s">
        <v>508</v>
      </c>
      <c r="C120" s="1" t="s">
        <v>522</v>
      </c>
      <c r="D120" s="1" t="s">
        <v>320</v>
      </c>
      <c r="E120" s="15">
        <f>$E$32*$E$10*$E$14</f>
        <v>37.221499999999999</v>
      </c>
      <c r="F120" s="1" t="s">
        <v>523</v>
      </c>
      <c r="G120" s="1" t="s">
        <v>511</v>
      </c>
      <c r="H120" s="1" t="s">
        <v>512</v>
      </c>
      <c r="I120" s="1" t="s">
        <v>516</v>
      </c>
    </row>
    <row r="121" spans="1:12">
      <c r="B121" s="1" t="s">
        <v>508</v>
      </c>
      <c r="C121" s="1" t="s">
        <v>524</v>
      </c>
      <c r="D121" s="1" t="s">
        <v>320</v>
      </c>
      <c r="E121" s="15">
        <f>$E$119*$E$61+$E$120*E62</f>
        <v>29.491268461538461</v>
      </c>
      <c r="F121" s="1" t="s">
        <v>525</v>
      </c>
      <c r="G121" s="1" t="s">
        <v>511</v>
      </c>
      <c r="H121" s="1" t="s">
        <v>512</v>
      </c>
      <c r="I121" s="1" t="s">
        <v>526</v>
      </c>
    </row>
    <row r="122" spans="1:12">
      <c r="B122" s="1" t="s">
        <v>508</v>
      </c>
      <c r="C122" s="1" t="s">
        <v>527</v>
      </c>
      <c r="D122" s="1" t="s">
        <v>326</v>
      </c>
      <c r="E122" s="15">
        <f>$E$30/$E$9*$E$12</f>
        <v>20.304342948717949</v>
      </c>
      <c r="F122" s="1" t="s">
        <v>528</v>
      </c>
      <c r="G122" s="1" t="s">
        <v>511</v>
      </c>
      <c r="H122" s="1" t="s">
        <v>512</v>
      </c>
    </row>
    <row r="123" spans="1:12">
      <c r="B123" s="1" t="s">
        <v>508</v>
      </c>
      <c r="C123" s="1" t="s">
        <v>529</v>
      </c>
      <c r="D123" s="1" t="s">
        <v>330</v>
      </c>
      <c r="E123" s="15">
        <f>$E$31/$E$9*$E$12</f>
        <v>15.868532509157509</v>
      </c>
      <c r="F123" s="1" t="s">
        <v>530</v>
      </c>
      <c r="G123" s="1" t="s">
        <v>511</v>
      </c>
      <c r="H123" s="1" t="s">
        <v>512</v>
      </c>
    </row>
    <row r="124" spans="1:12">
      <c r="B124" s="1" t="s">
        <v>508</v>
      </c>
      <c r="C124" s="1" t="s">
        <v>531</v>
      </c>
      <c r="D124" s="1" t="s">
        <v>326</v>
      </c>
      <c r="E124" s="15">
        <f>$E$33*$E$10*$E$14</f>
        <v>40.104837689036458</v>
      </c>
      <c r="F124" s="1" t="s">
        <v>532</v>
      </c>
      <c r="G124" s="1" t="s">
        <v>511</v>
      </c>
      <c r="H124" s="1" t="s">
        <v>512</v>
      </c>
    </row>
    <row r="125" spans="1:12">
      <c r="B125" s="1" t="s">
        <v>508</v>
      </c>
      <c r="C125" s="1" t="s">
        <v>533</v>
      </c>
      <c r="D125" s="1" t="s">
        <v>330</v>
      </c>
      <c r="E125" s="15">
        <f>$E$34*$E$10*$E$14</f>
        <v>33.302593258481444</v>
      </c>
      <c r="F125" s="1" t="s">
        <v>534</v>
      </c>
      <c r="G125" s="1" t="s">
        <v>511</v>
      </c>
      <c r="H125" s="1" t="s">
        <v>512</v>
      </c>
    </row>
    <row r="126" spans="1:12">
      <c r="B126" s="1" t="s">
        <v>508</v>
      </c>
      <c r="C126" s="1" t="s">
        <v>535</v>
      </c>
      <c r="D126" s="1" t="s">
        <v>326</v>
      </c>
      <c r="E126" s="15">
        <f>$E$122*$E$59+$E$124*$E$60</f>
        <v>21.294367685733874</v>
      </c>
      <c r="F126" s="1" t="s">
        <v>536</v>
      </c>
      <c r="G126" s="1" t="s">
        <v>511</v>
      </c>
      <c r="H126" s="1" t="s">
        <v>512</v>
      </c>
    </row>
    <row r="127" spans="1:12">
      <c r="B127" s="1" t="s">
        <v>508</v>
      </c>
      <c r="C127" s="1" t="s">
        <v>537</v>
      </c>
      <c r="D127" s="1" t="s">
        <v>330</v>
      </c>
      <c r="E127" s="15">
        <f>$E$123*$E$59+$E$125*$E$60</f>
        <v>16.740235546623705</v>
      </c>
      <c r="F127" s="1" t="s">
        <v>538</v>
      </c>
      <c r="G127" s="1" t="s">
        <v>511</v>
      </c>
      <c r="H127" s="1" t="s">
        <v>512</v>
      </c>
    </row>
    <row r="128" spans="1:12">
      <c r="B128" s="1" t="s">
        <v>508</v>
      </c>
      <c r="C128" s="1" t="s">
        <v>539</v>
      </c>
      <c r="D128" s="1" t="s">
        <v>326</v>
      </c>
      <c r="E128" s="15">
        <f>$E$30/$E$9*$E$13</f>
        <v>28.426080128205125</v>
      </c>
      <c r="F128" s="1" t="s">
        <v>540</v>
      </c>
      <c r="G128" s="1" t="s">
        <v>511</v>
      </c>
      <c r="H128" s="1" t="s">
        <v>512</v>
      </c>
    </row>
    <row r="129" spans="1:12">
      <c r="B129" s="1" t="s">
        <v>508</v>
      </c>
      <c r="C129" s="1" t="s">
        <v>541</v>
      </c>
      <c r="D129" s="1" t="s">
        <v>330</v>
      </c>
      <c r="E129" s="15">
        <f>$E$31/$E$9*$E$13</f>
        <v>22.215945512820511</v>
      </c>
      <c r="F129" s="1" t="s">
        <v>542</v>
      </c>
      <c r="G129" s="1" t="s">
        <v>511</v>
      </c>
      <c r="H129" s="1" t="s">
        <v>512</v>
      </c>
    </row>
    <row r="130" spans="1:12">
      <c r="B130" s="1" t="s">
        <v>508</v>
      </c>
      <c r="C130" s="1" t="s">
        <v>543</v>
      </c>
      <c r="D130" s="1" t="s">
        <v>326</v>
      </c>
      <c r="E130" s="15">
        <f>$E$33*$E$10*$E$14</f>
        <v>40.104837689036458</v>
      </c>
      <c r="F130" s="1" t="s">
        <v>544</v>
      </c>
      <c r="G130" s="1" t="s">
        <v>511</v>
      </c>
      <c r="H130" s="1" t="s">
        <v>512</v>
      </c>
    </row>
    <row r="131" spans="1:12">
      <c r="B131" s="1" t="s">
        <v>508</v>
      </c>
      <c r="C131" s="1" t="s">
        <v>545</v>
      </c>
      <c r="D131" s="1" t="s">
        <v>330</v>
      </c>
      <c r="E131" s="15">
        <f>$E$34*$E$10*$E$14</f>
        <v>33.302593258481444</v>
      </c>
      <c r="F131" s="1" t="s">
        <v>546</v>
      </c>
      <c r="G131" s="1" t="s">
        <v>511</v>
      </c>
      <c r="H131" s="1" t="s">
        <v>512</v>
      </c>
    </row>
    <row r="132" spans="1:12">
      <c r="B132" s="1" t="s">
        <v>508</v>
      </c>
      <c r="C132" s="1" t="s">
        <v>547</v>
      </c>
      <c r="D132" s="1" t="s">
        <v>326</v>
      </c>
      <c r="E132" s="15">
        <f>$E$128*$E$61+$E$130*$E$62</f>
        <v>29.535562096484103</v>
      </c>
      <c r="F132" s="1" t="s">
        <v>548</v>
      </c>
      <c r="G132" s="1" t="s">
        <v>511</v>
      </c>
      <c r="H132" s="1" t="s">
        <v>512</v>
      </c>
    </row>
    <row r="133" spans="1:12">
      <c r="B133" s="1" t="s">
        <v>508</v>
      </c>
      <c r="C133" s="1" t="s">
        <v>549</v>
      </c>
      <c r="D133" s="1" t="s">
        <v>330</v>
      </c>
      <c r="E133" s="15">
        <f>$E$129*$E$61+$E$131*$E$62</f>
        <v>23.2691770486583</v>
      </c>
      <c r="F133" s="1" t="s">
        <v>550</v>
      </c>
      <c r="G133" s="1" t="s">
        <v>511</v>
      </c>
      <c r="H133" s="1" t="s">
        <v>512</v>
      </c>
    </row>
    <row r="134" spans="1:12">
      <c r="B134" s="1" t="s">
        <v>508</v>
      </c>
      <c r="C134" s="1" t="s">
        <v>551</v>
      </c>
      <c r="D134" s="1" t="s">
        <v>287</v>
      </c>
      <c r="E134" s="15">
        <f>(12090*$E$35+24720*$E$36)/(12090+24720)*$E$11</f>
        <v>39.106015484922573</v>
      </c>
      <c r="F134" s="1" t="s">
        <v>552</v>
      </c>
      <c r="G134" s="1" t="s">
        <v>511</v>
      </c>
      <c r="H134" s="1" t="s">
        <v>553</v>
      </c>
      <c r="I134" s="1" t="s">
        <v>554</v>
      </c>
    </row>
    <row r="135" spans="1:12">
      <c r="B135" s="1" t="s">
        <v>508</v>
      </c>
      <c r="C135" s="1" t="s">
        <v>555</v>
      </c>
      <c r="D135" s="1" t="s">
        <v>287</v>
      </c>
      <c r="E135" s="15">
        <f>$E$37*$E$11</f>
        <v>43.847999999999999</v>
      </c>
      <c r="F135" s="1" t="s">
        <v>556</v>
      </c>
      <c r="G135" s="1" t="s">
        <v>511</v>
      </c>
      <c r="H135" s="1" t="s">
        <v>553</v>
      </c>
      <c r="I135" s="1" t="s">
        <v>557</v>
      </c>
    </row>
    <row r="136" spans="1:12">
      <c r="B136" s="1" t="s">
        <v>508</v>
      </c>
      <c r="C136" s="1" t="s">
        <v>558</v>
      </c>
      <c r="D136" s="1" t="s">
        <v>287</v>
      </c>
      <c r="E136" s="15">
        <f>$E$38*$E$11</f>
        <v>59.131</v>
      </c>
      <c r="F136" s="1" t="s">
        <v>559</v>
      </c>
      <c r="G136" s="1" t="s">
        <v>511</v>
      </c>
      <c r="H136" s="1" t="s">
        <v>553</v>
      </c>
      <c r="I136" s="1" t="s">
        <v>557</v>
      </c>
    </row>
    <row r="137" spans="1:12">
      <c r="B137" s="1" t="s">
        <v>508</v>
      </c>
      <c r="C137" s="1" t="s">
        <v>560</v>
      </c>
      <c r="D137" s="1" t="s">
        <v>287</v>
      </c>
      <c r="E137" s="15">
        <f>$E$39*$E$11</f>
        <v>53.823999999999998</v>
      </c>
      <c r="F137" s="1" t="s">
        <v>561</v>
      </c>
      <c r="G137" s="1" t="s">
        <v>511</v>
      </c>
      <c r="H137" s="1" t="s">
        <v>553</v>
      </c>
      <c r="I137" s="1" t="s">
        <v>557</v>
      </c>
    </row>
    <row r="138" spans="1:12">
      <c r="B138" s="1" t="s">
        <v>508</v>
      </c>
      <c r="C138" s="1" t="s">
        <v>562</v>
      </c>
      <c r="D138" s="1" t="s">
        <v>287</v>
      </c>
      <c r="E138" s="15">
        <v>171.95</v>
      </c>
      <c r="F138" s="1" t="s">
        <v>563</v>
      </c>
      <c r="G138" s="1" t="s">
        <v>511</v>
      </c>
      <c r="H138" s="1" t="s">
        <v>308</v>
      </c>
      <c r="I138" s="1" t="s">
        <v>564</v>
      </c>
    </row>
    <row r="139" spans="1:12">
      <c r="B139" s="1" t="s">
        <v>508</v>
      </c>
      <c r="C139" s="1" t="s">
        <v>565</v>
      </c>
      <c r="D139" s="1" t="s">
        <v>320</v>
      </c>
      <c r="E139" s="113">
        <f>E118</f>
        <v>21.322373076923075</v>
      </c>
      <c r="F139" s="1" t="s">
        <v>566</v>
      </c>
      <c r="G139" s="1" t="s">
        <v>511</v>
      </c>
      <c r="H139" s="1" t="s">
        <v>567</v>
      </c>
      <c r="I139" s="1" t="s">
        <v>568</v>
      </c>
    </row>
    <row r="140" spans="1:12">
      <c r="B140" s="1" t="s">
        <v>508</v>
      </c>
      <c r="C140" s="1" t="s">
        <v>569</v>
      </c>
      <c r="D140" s="1" t="s">
        <v>326</v>
      </c>
      <c r="E140" s="15">
        <f>E126</f>
        <v>21.294367685733874</v>
      </c>
      <c r="F140" s="1" t="s">
        <v>570</v>
      </c>
      <c r="G140" s="1" t="s">
        <v>511</v>
      </c>
      <c r="H140" s="1" t="s">
        <v>571</v>
      </c>
      <c r="I140" s="1" t="s">
        <v>572</v>
      </c>
    </row>
    <row r="141" spans="1:12">
      <c r="B141" s="1" t="s">
        <v>508</v>
      </c>
      <c r="C141" s="1" t="s">
        <v>573</v>
      </c>
      <c r="D141" s="1" t="s">
        <v>330</v>
      </c>
      <c r="E141" s="15">
        <f>E127</f>
        <v>16.740235546623705</v>
      </c>
      <c r="F141" s="1" t="s">
        <v>574</v>
      </c>
      <c r="G141" s="1" t="s">
        <v>511</v>
      </c>
      <c r="H141" s="1" t="s">
        <v>571</v>
      </c>
      <c r="I141" s="1" t="s">
        <v>575</v>
      </c>
    </row>
    <row r="144" spans="1:12" ht="22.9" customHeight="1">
      <c r="A144" s="136" t="s">
        <v>576</v>
      </c>
      <c r="B144" s="136"/>
      <c r="C144" s="136"/>
      <c r="D144" s="136"/>
      <c r="E144" s="136"/>
      <c r="F144" s="136"/>
      <c r="G144" s="136"/>
      <c r="H144" s="136"/>
      <c r="I144" s="136"/>
      <c r="J144" s="136"/>
      <c r="K144" s="136"/>
      <c r="L144" s="136"/>
    </row>
    <row r="145" spans="1:9">
      <c r="A145" s="11" t="s">
        <v>278</v>
      </c>
      <c r="B145" s="11" t="s">
        <v>279</v>
      </c>
      <c r="C145" s="11" t="s">
        <v>280</v>
      </c>
      <c r="D145" s="11" t="s">
        <v>281</v>
      </c>
      <c r="E145" s="12" t="s">
        <v>141</v>
      </c>
      <c r="F145" s="11" t="s">
        <v>282</v>
      </c>
      <c r="G145" s="11" t="s">
        <v>283</v>
      </c>
      <c r="H145" s="11" t="s">
        <v>284</v>
      </c>
      <c r="I145" s="11" t="s">
        <v>285</v>
      </c>
    </row>
    <row r="146" spans="1:9">
      <c r="B146" s="1" t="s">
        <v>576</v>
      </c>
      <c r="C146" s="1" t="s">
        <v>577</v>
      </c>
      <c r="D146" s="1" t="s">
        <v>326</v>
      </c>
      <c r="E146" s="1">
        <v>221</v>
      </c>
      <c r="F146" s="1" t="s">
        <v>578</v>
      </c>
      <c r="G146" s="1" t="s">
        <v>579</v>
      </c>
      <c r="H146" s="1" t="s">
        <v>580</v>
      </c>
    </row>
    <row r="147" spans="1:9">
      <c r="B147" s="1" t="s">
        <v>576</v>
      </c>
      <c r="C147" s="1" t="s">
        <v>581</v>
      </c>
      <c r="D147" s="1" t="s">
        <v>326</v>
      </c>
      <c r="E147" s="1">
        <v>19400</v>
      </c>
      <c r="F147" s="1" t="s">
        <v>582</v>
      </c>
      <c r="G147" s="1" t="s">
        <v>579</v>
      </c>
      <c r="H147" s="1" t="s">
        <v>580</v>
      </c>
    </row>
    <row r="148" spans="1:9">
      <c r="B148" s="1" t="s">
        <v>576</v>
      </c>
      <c r="C148" s="1" t="s">
        <v>583</v>
      </c>
      <c r="D148" s="1" t="s">
        <v>326</v>
      </c>
      <c r="E148" s="1">
        <v>17045</v>
      </c>
      <c r="F148" s="1" t="s">
        <v>584</v>
      </c>
      <c r="G148" s="1" t="s">
        <v>579</v>
      </c>
      <c r="H148" s="1" t="s">
        <v>580</v>
      </c>
    </row>
    <row r="149" spans="1:9">
      <c r="B149" s="1" t="s">
        <v>576</v>
      </c>
      <c r="C149" s="1" t="s">
        <v>585</v>
      </c>
      <c r="D149" s="1" t="s">
        <v>330</v>
      </c>
      <c r="E149" s="1">
        <v>268</v>
      </c>
      <c r="F149" s="1" t="s">
        <v>586</v>
      </c>
      <c r="G149" s="1" t="s">
        <v>579</v>
      </c>
      <c r="H149" s="1" t="s">
        <v>580</v>
      </c>
    </row>
    <row r="150" spans="1:9">
      <c r="B150" s="1" t="s">
        <v>576</v>
      </c>
      <c r="C150" s="1" t="s">
        <v>587</v>
      </c>
      <c r="D150" s="1" t="s">
        <v>330</v>
      </c>
      <c r="E150" s="1">
        <v>5897</v>
      </c>
      <c r="F150" s="1" t="s">
        <v>588</v>
      </c>
      <c r="G150" s="1" t="s">
        <v>579</v>
      </c>
      <c r="H150" s="1" t="s">
        <v>580</v>
      </c>
    </row>
    <row r="151" spans="1:9">
      <c r="B151" s="1" t="s">
        <v>576</v>
      </c>
      <c r="C151" s="1" t="s">
        <v>589</v>
      </c>
      <c r="D151" s="1" t="s">
        <v>330</v>
      </c>
      <c r="E151" s="1">
        <v>5583</v>
      </c>
      <c r="F151" s="1" t="s">
        <v>590</v>
      </c>
      <c r="G151" s="1" t="s">
        <v>579</v>
      </c>
      <c r="H151" s="1" t="s">
        <v>580</v>
      </c>
    </row>
    <row r="152" spans="1:9">
      <c r="B152" s="1" t="s">
        <v>576</v>
      </c>
      <c r="C152" s="1" t="s">
        <v>591</v>
      </c>
      <c r="D152" s="1" t="s">
        <v>326</v>
      </c>
      <c r="E152" s="1">
        <v>237</v>
      </c>
      <c r="F152" s="1" t="s">
        <v>592</v>
      </c>
      <c r="G152" s="1" t="s">
        <v>593</v>
      </c>
      <c r="H152" s="1" t="s">
        <v>580</v>
      </c>
    </row>
    <row r="153" spans="1:9">
      <c r="B153" s="1" t="s">
        <v>576</v>
      </c>
      <c r="C153" s="1" t="s">
        <v>594</v>
      </c>
      <c r="D153" s="1" t="s">
        <v>326</v>
      </c>
      <c r="E153" s="1">
        <v>2290</v>
      </c>
      <c r="F153" s="1" t="s">
        <v>595</v>
      </c>
      <c r="G153" s="1" t="s">
        <v>593</v>
      </c>
      <c r="H153" s="1" t="s">
        <v>580</v>
      </c>
    </row>
    <row r="154" spans="1:9">
      <c r="B154" s="1" t="s">
        <v>576</v>
      </c>
      <c r="C154" s="1" t="s">
        <v>596</v>
      </c>
      <c r="D154" s="1" t="s">
        <v>326</v>
      </c>
      <c r="E154" s="1">
        <v>14166</v>
      </c>
      <c r="F154" s="1" t="s">
        <v>597</v>
      </c>
      <c r="G154" s="1" t="s">
        <v>593</v>
      </c>
      <c r="H154" s="1" t="s">
        <v>580</v>
      </c>
    </row>
    <row r="155" spans="1:9">
      <c r="B155" s="1" t="s">
        <v>576</v>
      </c>
      <c r="C155" s="1" t="s">
        <v>598</v>
      </c>
      <c r="D155" s="1" t="s">
        <v>326</v>
      </c>
      <c r="E155" s="1">
        <v>13779</v>
      </c>
      <c r="F155" s="1" t="s">
        <v>599</v>
      </c>
      <c r="G155" s="1" t="s">
        <v>593</v>
      </c>
      <c r="H155" s="1" t="s">
        <v>580</v>
      </c>
    </row>
    <row r="156" spans="1:9">
      <c r="B156" s="1" t="s">
        <v>576</v>
      </c>
      <c r="C156" s="1" t="s">
        <v>600</v>
      </c>
      <c r="D156" s="1" t="s">
        <v>326</v>
      </c>
      <c r="E156" s="1">
        <v>46980</v>
      </c>
      <c r="F156" s="1" t="s">
        <v>601</v>
      </c>
      <c r="G156" s="1" t="s">
        <v>593</v>
      </c>
      <c r="H156" s="1" t="s">
        <v>580</v>
      </c>
    </row>
    <row r="157" spans="1:9">
      <c r="B157" s="1" t="s">
        <v>576</v>
      </c>
      <c r="C157" s="1" t="s">
        <v>602</v>
      </c>
      <c r="D157" s="1" t="s">
        <v>330</v>
      </c>
      <c r="E157" s="1">
        <v>299</v>
      </c>
      <c r="F157" s="1" t="s">
        <v>603</v>
      </c>
      <c r="G157" s="1" t="s">
        <v>593</v>
      </c>
      <c r="H157" s="1" t="s">
        <v>580</v>
      </c>
    </row>
    <row r="158" spans="1:9">
      <c r="B158" s="1" t="s">
        <v>576</v>
      </c>
      <c r="C158" s="1" t="s">
        <v>604</v>
      </c>
      <c r="D158" s="1" t="s">
        <v>330</v>
      </c>
      <c r="E158" s="1">
        <v>1374</v>
      </c>
      <c r="F158" s="1" t="s">
        <v>605</v>
      </c>
      <c r="G158" s="1" t="s">
        <v>593</v>
      </c>
      <c r="H158" s="1" t="s">
        <v>580</v>
      </c>
    </row>
    <row r="159" spans="1:9">
      <c r="B159" s="1" t="s">
        <v>576</v>
      </c>
      <c r="C159" s="1" t="s">
        <v>606</v>
      </c>
      <c r="D159" s="1" t="s">
        <v>330</v>
      </c>
      <c r="E159" s="1">
        <v>4884</v>
      </c>
      <c r="F159" s="1" t="s">
        <v>607</v>
      </c>
      <c r="G159" s="1" t="s">
        <v>593</v>
      </c>
      <c r="H159" s="1" t="s">
        <v>580</v>
      </c>
    </row>
    <row r="160" spans="1:9">
      <c r="B160" s="1" t="s">
        <v>576</v>
      </c>
      <c r="C160" s="1" t="s">
        <v>608</v>
      </c>
      <c r="D160" s="1" t="s">
        <v>330</v>
      </c>
      <c r="E160" s="1">
        <v>3010</v>
      </c>
      <c r="F160" s="1" t="s">
        <v>609</v>
      </c>
      <c r="G160" s="1" t="s">
        <v>593</v>
      </c>
      <c r="H160" s="1" t="s">
        <v>580</v>
      </c>
    </row>
    <row r="161" spans="2:8">
      <c r="B161" s="1" t="s">
        <v>576</v>
      </c>
      <c r="C161" s="1" t="s">
        <v>610</v>
      </c>
      <c r="D161" s="1" t="s">
        <v>330</v>
      </c>
      <c r="E161" s="1">
        <v>9951</v>
      </c>
      <c r="F161" s="1" t="s">
        <v>611</v>
      </c>
      <c r="G161" s="1" t="s">
        <v>593</v>
      </c>
      <c r="H161" s="1" t="s">
        <v>580</v>
      </c>
    </row>
    <row r="162" spans="2:8">
      <c r="B162" s="1" t="s">
        <v>576</v>
      </c>
      <c r="C162" s="1" t="s">
        <v>612</v>
      </c>
      <c r="D162" s="1" t="s">
        <v>320</v>
      </c>
      <c r="E162" s="16">
        <f>(E146+E149)/$E$17</f>
        <v>1.3076264841159483E-2</v>
      </c>
      <c r="F162" s="1" t="s">
        <v>613</v>
      </c>
      <c r="G162" s="1" t="s">
        <v>614</v>
      </c>
      <c r="H162" s="1" t="s">
        <v>615</v>
      </c>
    </row>
    <row r="163" spans="2:8">
      <c r="B163" s="1" t="s">
        <v>576</v>
      </c>
      <c r="C163" s="1" t="s">
        <v>616</v>
      </c>
      <c r="D163" s="1" t="s">
        <v>320</v>
      </c>
      <c r="E163" s="16">
        <f t="shared" ref="E163:E164" si="0">(E147+E150)/$E$17</f>
        <v>0.67646272328591295</v>
      </c>
      <c r="F163" s="1" t="s">
        <v>617</v>
      </c>
      <c r="G163" s="1" t="s">
        <v>614</v>
      </c>
      <c r="H163" s="1" t="s">
        <v>615</v>
      </c>
    </row>
    <row r="164" spans="2:8">
      <c r="B164" s="1" t="s">
        <v>576</v>
      </c>
      <c r="C164" s="1" t="s">
        <v>618</v>
      </c>
      <c r="D164" s="1" t="s">
        <v>320</v>
      </c>
      <c r="E164" s="16">
        <f t="shared" si="0"/>
        <v>0.60509145363140437</v>
      </c>
      <c r="F164" s="1" t="s">
        <v>619</v>
      </c>
      <c r="G164" s="1" t="s">
        <v>614</v>
      </c>
      <c r="H164" s="1" t="s">
        <v>615</v>
      </c>
    </row>
    <row r="165" spans="2:8">
      <c r="B165" s="1" t="s">
        <v>576</v>
      </c>
      <c r="C165" s="1" t="s">
        <v>620</v>
      </c>
      <c r="D165" s="1" t="s">
        <v>326</v>
      </c>
      <c r="E165" s="16">
        <f>E146/$E$18</f>
        <v>9.999822030316699E-3</v>
      </c>
      <c r="F165" s="1" t="s">
        <v>621</v>
      </c>
      <c r="G165" s="1" t="s">
        <v>614</v>
      </c>
      <c r="H165" s="1" t="s">
        <v>622</v>
      </c>
    </row>
    <row r="166" spans="2:8">
      <c r="B166" s="1" t="s">
        <v>576</v>
      </c>
      <c r="C166" s="1" t="s">
        <v>623</v>
      </c>
      <c r="D166" s="1" t="s">
        <v>326</v>
      </c>
      <c r="E166" s="16">
        <f>E147/$E$18</f>
        <v>0.87781243162056088</v>
      </c>
      <c r="F166" s="1" t="s">
        <v>624</v>
      </c>
      <c r="G166" s="1" t="s">
        <v>614</v>
      </c>
      <c r="H166" s="1" t="s">
        <v>622</v>
      </c>
    </row>
    <row r="167" spans="2:8">
      <c r="B167" s="1" t="s">
        <v>576</v>
      </c>
      <c r="C167" s="1" t="s">
        <v>625</v>
      </c>
      <c r="D167" s="1" t="s">
        <v>326</v>
      </c>
      <c r="E167" s="16">
        <f>E148/$E$18</f>
        <v>0.77125324211198254</v>
      </c>
      <c r="F167" s="1" t="s">
        <v>626</v>
      </c>
      <c r="G167" s="1" t="s">
        <v>614</v>
      </c>
      <c r="H167" s="1" t="s">
        <v>622</v>
      </c>
    </row>
    <row r="168" spans="2:8">
      <c r="B168" s="1" t="s">
        <v>576</v>
      </c>
      <c r="C168" s="1" t="s">
        <v>627</v>
      </c>
      <c r="D168" s="1" t="s">
        <v>330</v>
      </c>
      <c r="E168" s="16">
        <f>E149/$E$19</f>
        <v>1.7518061963470336E-2</v>
      </c>
      <c r="F168" s="1" t="s">
        <v>628</v>
      </c>
      <c r="G168" s="1" t="s">
        <v>614</v>
      </c>
      <c r="H168" s="1" t="s">
        <v>622</v>
      </c>
    </row>
    <row r="169" spans="2:8">
      <c r="B169" s="1" t="s">
        <v>576</v>
      </c>
      <c r="C169" s="1" t="s">
        <v>629</v>
      </c>
      <c r="D169" s="1" t="s">
        <v>330</v>
      </c>
      <c r="E169" s="16">
        <f>E150/$E$19</f>
        <v>0.38546272909919616</v>
      </c>
      <c r="F169" s="1" t="s">
        <v>630</v>
      </c>
      <c r="G169" s="1" t="s">
        <v>614</v>
      </c>
      <c r="H169" s="1" t="s">
        <v>622</v>
      </c>
    </row>
    <row r="170" spans="2:8">
      <c r="B170" s="1" t="s">
        <v>576</v>
      </c>
      <c r="C170" s="1" t="s">
        <v>631</v>
      </c>
      <c r="D170" s="1" t="s">
        <v>330</v>
      </c>
      <c r="E170" s="16">
        <f>E151/$E$19</f>
        <v>0.3649378356046824</v>
      </c>
      <c r="F170" s="1" t="s">
        <v>632</v>
      </c>
      <c r="G170" s="1" t="s">
        <v>614</v>
      </c>
      <c r="H170" s="1" t="s">
        <v>622</v>
      </c>
    </row>
    <row r="171" spans="2:8">
      <c r="B171" s="1" t="s">
        <v>576</v>
      </c>
      <c r="C171" s="1" t="s">
        <v>633</v>
      </c>
      <c r="D171" s="1" t="s">
        <v>320</v>
      </c>
      <c r="E171" s="16">
        <f>(E152+E157)/$E$17</f>
        <v>1.433308375227297E-2</v>
      </c>
      <c r="F171" s="1" t="s">
        <v>634</v>
      </c>
      <c r="G171" s="1" t="s">
        <v>635</v>
      </c>
      <c r="H171" s="1" t="s">
        <v>615</v>
      </c>
    </row>
    <row r="172" spans="2:8">
      <c r="B172" s="1" t="s">
        <v>576</v>
      </c>
      <c r="C172" s="1" t="s">
        <v>636</v>
      </c>
      <c r="D172" s="1" t="s">
        <v>320</v>
      </c>
      <c r="E172" s="16">
        <f t="shared" ref="E172:E175" si="1">(E153+E158)/$E$17</f>
        <v>9.7978393411060002E-2</v>
      </c>
      <c r="F172" s="1" t="s">
        <v>637</v>
      </c>
      <c r="G172" s="1" t="s">
        <v>635</v>
      </c>
      <c r="H172" s="1" t="s">
        <v>615</v>
      </c>
    </row>
    <row r="173" spans="2:8">
      <c r="B173" s="1" t="s">
        <v>576</v>
      </c>
      <c r="C173" s="1" t="s">
        <v>638</v>
      </c>
      <c r="D173" s="1" t="s">
        <v>320</v>
      </c>
      <c r="E173" s="16">
        <f t="shared" si="1"/>
        <v>0.50941277141940311</v>
      </c>
      <c r="F173" s="1" t="s">
        <v>639</v>
      </c>
      <c r="G173" s="1" t="s">
        <v>635</v>
      </c>
      <c r="H173" s="1" t="s">
        <v>615</v>
      </c>
    </row>
    <row r="174" spans="2:8">
      <c r="B174" s="1" t="s">
        <v>576</v>
      </c>
      <c r="C174" s="1" t="s">
        <v>640</v>
      </c>
      <c r="D174" s="1" t="s">
        <v>320</v>
      </c>
      <c r="E174" s="16">
        <f t="shared" si="1"/>
        <v>0.44895175954647554</v>
      </c>
      <c r="F174" s="1" t="s">
        <v>641</v>
      </c>
      <c r="G174" s="1" t="s">
        <v>635</v>
      </c>
      <c r="H174" s="1" t="s">
        <v>615</v>
      </c>
    </row>
    <row r="175" spans="2:8">
      <c r="B175" s="1" t="s">
        <v>576</v>
      </c>
      <c r="C175" s="1" t="s">
        <v>642</v>
      </c>
      <c r="D175" s="1" t="s">
        <v>320</v>
      </c>
      <c r="E175" s="16">
        <f t="shared" si="1"/>
        <v>1.5223820729489785</v>
      </c>
      <c r="F175" s="1" t="s">
        <v>643</v>
      </c>
      <c r="G175" s="1" t="s">
        <v>635</v>
      </c>
      <c r="H175" s="1" t="s">
        <v>615</v>
      </c>
    </row>
    <row r="176" spans="2:8">
      <c r="B176" s="1" t="s">
        <v>576</v>
      </c>
      <c r="C176" s="1" t="s">
        <v>644</v>
      </c>
      <c r="D176" s="1" t="s">
        <v>326</v>
      </c>
      <c r="E176" s="16">
        <f>E152/$E$18</f>
        <v>1.0723791046086234E-2</v>
      </c>
      <c r="F176" s="1" t="s">
        <v>645</v>
      </c>
      <c r="G176" s="1" t="s">
        <v>635</v>
      </c>
      <c r="H176" s="1" t="s">
        <v>622</v>
      </c>
    </row>
    <row r="177" spans="2:9">
      <c r="B177" s="1" t="s">
        <v>576</v>
      </c>
      <c r="C177" s="1" t="s">
        <v>646</v>
      </c>
      <c r="D177" s="1" t="s">
        <v>326</v>
      </c>
      <c r="E177" s="16">
        <f>E153/$E$18</f>
        <v>0.10361806538201467</v>
      </c>
      <c r="F177" s="1" t="s">
        <v>647</v>
      </c>
      <c r="G177" s="1" t="s">
        <v>635</v>
      </c>
      <c r="H177" s="1" t="s">
        <v>622</v>
      </c>
    </row>
    <row r="178" spans="2:9">
      <c r="B178" s="1" t="s">
        <v>576</v>
      </c>
      <c r="C178" s="1" t="s">
        <v>648</v>
      </c>
      <c r="D178" s="1" t="s">
        <v>326</v>
      </c>
      <c r="E178" s="16">
        <f>E154/$E$18</f>
        <v>0.64098406733695179</v>
      </c>
      <c r="F178" s="1" t="s">
        <v>649</v>
      </c>
      <c r="G178" s="1" t="s">
        <v>635</v>
      </c>
      <c r="H178" s="1" t="s">
        <v>622</v>
      </c>
    </row>
    <row r="179" spans="2:9">
      <c r="B179" s="1" t="s">
        <v>576</v>
      </c>
      <c r="C179" s="1" t="s">
        <v>650</v>
      </c>
      <c r="D179" s="1" t="s">
        <v>326</v>
      </c>
      <c r="E179" s="16">
        <f>E155/$E$18</f>
        <v>0.62347306676802616</v>
      </c>
      <c r="F179" s="1" t="s">
        <v>651</v>
      </c>
      <c r="G179" s="1" t="s">
        <v>635</v>
      </c>
      <c r="H179" s="1" t="s">
        <v>622</v>
      </c>
    </row>
    <row r="180" spans="2:9">
      <c r="B180" s="1" t="s">
        <v>576</v>
      </c>
      <c r="C180" s="1" t="s">
        <v>652</v>
      </c>
      <c r="D180" s="1" t="s">
        <v>326</v>
      </c>
      <c r="E180" s="16">
        <f>E156/$E$18</f>
        <v>2.1257540225532963</v>
      </c>
      <c r="F180" s="1" t="s">
        <v>653</v>
      </c>
      <c r="G180" s="1" t="s">
        <v>635</v>
      </c>
      <c r="H180" s="1" t="s">
        <v>622</v>
      </c>
    </row>
    <row r="181" spans="2:9">
      <c r="B181" s="1" t="s">
        <v>576</v>
      </c>
      <c r="C181" s="1" t="s">
        <v>654</v>
      </c>
      <c r="D181" s="1" t="s">
        <v>330</v>
      </c>
      <c r="E181" s="16">
        <f>E157/$E$19</f>
        <v>1.9544404951782203E-2</v>
      </c>
      <c r="F181" s="1" t="s">
        <v>655</v>
      </c>
      <c r="G181" s="1" t="s">
        <v>635</v>
      </c>
      <c r="H181" s="1" t="s">
        <v>622</v>
      </c>
    </row>
    <row r="182" spans="2:9">
      <c r="B182" s="1" t="s">
        <v>576</v>
      </c>
      <c r="C182" s="1" t="s">
        <v>656</v>
      </c>
      <c r="D182" s="1" t="s">
        <v>330</v>
      </c>
      <c r="E182" s="16">
        <f>E158/$E$19</f>
        <v>8.9812750514209866E-2</v>
      </c>
      <c r="F182" s="1" t="s">
        <v>657</v>
      </c>
      <c r="G182" s="1" t="s">
        <v>635</v>
      </c>
      <c r="H182" s="1" t="s">
        <v>622</v>
      </c>
    </row>
    <row r="183" spans="2:9">
      <c r="B183" s="1" t="s">
        <v>576</v>
      </c>
      <c r="C183" s="1" t="s">
        <v>658</v>
      </c>
      <c r="D183" s="1" t="s">
        <v>330</v>
      </c>
      <c r="E183" s="16">
        <f>E159/$E$19</f>
        <v>0.31924706951339227</v>
      </c>
      <c r="F183" s="1" t="s">
        <v>659</v>
      </c>
      <c r="G183" s="1" t="s">
        <v>635</v>
      </c>
      <c r="H183" s="1" t="s">
        <v>622</v>
      </c>
    </row>
    <row r="184" spans="2:9">
      <c r="B184" s="1" t="s">
        <v>576</v>
      </c>
      <c r="C184" s="1" t="s">
        <v>660</v>
      </c>
      <c r="D184" s="1" t="s">
        <v>330</v>
      </c>
      <c r="E184" s="16">
        <f>E160/$E$19</f>
        <v>0.19675136757479744</v>
      </c>
      <c r="F184" s="1" t="s">
        <v>661</v>
      </c>
      <c r="G184" s="1" t="s">
        <v>635</v>
      </c>
      <c r="H184" s="1" t="s">
        <v>622</v>
      </c>
    </row>
    <row r="185" spans="2:9">
      <c r="B185" s="1" t="s">
        <v>576</v>
      </c>
      <c r="C185" s="1" t="s">
        <v>662</v>
      </c>
      <c r="D185" s="1" t="s">
        <v>330</v>
      </c>
      <c r="E185" s="16">
        <f>E161/$E$19</f>
        <v>0.65045609924810943</v>
      </c>
      <c r="F185" s="1" t="s">
        <v>663</v>
      </c>
      <c r="G185" s="1" t="s">
        <v>635</v>
      </c>
      <c r="H185" s="1" t="s">
        <v>622</v>
      </c>
    </row>
    <row r="186" spans="2:9">
      <c r="B186" s="1" t="s">
        <v>576</v>
      </c>
      <c r="C186" s="1" t="s">
        <v>664</v>
      </c>
      <c r="D186" s="1" t="s">
        <v>287</v>
      </c>
      <c r="E186" s="15">
        <v>27670</v>
      </c>
      <c r="F186" s="1" t="s">
        <v>665</v>
      </c>
      <c r="G186" s="1" t="s">
        <v>666</v>
      </c>
      <c r="H186" s="1" t="s">
        <v>667</v>
      </c>
      <c r="I186" s="1" t="s">
        <v>668</v>
      </c>
    </row>
    <row r="187" spans="2:9">
      <c r="B187" s="1" t="s">
        <v>576</v>
      </c>
      <c r="C187" s="1" t="s">
        <v>669</v>
      </c>
      <c r="D187" s="1" t="s">
        <v>320</v>
      </c>
      <c r="E187" s="15">
        <v>187285.34723024876</v>
      </c>
      <c r="F187" s="1" t="s">
        <v>670</v>
      </c>
      <c r="G187" s="1" t="s">
        <v>666</v>
      </c>
      <c r="H187" s="1" t="s">
        <v>667</v>
      </c>
      <c r="I187" s="1" t="s">
        <v>671</v>
      </c>
    </row>
    <row r="188" spans="2:9">
      <c r="B188" s="1" t="s">
        <v>576</v>
      </c>
      <c r="C188" s="1" t="s">
        <v>672</v>
      </c>
      <c r="D188" s="1" t="s">
        <v>320</v>
      </c>
      <c r="E188" s="15">
        <v>195584.99180799213</v>
      </c>
      <c r="F188" s="1" t="s">
        <v>673</v>
      </c>
      <c r="G188" s="1" t="s">
        <v>666</v>
      </c>
      <c r="H188" s="1" t="s">
        <v>667</v>
      </c>
      <c r="I188" s="1" t="s">
        <v>671</v>
      </c>
    </row>
    <row r="189" spans="2:9">
      <c r="B189" s="1" t="s">
        <v>576</v>
      </c>
      <c r="C189" s="1" t="s">
        <v>674</v>
      </c>
      <c r="D189" s="1" t="s">
        <v>320</v>
      </c>
      <c r="E189" s="15">
        <v>193734.1412233859</v>
      </c>
      <c r="F189" s="1" t="s">
        <v>675</v>
      </c>
      <c r="G189" s="1" t="s">
        <v>666</v>
      </c>
      <c r="H189" s="1" t="s">
        <v>667</v>
      </c>
      <c r="I189" s="1" t="s">
        <v>671</v>
      </c>
    </row>
    <row r="190" spans="2:9">
      <c r="B190" s="1" t="s">
        <v>576</v>
      </c>
      <c r="C190" s="1" t="s">
        <v>676</v>
      </c>
      <c r="D190" s="1" t="s">
        <v>320</v>
      </c>
      <c r="E190" s="15">
        <v>4560121.5993232811</v>
      </c>
      <c r="F190" s="1" t="s">
        <v>677</v>
      </c>
      <c r="G190" s="1" t="s">
        <v>666</v>
      </c>
      <c r="H190" s="1" t="s">
        <v>667</v>
      </c>
      <c r="I190" s="1" t="s">
        <v>678</v>
      </c>
    </row>
    <row r="191" spans="2:9">
      <c r="B191" s="1" t="s">
        <v>576</v>
      </c>
      <c r="C191" s="1" t="s">
        <v>679</v>
      </c>
      <c r="D191" s="1" t="s">
        <v>320</v>
      </c>
      <c r="E191" s="15">
        <v>4794802.0421083467</v>
      </c>
      <c r="F191" s="1" t="s">
        <v>680</v>
      </c>
      <c r="G191" s="1" t="s">
        <v>666</v>
      </c>
      <c r="H191" s="1" t="s">
        <v>667</v>
      </c>
      <c r="I191" s="1" t="s">
        <v>678</v>
      </c>
    </row>
    <row r="192" spans="2:9">
      <c r="B192" s="1" t="s">
        <v>576</v>
      </c>
      <c r="C192" s="1" t="s">
        <v>681</v>
      </c>
      <c r="D192" s="1" t="s">
        <v>320</v>
      </c>
      <c r="E192" s="15">
        <v>3472276.9126067217</v>
      </c>
      <c r="F192" s="1" t="s">
        <v>682</v>
      </c>
      <c r="G192" s="1" t="s">
        <v>666</v>
      </c>
      <c r="H192" s="1" t="s">
        <v>667</v>
      </c>
      <c r="I192" s="1" t="s">
        <v>678</v>
      </c>
    </row>
    <row r="193" spans="1:12">
      <c r="B193" s="1" t="s">
        <v>576</v>
      </c>
      <c r="C193" s="1" t="s">
        <v>683</v>
      </c>
      <c r="D193" s="1" t="s">
        <v>326</v>
      </c>
      <c r="E193" s="15">
        <v>181189</v>
      </c>
      <c r="F193" s="1" t="s">
        <v>684</v>
      </c>
      <c r="G193" s="1" t="s">
        <v>666</v>
      </c>
      <c r="H193" s="1" t="s">
        <v>667</v>
      </c>
      <c r="I193" s="1" t="s">
        <v>671</v>
      </c>
    </row>
    <row r="194" spans="1:12">
      <c r="B194" s="1" t="s">
        <v>576</v>
      </c>
      <c r="C194" s="1" t="s">
        <v>685</v>
      </c>
      <c r="D194" s="1" t="s">
        <v>326</v>
      </c>
      <c r="E194" s="15">
        <v>186928</v>
      </c>
      <c r="F194" s="1" t="s">
        <v>686</v>
      </c>
      <c r="G194" s="1" t="s">
        <v>666</v>
      </c>
      <c r="H194" s="1" t="s">
        <v>667</v>
      </c>
      <c r="I194" s="1" t="s">
        <v>671</v>
      </c>
    </row>
    <row r="195" spans="1:12">
      <c r="B195" s="1" t="s">
        <v>576</v>
      </c>
      <c r="C195" s="1" t="s">
        <v>687</v>
      </c>
      <c r="D195" s="1" t="s">
        <v>326</v>
      </c>
      <c r="E195" s="15">
        <v>189285</v>
      </c>
      <c r="F195" s="1" t="s">
        <v>688</v>
      </c>
      <c r="G195" s="1" t="s">
        <v>666</v>
      </c>
      <c r="H195" s="1" t="s">
        <v>667</v>
      </c>
      <c r="I195" s="1" t="s">
        <v>671</v>
      </c>
    </row>
    <row r="196" spans="1:12">
      <c r="B196" s="1" t="s">
        <v>576</v>
      </c>
      <c r="C196" s="1" t="s">
        <v>689</v>
      </c>
      <c r="D196" s="1" t="s">
        <v>326</v>
      </c>
      <c r="E196" s="15">
        <v>4065265</v>
      </c>
      <c r="F196" s="1" t="s">
        <v>690</v>
      </c>
      <c r="G196" s="1" t="s">
        <v>666</v>
      </c>
      <c r="H196" s="1" t="s">
        <v>667</v>
      </c>
      <c r="I196" s="1" t="s">
        <v>678</v>
      </c>
    </row>
    <row r="197" spans="1:12">
      <c r="B197" s="1" t="s">
        <v>576</v>
      </c>
      <c r="C197" s="1" t="s">
        <v>691</v>
      </c>
      <c r="D197" s="1" t="s">
        <v>326</v>
      </c>
      <c r="E197" s="15">
        <v>3783234</v>
      </c>
      <c r="F197" s="1" t="s">
        <v>692</v>
      </c>
      <c r="G197" s="1" t="s">
        <v>666</v>
      </c>
      <c r="H197" s="1" t="s">
        <v>667</v>
      </c>
      <c r="I197" s="1" t="s">
        <v>678</v>
      </c>
    </row>
    <row r="198" spans="1:12">
      <c r="B198" s="1" t="s">
        <v>576</v>
      </c>
      <c r="C198" s="1" t="s">
        <v>693</v>
      </c>
      <c r="D198" s="1" t="s">
        <v>326</v>
      </c>
      <c r="E198" s="15">
        <v>2842652</v>
      </c>
      <c r="F198" s="1" t="s">
        <v>694</v>
      </c>
      <c r="G198" s="1" t="s">
        <v>666</v>
      </c>
      <c r="H198" s="1" t="s">
        <v>667</v>
      </c>
      <c r="I198" s="1" t="s">
        <v>678</v>
      </c>
    </row>
    <row r="199" spans="1:12">
      <c r="B199" s="1" t="s">
        <v>576</v>
      </c>
      <c r="C199" s="1" t="s">
        <v>695</v>
      </c>
      <c r="D199" s="1" t="s">
        <v>330</v>
      </c>
      <c r="E199" s="15">
        <v>205784</v>
      </c>
      <c r="F199" s="1" t="s">
        <v>696</v>
      </c>
      <c r="G199" s="1" t="s">
        <v>666</v>
      </c>
      <c r="H199" s="1" t="s">
        <v>667</v>
      </c>
      <c r="I199" s="1" t="s">
        <v>671</v>
      </c>
    </row>
    <row r="200" spans="1:12">
      <c r="B200" s="1" t="s">
        <v>576</v>
      </c>
      <c r="C200" s="1" t="s">
        <v>697</v>
      </c>
      <c r="D200" s="1" t="s">
        <v>330</v>
      </c>
      <c r="E200" s="15">
        <v>213163</v>
      </c>
      <c r="F200" s="1" t="s">
        <v>698</v>
      </c>
      <c r="G200" s="1" t="s">
        <v>666</v>
      </c>
      <c r="H200" s="1" t="s">
        <v>667</v>
      </c>
      <c r="I200" s="1" t="s">
        <v>671</v>
      </c>
    </row>
    <row r="201" spans="1:12">
      <c r="B201" s="1" t="s">
        <v>576</v>
      </c>
      <c r="C201" s="1" t="s">
        <v>699</v>
      </c>
      <c r="D201" s="1" t="s">
        <v>330</v>
      </c>
      <c r="E201" s="15">
        <v>216033</v>
      </c>
      <c r="F201" s="1" t="s">
        <v>700</v>
      </c>
      <c r="G201" s="1" t="s">
        <v>666</v>
      </c>
      <c r="H201" s="1" t="s">
        <v>667</v>
      </c>
      <c r="I201" s="1" t="s">
        <v>671</v>
      </c>
    </row>
    <row r="202" spans="1:12">
      <c r="B202" s="1" t="s">
        <v>576</v>
      </c>
      <c r="C202" s="1" t="s">
        <v>701</v>
      </c>
      <c r="D202" s="1" t="s">
        <v>330</v>
      </c>
      <c r="E202" s="15">
        <v>4879384</v>
      </c>
      <c r="F202" s="1" t="s">
        <v>677</v>
      </c>
      <c r="G202" s="1" t="s">
        <v>666</v>
      </c>
      <c r="H202" s="1" t="s">
        <v>667</v>
      </c>
      <c r="I202" s="1" t="s">
        <v>678</v>
      </c>
    </row>
    <row r="203" spans="1:12">
      <c r="B203" s="1" t="s">
        <v>576</v>
      </c>
      <c r="C203" s="1" t="s">
        <v>702</v>
      </c>
      <c r="D203" s="1" t="s">
        <v>330</v>
      </c>
      <c r="E203" s="15">
        <v>5236944</v>
      </c>
      <c r="F203" s="1" t="s">
        <v>680</v>
      </c>
      <c r="G203" s="1" t="s">
        <v>666</v>
      </c>
      <c r="H203" s="1" t="s">
        <v>667</v>
      </c>
      <c r="I203" s="1" t="s">
        <v>678</v>
      </c>
    </row>
    <row r="204" spans="1:12">
      <c r="B204" s="1" t="s">
        <v>576</v>
      </c>
      <c r="C204" s="1" t="s">
        <v>703</v>
      </c>
      <c r="D204" s="1" t="s">
        <v>330</v>
      </c>
      <c r="E204" s="15">
        <v>4460641</v>
      </c>
      <c r="F204" s="1" t="s">
        <v>682</v>
      </c>
      <c r="G204" s="1" t="s">
        <v>666</v>
      </c>
      <c r="H204" s="1" t="s">
        <v>667</v>
      </c>
      <c r="I204" s="1" t="s">
        <v>678</v>
      </c>
    </row>
    <row r="207" spans="1:12" ht="22.9" customHeight="1">
      <c r="A207" s="136" t="s">
        <v>704</v>
      </c>
      <c r="B207" s="136"/>
      <c r="C207" s="136"/>
      <c r="D207" s="136"/>
      <c r="E207" s="136"/>
      <c r="F207" s="136"/>
      <c r="G207" s="136"/>
      <c r="H207" s="136"/>
      <c r="I207" s="136"/>
      <c r="J207" s="136"/>
      <c r="K207" s="136"/>
      <c r="L207" s="136"/>
    </row>
    <row r="208" spans="1:12">
      <c r="A208" s="11" t="s">
        <v>278</v>
      </c>
      <c r="B208" s="11" t="s">
        <v>279</v>
      </c>
      <c r="C208" s="11" t="s">
        <v>280</v>
      </c>
      <c r="D208" s="11" t="s">
        <v>281</v>
      </c>
      <c r="E208" s="12" t="s">
        <v>141</v>
      </c>
      <c r="F208" s="11" t="s">
        <v>282</v>
      </c>
      <c r="G208" s="11" t="s">
        <v>283</v>
      </c>
      <c r="H208" s="11" t="s">
        <v>284</v>
      </c>
      <c r="I208" s="11" t="s">
        <v>285</v>
      </c>
    </row>
    <row r="209" spans="2:9">
      <c r="B209" s="1" t="s">
        <v>704</v>
      </c>
      <c r="C209" s="1" t="s">
        <v>705</v>
      </c>
      <c r="D209" s="1" t="s">
        <v>287</v>
      </c>
      <c r="E209" s="1">
        <v>0.4</v>
      </c>
      <c r="F209" s="1" t="s">
        <v>706</v>
      </c>
      <c r="G209" s="1" t="s">
        <v>707</v>
      </c>
      <c r="H209" s="1" t="s">
        <v>708</v>
      </c>
    </row>
    <row r="210" spans="2:9">
      <c r="B210" s="1" t="s">
        <v>704</v>
      </c>
      <c r="C210" s="1" t="s">
        <v>709</v>
      </c>
      <c r="D210" s="1" t="s">
        <v>287</v>
      </c>
      <c r="E210" s="15">
        <v>3.8</v>
      </c>
      <c r="F210" s="1" t="s">
        <v>710</v>
      </c>
      <c r="G210" s="1" t="s">
        <v>707</v>
      </c>
      <c r="H210" s="1" t="s">
        <v>711</v>
      </c>
      <c r="I210" s="1" t="s">
        <v>712</v>
      </c>
    </row>
    <row r="211" spans="2:9">
      <c r="B211" s="1" t="s">
        <v>704</v>
      </c>
      <c r="C211" s="1" t="s">
        <v>713</v>
      </c>
      <c r="D211" s="1" t="s">
        <v>287</v>
      </c>
      <c r="E211" s="17">
        <v>0.184</v>
      </c>
      <c r="F211" s="1" t="s">
        <v>714</v>
      </c>
      <c r="G211" s="1" t="s">
        <v>707</v>
      </c>
      <c r="H211" s="1" t="s">
        <v>715</v>
      </c>
    </row>
    <row r="212" spans="2:9">
      <c r="B212" s="1" t="s">
        <v>704</v>
      </c>
      <c r="C212" s="1" t="s">
        <v>716</v>
      </c>
      <c r="D212" s="1" t="s">
        <v>287</v>
      </c>
      <c r="E212" s="17">
        <v>2.9000000000000001E-2</v>
      </c>
      <c r="F212" s="1" t="s">
        <v>717</v>
      </c>
      <c r="G212" s="1" t="s">
        <v>707</v>
      </c>
      <c r="H212" s="1" t="s">
        <v>718</v>
      </c>
      <c r="I212" s="1" t="s">
        <v>719</v>
      </c>
    </row>
    <row r="213" spans="2:9">
      <c r="B213" s="1" t="s">
        <v>704</v>
      </c>
      <c r="C213" s="1" t="s">
        <v>720</v>
      </c>
      <c r="D213" s="1" t="s">
        <v>287</v>
      </c>
      <c r="E213" s="15">
        <v>3.96</v>
      </c>
      <c r="F213" s="1" t="s">
        <v>721</v>
      </c>
      <c r="G213" s="1" t="s">
        <v>707</v>
      </c>
      <c r="H213" s="1" t="s">
        <v>711</v>
      </c>
      <c r="I213" s="1" t="s">
        <v>712</v>
      </c>
    </row>
    <row r="214" spans="2:9">
      <c r="B214" s="1" t="s">
        <v>704</v>
      </c>
      <c r="C214" s="1" t="s">
        <v>722</v>
      </c>
      <c r="D214" s="1" t="s">
        <v>287</v>
      </c>
      <c r="E214" s="17">
        <v>0.24399999999999999</v>
      </c>
      <c r="F214" s="1" t="s">
        <v>723</v>
      </c>
      <c r="G214" s="1" t="s">
        <v>707</v>
      </c>
      <c r="H214" s="1" t="s">
        <v>715</v>
      </c>
    </row>
    <row r="215" spans="2:9">
      <c r="B215" s="1" t="s">
        <v>704</v>
      </c>
      <c r="C215" s="1" t="s">
        <v>724</v>
      </c>
      <c r="D215" s="1" t="s">
        <v>287</v>
      </c>
      <c r="E215" s="17">
        <v>2.9000000000000001E-2</v>
      </c>
      <c r="F215" s="1" t="s">
        <v>725</v>
      </c>
      <c r="G215" s="1" t="s">
        <v>707</v>
      </c>
      <c r="H215" s="1" t="s">
        <v>718</v>
      </c>
      <c r="I215" s="1" t="s">
        <v>726</v>
      </c>
    </row>
    <row r="216" spans="2:9">
      <c r="B216" s="1" t="s">
        <v>704</v>
      </c>
      <c r="C216" s="1" t="s">
        <v>727</v>
      </c>
      <c r="D216" s="1" t="s">
        <v>287</v>
      </c>
      <c r="E216" s="15">
        <v>4680</v>
      </c>
      <c r="F216" s="1" t="s">
        <v>727</v>
      </c>
      <c r="G216" s="1" t="s">
        <v>728</v>
      </c>
      <c r="H216" s="1" t="s">
        <v>729</v>
      </c>
      <c r="I216" s="1" t="s">
        <v>730</v>
      </c>
    </row>
    <row r="217" spans="2:9">
      <c r="B217" s="1" t="s">
        <v>704</v>
      </c>
      <c r="C217" s="1" t="s">
        <v>731</v>
      </c>
      <c r="D217" s="1" t="s">
        <v>287</v>
      </c>
      <c r="E217" s="17">
        <v>0.1013</v>
      </c>
      <c r="F217" s="1" t="s">
        <v>732</v>
      </c>
      <c r="G217" s="1" t="s">
        <v>733</v>
      </c>
      <c r="H217" s="1" t="s">
        <v>729</v>
      </c>
      <c r="I217" s="1" t="s">
        <v>734</v>
      </c>
    </row>
    <row r="218" spans="2:9">
      <c r="B218" s="1" t="s">
        <v>704</v>
      </c>
      <c r="C218" s="1" t="s">
        <v>735</v>
      </c>
      <c r="D218" s="1" t="s">
        <v>287</v>
      </c>
      <c r="E218" s="17">
        <f>E210-E211-E212-E209</f>
        <v>3.1869999999999998</v>
      </c>
      <c r="F218" s="1" t="s">
        <v>736</v>
      </c>
      <c r="G218" s="1" t="s">
        <v>737</v>
      </c>
      <c r="H218" s="1" t="s">
        <v>738</v>
      </c>
    </row>
    <row r="219" spans="2:9">
      <c r="B219" s="1" t="s">
        <v>704</v>
      </c>
      <c r="C219" s="1" t="s">
        <v>739</v>
      </c>
      <c r="D219" s="1" t="s">
        <v>287</v>
      </c>
      <c r="E219" s="17">
        <f>E213-E214-E215-E209</f>
        <v>3.2870000000000004</v>
      </c>
      <c r="F219" s="1" t="s">
        <v>740</v>
      </c>
      <c r="G219" s="1" t="s">
        <v>737</v>
      </c>
      <c r="H219" s="1" t="s">
        <v>738</v>
      </c>
    </row>
    <row r="220" spans="2:9">
      <c r="B220" s="1" t="s">
        <v>704</v>
      </c>
      <c r="C220" s="1" t="s">
        <v>741</v>
      </c>
      <c r="D220" s="1" t="s">
        <v>287</v>
      </c>
      <c r="E220" s="17">
        <v>0.47299999999999998</v>
      </c>
      <c r="F220" s="1" t="s">
        <v>742</v>
      </c>
      <c r="G220" s="1" t="s">
        <v>743</v>
      </c>
      <c r="H220" s="1" t="s">
        <v>729</v>
      </c>
    </row>
    <row r="221" spans="2:9">
      <c r="B221" s="1" t="s">
        <v>704</v>
      </c>
      <c r="C221" s="1" t="s">
        <v>744</v>
      </c>
      <c r="D221" s="1" t="s">
        <v>287</v>
      </c>
      <c r="E221" s="17">
        <f>E216/15000+E217</f>
        <v>0.4133</v>
      </c>
      <c r="F221" s="1" t="s">
        <v>745</v>
      </c>
      <c r="G221" s="1" t="s">
        <v>743</v>
      </c>
      <c r="H221" s="1" t="s">
        <v>746</v>
      </c>
      <c r="I221" s="1" t="s">
        <v>747</v>
      </c>
    </row>
    <row r="222" spans="2:9">
      <c r="B222" s="1" t="s">
        <v>704</v>
      </c>
      <c r="C222" s="1" t="s">
        <v>748</v>
      </c>
      <c r="D222" s="1" t="s">
        <v>287</v>
      </c>
      <c r="E222" s="17">
        <v>1.7789999999999999</v>
      </c>
      <c r="F222" s="1" t="s">
        <v>749</v>
      </c>
      <c r="G222" s="1" t="s">
        <v>743</v>
      </c>
      <c r="H222" s="1" t="s">
        <v>750</v>
      </c>
      <c r="I222" s="1" t="s">
        <v>751</v>
      </c>
    </row>
    <row r="223" spans="2:9">
      <c r="B223" s="1" t="s">
        <v>704</v>
      </c>
      <c r="C223" s="1" t="s">
        <v>752</v>
      </c>
      <c r="D223" s="1" t="s">
        <v>287</v>
      </c>
      <c r="E223" s="17">
        <v>0.84689999999999999</v>
      </c>
      <c r="F223" s="1" t="s">
        <v>753</v>
      </c>
      <c r="G223" s="1" t="s">
        <v>743</v>
      </c>
      <c r="H223" s="1" t="s">
        <v>729</v>
      </c>
    </row>
    <row r="224" spans="2:9">
      <c r="B224" s="1" t="s">
        <v>704</v>
      </c>
      <c r="C224" s="1" t="s">
        <v>754</v>
      </c>
      <c r="D224" s="1" t="s">
        <v>320</v>
      </c>
      <c r="E224" s="10">
        <v>23.234964008923683</v>
      </c>
      <c r="F224" s="1" t="s">
        <v>755</v>
      </c>
      <c r="G224" s="1" t="s">
        <v>756</v>
      </c>
      <c r="H224" s="1" t="s">
        <v>490</v>
      </c>
    </row>
    <row r="225" spans="2:8">
      <c r="B225" s="1" t="s">
        <v>704</v>
      </c>
      <c r="C225" s="1" t="s">
        <v>757</v>
      </c>
      <c r="D225" s="1" t="s">
        <v>320</v>
      </c>
      <c r="E225" s="10">
        <v>24.23076923076923</v>
      </c>
      <c r="F225" s="1" t="s">
        <v>758</v>
      </c>
      <c r="G225" s="1" t="s">
        <v>756</v>
      </c>
      <c r="H225" s="1" t="s">
        <v>490</v>
      </c>
    </row>
    <row r="226" spans="2:8">
      <c r="B226" s="1" t="s">
        <v>704</v>
      </c>
      <c r="C226" s="1" t="s">
        <v>759</v>
      </c>
      <c r="D226" s="1" t="s">
        <v>320</v>
      </c>
      <c r="E226" s="10">
        <v>28.747655179268062</v>
      </c>
      <c r="F226" s="1" t="s">
        <v>760</v>
      </c>
      <c r="G226" s="1" t="s">
        <v>756</v>
      </c>
      <c r="H226" s="1" t="s">
        <v>490</v>
      </c>
    </row>
    <row r="227" spans="2:8">
      <c r="B227" s="1" t="s">
        <v>704</v>
      </c>
      <c r="C227" s="1" t="s">
        <v>761</v>
      </c>
      <c r="D227" s="1" t="s">
        <v>320</v>
      </c>
      <c r="E227" s="10">
        <v>32.160037907488395</v>
      </c>
      <c r="F227" s="1" t="s">
        <v>762</v>
      </c>
      <c r="G227" s="1" t="s">
        <v>756</v>
      </c>
      <c r="H227" s="1" t="s">
        <v>490</v>
      </c>
    </row>
    <row r="228" spans="2:8">
      <c r="B228" s="1" t="s">
        <v>704</v>
      </c>
      <c r="C228" s="1" t="s">
        <v>763</v>
      </c>
      <c r="D228" s="1" t="s">
        <v>320</v>
      </c>
      <c r="E228" s="10">
        <v>19.099660612642495</v>
      </c>
      <c r="F228" s="1" t="s">
        <v>764</v>
      </c>
      <c r="G228" s="1" t="s">
        <v>756</v>
      </c>
      <c r="H228" s="1" t="s">
        <v>490</v>
      </c>
    </row>
    <row r="229" spans="2:8">
      <c r="B229" s="1" t="s">
        <v>704</v>
      </c>
      <c r="C229" s="1" t="s">
        <v>765</v>
      </c>
      <c r="D229" s="1" t="s">
        <v>320</v>
      </c>
      <c r="E229" s="10">
        <v>18.483658730018956</v>
      </c>
      <c r="F229" s="1" t="s">
        <v>766</v>
      </c>
      <c r="G229" s="1" t="s">
        <v>756</v>
      </c>
      <c r="H229" s="1" t="s">
        <v>490</v>
      </c>
    </row>
    <row r="230" spans="2:8">
      <c r="B230" s="1" t="s">
        <v>704</v>
      </c>
      <c r="C230" s="1" t="s">
        <v>767</v>
      </c>
      <c r="D230" s="1" t="s">
        <v>326</v>
      </c>
      <c r="E230" s="10">
        <v>26.067148724580676</v>
      </c>
      <c r="F230" s="1" t="s">
        <v>768</v>
      </c>
      <c r="G230" s="1" t="s">
        <v>756</v>
      </c>
      <c r="H230" s="1" t="s">
        <v>490</v>
      </c>
    </row>
    <row r="231" spans="2:8">
      <c r="B231" s="1" t="s">
        <v>704</v>
      </c>
      <c r="C231" s="1" t="s">
        <v>769</v>
      </c>
      <c r="D231" s="1" t="s">
        <v>326</v>
      </c>
      <c r="E231" s="10">
        <v>22.166666666666668</v>
      </c>
      <c r="F231" s="1" t="s">
        <v>770</v>
      </c>
      <c r="G231" s="1" t="s">
        <v>756</v>
      </c>
      <c r="H231" s="1" t="s">
        <v>490</v>
      </c>
    </row>
    <row r="232" spans="2:8">
      <c r="B232" s="1" t="s">
        <v>704</v>
      </c>
      <c r="C232" s="1" t="s">
        <v>771</v>
      </c>
      <c r="D232" s="1" t="s">
        <v>326</v>
      </c>
      <c r="E232" s="10">
        <v>30.501595124100522</v>
      </c>
      <c r="F232" s="1" t="s">
        <v>772</v>
      </c>
      <c r="G232" s="1" t="s">
        <v>756</v>
      </c>
      <c r="H232" s="1" t="s">
        <v>490</v>
      </c>
    </row>
    <row r="233" spans="2:8">
      <c r="B233" s="1" t="s">
        <v>704</v>
      </c>
      <c r="C233" s="1" t="s">
        <v>773</v>
      </c>
      <c r="D233" s="1" t="s">
        <v>326</v>
      </c>
      <c r="E233" s="10">
        <v>31.95568549011281</v>
      </c>
      <c r="F233" s="1" t="s">
        <v>774</v>
      </c>
      <c r="G233" s="1" t="s">
        <v>756</v>
      </c>
      <c r="H233" s="1" t="s">
        <v>490</v>
      </c>
    </row>
    <row r="234" spans="2:8">
      <c r="B234" s="1" t="s">
        <v>704</v>
      </c>
      <c r="C234" s="1" t="s">
        <v>775</v>
      </c>
      <c r="D234" s="1" t="s">
        <v>326</v>
      </c>
      <c r="E234" s="10">
        <v>19.9689920171447</v>
      </c>
      <c r="F234" s="1" t="s">
        <v>776</v>
      </c>
      <c r="G234" s="1" t="s">
        <v>756</v>
      </c>
      <c r="H234" s="1" t="s">
        <v>490</v>
      </c>
    </row>
    <row r="235" spans="2:8">
      <c r="B235" s="1" t="s">
        <v>704</v>
      </c>
      <c r="C235" s="1" t="s">
        <v>777</v>
      </c>
      <c r="D235" s="1" t="s">
        <v>326</v>
      </c>
      <c r="E235" s="10">
        <v>18.469870365267347</v>
      </c>
      <c r="F235" s="1" t="s">
        <v>778</v>
      </c>
      <c r="G235" s="1" t="s">
        <v>756</v>
      </c>
      <c r="H235" s="1" t="s">
        <v>490</v>
      </c>
    </row>
    <row r="236" spans="2:8">
      <c r="B236" s="1" t="s">
        <v>704</v>
      </c>
      <c r="C236" s="1" t="s">
        <v>779</v>
      </c>
      <c r="D236" s="1" t="s">
        <v>330</v>
      </c>
      <c r="E236" s="10">
        <v>22.068177655866993</v>
      </c>
      <c r="F236" s="1" t="s">
        <v>780</v>
      </c>
      <c r="G236" s="1" t="s">
        <v>756</v>
      </c>
      <c r="H236" s="1" t="s">
        <v>490</v>
      </c>
    </row>
    <row r="237" spans="2:8">
      <c r="B237" s="1" t="s">
        <v>704</v>
      </c>
      <c r="C237" s="1" t="s">
        <v>781</v>
      </c>
      <c r="D237" s="1" t="s">
        <v>330</v>
      </c>
      <c r="E237" s="10">
        <v>26</v>
      </c>
      <c r="F237" s="1" t="s">
        <v>782</v>
      </c>
      <c r="G237" s="1" t="s">
        <v>756</v>
      </c>
      <c r="H237" s="1" t="s">
        <v>490</v>
      </c>
    </row>
    <row r="238" spans="2:8">
      <c r="B238" s="1" t="s">
        <v>704</v>
      </c>
      <c r="C238" s="1" t="s">
        <v>783</v>
      </c>
      <c r="D238" s="1" t="s">
        <v>330</v>
      </c>
      <c r="E238" s="10">
        <v>31.427729443995904</v>
      </c>
      <c r="F238" s="1" t="s">
        <v>784</v>
      </c>
      <c r="G238" s="1" t="s">
        <v>756</v>
      </c>
      <c r="H238" s="1" t="s">
        <v>490</v>
      </c>
    </row>
    <row r="239" spans="2:8">
      <c r="B239" s="1" t="s">
        <v>704</v>
      </c>
      <c r="C239" s="1" t="s">
        <v>785</v>
      </c>
      <c r="D239" s="1" t="s">
        <v>330</v>
      </c>
      <c r="E239" s="10">
        <v>32.282613749169364</v>
      </c>
      <c r="F239" s="1" t="s">
        <v>786</v>
      </c>
      <c r="G239" s="1" t="s">
        <v>756</v>
      </c>
      <c r="H239" s="1" t="s">
        <v>490</v>
      </c>
    </row>
    <row r="240" spans="2:8">
      <c r="B240" s="1" t="s">
        <v>704</v>
      </c>
      <c r="C240" s="1" t="s">
        <v>787</v>
      </c>
      <c r="D240" s="1" t="s">
        <v>330</v>
      </c>
      <c r="E240" s="10">
        <v>19.495479811169847</v>
      </c>
      <c r="F240" s="1" t="s">
        <v>788</v>
      </c>
      <c r="G240" s="1" t="s">
        <v>756</v>
      </c>
      <c r="H240" s="1" t="s">
        <v>490</v>
      </c>
    </row>
    <row r="241" spans="1:17">
      <c r="B241" s="1" t="s">
        <v>704</v>
      </c>
      <c r="C241" s="1" t="s">
        <v>789</v>
      </c>
      <c r="D241" s="1" t="s">
        <v>330</v>
      </c>
      <c r="E241" s="10">
        <v>18.227754500451326</v>
      </c>
      <c r="F241" s="1" t="s">
        <v>790</v>
      </c>
      <c r="G241" s="1" t="s">
        <v>756</v>
      </c>
      <c r="H241" s="1" t="s">
        <v>490</v>
      </c>
    </row>
    <row r="242" spans="1:17">
      <c r="B242" s="1" t="s">
        <v>210</v>
      </c>
      <c r="C242" s="1" t="s">
        <v>791</v>
      </c>
      <c r="D242" s="1" t="s">
        <v>320</v>
      </c>
      <c r="E242" s="17">
        <v>2.792299225849372</v>
      </c>
      <c r="F242" s="1" t="s">
        <v>792</v>
      </c>
      <c r="G242" s="1" t="s">
        <v>793</v>
      </c>
      <c r="H242" s="1" t="s">
        <v>794</v>
      </c>
    </row>
    <row r="245" spans="1:17" ht="22.9" customHeight="1">
      <c r="A245" s="136" t="s">
        <v>795</v>
      </c>
      <c r="B245" s="136"/>
      <c r="C245" s="136"/>
      <c r="D245" s="136"/>
      <c r="E245" s="136"/>
      <c r="F245" s="136"/>
      <c r="G245" s="136"/>
      <c r="H245" s="136"/>
      <c r="I245" s="136"/>
      <c r="J245" s="136"/>
      <c r="K245" s="136"/>
      <c r="L245" s="136"/>
      <c r="N245" s="136" t="s">
        <v>796</v>
      </c>
      <c r="O245" s="136"/>
      <c r="P245" s="136"/>
      <c r="Q245" s="136"/>
    </row>
    <row r="246" spans="1:17" ht="14.45" customHeight="1">
      <c r="A246" s="11" t="s">
        <v>278</v>
      </c>
      <c r="B246" s="11" t="s">
        <v>279</v>
      </c>
      <c r="C246" s="11" t="s">
        <v>280</v>
      </c>
      <c r="D246" s="11" t="s">
        <v>281</v>
      </c>
      <c r="E246" s="12" t="s">
        <v>141</v>
      </c>
      <c r="F246" s="11" t="s">
        <v>282</v>
      </c>
      <c r="G246" s="11" t="s">
        <v>283</v>
      </c>
      <c r="H246" s="11" t="s">
        <v>284</v>
      </c>
      <c r="I246" s="11" t="s">
        <v>285</v>
      </c>
      <c r="N246" s="11" t="s">
        <v>797</v>
      </c>
      <c r="O246" s="11" t="s">
        <v>798</v>
      </c>
      <c r="P246" s="11" t="s">
        <v>799</v>
      </c>
      <c r="Q246" s="11" t="s">
        <v>800</v>
      </c>
    </row>
    <row r="247" spans="1:17">
      <c r="B247" s="1" t="s">
        <v>795</v>
      </c>
      <c r="C247" s="1" t="s">
        <v>801</v>
      </c>
      <c r="D247" s="1" t="s">
        <v>287</v>
      </c>
      <c r="E247" s="26">
        <v>59.036043450999998</v>
      </c>
      <c r="F247" s="1" t="s">
        <v>802</v>
      </c>
      <c r="G247" s="1" t="s">
        <v>803</v>
      </c>
      <c r="H247" s="1" t="s">
        <v>804</v>
      </c>
      <c r="I247" s="1" t="s">
        <v>805</v>
      </c>
      <c r="N247" s="1">
        <v>2024</v>
      </c>
      <c r="O247" s="48">
        <v>152</v>
      </c>
      <c r="P247" s="48">
        <v>248</v>
      </c>
      <c r="Q247" s="48">
        <v>424</v>
      </c>
    </row>
    <row r="248" spans="1:17">
      <c r="B248" s="1" t="s">
        <v>795</v>
      </c>
      <c r="C248" s="1" t="s">
        <v>806</v>
      </c>
      <c r="D248" s="1" t="s">
        <v>287</v>
      </c>
      <c r="E248" s="26">
        <v>0.33016363510000002</v>
      </c>
      <c r="F248" s="1" t="s">
        <v>807</v>
      </c>
      <c r="G248" s="1" t="s">
        <v>803</v>
      </c>
      <c r="H248" s="1" t="s">
        <v>804</v>
      </c>
      <c r="I248" s="1" t="s">
        <v>808</v>
      </c>
      <c r="N248" s="1">
        <v>2025</v>
      </c>
      <c r="O248" s="48">
        <v>155</v>
      </c>
      <c r="P248" s="48">
        <v>252</v>
      </c>
      <c r="Q248" s="48">
        <v>429</v>
      </c>
    </row>
    <row r="249" spans="1:17">
      <c r="B249" s="1" t="s">
        <v>795</v>
      </c>
      <c r="C249" s="1" t="s">
        <v>809</v>
      </c>
      <c r="D249" s="1" t="s">
        <v>287</v>
      </c>
      <c r="E249" s="26">
        <v>2.6101033831000002</v>
      </c>
      <c r="F249" s="1" t="s">
        <v>810</v>
      </c>
      <c r="G249" s="1" t="s">
        <v>803</v>
      </c>
      <c r="H249" s="1" t="s">
        <v>804</v>
      </c>
      <c r="I249" s="1" t="s">
        <v>805</v>
      </c>
      <c r="N249" s="1">
        <v>2026</v>
      </c>
      <c r="O249" s="48">
        <v>158</v>
      </c>
      <c r="P249" s="48">
        <v>256</v>
      </c>
      <c r="Q249" s="48">
        <v>434</v>
      </c>
    </row>
    <row r="250" spans="1:17">
      <c r="B250" s="1" t="s">
        <v>795</v>
      </c>
      <c r="C250" s="1" t="s">
        <v>811</v>
      </c>
      <c r="D250" s="1" t="s">
        <v>287</v>
      </c>
      <c r="E250" s="26">
        <v>408.22210930999995</v>
      </c>
      <c r="F250" s="1" t="s">
        <v>812</v>
      </c>
      <c r="G250" s="1" t="s">
        <v>803</v>
      </c>
      <c r="H250" s="1" t="s">
        <v>804</v>
      </c>
      <c r="I250" s="1" t="s">
        <v>805</v>
      </c>
      <c r="N250" s="1">
        <v>2027</v>
      </c>
      <c r="O250" s="48">
        <v>162</v>
      </c>
      <c r="P250" s="48">
        <v>261</v>
      </c>
      <c r="Q250" s="48">
        <v>440</v>
      </c>
    </row>
    <row r="251" spans="1:17">
      <c r="B251" s="1" t="s">
        <v>795</v>
      </c>
      <c r="C251" s="1" t="s">
        <v>813</v>
      </c>
      <c r="D251" s="1" t="s">
        <v>287</v>
      </c>
      <c r="E251" s="26">
        <v>34.542679172</v>
      </c>
      <c r="F251" s="1" t="s">
        <v>814</v>
      </c>
      <c r="G251" s="1" t="s">
        <v>803</v>
      </c>
      <c r="H251" s="1" t="s">
        <v>804</v>
      </c>
      <c r="I251" s="1" t="s">
        <v>805</v>
      </c>
      <c r="N251" s="1">
        <v>2028</v>
      </c>
      <c r="O251" s="48">
        <v>165</v>
      </c>
      <c r="P251" s="48">
        <v>265</v>
      </c>
      <c r="Q251" s="48">
        <v>446</v>
      </c>
    </row>
    <row r="252" spans="1:17">
      <c r="B252" s="1" t="s">
        <v>795</v>
      </c>
      <c r="C252" s="1" t="s">
        <v>815</v>
      </c>
      <c r="D252" s="1" t="s">
        <v>320</v>
      </c>
      <c r="E252" s="28">
        <f>(E247*1000/$E$22)/$E$17</f>
        <v>1.4321494657454237</v>
      </c>
      <c r="F252" s="1" t="s">
        <v>816</v>
      </c>
      <c r="G252" s="1" t="s">
        <v>817</v>
      </c>
      <c r="H252" s="1" t="s">
        <v>818</v>
      </c>
      <c r="N252" s="1">
        <v>2029</v>
      </c>
      <c r="O252" s="48">
        <v>168</v>
      </c>
      <c r="P252" s="48">
        <v>269</v>
      </c>
      <c r="Q252" s="48">
        <v>452</v>
      </c>
    </row>
    <row r="253" spans="1:17">
      <c r="B253" s="1" t="s">
        <v>795</v>
      </c>
      <c r="C253" s="1" t="s">
        <v>819</v>
      </c>
      <c r="D253" s="1" t="s">
        <v>320</v>
      </c>
      <c r="E253" s="28">
        <f t="shared" ref="E253:E256" si="2">(E248*1000/$E$22)/$E$17</f>
        <v>8.0094065587151524E-3</v>
      </c>
      <c r="F253" s="1" t="s">
        <v>820</v>
      </c>
      <c r="G253" s="1" t="s">
        <v>817</v>
      </c>
      <c r="H253" s="1" t="s">
        <v>818</v>
      </c>
      <c r="N253" s="1">
        <v>2030</v>
      </c>
      <c r="O253" s="48">
        <v>171</v>
      </c>
      <c r="P253" s="48">
        <v>274</v>
      </c>
      <c r="Q253" s="48">
        <v>457</v>
      </c>
    </row>
    <row r="254" spans="1:17">
      <c r="B254" s="1" t="s">
        <v>795</v>
      </c>
      <c r="C254" s="1" t="s">
        <v>821</v>
      </c>
      <c r="D254" s="1" t="s">
        <v>320</v>
      </c>
      <c r="E254" s="28">
        <f t="shared" si="2"/>
        <v>6.3318236574400222E-2</v>
      </c>
      <c r="F254" s="1" t="s">
        <v>822</v>
      </c>
      <c r="G254" s="1" t="s">
        <v>817</v>
      </c>
      <c r="H254" s="1" t="s">
        <v>818</v>
      </c>
      <c r="N254" s="1">
        <v>2031</v>
      </c>
      <c r="O254" s="48">
        <v>175</v>
      </c>
      <c r="P254" s="48">
        <v>279</v>
      </c>
      <c r="Q254" s="48">
        <v>463</v>
      </c>
    </row>
    <row r="255" spans="1:17">
      <c r="B255" s="1" t="s">
        <v>795</v>
      </c>
      <c r="C255" s="1" t="s">
        <v>823</v>
      </c>
      <c r="D255" s="1" t="s">
        <v>320</v>
      </c>
      <c r="E255" s="28">
        <f t="shared" si="2"/>
        <v>9.903019267187755</v>
      </c>
      <c r="F255" s="1" t="s">
        <v>824</v>
      </c>
      <c r="G255" s="1" t="s">
        <v>817</v>
      </c>
      <c r="H255" s="1" t="s">
        <v>818</v>
      </c>
      <c r="N255" s="1">
        <v>2032</v>
      </c>
      <c r="O255" s="48">
        <v>179</v>
      </c>
      <c r="P255" s="48">
        <v>282</v>
      </c>
      <c r="Q255" s="48">
        <v>469</v>
      </c>
    </row>
    <row r="256" spans="1:17">
      <c r="B256" s="1" t="s">
        <v>795</v>
      </c>
      <c r="C256" s="1" t="s">
        <v>825</v>
      </c>
      <c r="D256" s="1" t="s">
        <v>320</v>
      </c>
      <c r="E256" s="28">
        <f t="shared" si="2"/>
        <v>0.83796739465875247</v>
      </c>
      <c r="F256" s="1" t="s">
        <v>826</v>
      </c>
      <c r="G256" s="1" t="s">
        <v>817</v>
      </c>
      <c r="H256" s="1" t="s">
        <v>818</v>
      </c>
      <c r="N256" s="1">
        <v>2033</v>
      </c>
      <c r="O256" s="48">
        <v>182</v>
      </c>
      <c r="P256" s="48">
        <v>287</v>
      </c>
      <c r="Q256" s="48">
        <v>474</v>
      </c>
    </row>
    <row r="257" spans="2:17">
      <c r="B257" s="1" t="s">
        <v>795</v>
      </c>
      <c r="C257" s="1" t="s">
        <v>827</v>
      </c>
      <c r="D257" s="1" t="s">
        <v>326</v>
      </c>
      <c r="E257" s="28">
        <f>(E247*1000/$E$22)/$E$18</f>
        <v>2.4233352160546917</v>
      </c>
      <c r="F257" s="1" t="s">
        <v>828</v>
      </c>
      <c r="G257" s="1" t="s">
        <v>817</v>
      </c>
      <c r="H257" s="1" t="s">
        <v>829</v>
      </c>
      <c r="N257" s="1">
        <v>2034</v>
      </c>
      <c r="O257" s="48">
        <v>184</v>
      </c>
      <c r="P257" s="48">
        <v>292</v>
      </c>
      <c r="Q257" s="48">
        <v>480</v>
      </c>
    </row>
    <row r="258" spans="2:17">
      <c r="B258" s="1" t="s">
        <v>795</v>
      </c>
      <c r="C258" s="1" t="s">
        <v>830</v>
      </c>
      <c r="D258" s="1" t="s">
        <v>326</v>
      </c>
      <c r="E258" s="28">
        <f t="shared" ref="E258:E261" si="3">(E248*1000/$E$22)/$E$18</f>
        <v>1.3552689462710061E-2</v>
      </c>
      <c r="F258" s="1" t="s">
        <v>831</v>
      </c>
      <c r="G258" s="1" t="s">
        <v>817</v>
      </c>
      <c r="H258" s="1" t="s">
        <v>829</v>
      </c>
      <c r="N258" s="1">
        <v>2035</v>
      </c>
      <c r="O258" s="48">
        <v>188</v>
      </c>
      <c r="P258" s="48">
        <v>295</v>
      </c>
      <c r="Q258" s="48">
        <v>486</v>
      </c>
    </row>
    <row r="259" spans="2:17">
      <c r="B259" s="1" t="s">
        <v>795</v>
      </c>
      <c r="C259" s="1" t="s">
        <v>832</v>
      </c>
      <c r="D259" s="1" t="s">
        <v>326</v>
      </c>
      <c r="E259" s="28">
        <f t="shared" si="3"/>
        <v>0.10714057169260691</v>
      </c>
      <c r="F259" s="1" t="s">
        <v>833</v>
      </c>
      <c r="G259" s="1" t="s">
        <v>817</v>
      </c>
      <c r="H259" s="1" t="s">
        <v>829</v>
      </c>
      <c r="N259" s="1">
        <v>2036</v>
      </c>
      <c r="O259" s="48">
        <v>192</v>
      </c>
      <c r="P259" s="48">
        <v>300</v>
      </c>
      <c r="Q259" s="48">
        <v>490</v>
      </c>
    </row>
    <row r="260" spans="2:17">
      <c r="B260" s="1" t="s">
        <v>795</v>
      </c>
      <c r="C260" s="1" t="s">
        <v>834</v>
      </c>
      <c r="D260" s="1" t="s">
        <v>326</v>
      </c>
      <c r="E260" s="28">
        <f t="shared" si="3"/>
        <v>16.756865054551586</v>
      </c>
      <c r="F260" s="1" t="s">
        <v>835</v>
      </c>
      <c r="G260" s="1" t="s">
        <v>817</v>
      </c>
      <c r="H260" s="1" t="s">
        <v>829</v>
      </c>
      <c r="N260" s="1">
        <v>2037</v>
      </c>
      <c r="O260" s="48">
        <v>195</v>
      </c>
      <c r="P260" s="48">
        <v>305</v>
      </c>
      <c r="Q260" s="48">
        <v>496</v>
      </c>
    </row>
    <row r="261" spans="2:17">
      <c r="B261" s="1" t="s">
        <v>795</v>
      </c>
      <c r="C261" s="1" t="s">
        <v>836</v>
      </c>
      <c r="D261" s="1" t="s">
        <v>326</v>
      </c>
      <c r="E261" s="28">
        <f t="shared" si="3"/>
        <v>1.4179217644194719</v>
      </c>
      <c r="F261" s="1" t="s">
        <v>837</v>
      </c>
      <c r="G261" s="1" t="s">
        <v>817</v>
      </c>
      <c r="H261" s="1" t="s">
        <v>829</v>
      </c>
      <c r="N261" s="1">
        <v>2038</v>
      </c>
      <c r="O261" s="48">
        <v>199</v>
      </c>
      <c r="P261" s="48">
        <v>308</v>
      </c>
      <c r="Q261" s="48">
        <v>502</v>
      </c>
    </row>
    <row r="262" spans="2:17">
      <c r="B262" s="1" t="s">
        <v>795</v>
      </c>
      <c r="C262" s="1" t="s">
        <v>838</v>
      </c>
      <c r="D262" s="1" t="s">
        <v>330</v>
      </c>
      <c r="E262" s="28">
        <f>(E247*1000/$E$22)/$E$19</f>
        <v>3.5007795273505868</v>
      </c>
      <c r="F262" s="1" t="s">
        <v>839</v>
      </c>
      <c r="G262" s="1" t="s">
        <v>817</v>
      </c>
      <c r="H262" s="1" t="s">
        <v>829</v>
      </c>
      <c r="N262" s="1">
        <v>2039</v>
      </c>
      <c r="O262" s="48">
        <v>202</v>
      </c>
      <c r="P262" s="48">
        <v>313</v>
      </c>
      <c r="Q262" s="48">
        <v>507</v>
      </c>
    </row>
    <row r="263" spans="2:17">
      <c r="B263" s="1" t="s">
        <v>795</v>
      </c>
      <c r="C263" s="1" t="s">
        <v>840</v>
      </c>
      <c r="D263" s="1" t="s">
        <v>330</v>
      </c>
      <c r="E263" s="28">
        <f t="shared" ref="E263:E266" si="4">(E248*1000/$E$22)/$E$19</f>
        <v>1.9578380034784518E-2</v>
      </c>
      <c r="F263" s="1" t="s">
        <v>841</v>
      </c>
      <c r="G263" s="1" t="s">
        <v>817</v>
      </c>
      <c r="H263" s="1" t="s">
        <v>829</v>
      </c>
      <c r="N263" s="1">
        <v>2040</v>
      </c>
      <c r="O263" s="48">
        <v>206</v>
      </c>
      <c r="P263" s="48">
        <v>318</v>
      </c>
      <c r="Q263" s="48">
        <v>513</v>
      </c>
    </row>
    <row r="264" spans="2:17">
      <c r="B264" s="1" t="s">
        <v>795</v>
      </c>
      <c r="C264" s="1" t="s">
        <v>842</v>
      </c>
      <c r="D264" s="1" t="s">
        <v>330</v>
      </c>
      <c r="E264" s="28">
        <f t="shared" si="4"/>
        <v>0.15477657298306313</v>
      </c>
      <c r="F264" s="1" t="s">
        <v>843</v>
      </c>
      <c r="G264" s="1" t="s">
        <v>817</v>
      </c>
      <c r="H264" s="1" t="s">
        <v>829</v>
      </c>
      <c r="N264" s="1">
        <v>2041</v>
      </c>
      <c r="O264" s="48">
        <v>209</v>
      </c>
      <c r="P264" s="48">
        <v>323</v>
      </c>
      <c r="Q264" s="48">
        <v>519</v>
      </c>
    </row>
    <row r="265" spans="2:17">
      <c r="B265" s="1" t="s">
        <v>795</v>
      </c>
      <c r="C265" s="1" t="s">
        <v>844</v>
      </c>
      <c r="D265" s="1" t="s">
        <v>330</v>
      </c>
      <c r="E265" s="28">
        <f t="shared" si="4"/>
        <v>24.207171066104266</v>
      </c>
      <c r="F265" s="1" t="s">
        <v>845</v>
      </c>
      <c r="G265" s="1" t="s">
        <v>817</v>
      </c>
      <c r="H265" s="1" t="s">
        <v>829</v>
      </c>
      <c r="N265" s="1">
        <v>2042</v>
      </c>
      <c r="O265" s="48">
        <v>213</v>
      </c>
      <c r="P265" s="48">
        <v>327</v>
      </c>
      <c r="Q265" s="48">
        <v>525</v>
      </c>
    </row>
    <row r="266" spans="2:17">
      <c r="B266" s="1" t="s">
        <v>795</v>
      </c>
      <c r="C266" s="1" t="s">
        <v>846</v>
      </c>
      <c r="D266" s="1" t="s">
        <v>330</v>
      </c>
      <c r="E266" s="28">
        <f t="shared" si="4"/>
        <v>2.0483470266015731</v>
      </c>
      <c r="F266" s="1" t="s">
        <v>847</v>
      </c>
      <c r="G266" s="1" t="s">
        <v>817</v>
      </c>
      <c r="H266" s="1" t="s">
        <v>829</v>
      </c>
      <c r="N266" s="1">
        <v>2043</v>
      </c>
      <c r="O266" s="48">
        <v>217</v>
      </c>
      <c r="P266" s="48">
        <v>332</v>
      </c>
      <c r="Q266" s="48">
        <v>531</v>
      </c>
    </row>
    <row r="267" spans="2:17">
      <c r="B267" s="1" t="s">
        <v>795</v>
      </c>
      <c r="C267" s="1" t="s">
        <v>848</v>
      </c>
      <c r="D267" s="1" t="s">
        <v>287</v>
      </c>
      <c r="E267" s="1">
        <v>307.98</v>
      </c>
      <c r="F267" s="1" t="s">
        <v>849</v>
      </c>
      <c r="G267" s="1" t="s">
        <v>850</v>
      </c>
      <c r="H267" s="1" t="s">
        <v>851</v>
      </c>
      <c r="I267" s="1" t="s">
        <v>852</v>
      </c>
      <c r="N267" s="1">
        <v>2044</v>
      </c>
      <c r="O267" s="48">
        <v>221</v>
      </c>
      <c r="P267" s="48">
        <v>337</v>
      </c>
      <c r="Q267" s="48">
        <v>537</v>
      </c>
    </row>
    <row r="268" spans="2:17">
      <c r="B268" s="1" t="s">
        <v>795</v>
      </c>
      <c r="C268" s="1" t="s">
        <v>853</v>
      </c>
      <c r="D268" s="1" t="s">
        <v>287</v>
      </c>
      <c r="E268" s="1">
        <v>408.37</v>
      </c>
      <c r="F268" s="1" t="s">
        <v>854</v>
      </c>
      <c r="G268" s="1" t="s">
        <v>850</v>
      </c>
      <c r="H268" s="1" t="s">
        <v>851</v>
      </c>
      <c r="I268" s="1" t="s">
        <v>852</v>
      </c>
      <c r="N268" s="1">
        <v>2045</v>
      </c>
      <c r="O268" s="48">
        <v>225</v>
      </c>
      <c r="P268" s="48">
        <v>342</v>
      </c>
      <c r="Q268" s="48">
        <v>543</v>
      </c>
    </row>
    <row r="269" spans="2:17">
      <c r="B269" s="1" t="s">
        <v>795</v>
      </c>
      <c r="C269" s="1" t="s">
        <v>855</v>
      </c>
      <c r="D269" s="1" t="s">
        <v>287</v>
      </c>
      <c r="E269" s="15">
        <v>21316.303619576764</v>
      </c>
      <c r="F269" s="1" t="s">
        <v>856</v>
      </c>
      <c r="G269" s="1" t="s">
        <v>857</v>
      </c>
      <c r="H269" s="1" t="s">
        <v>308</v>
      </c>
      <c r="N269" s="1">
        <v>2046</v>
      </c>
      <c r="O269" s="48">
        <v>229</v>
      </c>
      <c r="P269" s="48">
        <v>346</v>
      </c>
      <c r="Q269" s="48">
        <v>550</v>
      </c>
    </row>
    <row r="270" spans="2:17">
      <c r="B270" s="1" t="s">
        <v>795</v>
      </c>
      <c r="C270" s="1" t="s">
        <v>858</v>
      </c>
      <c r="D270" s="1" t="s">
        <v>287</v>
      </c>
      <c r="E270" s="15">
        <v>57185.083748672281</v>
      </c>
      <c r="F270" s="1" t="s">
        <v>859</v>
      </c>
      <c r="G270" s="1" t="s">
        <v>857</v>
      </c>
      <c r="H270" s="1" t="s">
        <v>308</v>
      </c>
      <c r="N270" s="1">
        <v>2047</v>
      </c>
      <c r="O270" s="48">
        <v>232</v>
      </c>
      <c r="P270" s="48">
        <v>352</v>
      </c>
      <c r="Q270" s="48">
        <v>556</v>
      </c>
    </row>
    <row r="271" spans="2:17">
      <c r="B271" s="1" t="s">
        <v>795</v>
      </c>
      <c r="C271" s="1" t="s">
        <v>860</v>
      </c>
      <c r="D271" s="1" t="s">
        <v>287</v>
      </c>
      <c r="E271" s="15">
        <v>1023080.0915107444</v>
      </c>
      <c r="F271" s="1" t="s">
        <v>861</v>
      </c>
      <c r="G271" s="1" t="s">
        <v>857</v>
      </c>
      <c r="H271" s="1" t="s">
        <v>308</v>
      </c>
      <c r="N271" s="1">
        <v>2048</v>
      </c>
      <c r="O271" s="48">
        <v>237</v>
      </c>
      <c r="P271" s="48">
        <v>357</v>
      </c>
      <c r="Q271" s="48">
        <v>562</v>
      </c>
    </row>
    <row r="272" spans="2:17">
      <c r="B272" s="1" t="s">
        <v>795</v>
      </c>
      <c r="C272" s="1" t="s">
        <v>862</v>
      </c>
      <c r="D272" s="1" t="s">
        <v>287</v>
      </c>
      <c r="E272" s="15">
        <v>422.20442910800989</v>
      </c>
      <c r="F272" s="1" t="s">
        <v>863</v>
      </c>
      <c r="G272" s="1" t="s">
        <v>857</v>
      </c>
      <c r="H272" s="1" t="s">
        <v>864</v>
      </c>
      <c r="N272" s="1">
        <v>2049</v>
      </c>
      <c r="O272" s="48">
        <v>240</v>
      </c>
      <c r="P272" s="48">
        <v>362</v>
      </c>
      <c r="Q272" s="48">
        <v>568</v>
      </c>
    </row>
    <row r="273" spans="1:17">
      <c r="B273" s="1" t="s">
        <v>795</v>
      </c>
      <c r="C273" s="1" t="s">
        <v>865</v>
      </c>
      <c r="D273" s="1" t="s">
        <v>287</v>
      </c>
      <c r="E273" s="15">
        <v>2392.4917649453896</v>
      </c>
      <c r="F273" s="1" t="s">
        <v>866</v>
      </c>
      <c r="G273" s="1" t="s">
        <v>857</v>
      </c>
      <c r="H273" s="1" t="s">
        <v>864</v>
      </c>
      <c r="N273" s="1">
        <v>2050</v>
      </c>
      <c r="O273" s="48">
        <v>244</v>
      </c>
      <c r="P273" s="48">
        <v>367</v>
      </c>
      <c r="Q273" s="48">
        <v>574</v>
      </c>
    </row>
    <row r="274" spans="1:17">
      <c r="N274" s="1">
        <v>2051</v>
      </c>
      <c r="O274" s="48">
        <v>247.57797242282473</v>
      </c>
      <c r="P274" s="48">
        <v>371.36695863423705</v>
      </c>
      <c r="Q274" s="48">
        <v>579.66573350920976</v>
      </c>
    </row>
    <row r="275" spans="1:17">
      <c r="N275" s="1">
        <v>2052</v>
      </c>
      <c r="O275" s="48">
        <v>251.14880856353852</v>
      </c>
      <c r="P275" s="48">
        <v>374.93779477495087</v>
      </c>
      <c r="Q275" s="48">
        <v>584.42684836349486</v>
      </c>
    </row>
    <row r="276" spans="1:17" ht="22.9" customHeight="1">
      <c r="A276" s="136" t="s">
        <v>867</v>
      </c>
      <c r="B276" s="136"/>
      <c r="C276" s="136"/>
      <c r="D276" s="136"/>
      <c r="E276" s="136"/>
      <c r="F276" s="136"/>
      <c r="G276" s="136"/>
      <c r="H276" s="136"/>
      <c r="I276" s="136"/>
      <c r="J276" s="136"/>
      <c r="K276" s="136"/>
      <c r="L276" s="136"/>
      <c r="N276" s="1">
        <v>2053</v>
      </c>
      <c r="O276" s="48">
        <v>254.71964470425235</v>
      </c>
      <c r="P276" s="48">
        <v>379.69890962923597</v>
      </c>
      <c r="Q276" s="48">
        <v>590.37824193135123</v>
      </c>
    </row>
    <row r="277" spans="1:17">
      <c r="A277" s="11" t="s">
        <v>278</v>
      </c>
      <c r="B277" s="11" t="s">
        <v>279</v>
      </c>
      <c r="C277" s="11" t="s">
        <v>280</v>
      </c>
      <c r="D277" s="11" t="s">
        <v>281</v>
      </c>
      <c r="E277" s="12" t="s">
        <v>141</v>
      </c>
      <c r="F277" s="11" t="s">
        <v>282</v>
      </c>
      <c r="G277" s="11" t="s">
        <v>283</v>
      </c>
      <c r="H277" s="11" t="s">
        <v>284</v>
      </c>
      <c r="I277" s="11" t="s">
        <v>285</v>
      </c>
      <c r="N277" s="1">
        <v>2054</v>
      </c>
      <c r="O277" s="48">
        <v>258.29048084496617</v>
      </c>
      <c r="P277" s="48">
        <v>384.46002448352107</v>
      </c>
      <c r="Q277" s="48">
        <v>595.13935678563632</v>
      </c>
    </row>
    <row r="278" spans="1:17">
      <c r="B278" s="1" t="s">
        <v>867</v>
      </c>
      <c r="C278" s="1" t="s">
        <v>868</v>
      </c>
      <c r="D278" s="1" t="s">
        <v>287</v>
      </c>
      <c r="E278" s="14">
        <v>0.89</v>
      </c>
      <c r="F278" s="1" t="s">
        <v>869</v>
      </c>
      <c r="G278" s="1" t="s">
        <v>76</v>
      </c>
      <c r="H278" s="1" t="s">
        <v>308</v>
      </c>
      <c r="I278" s="1" t="s">
        <v>870</v>
      </c>
      <c r="N278" s="1">
        <v>2055</v>
      </c>
      <c r="O278" s="48">
        <v>261.86131698567999</v>
      </c>
      <c r="P278" s="48">
        <v>388.03086062423489</v>
      </c>
      <c r="Q278" s="48">
        <v>601.09075035349269</v>
      </c>
    </row>
    <row r="279" spans="1:17">
      <c r="B279" s="1" t="s">
        <v>867</v>
      </c>
      <c r="C279" s="1" t="s">
        <v>871</v>
      </c>
      <c r="D279" s="1" t="s">
        <v>287</v>
      </c>
      <c r="E279" s="18">
        <v>3.5</v>
      </c>
      <c r="F279" s="1" t="s">
        <v>872</v>
      </c>
      <c r="G279" s="1" t="s">
        <v>289</v>
      </c>
      <c r="H279" s="1" t="s">
        <v>873</v>
      </c>
      <c r="N279" s="1">
        <v>2056</v>
      </c>
      <c r="O279" s="48">
        <v>264.24187441282254</v>
      </c>
      <c r="P279" s="48">
        <v>392.79197547851999</v>
      </c>
      <c r="Q279" s="48">
        <v>607.04214392134907</v>
      </c>
    </row>
    <row r="280" spans="1:17">
      <c r="B280" s="1" t="s">
        <v>867</v>
      </c>
      <c r="C280" s="1" t="s">
        <v>874</v>
      </c>
      <c r="D280" s="1" t="s">
        <v>287</v>
      </c>
      <c r="E280" s="19">
        <v>0.66</v>
      </c>
      <c r="F280" s="1" t="s">
        <v>875</v>
      </c>
      <c r="G280" s="1" t="s">
        <v>258</v>
      </c>
      <c r="H280" s="1" t="s">
        <v>873</v>
      </c>
      <c r="N280" s="1">
        <v>2057</v>
      </c>
      <c r="O280" s="48">
        <v>267.81271055353636</v>
      </c>
      <c r="P280" s="48">
        <v>397.55309033280508</v>
      </c>
      <c r="Q280" s="48">
        <v>611.80325877563416</v>
      </c>
    </row>
    <row r="281" spans="1:17">
      <c r="B281" s="1" t="s">
        <v>867</v>
      </c>
      <c r="C281" s="1" t="s">
        <v>876</v>
      </c>
      <c r="D281" s="1" t="s">
        <v>287</v>
      </c>
      <c r="E281" s="19">
        <v>0.06</v>
      </c>
      <c r="F281" s="1" t="s">
        <v>877</v>
      </c>
      <c r="G281" s="1" t="s">
        <v>258</v>
      </c>
      <c r="H281" s="1" t="s">
        <v>873</v>
      </c>
      <c r="N281" s="1">
        <v>2058</v>
      </c>
      <c r="O281" s="48">
        <v>271.38354669425019</v>
      </c>
      <c r="P281" s="48">
        <v>402.31420518709018</v>
      </c>
      <c r="Q281" s="48">
        <v>617.75465234349053</v>
      </c>
    </row>
    <row r="282" spans="1:17">
      <c r="B282" s="1" t="s">
        <v>867</v>
      </c>
      <c r="C282" s="1" t="s">
        <v>878</v>
      </c>
      <c r="D282" s="1" t="s">
        <v>287</v>
      </c>
      <c r="E282" s="15">
        <v>8.24</v>
      </c>
      <c r="F282" s="1" t="s">
        <v>879</v>
      </c>
      <c r="G282" s="1" t="s">
        <v>880</v>
      </c>
      <c r="H282" s="1" t="s">
        <v>308</v>
      </c>
      <c r="N282" s="1">
        <v>2059</v>
      </c>
      <c r="O282" s="48">
        <v>274.95438283496401</v>
      </c>
      <c r="P282" s="48">
        <v>405.885041327804</v>
      </c>
      <c r="Q282" s="48">
        <v>622.51576719777563</v>
      </c>
    </row>
    <row r="283" spans="1:17">
      <c r="B283" s="1" t="s">
        <v>867</v>
      </c>
      <c r="C283" s="1" t="s">
        <v>881</v>
      </c>
      <c r="D283" s="1" t="s">
        <v>287</v>
      </c>
      <c r="E283" s="15">
        <v>7.34</v>
      </c>
      <c r="F283" s="1" t="s">
        <v>882</v>
      </c>
      <c r="G283" s="1" t="s">
        <v>880</v>
      </c>
      <c r="H283" s="1" t="s">
        <v>308</v>
      </c>
      <c r="N283" s="1">
        <v>2060</v>
      </c>
      <c r="O283" s="48">
        <v>278.52521897567783</v>
      </c>
      <c r="P283" s="48">
        <v>410.6461561820891</v>
      </c>
      <c r="Q283" s="48">
        <v>628.467160765632</v>
      </c>
    </row>
    <row r="284" spans="1:17">
      <c r="B284" s="1" t="s">
        <v>867</v>
      </c>
      <c r="C284" s="1" t="s">
        <v>883</v>
      </c>
      <c r="D284" s="1" t="s">
        <v>287</v>
      </c>
      <c r="E284" s="1">
        <f>E279*E280*E281</f>
        <v>0.1386</v>
      </c>
      <c r="F284" s="1" t="s">
        <v>884</v>
      </c>
      <c r="G284" s="1" t="s">
        <v>289</v>
      </c>
      <c r="H284" s="1" t="s">
        <v>885</v>
      </c>
      <c r="I284" s="1" t="s">
        <v>886</v>
      </c>
      <c r="N284" s="1">
        <v>2061</v>
      </c>
      <c r="O284" s="48">
        <v>280.90577640282038</v>
      </c>
      <c r="P284" s="48">
        <v>414.21699232280287</v>
      </c>
      <c r="Q284" s="48">
        <v>633.2282756199171</v>
      </c>
    </row>
    <row r="285" spans="1:17">
      <c r="N285" s="1">
        <v>2062</v>
      </c>
      <c r="O285" s="48">
        <v>284.47661254353415</v>
      </c>
      <c r="P285" s="48">
        <v>417.78782846351669</v>
      </c>
      <c r="Q285" s="48">
        <v>636.79911176063092</v>
      </c>
    </row>
    <row r="286" spans="1:17">
      <c r="N286" s="1">
        <v>2063</v>
      </c>
      <c r="O286" s="48">
        <v>286.85716997067669</v>
      </c>
      <c r="P286" s="48">
        <v>421.35866460423051</v>
      </c>
      <c r="Q286" s="48">
        <v>641.56022661491602</v>
      </c>
    </row>
    <row r="287" spans="1:17" ht="22.9" customHeight="1">
      <c r="A287" s="136" t="s">
        <v>887</v>
      </c>
      <c r="B287" s="136"/>
      <c r="C287" s="136"/>
      <c r="D287" s="136"/>
      <c r="E287" s="136"/>
      <c r="F287" s="136"/>
      <c r="G287" s="136"/>
      <c r="H287" s="136"/>
      <c r="I287" s="136"/>
      <c r="J287" s="136"/>
      <c r="K287" s="136"/>
      <c r="L287" s="136"/>
      <c r="N287" s="1">
        <v>2064</v>
      </c>
      <c r="O287" s="48">
        <v>290.42800611139052</v>
      </c>
      <c r="P287" s="48">
        <v>424.92950074494433</v>
      </c>
      <c r="Q287" s="48">
        <v>646.32134146920112</v>
      </c>
    </row>
    <row r="288" spans="1:17">
      <c r="A288" s="11" t="s">
        <v>278</v>
      </c>
      <c r="B288" s="11" t="s">
        <v>279</v>
      </c>
      <c r="C288" s="11" t="s">
        <v>280</v>
      </c>
      <c r="D288" s="11" t="s">
        <v>281</v>
      </c>
      <c r="E288" s="12" t="s">
        <v>141</v>
      </c>
      <c r="F288" s="11" t="s">
        <v>282</v>
      </c>
      <c r="G288" s="11" t="s">
        <v>283</v>
      </c>
      <c r="H288" s="11" t="s">
        <v>284</v>
      </c>
      <c r="I288" s="11" t="s">
        <v>285</v>
      </c>
      <c r="N288" s="1">
        <v>2065</v>
      </c>
      <c r="O288" s="48">
        <v>292.80856353853306</v>
      </c>
      <c r="P288" s="48">
        <v>428.50033688565816</v>
      </c>
      <c r="Q288" s="48">
        <v>651.08245632348621</v>
      </c>
    </row>
    <row r="289" spans="2:17">
      <c r="B289" s="1" t="s">
        <v>887</v>
      </c>
      <c r="C289" s="18" t="s">
        <v>888</v>
      </c>
      <c r="D289" s="1" t="s">
        <v>287</v>
      </c>
      <c r="E289" s="18">
        <v>55</v>
      </c>
      <c r="F289" s="18" t="s">
        <v>888</v>
      </c>
      <c r="G289" s="20" t="s">
        <v>889</v>
      </c>
      <c r="H289" s="1" t="s">
        <v>890</v>
      </c>
      <c r="N289" s="1">
        <v>2066</v>
      </c>
      <c r="O289" s="48">
        <v>295.18912096567561</v>
      </c>
      <c r="P289" s="48">
        <v>432.07117302637198</v>
      </c>
      <c r="Q289" s="48">
        <v>654.65329246419992</v>
      </c>
    </row>
    <row r="290" spans="2:17">
      <c r="B290" s="1" t="s">
        <v>887</v>
      </c>
      <c r="C290" s="18" t="s">
        <v>891</v>
      </c>
      <c r="D290" s="1" t="s">
        <v>287</v>
      </c>
      <c r="E290" s="18">
        <v>0.95</v>
      </c>
      <c r="F290" s="18" t="s">
        <v>892</v>
      </c>
      <c r="G290" s="20" t="s">
        <v>300</v>
      </c>
      <c r="H290" s="1" t="s">
        <v>890</v>
      </c>
      <c r="N290" s="1">
        <v>2067</v>
      </c>
      <c r="O290" s="48">
        <v>298.75995710638944</v>
      </c>
      <c r="P290" s="48">
        <v>435.6420091670858</v>
      </c>
      <c r="Q290" s="48">
        <v>659.41440731848502</v>
      </c>
    </row>
    <row r="291" spans="2:17">
      <c r="B291" s="1" t="s">
        <v>887</v>
      </c>
      <c r="C291" s="18" t="s">
        <v>893</v>
      </c>
      <c r="D291" s="1" t="s">
        <v>287</v>
      </c>
      <c r="E291" s="18">
        <v>6.5000000000000002E-2</v>
      </c>
      <c r="F291" s="18" t="s">
        <v>894</v>
      </c>
      <c r="G291" s="20" t="s">
        <v>300</v>
      </c>
      <c r="H291" s="1" t="s">
        <v>890</v>
      </c>
      <c r="N291" s="1">
        <v>2068</v>
      </c>
      <c r="O291" s="48">
        <v>301.14051453353198</v>
      </c>
      <c r="P291" s="48">
        <v>439.21284530779963</v>
      </c>
      <c r="Q291" s="48">
        <v>664.17552217277012</v>
      </c>
    </row>
    <row r="292" spans="2:17">
      <c r="B292" s="1" t="s">
        <v>887</v>
      </c>
      <c r="C292" s="18" t="s">
        <v>895</v>
      </c>
      <c r="D292" s="1" t="s">
        <v>287</v>
      </c>
      <c r="E292" s="21">
        <v>8.5000000000000006E-3</v>
      </c>
      <c r="F292" s="18" t="s">
        <v>896</v>
      </c>
      <c r="G292" s="20" t="s">
        <v>76</v>
      </c>
      <c r="H292" s="1" t="s">
        <v>890</v>
      </c>
      <c r="N292" s="1">
        <v>2069</v>
      </c>
      <c r="O292" s="48">
        <v>304.71135067424581</v>
      </c>
      <c r="P292" s="48">
        <v>442.78368144851345</v>
      </c>
      <c r="Q292" s="48">
        <v>668.93663702705521</v>
      </c>
    </row>
    <row r="293" spans="2:17" ht="16.5">
      <c r="B293" s="1" t="s">
        <v>887</v>
      </c>
      <c r="C293" s="18" t="s">
        <v>897</v>
      </c>
      <c r="D293" s="1" t="s">
        <v>320</v>
      </c>
      <c r="E293" s="22">
        <f>((E298*$E$18)+(E303*$E$19))/($E$18+$E$19)</f>
        <v>0.13227805993073546</v>
      </c>
      <c r="F293" s="18" t="s">
        <v>898</v>
      </c>
      <c r="G293" s="20" t="s">
        <v>899</v>
      </c>
      <c r="H293" s="1" t="s">
        <v>900</v>
      </c>
      <c r="N293" s="1">
        <v>2070</v>
      </c>
      <c r="O293" s="48">
        <v>307.09190810138836</v>
      </c>
      <c r="P293" s="48">
        <v>446.35451758922727</v>
      </c>
      <c r="Q293" s="48">
        <v>672.50747316776904</v>
      </c>
    </row>
    <row r="294" spans="2:17" ht="16.5">
      <c r="B294" s="1" t="s">
        <v>887</v>
      </c>
      <c r="C294" s="18" t="s">
        <v>901</v>
      </c>
      <c r="D294" s="1" t="s">
        <v>320</v>
      </c>
      <c r="E294" s="22">
        <f t="shared" ref="E294:E297" si="5">((E299*$E$18)+(E304*$E$19))/($E$18+$E$19)</f>
        <v>0.12045931678013175</v>
      </c>
      <c r="F294" s="18" t="s">
        <v>902</v>
      </c>
      <c r="G294" s="20" t="s">
        <v>899</v>
      </c>
      <c r="H294" s="1" t="s">
        <v>900</v>
      </c>
    </row>
    <row r="295" spans="2:17" ht="16.5">
      <c r="B295" s="1" t="s">
        <v>887</v>
      </c>
      <c r="C295" s="18" t="s">
        <v>903</v>
      </c>
      <c r="D295" s="1" t="s">
        <v>320</v>
      </c>
      <c r="E295" s="22">
        <f t="shared" si="5"/>
        <v>2.034630215741164</v>
      </c>
      <c r="F295" s="18" t="s">
        <v>904</v>
      </c>
      <c r="G295" s="20" t="s">
        <v>899</v>
      </c>
      <c r="H295" s="1" t="s">
        <v>900</v>
      </c>
    </row>
    <row r="296" spans="2:17" ht="16.5">
      <c r="B296" s="1" t="s">
        <v>887</v>
      </c>
      <c r="C296" s="18" t="s">
        <v>905</v>
      </c>
      <c r="D296" s="1" t="s">
        <v>320</v>
      </c>
      <c r="E296" s="22">
        <f t="shared" si="5"/>
        <v>1.4132399160874864</v>
      </c>
      <c r="F296" s="18" t="s">
        <v>906</v>
      </c>
      <c r="G296" s="20" t="s">
        <v>899</v>
      </c>
      <c r="H296" s="1" t="s">
        <v>900</v>
      </c>
    </row>
    <row r="297" spans="2:17" ht="16.5">
      <c r="B297" s="1" t="s">
        <v>887</v>
      </c>
      <c r="C297" s="18" t="s">
        <v>907</v>
      </c>
      <c r="D297" s="1" t="s">
        <v>320</v>
      </c>
      <c r="E297" s="22">
        <f t="shared" si="5"/>
        <v>4.3901852396992327</v>
      </c>
      <c r="F297" s="18" t="s">
        <v>908</v>
      </c>
      <c r="G297" s="20" t="s">
        <v>899</v>
      </c>
      <c r="H297" s="1" t="s">
        <v>900</v>
      </c>
    </row>
    <row r="298" spans="2:17" ht="14.45" customHeight="1">
      <c r="B298" s="1" t="s">
        <v>887</v>
      </c>
      <c r="C298" s="18" t="s">
        <v>909</v>
      </c>
      <c r="D298" s="18" t="s">
        <v>326</v>
      </c>
      <c r="E298" s="22">
        <v>0.21</v>
      </c>
      <c r="F298" s="18" t="s">
        <v>910</v>
      </c>
      <c r="G298" s="20" t="s">
        <v>899</v>
      </c>
      <c r="H298" s="1" t="s">
        <v>900</v>
      </c>
    </row>
    <row r="299" spans="2:17" ht="14.45" customHeight="1">
      <c r="B299" s="1" t="s">
        <v>887</v>
      </c>
      <c r="C299" s="18" t="s">
        <v>911</v>
      </c>
      <c r="D299" s="18" t="s">
        <v>326</v>
      </c>
      <c r="E299" s="22">
        <v>0.19</v>
      </c>
      <c r="F299" s="18" t="s">
        <v>912</v>
      </c>
      <c r="G299" s="20" t="s">
        <v>899</v>
      </c>
      <c r="H299" s="1" t="s">
        <v>900</v>
      </c>
    </row>
    <row r="300" spans="2:17" ht="14.45" customHeight="1">
      <c r="B300" s="1" t="s">
        <v>887</v>
      </c>
      <c r="C300" s="18" t="s">
        <v>913</v>
      </c>
      <c r="D300" s="18" t="s">
        <v>326</v>
      </c>
      <c r="E300" s="22">
        <v>3.27</v>
      </c>
      <c r="F300" s="18" t="s">
        <v>914</v>
      </c>
      <c r="G300" s="20" t="s">
        <v>899</v>
      </c>
      <c r="H300" s="1" t="s">
        <v>900</v>
      </c>
    </row>
    <row r="301" spans="2:17" ht="14.45" customHeight="1">
      <c r="B301" s="1" t="s">
        <v>887</v>
      </c>
      <c r="C301" s="18" t="s">
        <v>915</v>
      </c>
      <c r="D301" s="18" t="s">
        <v>326</v>
      </c>
      <c r="E301" s="22">
        <v>2.2599999999999998</v>
      </c>
      <c r="F301" s="18" t="s">
        <v>916</v>
      </c>
      <c r="G301" s="20" t="s">
        <v>899</v>
      </c>
      <c r="H301" s="1" t="s">
        <v>900</v>
      </c>
    </row>
    <row r="302" spans="2:17" ht="14.45" customHeight="1">
      <c r="B302" s="1" t="s">
        <v>887</v>
      </c>
      <c r="C302" s="18" t="s">
        <v>917</v>
      </c>
      <c r="D302" s="18" t="s">
        <v>326</v>
      </c>
      <c r="E302" s="22">
        <v>7.09</v>
      </c>
      <c r="F302" s="18" t="s">
        <v>918</v>
      </c>
      <c r="G302" s="20" t="s">
        <v>899</v>
      </c>
      <c r="H302" s="1" t="s">
        <v>900</v>
      </c>
    </row>
    <row r="303" spans="2:17">
      <c r="B303" s="1" t="s">
        <v>887</v>
      </c>
      <c r="C303" s="18" t="s">
        <v>919</v>
      </c>
      <c r="D303" s="18" t="s">
        <v>330</v>
      </c>
      <c r="E303" s="22">
        <v>0.02</v>
      </c>
      <c r="F303" s="18" t="s">
        <v>920</v>
      </c>
      <c r="G303" s="20" t="s">
        <v>921</v>
      </c>
      <c r="H303" s="1" t="s">
        <v>900</v>
      </c>
    </row>
    <row r="304" spans="2:17">
      <c r="B304" s="1" t="s">
        <v>887</v>
      </c>
      <c r="C304" s="18" t="s">
        <v>922</v>
      </c>
      <c r="D304" s="18" t="s">
        <v>330</v>
      </c>
      <c r="E304" s="22">
        <v>0.02</v>
      </c>
      <c r="F304" s="18" t="s">
        <v>923</v>
      </c>
      <c r="G304" s="20" t="s">
        <v>921</v>
      </c>
      <c r="H304" s="1" t="s">
        <v>900</v>
      </c>
    </row>
    <row r="305" spans="2:8">
      <c r="B305" s="1" t="s">
        <v>887</v>
      </c>
      <c r="C305" s="18" t="s">
        <v>924</v>
      </c>
      <c r="D305" s="18" t="s">
        <v>330</v>
      </c>
      <c r="E305" s="22">
        <v>0.25</v>
      </c>
      <c r="F305" s="18" t="s">
        <v>925</v>
      </c>
      <c r="G305" s="20" t="s">
        <v>921</v>
      </c>
      <c r="H305" s="1" t="s">
        <v>900</v>
      </c>
    </row>
    <row r="306" spans="2:8">
      <c r="B306" s="1" t="s">
        <v>887</v>
      </c>
      <c r="C306" s="18" t="s">
        <v>926</v>
      </c>
      <c r="D306" s="18" t="s">
        <v>330</v>
      </c>
      <c r="E306" s="22">
        <v>0.19</v>
      </c>
      <c r="F306" s="18" t="s">
        <v>927</v>
      </c>
      <c r="G306" s="20" t="s">
        <v>921</v>
      </c>
      <c r="H306" s="1" t="s">
        <v>900</v>
      </c>
    </row>
    <row r="307" spans="2:8">
      <c r="B307" s="1" t="s">
        <v>887</v>
      </c>
      <c r="C307" s="18" t="s">
        <v>928</v>
      </c>
      <c r="D307" s="18" t="s">
        <v>330</v>
      </c>
      <c r="E307" s="22">
        <v>0.49</v>
      </c>
      <c r="F307" s="18" t="s">
        <v>929</v>
      </c>
      <c r="G307" s="20" t="s">
        <v>921</v>
      </c>
      <c r="H307" s="1" t="s">
        <v>900</v>
      </c>
    </row>
    <row r="308" spans="2:8">
      <c r="C308" s="18"/>
      <c r="D308" s="18"/>
      <c r="E308" s="18"/>
      <c r="F308" s="18"/>
      <c r="G308" s="20"/>
    </row>
    <row r="309" spans="2:8">
      <c r="C309" s="18"/>
      <c r="D309" s="18"/>
      <c r="E309" s="18"/>
      <c r="F309" s="18"/>
      <c r="G309" s="18"/>
    </row>
    <row r="310" spans="2:8">
      <c r="C310" s="18"/>
      <c r="D310" s="18"/>
      <c r="E310" s="18"/>
      <c r="F310" s="18"/>
      <c r="G310" s="18"/>
    </row>
    <row r="311" spans="2:8">
      <c r="C311" s="18"/>
      <c r="D311" s="18"/>
      <c r="E311" s="18"/>
      <c r="F311" s="18"/>
      <c r="G311" s="18"/>
    </row>
    <row r="312" spans="2:8">
      <c r="C312" s="18"/>
      <c r="D312" s="18"/>
      <c r="E312" s="18"/>
      <c r="F312" s="18"/>
      <c r="G312" s="18"/>
    </row>
    <row r="313" spans="2:8">
      <c r="C313" s="18"/>
      <c r="D313" s="18"/>
      <c r="E313" s="18"/>
      <c r="F313" s="18"/>
      <c r="G313" s="18"/>
    </row>
  </sheetData>
  <mergeCells count="14">
    <mergeCell ref="A87:L87"/>
    <mergeCell ref="A207:L207"/>
    <mergeCell ref="A1:L1"/>
    <mergeCell ref="A2:L2"/>
    <mergeCell ref="A4:L4"/>
    <mergeCell ref="A114:L114"/>
    <mergeCell ref="A27:L27"/>
    <mergeCell ref="A57:L57"/>
    <mergeCell ref="A101:L101"/>
    <mergeCell ref="A287:L287"/>
    <mergeCell ref="A245:L245"/>
    <mergeCell ref="N245:Q245"/>
    <mergeCell ref="A276:L276"/>
    <mergeCell ref="A144:L144"/>
  </mergeCells>
  <phoneticPr fontId="1"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19367-679B-4DB2-BE2C-FB8911718F68}">
  <sheetPr codeName="Sheet5">
    <tabColor theme="6" tint="0.79998168889431442"/>
  </sheetPr>
  <dimension ref="A1:K88"/>
  <sheetViews>
    <sheetView topLeftCell="A13" zoomScale="70" zoomScaleNormal="70" workbookViewId="0">
      <selection activeCell="F27" sqref="F27"/>
    </sheetView>
  </sheetViews>
  <sheetFormatPr defaultColWidth="8.75" defaultRowHeight="15.75"/>
  <cols>
    <col min="1" max="1" width="27.5" style="2" customWidth="1"/>
    <col min="2" max="2" width="30.875" style="2" customWidth="1"/>
    <col min="3" max="3" width="26.375" style="2" customWidth="1"/>
    <col min="4" max="4" width="22.25" style="2" customWidth="1"/>
    <col min="5" max="5" width="23.875" style="2" customWidth="1"/>
    <col min="6" max="6" width="19.5" style="2" customWidth="1"/>
    <col min="7" max="7" width="22.5" style="2" customWidth="1"/>
    <col min="8" max="8" width="18.25" style="2" customWidth="1"/>
    <col min="9" max="9" width="14.25" style="2" customWidth="1"/>
    <col min="10" max="10" width="18.5" style="2" customWidth="1"/>
    <col min="11" max="11" width="13.5" style="2" customWidth="1"/>
    <col min="12" max="12" width="13.25" style="2" customWidth="1"/>
    <col min="13" max="13" width="17.25" style="2" customWidth="1"/>
    <col min="14" max="16384" width="8.75" style="2"/>
  </cols>
  <sheetData>
    <row r="1" spans="1:11" ht="30" customHeight="1">
      <c r="A1" s="133" t="s">
        <v>930</v>
      </c>
      <c r="B1" s="133"/>
      <c r="C1" s="133"/>
      <c r="D1" s="133"/>
      <c r="E1" s="133"/>
      <c r="F1" s="133"/>
      <c r="G1" s="133"/>
      <c r="H1" s="133"/>
      <c r="I1" s="133"/>
      <c r="J1" s="133"/>
      <c r="K1" s="133"/>
    </row>
    <row r="3" spans="1:11" ht="22.9" customHeight="1">
      <c r="A3" s="136" t="s">
        <v>931</v>
      </c>
      <c r="B3" s="136"/>
      <c r="C3" s="136"/>
      <c r="D3" s="136"/>
      <c r="E3" s="136"/>
      <c r="F3" s="136"/>
      <c r="G3" s="136"/>
      <c r="H3" s="136"/>
      <c r="I3" s="136"/>
      <c r="J3" s="136"/>
      <c r="K3" s="136"/>
    </row>
    <row r="4" spans="1:11">
      <c r="A4" s="2" t="s">
        <v>932</v>
      </c>
      <c r="B4" s="35">
        <f>SUM($I$11:$I$14)</f>
        <v>-165863.90549503619</v>
      </c>
    </row>
    <row r="5" spans="1:11">
      <c r="A5" s="2" t="s">
        <v>933</v>
      </c>
      <c r="B5" s="35">
        <f>IFERROR(INDEX($F$38:$F$88,MATCH(Baseline!$B$8,$A$38:$A$88,0)),0)</f>
        <v>-132691.12439602896</v>
      </c>
    </row>
    <row r="6" spans="1:11">
      <c r="A6" s="2" t="s">
        <v>934</v>
      </c>
      <c r="B6" s="35">
        <f>SUM($H$38:$H$88)</f>
        <v>-2175004.1467643515</v>
      </c>
    </row>
    <row r="9" spans="1:11" ht="22.9" customHeight="1">
      <c r="A9" s="136" t="s">
        <v>935</v>
      </c>
      <c r="B9" s="136"/>
      <c r="C9" s="136"/>
      <c r="D9" s="136"/>
      <c r="E9" s="136"/>
      <c r="F9" s="136"/>
      <c r="G9" s="136"/>
      <c r="H9" s="136"/>
      <c r="I9" s="136"/>
      <c r="J9" s="136"/>
      <c r="K9" s="136"/>
    </row>
    <row r="10" spans="1:11" ht="31.5">
      <c r="A10" s="24" t="s">
        <v>936</v>
      </c>
      <c r="B10" s="24" t="s">
        <v>937</v>
      </c>
      <c r="C10" s="24" t="s">
        <v>938</v>
      </c>
      <c r="D10" s="24" t="s">
        <v>939</v>
      </c>
      <c r="E10" s="24" t="s">
        <v>940</v>
      </c>
      <c r="F10" s="24" t="s">
        <v>941</v>
      </c>
      <c r="G10" s="24" t="s">
        <v>942</v>
      </c>
      <c r="H10" s="24" t="s">
        <v>943</v>
      </c>
      <c r="I10" s="24" t="s">
        <v>944</v>
      </c>
    </row>
    <row r="11" spans="1:11">
      <c r="A11" s="2" t="s">
        <v>116</v>
      </c>
      <c r="B11" s="61">
        <f>'Scenario Inputs'!$B$11</f>
        <v>0</v>
      </c>
      <c r="C11" s="2" t="s">
        <v>945</v>
      </c>
      <c r="D11" s="2" t="str">
        <f>'Scenario Inputs'!$B$24</f>
        <v>Mileage-derived</v>
      </c>
      <c r="E11" s="34">
        <f>-$B$33*$B$27/(60*$B$26)</f>
        <v>0</v>
      </c>
      <c r="F11" s="2">
        <f>'Scenario Inputs'!C24</f>
        <v>0</v>
      </c>
      <c r="G11" s="46">
        <f>IF(D11="Mileage-derived",E11,IF(D11="Mileage + additional",E11+F11,F11))</f>
        <v>0</v>
      </c>
      <c r="H11" s="34">
        <f>$B$23</f>
        <v>21.322373076923075</v>
      </c>
      <c r="I11" s="34">
        <f>G11*H11</f>
        <v>0</v>
      </c>
    </row>
    <row r="12" spans="1:11">
      <c r="A12" s="2" t="s">
        <v>172</v>
      </c>
      <c r="B12" s="61">
        <f>'Scenario Inputs'!$B$12</f>
        <v>100000</v>
      </c>
      <c r="C12" s="2" t="s">
        <v>59</v>
      </c>
      <c r="D12" s="2" t="str">
        <f>'Scenario Inputs'!$B$25</f>
        <v>Mileage-derived</v>
      </c>
      <c r="E12" s="34">
        <f>-B12/$B$28</f>
        <v>-7778.8670565261109</v>
      </c>
      <c r="F12" s="2">
        <f>'Scenario Inputs'!C25</f>
        <v>0</v>
      </c>
      <c r="G12" s="46">
        <f t="shared" ref="G12:G14" si="0">IF(D12="Mileage-derived",E12,IF(D12="Mileage + additional",E12+F12,F12))</f>
        <v>-7778.8670565261109</v>
      </c>
      <c r="H12" s="34">
        <f>$B$23</f>
        <v>21.322373076923075</v>
      </c>
      <c r="I12" s="34">
        <f t="shared" ref="I12:I14" si="1">G12*H12</f>
        <v>-165863.90549503619</v>
      </c>
    </row>
    <row r="13" spans="1:11">
      <c r="A13" s="2" t="s">
        <v>175</v>
      </c>
      <c r="B13" s="61">
        <f>'Scenario Inputs'!$B$13</f>
        <v>0</v>
      </c>
      <c r="C13" s="2" t="s">
        <v>62</v>
      </c>
      <c r="D13" s="2" t="str">
        <f>'Scenario Inputs'!$B$26</f>
        <v>Mileage-derived</v>
      </c>
      <c r="E13" s="34">
        <f>-B13*$B$30/(60*$B$29)</f>
        <v>0</v>
      </c>
      <c r="F13" s="2">
        <f>'Scenario Inputs'!C26</f>
        <v>0</v>
      </c>
      <c r="G13" s="46">
        <f t="shared" si="0"/>
        <v>0</v>
      </c>
      <c r="H13" s="34">
        <f>$B$24</f>
        <v>21.322373076923075</v>
      </c>
      <c r="I13" s="34">
        <f t="shared" si="1"/>
        <v>0</v>
      </c>
    </row>
    <row r="14" spans="1:11">
      <c r="A14" s="2" t="s">
        <v>178</v>
      </c>
      <c r="B14" s="61">
        <f>'Scenario Inputs'!$B$14</f>
        <v>0</v>
      </c>
      <c r="C14" s="2" t="s">
        <v>62</v>
      </c>
      <c r="D14" s="2" t="str">
        <f>'Scenario Inputs'!$B$27</f>
        <v>Mileage-derived</v>
      </c>
      <c r="E14" s="34">
        <f>-B14*$B$32/(60*$B$31)</f>
        <v>0</v>
      </c>
      <c r="F14" s="2">
        <f>'Scenario Inputs'!C27</f>
        <v>0</v>
      </c>
      <c r="G14" s="46">
        <f t="shared" si="0"/>
        <v>0</v>
      </c>
      <c r="H14" s="34">
        <f>$B$24</f>
        <v>21.322373076923075</v>
      </c>
      <c r="I14" s="34">
        <f t="shared" si="1"/>
        <v>0</v>
      </c>
    </row>
    <row r="17" spans="1:11" ht="22.9" customHeight="1">
      <c r="A17" s="136" t="s">
        <v>946</v>
      </c>
      <c r="B17" s="136"/>
      <c r="C17" s="136"/>
      <c r="D17" s="136"/>
      <c r="E17" s="136"/>
      <c r="F17" s="136"/>
      <c r="G17" s="136"/>
      <c r="H17" s="136"/>
      <c r="I17" s="136"/>
      <c r="J17" s="136"/>
      <c r="K17" s="136"/>
    </row>
    <row r="18" spans="1:11" ht="31.5">
      <c r="A18" s="24" t="s">
        <v>947</v>
      </c>
      <c r="B18" s="24" t="s">
        <v>57</v>
      </c>
      <c r="D18" s="43" t="s">
        <v>948</v>
      </c>
      <c r="E18" s="43" t="s">
        <v>949</v>
      </c>
      <c r="F18" s="43" t="s">
        <v>950</v>
      </c>
      <c r="G18" s="43" t="s">
        <v>951</v>
      </c>
      <c r="H18" s="43" t="s">
        <v>952</v>
      </c>
      <c r="I18" s="43" t="s">
        <v>953</v>
      </c>
      <c r="J18" s="43" t="s">
        <v>954</v>
      </c>
      <c r="K18" s="43" t="s">
        <v>955</v>
      </c>
    </row>
    <row r="19" spans="1:11">
      <c r="A19" s="2" t="s">
        <v>148</v>
      </c>
      <c r="B19" s="39">
        <f>MATCH('Scenario Inputs'!$B$7,{"Statewide","Urban","Rural"},0)</f>
        <v>1</v>
      </c>
      <c r="D19" s="41">
        <f>'Parameter Library'!$E$89</f>
        <v>1.4</v>
      </c>
      <c r="E19" s="42">
        <f>'Parameter Library'!$E$116</f>
        <v>20.485576923076923</v>
      </c>
      <c r="F19" s="42">
        <f>'Parameter Library'!$E$117</f>
        <v>37.221499999999999</v>
      </c>
      <c r="G19" s="42">
        <f>'Parameter Library'!$E$118</f>
        <v>21.322373076923075</v>
      </c>
      <c r="H19" s="42">
        <f>'Parameter Library'!$E$119</f>
        <v>28.679807692307691</v>
      </c>
      <c r="I19" s="42">
        <f>'Parameter Library'!$E$120</f>
        <v>37.221499999999999</v>
      </c>
      <c r="J19" s="42">
        <f>'Parameter Library'!$E$121</f>
        <v>29.491268461538461</v>
      </c>
      <c r="K19" s="42">
        <f>'Parameter Library'!$E$139</f>
        <v>21.322373076923075</v>
      </c>
    </row>
    <row r="20" spans="1:11">
      <c r="A20" s="2" t="s">
        <v>956</v>
      </c>
      <c r="B20" s="39">
        <f>MATCH('Scenario Inputs'!$B$21,{"Local","Intercity"},0)</f>
        <v>1</v>
      </c>
      <c r="D20" s="41">
        <f>'Parameter Library'!$E$90</f>
        <v>1.391</v>
      </c>
      <c r="E20" s="42">
        <f>'Parameter Library'!$E$122</f>
        <v>20.304342948717949</v>
      </c>
      <c r="F20" s="42">
        <f>'Parameter Library'!$E$124</f>
        <v>40.104837689036458</v>
      </c>
      <c r="G20" s="42">
        <f>'Parameter Library'!$E$126</f>
        <v>21.294367685733874</v>
      </c>
      <c r="H20" s="42">
        <f>'Parameter Library'!$E$128</f>
        <v>28.426080128205125</v>
      </c>
      <c r="I20" s="42">
        <f>'Parameter Library'!$E$130</f>
        <v>40.104837689036458</v>
      </c>
      <c r="J20" s="42">
        <f>'Parameter Library'!$E$132</f>
        <v>29.535562096484103</v>
      </c>
      <c r="K20" s="42">
        <f>'Parameter Library'!$E$140</f>
        <v>21.294367685733874</v>
      </c>
    </row>
    <row r="21" spans="1:11">
      <c r="A21" s="2" t="s">
        <v>957</v>
      </c>
      <c r="B21" s="39">
        <f>MATCH('Scenario Inputs'!$E$21,{"Personal","Business","All purposes"},0)</f>
        <v>3</v>
      </c>
      <c r="D21" s="41">
        <f>'Parameter Library'!$E$91</f>
        <v>1.397</v>
      </c>
      <c r="E21" s="42">
        <f>'Parameter Library'!$E$123</f>
        <v>15.868532509157509</v>
      </c>
      <c r="F21" s="42">
        <f>'Parameter Library'!$E$125</f>
        <v>33.302593258481444</v>
      </c>
      <c r="G21" s="42">
        <f>'Parameter Library'!$E$127</f>
        <v>16.740235546623705</v>
      </c>
      <c r="H21" s="42">
        <f>'Parameter Library'!$E$129</f>
        <v>22.215945512820511</v>
      </c>
      <c r="I21" s="42">
        <f>'Parameter Library'!$E$131</f>
        <v>33.302593258481444</v>
      </c>
      <c r="J21" s="42">
        <f>'Parameter Library'!$E$133</f>
        <v>23.2691770486583</v>
      </c>
      <c r="K21" s="42">
        <f>'Parameter Library'!$E$141</f>
        <v>16.740235546623705</v>
      </c>
    </row>
    <row r="22" spans="1:11">
      <c r="A22" s="2" t="s">
        <v>958</v>
      </c>
      <c r="B22" s="39">
        <f>B21+IF(B20=2,3,0)</f>
        <v>3</v>
      </c>
    </row>
    <row r="23" spans="1:11">
      <c r="A23" s="2" t="s">
        <v>959</v>
      </c>
      <c r="B23" s="42">
        <f>INDEX(E19:J21,B19,B22)</f>
        <v>21.322373076923075</v>
      </c>
    </row>
    <row r="24" spans="1:11">
      <c r="A24" s="2" t="s">
        <v>960</v>
      </c>
      <c r="B24" s="42">
        <f>INDEX(K19:K21,B19)</f>
        <v>21.322373076923075</v>
      </c>
    </row>
    <row r="25" spans="1:11">
      <c r="A25" s="2" t="s">
        <v>961</v>
      </c>
      <c r="B25" s="39">
        <f>INDEX(D19:D21,B19)</f>
        <v>1.4</v>
      </c>
    </row>
    <row r="26" spans="1:11">
      <c r="A26" s="2" t="s">
        <v>962</v>
      </c>
      <c r="B26" s="41">
        <f>'Parameter Library'!$E$75</f>
        <v>7.6573128055574182</v>
      </c>
    </row>
    <row r="27" spans="1:11">
      <c r="A27" s="2" t="s">
        <v>963</v>
      </c>
      <c r="B27" s="41">
        <f>'Parameter Library'!$E$78</f>
        <v>20.644070635499894</v>
      </c>
    </row>
    <row r="28" spans="1:11">
      <c r="A28" s="2" t="s">
        <v>964</v>
      </c>
      <c r="B28" s="41">
        <f>'Parameter Library'!$E$23</f>
        <v>12.855342464826496</v>
      </c>
    </row>
    <row r="29" spans="1:11">
      <c r="A29" s="2" t="s">
        <v>965</v>
      </c>
      <c r="B29" s="41">
        <f>'Parameter Library'!$E$76</f>
        <v>0.69900353723742836</v>
      </c>
    </row>
    <row r="30" spans="1:11">
      <c r="A30" s="2" t="s">
        <v>966</v>
      </c>
      <c r="B30" s="41">
        <f>'Parameter Library'!$E$79</f>
        <v>20.708101592107045</v>
      </c>
    </row>
    <row r="31" spans="1:11">
      <c r="A31" s="2" t="s">
        <v>967</v>
      </c>
      <c r="B31" s="41">
        <f>'Parameter Library'!$E$77</f>
        <v>2.5293017881025901</v>
      </c>
    </row>
    <row r="32" spans="1:11">
      <c r="A32" s="2" t="s">
        <v>968</v>
      </c>
      <c r="B32" s="41">
        <f>'Parameter Library'!$E$80</f>
        <v>23.083785075183787</v>
      </c>
    </row>
    <row r="33" spans="1:11">
      <c r="A33" s="2" t="s">
        <v>969</v>
      </c>
      <c r="B33" s="61">
        <f>'Scenario Inputs'!$B$11*B25</f>
        <v>0</v>
      </c>
    </row>
    <row r="36" spans="1:11" ht="22.9" customHeight="1">
      <c r="A36" s="136" t="s">
        <v>970</v>
      </c>
      <c r="B36" s="136"/>
      <c r="C36" s="136"/>
      <c r="D36" s="136"/>
      <c r="E36" s="136"/>
      <c r="F36" s="136"/>
      <c r="G36" s="136"/>
      <c r="H36" s="136"/>
      <c r="I36" s="136"/>
      <c r="J36" s="136"/>
      <c r="K36" s="136"/>
    </row>
    <row r="37" spans="1:11">
      <c r="A37" s="24" t="s">
        <v>971</v>
      </c>
      <c r="B37" s="24" t="s">
        <v>972</v>
      </c>
      <c r="C37" s="24" t="s">
        <v>973</v>
      </c>
      <c r="D37" s="24" t="s">
        <v>974</v>
      </c>
      <c r="E37" s="24" t="s">
        <v>273</v>
      </c>
      <c r="F37" s="24" t="s">
        <v>975</v>
      </c>
      <c r="G37" s="24" t="s">
        <v>976</v>
      </c>
      <c r="H37" s="24" t="s">
        <v>977</v>
      </c>
    </row>
    <row r="38" spans="1:11">
      <c r="A38" s="44">
        <f>Baseline!A31</f>
        <v>2027</v>
      </c>
      <c r="B38" s="44">
        <f>Baseline!B31</f>
        <v>0</v>
      </c>
      <c r="C38" s="44">
        <f>Baseline!C31</f>
        <v>1</v>
      </c>
      <c r="D38" s="44">
        <f>Baseline!D31</f>
        <v>0.8</v>
      </c>
      <c r="E38" s="2">
        <f>IF(C38=1,(1+Baseline!$B$9)^(A38-Baseline!$B$8),0)</f>
        <v>1</v>
      </c>
      <c r="F38" s="34">
        <f>$B$4*D38*E38</f>
        <v>-132691.12439602896</v>
      </c>
      <c r="G38" s="45">
        <f>Baseline!F31</f>
        <v>1</v>
      </c>
      <c r="H38" s="34">
        <f>F38*G38</f>
        <v>-132691.12439602896</v>
      </c>
    </row>
    <row r="39" spans="1:11">
      <c r="A39" s="44">
        <f>Baseline!A32</f>
        <v>2028</v>
      </c>
      <c r="B39" s="44">
        <f>Baseline!B32</f>
        <v>1</v>
      </c>
      <c r="C39" s="44">
        <f>Baseline!C32</f>
        <v>1</v>
      </c>
      <c r="D39" s="44">
        <f>Baseline!D32</f>
        <v>0.9</v>
      </c>
      <c r="E39" s="2">
        <f>IF(C39=1,(1+Baseline!$B$9)^(A39-Baseline!$B$8),0)</f>
        <v>1</v>
      </c>
      <c r="F39" s="34">
        <f t="shared" ref="F39:F88" si="2">$B$4*D39*E39</f>
        <v>-149277.51494553257</v>
      </c>
      <c r="G39" s="45">
        <f>Baseline!F32</f>
        <v>0.93457943925233644</v>
      </c>
      <c r="H39" s="34">
        <f t="shared" ref="H39:H88" si="3">F39*G39</f>
        <v>-139511.69621077811</v>
      </c>
    </row>
    <row r="40" spans="1:11">
      <c r="A40" s="44">
        <f>Baseline!A33</f>
        <v>2029</v>
      </c>
      <c r="B40" s="44">
        <f>Baseline!B33</f>
        <v>2</v>
      </c>
      <c r="C40" s="44">
        <f>Baseline!C33</f>
        <v>1</v>
      </c>
      <c r="D40" s="44">
        <f>Baseline!D33</f>
        <v>1</v>
      </c>
      <c r="E40" s="2">
        <f>IF(C40=1,(1+Baseline!$B$9)^(A40-Baseline!$B$8),0)</f>
        <v>1</v>
      </c>
      <c r="F40" s="34">
        <f t="shared" si="2"/>
        <v>-165863.90549503619</v>
      </c>
      <c r="G40" s="45">
        <f>Baseline!F33</f>
        <v>0.87343872827321156</v>
      </c>
      <c r="H40" s="34">
        <f t="shared" si="3"/>
        <v>-144871.95868201257</v>
      </c>
    </row>
    <row r="41" spans="1:11">
      <c r="A41" s="44">
        <f>Baseline!A34</f>
        <v>2030</v>
      </c>
      <c r="B41" s="44">
        <f>Baseline!B34</f>
        <v>3</v>
      </c>
      <c r="C41" s="44">
        <f>Baseline!C34</f>
        <v>1</v>
      </c>
      <c r="D41" s="44">
        <f>Baseline!D34</f>
        <v>1</v>
      </c>
      <c r="E41" s="2">
        <f>IF(C41=1,(1+Baseline!$B$9)^(A41-Baseline!$B$8),0)</f>
        <v>1</v>
      </c>
      <c r="F41" s="34">
        <f t="shared" si="2"/>
        <v>-165863.90549503619</v>
      </c>
      <c r="G41" s="45">
        <f>Baseline!F34</f>
        <v>0.81629787689085187</v>
      </c>
      <c r="H41" s="34">
        <f t="shared" si="3"/>
        <v>-135394.35390842293</v>
      </c>
    </row>
    <row r="42" spans="1:11">
      <c r="A42" s="44">
        <f>Baseline!A35</f>
        <v>2031</v>
      </c>
      <c r="B42" s="44">
        <f>Baseline!B35</f>
        <v>4</v>
      </c>
      <c r="C42" s="44">
        <f>Baseline!C35</f>
        <v>1</v>
      </c>
      <c r="D42" s="44">
        <f>Baseline!D35</f>
        <v>1</v>
      </c>
      <c r="E42" s="2">
        <f>IF(C42=1,(1+Baseline!$B$9)^(A42-Baseline!$B$8),0)</f>
        <v>1</v>
      </c>
      <c r="F42" s="34">
        <f t="shared" si="2"/>
        <v>-165863.90549503619</v>
      </c>
      <c r="G42" s="45">
        <f>Baseline!F35</f>
        <v>0.7628952120475252</v>
      </c>
      <c r="H42" s="34">
        <f t="shared" si="3"/>
        <v>-126536.77935366631</v>
      </c>
    </row>
    <row r="43" spans="1:11">
      <c r="A43" s="44">
        <f>Baseline!A36</f>
        <v>2032</v>
      </c>
      <c r="B43" s="44">
        <f>Baseline!B36</f>
        <v>5</v>
      </c>
      <c r="C43" s="44">
        <f>Baseline!C36</f>
        <v>1</v>
      </c>
      <c r="D43" s="44">
        <f>Baseline!D36</f>
        <v>1</v>
      </c>
      <c r="E43" s="2">
        <f>IF(C43=1,(1+Baseline!$B$9)^(A43-Baseline!$B$8),0)</f>
        <v>1</v>
      </c>
      <c r="F43" s="34">
        <f t="shared" si="2"/>
        <v>-165863.90549503619</v>
      </c>
      <c r="G43" s="45">
        <f>Baseline!F36</f>
        <v>0.71298617948366838</v>
      </c>
      <c r="H43" s="34">
        <f t="shared" si="3"/>
        <v>-118258.67229314608</v>
      </c>
    </row>
    <row r="44" spans="1:11">
      <c r="A44" s="44">
        <f>Baseline!A37</f>
        <v>2033</v>
      </c>
      <c r="B44" s="44">
        <f>Baseline!B37</f>
        <v>6</v>
      </c>
      <c r="C44" s="44">
        <f>Baseline!C37</f>
        <v>1</v>
      </c>
      <c r="D44" s="44">
        <f>Baseline!D37</f>
        <v>1</v>
      </c>
      <c r="E44" s="2">
        <f>IF(C44=1,(1+Baseline!$B$9)^(A44-Baseline!$B$8),0)</f>
        <v>1</v>
      </c>
      <c r="F44" s="34">
        <f t="shared" si="2"/>
        <v>-165863.90549503619</v>
      </c>
      <c r="G44" s="45">
        <f>Baseline!F37</f>
        <v>0.66634222381651254</v>
      </c>
      <c r="H44" s="34">
        <f t="shared" si="3"/>
        <v>-110522.12363845429</v>
      </c>
    </row>
    <row r="45" spans="1:11">
      <c r="A45" s="44">
        <f>Baseline!A38</f>
        <v>2034</v>
      </c>
      <c r="B45" s="44">
        <f>Baseline!B38</f>
        <v>7</v>
      </c>
      <c r="C45" s="44">
        <f>Baseline!C38</f>
        <v>1</v>
      </c>
      <c r="D45" s="44">
        <f>Baseline!D38</f>
        <v>1</v>
      </c>
      <c r="E45" s="2">
        <f>IF(C45=1,(1+Baseline!$B$9)^(A45-Baseline!$B$8),0)</f>
        <v>1</v>
      </c>
      <c r="F45" s="34">
        <f t="shared" si="2"/>
        <v>-165863.90549503619</v>
      </c>
      <c r="G45" s="45">
        <f>Baseline!F38</f>
        <v>0.62274974188459109</v>
      </c>
      <c r="H45" s="34">
        <f t="shared" si="3"/>
        <v>-103291.704335004</v>
      </c>
    </row>
    <row r="46" spans="1:11">
      <c r="A46" s="44">
        <f>Baseline!A39</f>
        <v>2035</v>
      </c>
      <c r="B46" s="44">
        <f>Baseline!B39</f>
        <v>8</v>
      </c>
      <c r="C46" s="44">
        <f>Baseline!C39</f>
        <v>1</v>
      </c>
      <c r="D46" s="44">
        <f>Baseline!D39</f>
        <v>1</v>
      </c>
      <c r="E46" s="2">
        <f>IF(C46=1,(1+Baseline!$B$9)^(A46-Baseline!$B$8),0)</f>
        <v>1</v>
      </c>
      <c r="F46" s="34">
        <f t="shared" si="2"/>
        <v>-165863.90549503619</v>
      </c>
      <c r="G46" s="45">
        <f>Baseline!F39</f>
        <v>0.5820091045650384</v>
      </c>
      <c r="H46" s="34">
        <f t="shared" si="3"/>
        <v>-96534.303116826166</v>
      </c>
    </row>
    <row r="47" spans="1:11">
      <c r="A47" s="44">
        <f>Baseline!A40</f>
        <v>2036</v>
      </c>
      <c r="B47" s="44">
        <f>Baseline!B40</f>
        <v>9</v>
      </c>
      <c r="C47" s="44">
        <f>Baseline!C40</f>
        <v>1</v>
      </c>
      <c r="D47" s="44">
        <f>Baseline!D40</f>
        <v>1</v>
      </c>
      <c r="E47" s="2">
        <f>IF(C47=1,(1+Baseline!$B$9)^(A47-Baseline!$B$8),0)</f>
        <v>1</v>
      </c>
      <c r="F47" s="34">
        <f t="shared" si="2"/>
        <v>-165863.90549503619</v>
      </c>
      <c r="G47" s="45">
        <f>Baseline!F40</f>
        <v>0.54393374258414806</v>
      </c>
      <c r="H47" s="34">
        <f t="shared" si="3"/>
        <v>-90218.974875538479</v>
      </c>
    </row>
    <row r="48" spans="1:11">
      <c r="A48" s="44">
        <f>Baseline!A41</f>
        <v>2037</v>
      </c>
      <c r="B48" s="44">
        <f>Baseline!B41</f>
        <v>9</v>
      </c>
      <c r="C48" s="44">
        <f>Baseline!C41</f>
        <v>1</v>
      </c>
      <c r="D48" s="44">
        <f>Baseline!D41</f>
        <v>1</v>
      </c>
      <c r="E48" s="2">
        <f>IF(C48=1,(1+Baseline!$B$9)^(A48-Baseline!$B$8),0)</f>
        <v>1</v>
      </c>
      <c r="F48" s="34">
        <f t="shared" si="2"/>
        <v>-165863.90549503619</v>
      </c>
      <c r="G48" s="45">
        <f>Baseline!F41</f>
        <v>0.54393374258414806</v>
      </c>
      <c r="H48" s="34">
        <f t="shared" si="3"/>
        <v>-90218.974875538479</v>
      </c>
    </row>
    <row r="49" spans="1:8">
      <c r="A49" s="44">
        <f>Baseline!A42</f>
        <v>2038</v>
      </c>
      <c r="B49" s="44">
        <f>Baseline!B42</f>
        <v>10</v>
      </c>
      <c r="C49" s="44">
        <f>Baseline!C42</f>
        <v>1</v>
      </c>
      <c r="D49" s="44">
        <f>Baseline!D42</f>
        <v>1</v>
      </c>
      <c r="E49" s="2">
        <f>IF(C49=1,(1+Baseline!$B$9)^(A49-Baseline!$B$8),0)</f>
        <v>1</v>
      </c>
      <c r="F49" s="34">
        <f t="shared" si="2"/>
        <v>-165863.90549503619</v>
      </c>
      <c r="G49" s="45">
        <f>Baseline!F42</f>
        <v>0.5083492921347178</v>
      </c>
      <c r="H49" s="34">
        <f t="shared" si="3"/>
        <v>-84316.798949101372</v>
      </c>
    </row>
    <row r="50" spans="1:8">
      <c r="A50" s="44">
        <f>Baseline!A43</f>
        <v>2039</v>
      </c>
      <c r="B50" s="44">
        <f>Baseline!B43</f>
        <v>11</v>
      </c>
      <c r="C50" s="44">
        <f>Baseline!C43</f>
        <v>1</v>
      </c>
      <c r="D50" s="44">
        <f>Baseline!D43</f>
        <v>1</v>
      </c>
      <c r="E50" s="2">
        <f>IF(C50=1,(1+Baseline!$B$9)^(A50-Baseline!$B$8),0)</f>
        <v>1</v>
      </c>
      <c r="F50" s="34">
        <f t="shared" si="2"/>
        <v>-165863.90549503619</v>
      </c>
      <c r="G50" s="45">
        <f>Baseline!F43</f>
        <v>0.47509279638758667</v>
      </c>
      <c r="H50" s="34">
        <f t="shared" si="3"/>
        <v>-78800.74668140315</v>
      </c>
    </row>
    <row r="51" spans="1:8">
      <c r="A51" s="44">
        <f>Baseline!A44</f>
        <v>2040</v>
      </c>
      <c r="B51" s="44">
        <f>Baseline!B44</f>
        <v>12</v>
      </c>
      <c r="C51" s="44">
        <f>Baseline!C44</f>
        <v>1</v>
      </c>
      <c r="D51" s="44">
        <f>Baseline!D44</f>
        <v>1</v>
      </c>
      <c r="E51" s="2">
        <f>IF(C51=1,(1+Baseline!$B$9)^(A51-Baseline!$B$8),0)</f>
        <v>1</v>
      </c>
      <c r="F51" s="34">
        <f t="shared" si="2"/>
        <v>-165863.90549503619</v>
      </c>
      <c r="G51" s="45">
        <f>Baseline!F44</f>
        <v>0.44401195924073528</v>
      </c>
      <c r="H51" s="34">
        <f t="shared" si="3"/>
        <v>-73645.557646171175</v>
      </c>
    </row>
    <row r="52" spans="1:8">
      <c r="A52" s="44">
        <f>Baseline!A45</f>
        <v>2041</v>
      </c>
      <c r="B52" s="44">
        <f>Baseline!B45</f>
        <v>14</v>
      </c>
      <c r="C52" s="44">
        <f>Baseline!C45</f>
        <v>1</v>
      </c>
      <c r="D52" s="44">
        <f>Baseline!D45</f>
        <v>1</v>
      </c>
      <c r="E52" s="2">
        <f>IF(C52=1,(1+Baseline!$B$9)^(A52-Baseline!$B$8),0)</f>
        <v>1</v>
      </c>
      <c r="F52" s="34">
        <f t="shared" si="2"/>
        <v>-165863.90549503619</v>
      </c>
      <c r="G52" s="45">
        <f>Baseline!F45</f>
        <v>0.3878172410173249</v>
      </c>
      <c r="H52" s="34">
        <f t="shared" si="3"/>
        <v>-64324.882213443248</v>
      </c>
    </row>
    <row r="53" spans="1:8">
      <c r="A53" s="44">
        <f>Baseline!A46</f>
        <v>2042</v>
      </c>
      <c r="B53" s="44">
        <f>Baseline!B46</f>
        <v>15</v>
      </c>
      <c r="C53" s="44">
        <f>Baseline!C46</f>
        <v>1</v>
      </c>
      <c r="D53" s="44">
        <f>Baseline!D46</f>
        <v>1</v>
      </c>
      <c r="E53" s="2">
        <f>IF(C53=1,(1+Baseline!$B$9)^(A53-Baseline!$B$8),0)</f>
        <v>1</v>
      </c>
      <c r="F53" s="34">
        <f t="shared" si="2"/>
        <v>-165863.90549503619</v>
      </c>
      <c r="G53" s="45">
        <f>Baseline!F46</f>
        <v>0.36244601964235967</v>
      </c>
      <c r="H53" s="34">
        <f t="shared" si="3"/>
        <v>-60116.712349012378</v>
      </c>
    </row>
    <row r="54" spans="1:8">
      <c r="A54" s="44">
        <f>Baseline!A47</f>
        <v>2043</v>
      </c>
      <c r="B54" s="44">
        <f>Baseline!B47</f>
        <v>16</v>
      </c>
      <c r="C54" s="44">
        <f>Baseline!C47</f>
        <v>1</v>
      </c>
      <c r="D54" s="44">
        <f>Baseline!D47</f>
        <v>1</v>
      </c>
      <c r="E54" s="2">
        <f>IF(C54=1,(1+Baseline!$B$9)^(A54-Baseline!$B$8),0)</f>
        <v>1</v>
      </c>
      <c r="F54" s="34">
        <f t="shared" si="2"/>
        <v>-165863.90549503619</v>
      </c>
      <c r="G54" s="45">
        <f>Baseline!F47</f>
        <v>0.33873459779659787</v>
      </c>
      <c r="H54" s="34">
        <f t="shared" si="3"/>
        <v>-56183.843316834005</v>
      </c>
    </row>
    <row r="55" spans="1:8">
      <c r="A55" s="44">
        <f>Baseline!A48</f>
        <v>2044</v>
      </c>
      <c r="B55" s="44">
        <f>Baseline!B48</f>
        <v>17</v>
      </c>
      <c r="C55" s="44">
        <f>Baseline!C48</f>
        <v>1</v>
      </c>
      <c r="D55" s="44">
        <f>Baseline!D48</f>
        <v>1</v>
      </c>
      <c r="E55" s="2">
        <f>IF(C55=1,(1+Baseline!$B$9)^(A55-Baseline!$B$8),0)</f>
        <v>1</v>
      </c>
      <c r="F55" s="34">
        <f t="shared" si="2"/>
        <v>-165863.90549503619</v>
      </c>
      <c r="G55" s="45">
        <f>Baseline!F48</f>
        <v>0.31657439046411018</v>
      </c>
      <c r="H55" s="34">
        <f t="shared" si="3"/>
        <v>-52508.264782087856</v>
      </c>
    </row>
    <row r="56" spans="1:8">
      <c r="A56" s="44">
        <f>Baseline!A49</f>
        <v>2045</v>
      </c>
      <c r="B56" s="44">
        <f>Baseline!B49</f>
        <v>18</v>
      </c>
      <c r="C56" s="44">
        <f>Baseline!C49</f>
        <v>1</v>
      </c>
      <c r="D56" s="44">
        <f>Baseline!D49</f>
        <v>1</v>
      </c>
      <c r="E56" s="2">
        <f>IF(C56=1,(1+Baseline!$B$9)^(A56-Baseline!$B$8),0)</f>
        <v>1</v>
      </c>
      <c r="F56" s="34">
        <f t="shared" si="2"/>
        <v>-165863.90549503619</v>
      </c>
      <c r="G56" s="45">
        <f>Baseline!F49</f>
        <v>0.29586391632159825</v>
      </c>
      <c r="H56" s="34">
        <f t="shared" si="3"/>
        <v>-49073.144656156866</v>
      </c>
    </row>
    <row r="57" spans="1:8">
      <c r="A57" s="44">
        <f>Baseline!A50</f>
        <v>2046</v>
      </c>
      <c r="B57" s="44">
        <f>Baseline!B50</f>
        <v>19</v>
      </c>
      <c r="C57" s="44">
        <f>Baseline!C50</f>
        <v>1</v>
      </c>
      <c r="D57" s="44">
        <f>Baseline!D50</f>
        <v>1</v>
      </c>
      <c r="E57" s="2">
        <f>IF(C57=1,(1+Baseline!$B$9)^(A57-Baseline!$B$8),0)</f>
        <v>1</v>
      </c>
      <c r="F57" s="34">
        <f t="shared" si="2"/>
        <v>-165863.90549503619</v>
      </c>
      <c r="G57" s="45">
        <f>Baseline!F50</f>
        <v>0.27650833301083949</v>
      </c>
      <c r="H57" s="34">
        <f t="shared" si="3"/>
        <v>-45862.752015099875</v>
      </c>
    </row>
    <row r="58" spans="1:8">
      <c r="A58" s="44">
        <f>Baseline!A51</f>
        <v>2047</v>
      </c>
      <c r="B58" s="44">
        <f>Baseline!B51</f>
        <v>20</v>
      </c>
      <c r="C58" s="44">
        <f>Baseline!C51</f>
        <v>1</v>
      </c>
      <c r="D58" s="44">
        <f>Baseline!D51</f>
        <v>1</v>
      </c>
      <c r="E58" s="2">
        <f>IF(C58=1,(1+Baseline!$B$9)^(A58-Baseline!$B$8),0)</f>
        <v>1</v>
      </c>
      <c r="F58" s="34">
        <f t="shared" si="2"/>
        <v>-165863.90549503619</v>
      </c>
      <c r="G58" s="45">
        <f>Baseline!F51</f>
        <v>0.2584190028138687</v>
      </c>
      <c r="H58" s="34">
        <f t="shared" si="3"/>
        <v>-42862.385060841007</v>
      </c>
    </row>
    <row r="59" spans="1:8">
      <c r="A59" s="44">
        <f>Baseline!A52</f>
        <v>2048</v>
      </c>
      <c r="B59" s="44">
        <f>Baseline!B52</f>
        <v>21</v>
      </c>
      <c r="C59" s="44">
        <f>Baseline!C52</f>
        <v>1</v>
      </c>
      <c r="D59" s="44">
        <f>Baseline!D52</f>
        <v>1</v>
      </c>
      <c r="E59" s="2">
        <f>IF(C59=1,(1+Baseline!$B$9)^(A59-Baseline!$B$8),0)</f>
        <v>1</v>
      </c>
      <c r="F59" s="34">
        <f t="shared" si="2"/>
        <v>-165863.90549503619</v>
      </c>
      <c r="G59" s="45">
        <f>Baseline!F52</f>
        <v>0.24151308674193336</v>
      </c>
      <c r="H59" s="34">
        <f t="shared" si="3"/>
        <v>-40058.303795178515</v>
      </c>
    </row>
    <row r="60" spans="1:8">
      <c r="A60" s="44">
        <f>Baseline!A53</f>
        <v>2049</v>
      </c>
      <c r="B60" s="44">
        <f>Baseline!B53</f>
        <v>22</v>
      </c>
      <c r="C60" s="44">
        <f>Baseline!C53</f>
        <v>1</v>
      </c>
      <c r="D60" s="44">
        <f>Baseline!D53</f>
        <v>1</v>
      </c>
      <c r="E60" s="2">
        <f>IF(C60=1,(1+Baseline!$B$9)^(A60-Baseline!$B$8),0)</f>
        <v>1</v>
      </c>
      <c r="F60" s="34">
        <f t="shared" si="2"/>
        <v>-165863.90549503619</v>
      </c>
      <c r="G60" s="45">
        <f>Baseline!F53</f>
        <v>0.22571316517937698</v>
      </c>
      <c r="H60" s="34">
        <f t="shared" si="3"/>
        <v>-37437.667098297679</v>
      </c>
    </row>
    <row r="61" spans="1:8">
      <c r="A61" s="44">
        <f>Baseline!A54</f>
        <v>2050</v>
      </c>
      <c r="B61" s="44">
        <f>Baseline!B54</f>
        <v>23</v>
      </c>
      <c r="C61" s="44">
        <f>Baseline!C54</f>
        <v>1</v>
      </c>
      <c r="D61" s="44">
        <f>Baseline!D54</f>
        <v>1</v>
      </c>
      <c r="E61" s="2">
        <f>IF(C61=1,(1+Baseline!$B$9)^(A61-Baseline!$B$8),0)</f>
        <v>1</v>
      </c>
      <c r="F61" s="34">
        <f t="shared" si="2"/>
        <v>-165863.90549503619</v>
      </c>
      <c r="G61" s="45">
        <f>Baseline!F54</f>
        <v>0.21094688334521211</v>
      </c>
      <c r="H61" s="34">
        <f t="shared" si="3"/>
        <v>-34988.473923642683</v>
      </c>
    </row>
    <row r="62" spans="1:8">
      <c r="A62" s="44">
        <f>Baseline!A55</f>
        <v>2051</v>
      </c>
      <c r="B62" s="44">
        <f>Baseline!B55</f>
        <v>24</v>
      </c>
      <c r="C62" s="44">
        <f>Baseline!C55</f>
        <v>1</v>
      </c>
      <c r="D62" s="44">
        <f>Baseline!D55</f>
        <v>1</v>
      </c>
      <c r="E62" s="2">
        <f>IF(C62=1,(1+Baseline!$B$9)^(A62-Baseline!$B$8),0)</f>
        <v>1</v>
      </c>
      <c r="F62" s="34">
        <f t="shared" si="2"/>
        <v>-165863.90549503619</v>
      </c>
      <c r="G62" s="45">
        <f>Baseline!F55</f>
        <v>0.19714661994879637</v>
      </c>
      <c r="H62" s="34">
        <f t="shared" si="3"/>
        <v>-32699.508339852979</v>
      </c>
    </row>
    <row r="63" spans="1:8">
      <c r="A63" s="44">
        <f>Baseline!A56</f>
        <v>2052</v>
      </c>
      <c r="B63" s="44">
        <f>Baseline!B56</f>
        <v>25</v>
      </c>
      <c r="C63" s="44">
        <f>Baseline!C56</f>
        <v>1</v>
      </c>
      <c r="D63" s="44">
        <f>Baseline!D56</f>
        <v>1</v>
      </c>
      <c r="E63" s="2">
        <f>IF(C63=1,(1+Baseline!$B$9)^(A63-Baseline!$B$8),0)</f>
        <v>1</v>
      </c>
      <c r="F63" s="34">
        <f t="shared" si="2"/>
        <v>-165863.90549503619</v>
      </c>
      <c r="G63" s="45">
        <f>Baseline!F56</f>
        <v>0.18424917752223957</v>
      </c>
      <c r="H63" s="34">
        <f t="shared" si="3"/>
        <v>-30560.288168086889</v>
      </c>
    </row>
    <row r="64" spans="1:8">
      <c r="A64" s="44">
        <f>Baseline!A57</f>
        <v>2053</v>
      </c>
      <c r="B64" s="44">
        <f>Baseline!B57</f>
        <v>26</v>
      </c>
      <c r="C64" s="44">
        <f>Baseline!C57</f>
        <v>1</v>
      </c>
      <c r="D64" s="44">
        <f>Baseline!D57</f>
        <v>1</v>
      </c>
      <c r="E64" s="2">
        <f>IF(C64=1,(1+Baseline!$B$9)^(A64-Baseline!$B$8),0)</f>
        <v>1</v>
      </c>
      <c r="F64" s="34">
        <f t="shared" si="2"/>
        <v>-165863.90549503619</v>
      </c>
      <c r="G64" s="45">
        <f>Baseline!F57</f>
        <v>0.17219549301143888</v>
      </c>
      <c r="H64" s="34">
        <f t="shared" si="3"/>
        <v>-28561.016979520464</v>
      </c>
    </row>
    <row r="65" spans="1:8">
      <c r="A65" s="44">
        <f>Baseline!A58</f>
        <v>2054</v>
      </c>
      <c r="B65" s="44">
        <f>Baseline!B58</f>
        <v>27</v>
      </c>
      <c r="C65" s="44">
        <f>Baseline!C58</f>
        <v>1</v>
      </c>
      <c r="D65" s="44">
        <f>Baseline!D58</f>
        <v>1</v>
      </c>
      <c r="E65" s="2">
        <f>IF(C65=1,(1+Baseline!$B$9)^(A65-Baseline!$B$8),0)</f>
        <v>1</v>
      </c>
      <c r="F65" s="34">
        <f t="shared" si="2"/>
        <v>-165863.90549503619</v>
      </c>
      <c r="G65" s="45">
        <f>Baseline!F58</f>
        <v>0.16093036730041013</v>
      </c>
      <c r="H65" s="34">
        <f t="shared" si="3"/>
        <v>-26692.539233196687</v>
      </c>
    </row>
    <row r="66" spans="1:8">
      <c r="A66" s="44">
        <f>Baseline!A59</f>
        <v>2055</v>
      </c>
      <c r="B66" s="44">
        <f>Baseline!B59</f>
        <v>28</v>
      </c>
      <c r="C66" s="44">
        <f>Baseline!C59</f>
        <v>1</v>
      </c>
      <c r="D66" s="44">
        <f>Baseline!D59</f>
        <v>1</v>
      </c>
      <c r="E66" s="2">
        <f>IF(C66=1,(1+Baseline!$B$9)^(A66-Baseline!$B$8),0)</f>
        <v>1</v>
      </c>
      <c r="F66" s="34">
        <f t="shared" si="2"/>
        <v>-165863.90549503619</v>
      </c>
      <c r="G66" s="45">
        <f>Baseline!F59</f>
        <v>0.15040221243028987</v>
      </c>
      <c r="H66" s="34">
        <f t="shared" si="3"/>
        <v>-24946.298348781955</v>
      </c>
    </row>
    <row r="67" spans="1:8">
      <c r="A67" s="44">
        <f>Baseline!A60</f>
        <v>2056</v>
      </c>
      <c r="B67" s="44">
        <f>Baseline!B60</f>
        <v>29</v>
      </c>
      <c r="C67" s="44">
        <f>Baseline!C60</f>
        <v>1</v>
      </c>
      <c r="D67" s="44">
        <f>Baseline!D60</f>
        <v>1</v>
      </c>
      <c r="E67" s="2">
        <f>IF(C67=1,(1+Baseline!$B$9)^(A67-Baseline!$B$8),0)</f>
        <v>1</v>
      </c>
      <c r="F67" s="34">
        <f t="shared" si="2"/>
        <v>-165863.90549503619</v>
      </c>
      <c r="G67" s="45">
        <f>Baseline!F60</f>
        <v>0.1405628153554111</v>
      </c>
      <c r="H67" s="34">
        <f t="shared" si="3"/>
        <v>-23314.297522226127</v>
      </c>
    </row>
    <row r="68" spans="1:8">
      <c r="A68" s="44">
        <f>Baseline!A61</f>
        <v>2057</v>
      </c>
      <c r="B68" s="44">
        <f>Baseline!B61</f>
        <v>30</v>
      </c>
      <c r="C68" s="44">
        <f>Baseline!C61</f>
        <v>0</v>
      </c>
      <c r="D68" s="44">
        <f>Baseline!D61</f>
        <v>0</v>
      </c>
      <c r="E68" s="2">
        <f>IF(C68=1,(1+Baseline!$B$9)^(A68-Baseline!$B$8),0)</f>
        <v>0</v>
      </c>
      <c r="F68" s="34">
        <f t="shared" si="2"/>
        <v>0</v>
      </c>
      <c r="G68" s="45">
        <f>Baseline!F61</f>
        <v>0</v>
      </c>
      <c r="H68" s="34">
        <f t="shared" si="3"/>
        <v>0</v>
      </c>
    </row>
    <row r="69" spans="1:8">
      <c r="A69" s="44">
        <f>Baseline!A62</f>
        <v>2058</v>
      </c>
      <c r="B69" s="44">
        <f>Baseline!B62</f>
        <v>31</v>
      </c>
      <c r="C69" s="44">
        <f>Baseline!C62</f>
        <v>0</v>
      </c>
      <c r="D69" s="44">
        <f>Baseline!D62</f>
        <v>0</v>
      </c>
      <c r="E69" s="2">
        <f>IF(C69=1,(1+Baseline!$B$9)^(A69-Baseline!$B$8),0)</f>
        <v>0</v>
      </c>
      <c r="F69" s="34">
        <f t="shared" si="2"/>
        <v>0</v>
      </c>
      <c r="G69" s="45">
        <f>Baseline!F62</f>
        <v>0</v>
      </c>
      <c r="H69" s="34">
        <f t="shared" si="3"/>
        <v>0</v>
      </c>
    </row>
    <row r="70" spans="1:8">
      <c r="A70" s="44">
        <f>Baseline!A63</f>
        <v>2059</v>
      </c>
      <c r="B70" s="44">
        <f>Baseline!B63</f>
        <v>32</v>
      </c>
      <c r="C70" s="44">
        <f>Baseline!C63</f>
        <v>0</v>
      </c>
      <c r="D70" s="44">
        <f>Baseline!D63</f>
        <v>0</v>
      </c>
      <c r="E70" s="2">
        <f>IF(C70=1,(1+Baseline!$B$9)^(A70-Baseline!$B$8),0)</f>
        <v>0</v>
      </c>
      <c r="F70" s="34">
        <f t="shared" si="2"/>
        <v>0</v>
      </c>
      <c r="G70" s="45">
        <f>Baseline!F63</f>
        <v>0</v>
      </c>
      <c r="H70" s="34">
        <f t="shared" si="3"/>
        <v>0</v>
      </c>
    </row>
    <row r="71" spans="1:8">
      <c r="A71" s="44">
        <f>Baseline!A64</f>
        <v>2060</v>
      </c>
      <c r="B71" s="44">
        <f>Baseline!B64</f>
        <v>33</v>
      </c>
      <c r="C71" s="44">
        <f>Baseline!C64</f>
        <v>0</v>
      </c>
      <c r="D71" s="44">
        <f>Baseline!D64</f>
        <v>0</v>
      </c>
      <c r="E71" s="2">
        <f>IF(C71=1,(1+Baseline!$B$9)^(A71-Baseline!$B$8),0)</f>
        <v>0</v>
      </c>
      <c r="F71" s="34">
        <f t="shared" si="2"/>
        <v>0</v>
      </c>
      <c r="G71" s="45">
        <f>Baseline!F64</f>
        <v>0</v>
      </c>
      <c r="H71" s="34">
        <f t="shared" si="3"/>
        <v>0</v>
      </c>
    </row>
    <row r="72" spans="1:8">
      <c r="A72" s="44">
        <f>Baseline!A65</f>
        <v>2061</v>
      </c>
      <c r="B72" s="44">
        <f>Baseline!B65</f>
        <v>34</v>
      </c>
      <c r="C72" s="44">
        <f>Baseline!C65</f>
        <v>0</v>
      </c>
      <c r="D72" s="44">
        <f>Baseline!D65</f>
        <v>0</v>
      </c>
      <c r="E72" s="2">
        <f>IF(C72=1,(1+Baseline!$B$9)^(A72-Baseline!$B$8),0)</f>
        <v>0</v>
      </c>
      <c r="F72" s="34">
        <f t="shared" si="2"/>
        <v>0</v>
      </c>
      <c r="G72" s="45">
        <f>Baseline!F65</f>
        <v>0</v>
      </c>
      <c r="H72" s="34">
        <f t="shared" si="3"/>
        <v>0</v>
      </c>
    </row>
    <row r="73" spans="1:8">
      <c r="A73" s="44">
        <f>Baseline!A66</f>
        <v>2062</v>
      </c>
      <c r="B73" s="44">
        <f>Baseline!B66</f>
        <v>35</v>
      </c>
      <c r="C73" s="44">
        <f>Baseline!C66</f>
        <v>0</v>
      </c>
      <c r="D73" s="44">
        <f>Baseline!D66</f>
        <v>0</v>
      </c>
      <c r="E73" s="2">
        <f>IF(C73=1,(1+Baseline!$B$9)^(A73-Baseline!$B$8),0)</f>
        <v>0</v>
      </c>
      <c r="F73" s="34">
        <f t="shared" si="2"/>
        <v>0</v>
      </c>
      <c r="G73" s="45">
        <f>Baseline!F66</f>
        <v>0</v>
      </c>
      <c r="H73" s="34">
        <f t="shared" si="3"/>
        <v>0</v>
      </c>
    </row>
    <row r="74" spans="1:8">
      <c r="A74" s="44">
        <f>Baseline!A67</f>
        <v>2063</v>
      </c>
      <c r="B74" s="44">
        <f>Baseline!B67</f>
        <v>36</v>
      </c>
      <c r="C74" s="44">
        <f>Baseline!C67</f>
        <v>0</v>
      </c>
      <c r="D74" s="44">
        <f>Baseline!D67</f>
        <v>0</v>
      </c>
      <c r="E74" s="2">
        <f>IF(C74=1,(1+Baseline!$B$9)^(A74-Baseline!$B$8),0)</f>
        <v>0</v>
      </c>
      <c r="F74" s="34">
        <f t="shared" si="2"/>
        <v>0</v>
      </c>
      <c r="G74" s="45">
        <f>Baseline!F67</f>
        <v>0</v>
      </c>
      <c r="H74" s="34">
        <f t="shared" si="3"/>
        <v>0</v>
      </c>
    </row>
    <row r="75" spans="1:8">
      <c r="A75" s="44">
        <f>Baseline!A68</f>
        <v>2064</v>
      </c>
      <c r="B75" s="44">
        <f>Baseline!B68</f>
        <v>37</v>
      </c>
      <c r="C75" s="44">
        <f>Baseline!C68</f>
        <v>0</v>
      </c>
      <c r="D75" s="44">
        <f>Baseline!D68</f>
        <v>0</v>
      </c>
      <c r="E75" s="2">
        <f>IF(C75=1,(1+Baseline!$B$9)^(A75-Baseline!$B$8),0)</f>
        <v>0</v>
      </c>
      <c r="F75" s="34">
        <f t="shared" si="2"/>
        <v>0</v>
      </c>
      <c r="G75" s="45">
        <f>Baseline!F68</f>
        <v>0</v>
      </c>
      <c r="H75" s="34">
        <f t="shared" si="3"/>
        <v>0</v>
      </c>
    </row>
    <row r="76" spans="1:8">
      <c r="A76" s="44">
        <f>Baseline!A69</f>
        <v>2065</v>
      </c>
      <c r="B76" s="44">
        <f>Baseline!B69</f>
        <v>38</v>
      </c>
      <c r="C76" s="44">
        <f>Baseline!C69</f>
        <v>0</v>
      </c>
      <c r="D76" s="44">
        <f>Baseline!D69</f>
        <v>0</v>
      </c>
      <c r="E76" s="2">
        <f>IF(C76=1,(1+Baseline!$B$9)^(A76-Baseline!$B$8),0)</f>
        <v>0</v>
      </c>
      <c r="F76" s="34">
        <f t="shared" si="2"/>
        <v>0</v>
      </c>
      <c r="G76" s="45">
        <f>Baseline!F69</f>
        <v>0</v>
      </c>
      <c r="H76" s="34">
        <f t="shared" si="3"/>
        <v>0</v>
      </c>
    </row>
    <row r="77" spans="1:8">
      <c r="A77" s="44">
        <f>Baseline!A70</f>
        <v>2066</v>
      </c>
      <c r="B77" s="44">
        <f>Baseline!B70</f>
        <v>39</v>
      </c>
      <c r="C77" s="44">
        <f>Baseline!C70</f>
        <v>0</v>
      </c>
      <c r="D77" s="44">
        <f>Baseline!D70</f>
        <v>0</v>
      </c>
      <c r="E77" s="2">
        <f>IF(C77=1,(1+Baseline!$B$9)^(A77-Baseline!$B$8),0)</f>
        <v>0</v>
      </c>
      <c r="F77" s="34">
        <f t="shared" si="2"/>
        <v>0</v>
      </c>
      <c r="G77" s="45">
        <f>Baseline!F70</f>
        <v>0</v>
      </c>
      <c r="H77" s="34">
        <f t="shared" si="3"/>
        <v>0</v>
      </c>
    </row>
    <row r="78" spans="1:8">
      <c r="A78" s="44">
        <f>Baseline!A71</f>
        <v>2067</v>
      </c>
      <c r="B78" s="44">
        <f>Baseline!B71</f>
        <v>40</v>
      </c>
      <c r="C78" s="44">
        <f>Baseline!C71</f>
        <v>0</v>
      </c>
      <c r="D78" s="44">
        <f>Baseline!D71</f>
        <v>0</v>
      </c>
      <c r="E78" s="2">
        <f>IF(C78=1,(1+Baseline!$B$9)^(A78-Baseline!$B$8),0)</f>
        <v>0</v>
      </c>
      <c r="F78" s="34">
        <f t="shared" si="2"/>
        <v>0</v>
      </c>
      <c r="G78" s="45">
        <f>Baseline!F71</f>
        <v>0</v>
      </c>
      <c r="H78" s="34">
        <f t="shared" si="3"/>
        <v>0</v>
      </c>
    </row>
    <row r="79" spans="1:8">
      <c r="A79" s="44">
        <f>Baseline!A72</f>
        <v>2068</v>
      </c>
      <c r="B79" s="44">
        <f>Baseline!B72</f>
        <v>41</v>
      </c>
      <c r="C79" s="44">
        <f>Baseline!C72</f>
        <v>0</v>
      </c>
      <c r="D79" s="44">
        <f>Baseline!D72</f>
        <v>0</v>
      </c>
      <c r="E79" s="2">
        <f>IF(C79=1,(1+Baseline!$B$9)^(A79-Baseline!$B$8),0)</f>
        <v>0</v>
      </c>
      <c r="F79" s="34">
        <f t="shared" si="2"/>
        <v>0</v>
      </c>
      <c r="G79" s="45">
        <f>Baseline!F72</f>
        <v>0</v>
      </c>
      <c r="H79" s="34">
        <f t="shared" si="3"/>
        <v>0</v>
      </c>
    </row>
    <row r="80" spans="1:8">
      <c r="A80" s="44">
        <f>Baseline!A73</f>
        <v>2069</v>
      </c>
      <c r="B80" s="44">
        <f>Baseline!B73</f>
        <v>42</v>
      </c>
      <c r="C80" s="44">
        <f>Baseline!C73</f>
        <v>0</v>
      </c>
      <c r="D80" s="44">
        <f>Baseline!D73</f>
        <v>0</v>
      </c>
      <c r="E80" s="2">
        <f>IF(C80=1,(1+Baseline!$B$9)^(A80-Baseline!$B$8),0)</f>
        <v>0</v>
      </c>
      <c r="F80" s="34">
        <f t="shared" si="2"/>
        <v>0</v>
      </c>
      <c r="G80" s="45">
        <f>Baseline!F73</f>
        <v>0</v>
      </c>
      <c r="H80" s="34">
        <f t="shared" si="3"/>
        <v>0</v>
      </c>
    </row>
    <row r="81" spans="1:8">
      <c r="A81" s="44">
        <f>Baseline!A74</f>
        <v>2070</v>
      </c>
      <c r="B81" s="44">
        <f>Baseline!B74</f>
        <v>43</v>
      </c>
      <c r="C81" s="44">
        <f>Baseline!C74</f>
        <v>0</v>
      </c>
      <c r="D81" s="44">
        <f>Baseline!D74</f>
        <v>0</v>
      </c>
      <c r="E81" s="2">
        <f>IF(C81=1,(1+Baseline!$B$9)^(A81-Baseline!$B$8),0)</f>
        <v>0</v>
      </c>
      <c r="F81" s="34">
        <f t="shared" si="2"/>
        <v>0</v>
      </c>
      <c r="G81" s="45">
        <f>Baseline!F74</f>
        <v>0</v>
      </c>
      <c r="H81" s="34">
        <f t="shared" si="3"/>
        <v>0</v>
      </c>
    </row>
    <row r="82" spans="1:8">
      <c r="A82" s="44">
        <f>Baseline!A75</f>
        <v>2071</v>
      </c>
      <c r="B82" s="44">
        <f>Baseline!B75</f>
        <v>44</v>
      </c>
      <c r="C82" s="44">
        <f>Baseline!C75</f>
        <v>0</v>
      </c>
      <c r="D82" s="44">
        <f>Baseline!D75</f>
        <v>0</v>
      </c>
      <c r="E82" s="2">
        <f>IF(C82=1,(1+Baseline!$B$9)^(A82-Baseline!$B$8),0)</f>
        <v>0</v>
      </c>
      <c r="F82" s="34">
        <f t="shared" si="2"/>
        <v>0</v>
      </c>
      <c r="G82" s="45">
        <f>Baseline!F75</f>
        <v>0</v>
      </c>
      <c r="H82" s="34">
        <f t="shared" si="3"/>
        <v>0</v>
      </c>
    </row>
    <row r="83" spans="1:8">
      <c r="A83" s="44">
        <f>Baseline!A76</f>
        <v>2072</v>
      </c>
      <c r="B83" s="44">
        <f>Baseline!B76</f>
        <v>45</v>
      </c>
      <c r="C83" s="44">
        <f>Baseline!C76</f>
        <v>0</v>
      </c>
      <c r="D83" s="44">
        <f>Baseline!D76</f>
        <v>0</v>
      </c>
      <c r="E83" s="2">
        <f>IF(C83=1,(1+Baseline!$B$9)^(A83-Baseline!$B$8),0)</f>
        <v>0</v>
      </c>
      <c r="F83" s="34">
        <f t="shared" si="2"/>
        <v>0</v>
      </c>
      <c r="G83" s="45">
        <f>Baseline!F76</f>
        <v>0</v>
      </c>
      <c r="H83" s="34">
        <f t="shared" si="3"/>
        <v>0</v>
      </c>
    </row>
    <row r="84" spans="1:8">
      <c r="A84" s="44">
        <f>Baseline!A77</f>
        <v>2073</v>
      </c>
      <c r="B84" s="44">
        <f>Baseline!B77</f>
        <v>46</v>
      </c>
      <c r="C84" s="44">
        <f>Baseline!C77</f>
        <v>0</v>
      </c>
      <c r="D84" s="44">
        <f>Baseline!D77</f>
        <v>0</v>
      </c>
      <c r="E84" s="2">
        <f>IF(C84=1,(1+Baseline!$B$9)^(A84-Baseline!$B$8),0)</f>
        <v>0</v>
      </c>
      <c r="F84" s="34">
        <f t="shared" si="2"/>
        <v>0</v>
      </c>
      <c r="G84" s="45">
        <f>Baseline!F77</f>
        <v>0</v>
      </c>
      <c r="H84" s="34">
        <f t="shared" si="3"/>
        <v>0</v>
      </c>
    </row>
    <row r="85" spans="1:8">
      <c r="A85" s="44">
        <f>Baseline!A78</f>
        <v>2074</v>
      </c>
      <c r="B85" s="44">
        <f>Baseline!B78</f>
        <v>47</v>
      </c>
      <c r="C85" s="44">
        <f>Baseline!C78</f>
        <v>0</v>
      </c>
      <c r="D85" s="44">
        <f>Baseline!D78</f>
        <v>0</v>
      </c>
      <c r="E85" s="2">
        <f>IF(C85=1,(1+Baseline!$B$9)^(A85-Baseline!$B$8),0)</f>
        <v>0</v>
      </c>
      <c r="F85" s="34">
        <f t="shared" si="2"/>
        <v>0</v>
      </c>
      <c r="G85" s="45">
        <f>Baseline!F78</f>
        <v>0</v>
      </c>
      <c r="H85" s="34">
        <f t="shared" si="3"/>
        <v>0</v>
      </c>
    </row>
    <row r="86" spans="1:8">
      <c r="A86" s="44">
        <f>Baseline!A79</f>
        <v>2075</v>
      </c>
      <c r="B86" s="44">
        <f>Baseline!B79</f>
        <v>48</v>
      </c>
      <c r="C86" s="44">
        <f>Baseline!C79</f>
        <v>0</v>
      </c>
      <c r="D86" s="44">
        <f>Baseline!D79</f>
        <v>0</v>
      </c>
      <c r="E86" s="2">
        <f>IF(C86=1,(1+Baseline!$B$9)^(A86-Baseline!$B$8),0)</f>
        <v>0</v>
      </c>
      <c r="F86" s="34">
        <f t="shared" si="2"/>
        <v>0</v>
      </c>
      <c r="G86" s="45">
        <f>Baseline!F79</f>
        <v>0</v>
      </c>
      <c r="H86" s="34">
        <f t="shared" si="3"/>
        <v>0</v>
      </c>
    </row>
    <row r="87" spans="1:8">
      <c r="A87" s="44">
        <f>Baseline!A80</f>
        <v>2076</v>
      </c>
      <c r="B87" s="44">
        <f>Baseline!B80</f>
        <v>49</v>
      </c>
      <c r="C87" s="44">
        <f>Baseline!C80</f>
        <v>0</v>
      </c>
      <c r="D87" s="44">
        <f>Baseline!D80</f>
        <v>0</v>
      </c>
      <c r="E87" s="2">
        <f>IF(C87=1,(1+Baseline!$B$9)^(A87-Baseline!$B$8),0)</f>
        <v>0</v>
      </c>
      <c r="F87" s="34">
        <f t="shared" si="2"/>
        <v>0</v>
      </c>
      <c r="G87" s="45">
        <f>Baseline!F80</f>
        <v>0</v>
      </c>
      <c r="H87" s="34">
        <f t="shared" si="3"/>
        <v>0</v>
      </c>
    </row>
    <row r="88" spans="1:8">
      <c r="A88" s="44">
        <f>Baseline!A81</f>
        <v>2077</v>
      </c>
      <c r="B88" s="44">
        <f>Baseline!B81</f>
        <v>50</v>
      </c>
      <c r="C88" s="44">
        <f>Baseline!C81</f>
        <v>0</v>
      </c>
      <c r="D88" s="44">
        <f>Baseline!D81</f>
        <v>0</v>
      </c>
      <c r="E88" s="2">
        <f>IF(C88=1,(1+Baseline!$B$9)^(A88-Baseline!$B$8),0)</f>
        <v>0</v>
      </c>
      <c r="F88" s="34">
        <f t="shared" si="2"/>
        <v>0</v>
      </c>
      <c r="G88" s="45">
        <f>Baseline!F81</f>
        <v>0</v>
      </c>
      <c r="H88" s="34">
        <f t="shared" si="3"/>
        <v>0</v>
      </c>
    </row>
  </sheetData>
  <sheetProtection algorithmName="SHA-512" hashValue="QevgrQW6QIEGD1klzoJXd0txB2s76pg3HE9E1ifHUnwc3ZLRGbkLAa1GP9AeDS5ynZt8eMXnXbH2v54xxs0Utw==" saltValue="9WlOZKZ2xKKAdjMvSxNSYg==" spinCount="100000" sheet="1" objects="1" scenarios="1"/>
  <mergeCells count="5">
    <mergeCell ref="A9:K9"/>
    <mergeCell ref="A17:K17"/>
    <mergeCell ref="A36:K36"/>
    <mergeCell ref="A1:K1"/>
    <mergeCell ref="A3:K3"/>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4FBA2-9A89-4FA2-89A4-4C8A0AE7B0AA}">
  <sheetPr codeName="Sheet6">
    <tabColor theme="6" tint="0.79998168889431442"/>
  </sheetPr>
  <dimension ref="A1:K85"/>
  <sheetViews>
    <sheetView zoomScale="70" zoomScaleNormal="70" workbookViewId="0">
      <selection activeCell="F24" sqref="F24"/>
    </sheetView>
  </sheetViews>
  <sheetFormatPr defaultColWidth="8.75" defaultRowHeight="15.75"/>
  <cols>
    <col min="1" max="1" width="27.5" style="2" customWidth="1"/>
    <col min="2" max="2" width="30.875" style="2" customWidth="1"/>
    <col min="3" max="3" width="26.375" style="2" customWidth="1"/>
    <col min="4" max="4" width="22.25" style="2" customWidth="1"/>
    <col min="5" max="5" width="23.875" style="2" customWidth="1"/>
    <col min="6" max="6" width="19.5" style="2" customWidth="1"/>
    <col min="7" max="7" width="22.5" style="2" customWidth="1"/>
    <col min="8" max="8" width="22.125" style="2" customWidth="1"/>
    <col min="9" max="9" width="14.25" style="2" customWidth="1"/>
    <col min="10" max="10" width="18.5" style="2" customWidth="1"/>
    <col min="11" max="11" width="13.5" style="2" customWidth="1"/>
    <col min="12" max="12" width="13.25" style="2" customWidth="1"/>
    <col min="13" max="13" width="17.25" style="2" customWidth="1"/>
    <col min="14" max="16384" width="8.75" style="2"/>
  </cols>
  <sheetData>
    <row r="1" spans="1:11" ht="30" customHeight="1">
      <c r="A1" s="133" t="s">
        <v>576</v>
      </c>
      <c r="B1" s="133"/>
      <c r="C1" s="133"/>
      <c r="D1" s="133"/>
      <c r="E1" s="133"/>
      <c r="F1" s="133"/>
      <c r="G1" s="133"/>
      <c r="H1" s="133"/>
      <c r="I1" s="133"/>
      <c r="J1" s="133"/>
      <c r="K1" s="133"/>
    </row>
    <row r="3" spans="1:11" ht="22.9" customHeight="1">
      <c r="A3" s="136" t="s">
        <v>931</v>
      </c>
      <c r="B3" s="136"/>
      <c r="C3" s="136"/>
      <c r="D3" s="136"/>
      <c r="E3" s="136"/>
      <c r="F3" s="136"/>
      <c r="G3" s="136"/>
      <c r="H3" s="136"/>
      <c r="I3" s="136"/>
      <c r="J3" s="136"/>
      <c r="K3" s="136"/>
    </row>
    <row r="4" spans="1:11">
      <c r="A4" s="2" t="s">
        <v>932</v>
      </c>
      <c r="B4" s="35">
        <f>SUM($F$11:$F$13)</f>
        <v>0</v>
      </c>
    </row>
    <row r="5" spans="1:11">
      <c r="A5" s="2" t="s">
        <v>933</v>
      </c>
      <c r="B5" s="35">
        <f>IFERROR(INDEX($F$35:$F$85,MATCH(Baseline!$B$8,$A$35:$A$85,0)),0)</f>
        <v>0</v>
      </c>
    </row>
    <row r="6" spans="1:11">
      <c r="A6" s="2" t="s">
        <v>934</v>
      </c>
      <c r="B6" s="35">
        <f>SUM($H$35:$H$85)</f>
        <v>0</v>
      </c>
    </row>
    <row r="9" spans="1:11" ht="22.9" customHeight="1">
      <c r="A9" s="136" t="s">
        <v>978</v>
      </c>
      <c r="B9" s="136"/>
      <c r="C9" s="136"/>
      <c r="D9" s="136"/>
      <c r="E9" s="136"/>
      <c r="F9" s="136"/>
      <c r="G9" s="136"/>
      <c r="H9" s="136"/>
      <c r="I9" s="136"/>
      <c r="J9" s="136"/>
      <c r="K9" s="136"/>
    </row>
    <row r="10" spans="1:11">
      <c r="A10" s="24" t="s">
        <v>979</v>
      </c>
      <c r="B10" s="24" t="s">
        <v>980</v>
      </c>
      <c r="C10" s="24" t="s">
        <v>981</v>
      </c>
      <c r="D10" s="24" t="s">
        <v>982</v>
      </c>
      <c r="E10" s="24" t="s">
        <v>983</v>
      </c>
      <c r="F10" s="24" t="s">
        <v>944</v>
      </c>
    </row>
    <row r="11" spans="1:11">
      <c r="A11" s="2" t="s">
        <v>984</v>
      </c>
      <c r="B11" s="36">
        <f>$B$21</f>
        <v>1.3076264841159483E-2</v>
      </c>
      <c r="C11" s="2">
        <f>$B$20</f>
        <v>0</v>
      </c>
      <c r="D11" s="37">
        <f>-C11*B11/1000000</f>
        <v>0</v>
      </c>
      <c r="E11" s="34">
        <f>$B$24</f>
        <v>4560121.5993232811</v>
      </c>
      <c r="F11" s="34">
        <f>D11*E11</f>
        <v>0</v>
      </c>
    </row>
    <row r="12" spans="1:11">
      <c r="A12" s="2" t="s">
        <v>985</v>
      </c>
      <c r="B12" s="36">
        <f>$B$22</f>
        <v>0.67646272328591295</v>
      </c>
      <c r="C12" s="2">
        <f t="shared" ref="C12:C13" si="0">$B$20</f>
        <v>0</v>
      </c>
      <c r="D12" s="37">
        <f t="shared" ref="D12:D13" si="1">-C12*B12/1000000</f>
        <v>0</v>
      </c>
      <c r="E12" s="34">
        <f>$B$25</f>
        <v>187285.34723024876</v>
      </c>
      <c r="F12" s="34">
        <f t="shared" ref="F12:F13" si="2">D12*E12</f>
        <v>0</v>
      </c>
    </row>
    <row r="13" spans="1:11">
      <c r="A13" s="2" t="s">
        <v>986</v>
      </c>
      <c r="B13" s="36">
        <f>$B$23</f>
        <v>0.60509145363140437</v>
      </c>
      <c r="C13" s="2">
        <f t="shared" si="0"/>
        <v>0</v>
      </c>
      <c r="D13" s="37">
        <f t="shared" si="1"/>
        <v>0</v>
      </c>
      <c r="E13" s="34">
        <f>$B$26</f>
        <v>27670</v>
      </c>
      <c r="F13" s="34">
        <f t="shared" si="2"/>
        <v>0</v>
      </c>
    </row>
    <row r="16" spans="1:11" ht="22.9" customHeight="1">
      <c r="A16" s="136" t="s">
        <v>946</v>
      </c>
      <c r="B16" s="136"/>
      <c r="C16" s="136"/>
      <c r="D16" s="136"/>
      <c r="E16" s="136"/>
      <c r="F16" s="136"/>
      <c r="G16" s="136"/>
      <c r="H16" s="136"/>
      <c r="I16" s="136"/>
      <c r="J16" s="136"/>
      <c r="K16" s="136"/>
    </row>
    <row r="17" spans="1:6">
      <c r="A17" s="24" t="s">
        <v>947</v>
      </c>
      <c r="B17" s="24" t="s">
        <v>57</v>
      </c>
      <c r="D17" s="43" t="s">
        <v>987</v>
      </c>
      <c r="E17" s="43" t="s">
        <v>988</v>
      </c>
      <c r="F17" s="43" t="s">
        <v>989</v>
      </c>
    </row>
    <row r="18" spans="1:6">
      <c r="A18" s="2" t="s">
        <v>148</v>
      </c>
      <c r="B18" s="39">
        <f>MATCH('Scenario Inputs'!$B$7,{"Statewide","Urban","Rural"},0)</f>
        <v>1</v>
      </c>
      <c r="D18" s="41">
        <f>'Parameter Library'!$E$162</f>
        <v>1.3076264841159483E-2</v>
      </c>
      <c r="E18" s="41">
        <f>'Parameter Library'!$E$163</f>
        <v>0.67646272328591295</v>
      </c>
      <c r="F18" s="41">
        <f>'Parameter Library'!$E$164</f>
        <v>0.60509145363140437</v>
      </c>
    </row>
    <row r="19" spans="1:6">
      <c r="A19" s="2" t="s">
        <v>990</v>
      </c>
      <c r="B19" s="39">
        <f>MATCH('Scenario Inputs'!$B$30,{"Interstate","Other State Highway","Off System"},0)</f>
        <v>1</v>
      </c>
      <c r="D19" s="41">
        <f>'Parameter Library'!$E$165</f>
        <v>9.999822030316699E-3</v>
      </c>
      <c r="E19" s="41">
        <f>'Parameter Library'!$E$166</f>
        <v>0.87781243162056088</v>
      </c>
      <c r="F19" s="41">
        <f>'Parameter Library'!$E$167</f>
        <v>0.77125324211198254</v>
      </c>
    </row>
    <row r="20" spans="1:6">
      <c r="A20" s="2" t="s">
        <v>991</v>
      </c>
      <c r="B20" s="39">
        <f>'Scenario Inputs'!$B$11</f>
        <v>0</v>
      </c>
      <c r="D20" s="41">
        <f>'Parameter Library'!$E$168</f>
        <v>1.7518061963470336E-2</v>
      </c>
      <c r="E20" s="41">
        <f>'Parameter Library'!$E$169</f>
        <v>0.38546272909919616</v>
      </c>
      <c r="F20" s="41">
        <f>'Parameter Library'!$E$170</f>
        <v>0.3649378356046824</v>
      </c>
    </row>
    <row r="21" spans="1:6">
      <c r="A21" s="2" t="s">
        <v>992</v>
      </c>
      <c r="B21" s="41">
        <f>INDEX($D$18:$F$20,$B$18,1)</f>
        <v>1.3076264841159483E-2</v>
      </c>
      <c r="D21" s="39"/>
      <c r="E21" s="39"/>
      <c r="F21" s="39"/>
    </row>
    <row r="22" spans="1:6">
      <c r="A22" s="2" t="s">
        <v>993</v>
      </c>
      <c r="B22" s="41">
        <f>INDEX($D$18:$F$20,$B$18,2)</f>
        <v>0.67646272328591295</v>
      </c>
      <c r="D22" s="43" t="s">
        <v>994</v>
      </c>
      <c r="E22" s="43" t="s">
        <v>995</v>
      </c>
      <c r="F22" s="43" t="s">
        <v>996</v>
      </c>
    </row>
    <row r="23" spans="1:6">
      <c r="A23" s="2" t="s">
        <v>997</v>
      </c>
      <c r="B23" s="41">
        <f>INDEX($D$18:$F$20,$B$18,3)</f>
        <v>0.60509145363140437</v>
      </c>
      <c r="D23" s="42">
        <f>'Parameter Library'!$E$190</f>
        <v>4560121.5993232811</v>
      </c>
      <c r="E23" s="42">
        <f>'Parameter Library'!$E$191</f>
        <v>4794802.0421083467</v>
      </c>
      <c r="F23" s="42">
        <f>'Parameter Library'!$E$192</f>
        <v>3472276.9126067217</v>
      </c>
    </row>
    <row r="24" spans="1:6">
      <c r="A24" s="2" t="s">
        <v>998</v>
      </c>
      <c r="B24" s="42">
        <f>INDEX(D23:F25,$B$18,$B$19)</f>
        <v>4560121.5993232811</v>
      </c>
      <c r="D24" s="42">
        <f>'Parameter Library'!$E$196</f>
        <v>4065265</v>
      </c>
      <c r="E24" s="42">
        <f>'Parameter Library'!$E$197</f>
        <v>3783234</v>
      </c>
      <c r="F24" s="42">
        <f>'Parameter Library'!$E$198</f>
        <v>2842652</v>
      </c>
    </row>
    <row r="25" spans="1:6">
      <c r="A25" s="2" t="s">
        <v>999</v>
      </c>
      <c r="B25" s="42">
        <f>INDEX(D28:F30,$B$18,$B$19)</f>
        <v>187285.34723024876</v>
      </c>
      <c r="D25" s="42">
        <f>'Parameter Library'!$E$202</f>
        <v>4879384</v>
      </c>
      <c r="E25" s="42">
        <f>'Parameter Library'!$E$203</f>
        <v>5236944</v>
      </c>
      <c r="F25" s="42">
        <f>'Parameter Library'!$E$204</f>
        <v>4460641</v>
      </c>
    </row>
    <row r="26" spans="1:6">
      <c r="A26" s="2" t="s">
        <v>1000</v>
      </c>
      <c r="B26" s="42">
        <f>'Parameter Library'!$E$186</f>
        <v>27670</v>
      </c>
      <c r="D26" s="39"/>
      <c r="E26" s="39"/>
      <c r="F26" s="39"/>
    </row>
    <row r="27" spans="1:6">
      <c r="D27" s="43" t="s">
        <v>1001</v>
      </c>
      <c r="E27" s="43" t="s">
        <v>1002</v>
      </c>
      <c r="F27" s="43" t="s">
        <v>1003</v>
      </c>
    </row>
    <row r="28" spans="1:6">
      <c r="D28" s="42">
        <f>'Parameter Library'!$E$187</f>
        <v>187285.34723024876</v>
      </c>
      <c r="E28" s="42">
        <f>'Parameter Library'!$E$188</f>
        <v>195584.99180799213</v>
      </c>
      <c r="F28" s="42">
        <f>'Parameter Library'!$E$189</f>
        <v>193734.1412233859</v>
      </c>
    </row>
    <row r="29" spans="1:6">
      <c r="D29" s="42">
        <f>'Parameter Library'!$E$193</f>
        <v>181189</v>
      </c>
      <c r="E29" s="42">
        <f>'Parameter Library'!$E$194</f>
        <v>186928</v>
      </c>
      <c r="F29" s="42">
        <f>'Parameter Library'!$E$195</f>
        <v>189285</v>
      </c>
    </row>
    <row r="30" spans="1:6">
      <c r="D30" s="42">
        <f>'Parameter Library'!$E$199</f>
        <v>205784</v>
      </c>
      <c r="E30" s="42">
        <f>'Parameter Library'!$E$200</f>
        <v>213163</v>
      </c>
      <c r="F30" s="42">
        <f>'Parameter Library'!$E$201</f>
        <v>216033</v>
      </c>
    </row>
    <row r="33" spans="1:11" ht="22.9" customHeight="1">
      <c r="A33" s="136" t="s">
        <v>970</v>
      </c>
      <c r="B33" s="136"/>
      <c r="C33" s="136"/>
      <c r="D33" s="136"/>
      <c r="E33" s="136"/>
      <c r="F33" s="136"/>
      <c r="G33" s="136"/>
      <c r="H33" s="136"/>
      <c r="I33" s="136"/>
      <c r="J33" s="136"/>
      <c r="K33" s="136"/>
    </row>
    <row r="34" spans="1:11">
      <c r="A34" s="24" t="s">
        <v>971</v>
      </c>
      <c r="B34" s="24" t="s">
        <v>972</v>
      </c>
      <c r="C34" s="24" t="s">
        <v>973</v>
      </c>
      <c r="D34" s="24" t="s">
        <v>974</v>
      </c>
      <c r="E34" s="24" t="s">
        <v>273</v>
      </c>
      <c r="F34" s="24" t="s">
        <v>975</v>
      </c>
      <c r="G34" s="24" t="s">
        <v>976</v>
      </c>
      <c r="H34" s="24" t="s">
        <v>977</v>
      </c>
    </row>
    <row r="35" spans="1:11">
      <c r="A35" s="44">
        <f>Baseline!A31</f>
        <v>2027</v>
      </c>
      <c r="B35" s="44">
        <f>Baseline!B31</f>
        <v>0</v>
      </c>
      <c r="C35" s="44">
        <f>Baseline!C31</f>
        <v>1</v>
      </c>
      <c r="D35" s="44">
        <f>Baseline!D31</f>
        <v>0.8</v>
      </c>
      <c r="E35" s="2">
        <f>IF(C35=1,(1+Baseline!$B$9)^(A35-Baseline!$B$8),0)</f>
        <v>1</v>
      </c>
      <c r="F35" s="34">
        <f>$B$4*D35*E35</f>
        <v>0</v>
      </c>
      <c r="G35" s="45">
        <f>Baseline!F31</f>
        <v>1</v>
      </c>
      <c r="H35" s="34">
        <f>F35*G35</f>
        <v>0</v>
      </c>
    </row>
    <row r="36" spans="1:11">
      <c r="A36" s="44">
        <f>Baseline!A32</f>
        <v>2028</v>
      </c>
      <c r="B36" s="44">
        <f>Baseline!B32</f>
        <v>1</v>
      </c>
      <c r="C36" s="44">
        <f>Baseline!C32</f>
        <v>1</v>
      </c>
      <c r="D36" s="44">
        <f>Baseline!D32</f>
        <v>0.9</v>
      </c>
      <c r="E36" s="2">
        <f>IF(C36=1,(1+Baseline!$B$9)^(A36-Baseline!$B$8),0)</f>
        <v>1</v>
      </c>
      <c r="F36" s="34">
        <f t="shared" ref="F36:F85" si="3">$B$4*D36*E36</f>
        <v>0</v>
      </c>
      <c r="G36" s="45">
        <f>Baseline!F32</f>
        <v>0.93457943925233644</v>
      </c>
      <c r="H36" s="34">
        <f t="shared" ref="H36:H85" si="4">F36*G36</f>
        <v>0</v>
      </c>
    </row>
    <row r="37" spans="1:11">
      <c r="A37" s="44">
        <f>Baseline!A33</f>
        <v>2029</v>
      </c>
      <c r="B37" s="44">
        <f>Baseline!B33</f>
        <v>2</v>
      </c>
      <c r="C37" s="44">
        <f>Baseline!C33</f>
        <v>1</v>
      </c>
      <c r="D37" s="44">
        <f>Baseline!D33</f>
        <v>1</v>
      </c>
      <c r="E37" s="2">
        <f>IF(C37=1,(1+Baseline!$B$9)^(A37-Baseline!$B$8),0)</f>
        <v>1</v>
      </c>
      <c r="F37" s="34">
        <f t="shared" si="3"/>
        <v>0</v>
      </c>
      <c r="G37" s="45">
        <f>Baseline!F33</f>
        <v>0.87343872827321156</v>
      </c>
      <c r="H37" s="34">
        <f t="shared" si="4"/>
        <v>0</v>
      </c>
    </row>
    <row r="38" spans="1:11">
      <c r="A38" s="44">
        <f>Baseline!A34</f>
        <v>2030</v>
      </c>
      <c r="B38" s="44">
        <f>Baseline!B34</f>
        <v>3</v>
      </c>
      <c r="C38" s="44">
        <f>Baseline!C34</f>
        <v>1</v>
      </c>
      <c r="D38" s="44">
        <f>Baseline!D34</f>
        <v>1</v>
      </c>
      <c r="E38" s="2">
        <f>IF(C38=1,(1+Baseline!$B$9)^(A38-Baseline!$B$8),0)</f>
        <v>1</v>
      </c>
      <c r="F38" s="34">
        <f t="shared" si="3"/>
        <v>0</v>
      </c>
      <c r="G38" s="45">
        <f>Baseline!F34</f>
        <v>0.81629787689085187</v>
      </c>
      <c r="H38" s="34">
        <f t="shared" si="4"/>
        <v>0</v>
      </c>
    </row>
    <row r="39" spans="1:11">
      <c r="A39" s="44">
        <f>Baseline!A35</f>
        <v>2031</v>
      </c>
      <c r="B39" s="44">
        <f>Baseline!B35</f>
        <v>4</v>
      </c>
      <c r="C39" s="44">
        <f>Baseline!C35</f>
        <v>1</v>
      </c>
      <c r="D39" s="44">
        <f>Baseline!D35</f>
        <v>1</v>
      </c>
      <c r="E39" s="2">
        <f>IF(C39=1,(1+Baseline!$B$9)^(A39-Baseline!$B$8),0)</f>
        <v>1</v>
      </c>
      <c r="F39" s="34">
        <f t="shared" si="3"/>
        <v>0</v>
      </c>
      <c r="G39" s="45">
        <f>Baseline!F35</f>
        <v>0.7628952120475252</v>
      </c>
      <c r="H39" s="34">
        <f t="shared" si="4"/>
        <v>0</v>
      </c>
    </row>
    <row r="40" spans="1:11">
      <c r="A40" s="44">
        <f>Baseline!A36</f>
        <v>2032</v>
      </c>
      <c r="B40" s="44">
        <f>Baseline!B36</f>
        <v>5</v>
      </c>
      <c r="C40" s="44">
        <f>Baseline!C36</f>
        <v>1</v>
      </c>
      <c r="D40" s="44">
        <f>Baseline!D36</f>
        <v>1</v>
      </c>
      <c r="E40" s="2">
        <f>IF(C40=1,(1+Baseline!$B$9)^(A40-Baseline!$B$8),0)</f>
        <v>1</v>
      </c>
      <c r="F40" s="34">
        <f t="shared" si="3"/>
        <v>0</v>
      </c>
      <c r="G40" s="45">
        <f>Baseline!F36</f>
        <v>0.71298617948366838</v>
      </c>
      <c r="H40" s="34">
        <f t="shared" si="4"/>
        <v>0</v>
      </c>
    </row>
    <row r="41" spans="1:11">
      <c r="A41" s="44">
        <f>Baseline!A37</f>
        <v>2033</v>
      </c>
      <c r="B41" s="44">
        <f>Baseline!B37</f>
        <v>6</v>
      </c>
      <c r="C41" s="44">
        <f>Baseline!C37</f>
        <v>1</v>
      </c>
      <c r="D41" s="44">
        <f>Baseline!D37</f>
        <v>1</v>
      </c>
      <c r="E41" s="2">
        <f>IF(C41=1,(1+Baseline!$B$9)^(A41-Baseline!$B$8),0)</f>
        <v>1</v>
      </c>
      <c r="F41" s="34">
        <f t="shared" si="3"/>
        <v>0</v>
      </c>
      <c r="G41" s="45">
        <f>Baseline!F37</f>
        <v>0.66634222381651254</v>
      </c>
      <c r="H41" s="34">
        <f t="shared" si="4"/>
        <v>0</v>
      </c>
    </row>
    <row r="42" spans="1:11">
      <c r="A42" s="44">
        <f>Baseline!A38</f>
        <v>2034</v>
      </c>
      <c r="B42" s="44">
        <f>Baseline!B38</f>
        <v>7</v>
      </c>
      <c r="C42" s="44">
        <f>Baseline!C38</f>
        <v>1</v>
      </c>
      <c r="D42" s="44">
        <f>Baseline!D38</f>
        <v>1</v>
      </c>
      <c r="E42" s="2">
        <f>IF(C42=1,(1+Baseline!$B$9)^(A42-Baseline!$B$8),0)</f>
        <v>1</v>
      </c>
      <c r="F42" s="34">
        <f t="shared" si="3"/>
        <v>0</v>
      </c>
      <c r="G42" s="45">
        <f>Baseline!F38</f>
        <v>0.62274974188459109</v>
      </c>
      <c r="H42" s="34">
        <f t="shared" si="4"/>
        <v>0</v>
      </c>
    </row>
    <row r="43" spans="1:11">
      <c r="A43" s="44">
        <f>Baseline!A39</f>
        <v>2035</v>
      </c>
      <c r="B43" s="44">
        <f>Baseline!B39</f>
        <v>8</v>
      </c>
      <c r="C43" s="44">
        <f>Baseline!C39</f>
        <v>1</v>
      </c>
      <c r="D43" s="44">
        <f>Baseline!D39</f>
        <v>1</v>
      </c>
      <c r="E43" s="2">
        <f>IF(C43=1,(1+Baseline!$B$9)^(A43-Baseline!$B$8),0)</f>
        <v>1</v>
      </c>
      <c r="F43" s="34">
        <f t="shared" si="3"/>
        <v>0</v>
      </c>
      <c r="G43" s="45">
        <f>Baseline!F39</f>
        <v>0.5820091045650384</v>
      </c>
      <c r="H43" s="34">
        <f t="shared" si="4"/>
        <v>0</v>
      </c>
    </row>
    <row r="44" spans="1:11">
      <c r="A44" s="44">
        <f>Baseline!A40</f>
        <v>2036</v>
      </c>
      <c r="B44" s="44">
        <f>Baseline!B40</f>
        <v>9</v>
      </c>
      <c r="C44" s="44">
        <f>Baseline!C40</f>
        <v>1</v>
      </c>
      <c r="D44" s="44">
        <f>Baseline!D40</f>
        <v>1</v>
      </c>
      <c r="E44" s="2">
        <f>IF(C44=1,(1+Baseline!$B$9)^(A44-Baseline!$B$8),0)</f>
        <v>1</v>
      </c>
      <c r="F44" s="34">
        <f t="shared" si="3"/>
        <v>0</v>
      </c>
      <c r="G44" s="45">
        <f>Baseline!F40</f>
        <v>0.54393374258414806</v>
      </c>
      <c r="H44" s="34">
        <f t="shared" si="4"/>
        <v>0</v>
      </c>
    </row>
    <row r="45" spans="1:11">
      <c r="A45" s="44">
        <f>Baseline!A41</f>
        <v>2037</v>
      </c>
      <c r="B45" s="44">
        <f>Baseline!B41</f>
        <v>9</v>
      </c>
      <c r="C45" s="44">
        <f>Baseline!C41</f>
        <v>1</v>
      </c>
      <c r="D45" s="44">
        <f>Baseline!D41</f>
        <v>1</v>
      </c>
      <c r="E45" s="2">
        <f>IF(C45=1,(1+Baseline!$B$9)^(A45-Baseline!$B$8),0)</f>
        <v>1</v>
      </c>
      <c r="F45" s="34">
        <f t="shared" si="3"/>
        <v>0</v>
      </c>
      <c r="G45" s="45">
        <f>Baseline!F41</f>
        <v>0.54393374258414806</v>
      </c>
      <c r="H45" s="34">
        <f t="shared" si="4"/>
        <v>0</v>
      </c>
    </row>
    <row r="46" spans="1:11">
      <c r="A46" s="44">
        <f>Baseline!A42</f>
        <v>2038</v>
      </c>
      <c r="B46" s="44">
        <f>Baseline!B42</f>
        <v>10</v>
      </c>
      <c r="C46" s="44">
        <f>Baseline!C42</f>
        <v>1</v>
      </c>
      <c r="D46" s="44">
        <f>Baseline!D42</f>
        <v>1</v>
      </c>
      <c r="E46" s="2">
        <f>IF(C46=1,(1+Baseline!$B$9)^(A46-Baseline!$B$8),0)</f>
        <v>1</v>
      </c>
      <c r="F46" s="34">
        <f t="shared" si="3"/>
        <v>0</v>
      </c>
      <c r="G46" s="45">
        <f>Baseline!F42</f>
        <v>0.5083492921347178</v>
      </c>
      <c r="H46" s="34">
        <f t="shared" si="4"/>
        <v>0</v>
      </c>
    </row>
    <row r="47" spans="1:11">
      <c r="A47" s="44">
        <f>Baseline!A43</f>
        <v>2039</v>
      </c>
      <c r="B47" s="44">
        <f>Baseline!B43</f>
        <v>11</v>
      </c>
      <c r="C47" s="44">
        <f>Baseline!C43</f>
        <v>1</v>
      </c>
      <c r="D47" s="44">
        <f>Baseline!D43</f>
        <v>1</v>
      </c>
      <c r="E47" s="2">
        <f>IF(C47=1,(1+Baseline!$B$9)^(A47-Baseline!$B$8),0)</f>
        <v>1</v>
      </c>
      <c r="F47" s="34">
        <f t="shared" si="3"/>
        <v>0</v>
      </c>
      <c r="G47" s="45">
        <f>Baseline!F43</f>
        <v>0.47509279638758667</v>
      </c>
      <c r="H47" s="34">
        <f t="shared" si="4"/>
        <v>0</v>
      </c>
    </row>
    <row r="48" spans="1:11">
      <c r="A48" s="44">
        <f>Baseline!A44</f>
        <v>2040</v>
      </c>
      <c r="B48" s="44">
        <f>Baseline!B44</f>
        <v>12</v>
      </c>
      <c r="C48" s="44">
        <f>Baseline!C44</f>
        <v>1</v>
      </c>
      <c r="D48" s="44">
        <f>Baseline!D44</f>
        <v>1</v>
      </c>
      <c r="E48" s="2">
        <f>IF(C48=1,(1+Baseline!$B$9)^(A48-Baseline!$B$8),0)</f>
        <v>1</v>
      </c>
      <c r="F48" s="34">
        <f t="shared" si="3"/>
        <v>0</v>
      </c>
      <c r="G48" s="45">
        <f>Baseline!F44</f>
        <v>0.44401195924073528</v>
      </c>
      <c r="H48" s="34">
        <f t="shared" si="4"/>
        <v>0</v>
      </c>
    </row>
    <row r="49" spans="1:8">
      <c r="A49" s="44">
        <f>Baseline!A45</f>
        <v>2041</v>
      </c>
      <c r="B49" s="44">
        <f>Baseline!B45</f>
        <v>14</v>
      </c>
      <c r="C49" s="44">
        <f>Baseline!C45</f>
        <v>1</v>
      </c>
      <c r="D49" s="44">
        <f>Baseline!D45</f>
        <v>1</v>
      </c>
      <c r="E49" s="2">
        <f>IF(C49=1,(1+Baseline!$B$9)^(A49-Baseline!$B$8),0)</f>
        <v>1</v>
      </c>
      <c r="F49" s="34">
        <f t="shared" si="3"/>
        <v>0</v>
      </c>
      <c r="G49" s="45">
        <f>Baseline!F45</f>
        <v>0.3878172410173249</v>
      </c>
      <c r="H49" s="34">
        <f t="shared" si="4"/>
        <v>0</v>
      </c>
    </row>
    <row r="50" spans="1:8">
      <c r="A50" s="44">
        <f>Baseline!A46</f>
        <v>2042</v>
      </c>
      <c r="B50" s="44">
        <f>Baseline!B46</f>
        <v>15</v>
      </c>
      <c r="C50" s="44">
        <f>Baseline!C46</f>
        <v>1</v>
      </c>
      <c r="D50" s="44">
        <f>Baseline!D46</f>
        <v>1</v>
      </c>
      <c r="E50" s="2">
        <f>IF(C50=1,(1+Baseline!$B$9)^(A50-Baseline!$B$8),0)</f>
        <v>1</v>
      </c>
      <c r="F50" s="34">
        <f t="shared" si="3"/>
        <v>0</v>
      </c>
      <c r="G50" s="45">
        <f>Baseline!F46</f>
        <v>0.36244601964235967</v>
      </c>
      <c r="H50" s="34">
        <f t="shared" si="4"/>
        <v>0</v>
      </c>
    </row>
    <row r="51" spans="1:8">
      <c r="A51" s="44">
        <f>Baseline!A47</f>
        <v>2043</v>
      </c>
      <c r="B51" s="44">
        <f>Baseline!B47</f>
        <v>16</v>
      </c>
      <c r="C51" s="44">
        <f>Baseline!C47</f>
        <v>1</v>
      </c>
      <c r="D51" s="44">
        <f>Baseline!D47</f>
        <v>1</v>
      </c>
      <c r="E51" s="2">
        <f>IF(C51=1,(1+Baseline!$B$9)^(A51-Baseline!$B$8),0)</f>
        <v>1</v>
      </c>
      <c r="F51" s="34">
        <f t="shared" si="3"/>
        <v>0</v>
      </c>
      <c r="G51" s="45">
        <f>Baseline!F47</f>
        <v>0.33873459779659787</v>
      </c>
      <c r="H51" s="34">
        <f t="shared" si="4"/>
        <v>0</v>
      </c>
    </row>
    <row r="52" spans="1:8">
      <c r="A52" s="44">
        <f>Baseline!A48</f>
        <v>2044</v>
      </c>
      <c r="B52" s="44">
        <f>Baseline!B48</f>
        <v>17</v>
      </c>
      <c r="C52" s="44">
        <f>Baseline!C48</f>
        <v>1</v>
      </c>
      <c r="D52" s="44">
        <f>Baseline!D48</f>
        <v>1</v>
      </c>
      <c r="E52" s="2">
        <f>IF(C52=1,(1+Baseline!$B$9)^(A52-Baseline!$B$8),0)</f>
        <v>1</v>
      </c>
      <c r="F52" s="34">
        <f t="shared" si="3"/>
        <v>0</v>
      </c>
      <c r="G52" s="45">
        <f>Baseline!F48</f>
        <v>0.31657439046411018</v>
      </c>
      <c r="H52" s="34">
        <f t="shared" si="4"/>
        <v>0</v>
      </c>
    </row>
    <row r="53" spans="1:8">
      <c r="A53" s="44">
        <f>Baseline!A49</f>
        <v>2045</v>
      </c>
      <c r="B53" s="44">
        <f>Baseline!B49</f>
        <v>18</v>
      </c>
      <c r="C53" s="44">
        <f>Baseline!C49</f>
        <v>1</v>
      </c>
      <c r="D53" s="44">
        <f>Baseline!D49</f>
        <v>1</v>
      </c>
      <c r="E53" s="2">
        <f>IF(C53=1,(1+Baseline!$B$9)^(A53-Baseline!$B$8),0)</f>
        <v>1</v>
      </c>
      <c r="F53" s="34">
        <f t="shared" si="3"/>
        <v>0</v>
      </c>
      <c r="G53" s="45">
        <f>Baseline!F49</f>
        <v>0.29586391632159825</v>
      </c>
      <c r="H53" s="34">
        <f t="shared" si="4"/>
        <v>0</v>
      </c>
    </row>
    <row r="54" spans="1:8">
      <c r="A54" s="44">
        <f>Baseline!A50</f>
        <v>2046</v>
      </c>
      <c r="B54" s="44">
        <f>Baseline!B50</f>
        <v>19</v>
      </c>
      <c r="C54" s="44">
        <f>Baseline!C50</f>
        <v>1</v>
      </c>
      <c r="D54" s="44">
        <f>Baseline!D50</f>
        <v>1</v>
      </c>
      <c r="E54" s="2">
        <f>IF(C54=1,(1+Baseline!$B$9)^(A54-Baseline!$B$8),0)</f>
        <v>1</v>
      </c>
      <c r="F54" s="34">
        <f t="shared" si="3"/>
        <v>0</v>
      </c>
      <c r="G54" s="45">
        <f>Baseline!F50</f>
        <v>0.27650833301083949</v>
      </c>
      <c r="H54" s="34">
        <f t="shared" si="4"/>
        <v>0</v>
      </c>
    </row>
    <row r="55" spans="1:8">
      <c r="A55" s="44">
        <f>Baseline!A51</f>
        <v>2047</v>
      </c>
      <c r="B55" s="44">
        <f>Baseline!B51</f>
        <v>20</v>
      </c>
      <c r="C55" s="44">
        <f>Baseline!C51</f>
        <v>1</v>
      </c>
      <c r="D55" s="44">
        <f>Baseline!D51</f>
        <v>1</v>
      </c>
      <c r="E55" s="2">
        <f>IF(C55=1,(1+Baseline!$B$9)^(A55-Baseline!$B$8),0)</f>
        <v>1</v>
      </c>
      <c r="F55" s="34">
        <f t="shared" si="3"/>
        <v>0</v>
      </c>
      <c r="G55" s="45">
        <f>Baseline!F51</f>
        <v>0.2584190028138687</v>
      </c>
      <c r="H55" s="34">
        <f t="shared" si="4"/>
        <v>0</v>
      </c>
    </row>
    <row r="56" spans="1:8">
      <c r="A56" s="44">
        <f>Baseline!A52</f>
        <v>2048</v>
      </c>
      <c r="B56" s="44">
        <f>Baseline!B52</f>
        <v>21</v>
      </c>
      <c r="C56" s="44">
        <f>Baseline!C52</f>
        <v>1</v>
      </c>
      <c r="D56" s="44">
        <f>Baseline!D52</f>
        <v>1</v>
      </c>
      <c r="E56" s="2">
        <f>IF(C56=1,(1+Baseline!$B$9)^(A56-Baseline!$B$8),0)</f>
        <v>1</v>
      </c>
      <c r="F56" s="34">
        <f t="shared" si="3"/>
        <v>0</v>
      </c>
      <c r="G56" s="45">
        <f>Baseline!F52</f>
        <v>0.24151308674193336</v>
      </c>
      <c r="H56" s="34">
        <f t="shared" si="4"/>
        <v>0</v>
      </c>
    </row>
    <row r="57" spans="1:8">
      <c r="A57" s="44">
        <f>Baseline!A53</f>
        <v>2049</v>
      </c>
      <c r="B57" s="44">
        <f>Baseline!B53</f>
        <v>22</v>
      </c>
      <c r="C57" s="44">
        <f>Baseline!C53</f>
        <v>1</v>
      </c>
      <c r="D57" s="44">
        <f>Baseline!D53</f>
        <v>1</v>
      </c>
      <c r="E57" s="2">
        <f>IF(C57=1,(1+Baseline!$B$9)^(A57-Baseline!$B$8),0)</f>
        <v>1</v>
      </c>
      <c r="F57" s="34">
        <f t="shared" si="3"/>
        <v>0</v>
      </c>
      <c r="G57" s="45">
        <f>Baseline!F53</f>
        <v>0.22571316517937698</v>
      </c>
      <c r="H57" s="34">
        <f t="shared" si="4"/>
        <v>0</v>
      </c>
    </row>
    <row r="58" spans="1:8">
      <c r="A58" s="44">
        <f>Baseline!A54</f>
        <v>2050</v>
      </c>
      <c r="B58" s="44">
        <f>Baseline!B54</f>
        <v>23</v>
      </c>
      <c r="C58" s="44">
        <f>Baseline!C54</f>
        <v>1</v>
      </c>
      <c r="D58" s="44">
        <f>Baseline!D54</f>
        <v>1</v>
      </c>
      <c r="E58" s="2">
        <f>IF(C58=1,(1+Baseline!$B$9)^(A58-Baseline!$B$8),0)</f>
        <v>1</v>
      </c>
      <c r="F58" s="34">
        <f t="shared" si="3"/>
        <v>0</v>
      </c>
      <c r="G58" s="45">
        <f>Baseline!F54</f>
        <v>0.21094688334521211</v>
      </c>
      <c r="H58" s="34">
        <f t="shared" si="4"/>
        <v>0</v>
      </c>
    </row>
    <row r="59" spans="1:8">
      <c r="A59" s="44">
        <f>Baseline!A55</f>
        <v>2051</v>
      </c>
      <c r="B59" s="44">
        <f>Baseline!B55</f>
        <v>24</v>
      </c>
      <c r="C59" s="44">
        <f>Baseline!C55</f>
        <v>1</v>
      </c>
      <c r="D59" s="44">
        <f>Baseline!D55</f>
        <v>1</v>
      </c>
      <c r="E59" s="2">
        <f>IF(C59=1,(1+Baseline!$B$9)^(A59-Baseline!$B$8),0)</f>
        <v>1</v>
      </c>
      <c r="F59" s="34">
        <f t="shared" si="3"/>
        <v>0</v>
      </c>
      <c r="G59" s="45">
        <f>Baseline!F55</f>
        <v>0.19714661994879637</v>
      </c>
      <c r="H59" s="34">
        <f t="shared" si="4"/>
        <v>0</v>
      </c>
    </row>
    <row r="60" spans="1:8">
      <c r="A60" s="44">
        <f>Baseline!A56</f>
        <v>2052</v>
      </c>
      <c r="B60" s="44">
        <f>Baseline!B56</f>
        <v>25</v>
      </c>
      <c r="C60" s="44">
        <f>Baseline!C56</f>
        <v>1</v>
      </c>
      <c r="D60" s="44">
        <f>Baseline!D56</f>
        <v>1</v>
      </c>
      <c r="E60" s="2">
        <f>IF(C60=1,(1+Baseline!$B$9)^(A60-Baseline!$B$8),0)</f>
        <v>1</v>
      </c>
      <c r="F60" s="34">
        <f t="shared" si="3"/>
        <v>0</v>
      </c>
      <c r="G60" s="45">
        <f>Baseline!F56</f>
        <v>0.18424917752223957</v>
      </c>
      <c r="H60" s="34">
        <f t="shared" si="4"/>
        <v>0</v>
      </c>
    </row>
    <row r="61" spans="1:8">
      <c r="A61" s="44">
        <f>Baseline!A57</f>
        <v>2053</v>
      </c>
      <c r="B61" s="44">
        <f>Baseline!B57</f>
        <v>26</v>
      </c>
      <c r="C61" s="44">
        <f>Baseline!C57</f>
        <v>1</v>
      </c>
      <c r="D61" s="44">
        <f>Baseline!D57</f>
        <v>1</v>
      </c>
      <c r="E61" s="2">
        <f>IF(C61=1,(1+Baseline!$B$9)^(A61-Baseline!$B$8),0)</f>
        <v>1</v>
      </c>
      <c r="F61" s="34">
        <f t="shared" si="3"/>
        <v>0</v>
      </c>
      <c r="G61" s="45">
        <f>Baseline!F57</f>
        <v>0.17219549301143888</v>
      </c>
      <c r="H61" s="34">
        <f t="shared" si="4"/>
        <v>0</v>
      </c>
    </row>
    <row r="62" spans="1:8">
      <c r="A62" s="44">
        <f>Baseline!A58</f>
        <v>2054</v>
      </c>
      <c r="B62" s="44">
        <f>Baseline!B58</f>
        <v>27</v>
      </c>
      <c r="C62" s="44">
        <f>Baseline!C58</f>
        <v>1</v>
      </c>
      <c r="D62" s="44">
        <f>Baseline!D58</f>
        <v>1</v>
      </c>
      <c r="E62" s="2">
        <f>IF(C62=1,(1+Baseline!$B$9)^(A62-Baseline!$B$8),0)</f>
        <v>1</v>
      </c>
      <c r="F62" s="34">
        <f t="shared" si="3"/>
        <v>0</v>
      </c>
      <c r="G62" s="45">
        <f>Baseline!F58</f>
        <v>0.16093036730041013</v>
      </c>
      <c r="H62" s="34">
        <f t="shared" si="4"/>
        <v>0</v>
      </c>
    </row>
    <row r="63" spans="1:8">
      <c r="A63" s="44">
        <f>Baseline!A59</f>
        <v>2055</v>
      </c>
      <c r="B63" s="44">
        <f>Baseline!B59</f>
        <v>28</v>
      </c>
      <c r="C63" s="44">
        <f>Baseline!C59</f>
        <v>1</v>
      </c>
      <c r="D63" s="44">
        <f>Baseline!D59</f>
        <v>1</v>
      </c>
      <c r="E63" s="2">
        <f>IF(C63=1,(1+Baseline!$B$9)^(A63-Baseline!$B$8),0)</f>
        <v>1</v>
      </c>
      <c r="F63" s="34">
        <f t="shared" si="3"/>
        <v>0</v>
      </c>
      <c r="G63" s="45">
        <f>Baseline!F59</f>
        <v>0.15040221243028987</v>
      </c>
      <c r="H63" s="34">
        <f t="shared" si="4"/>
        <v>0</v>
      </c>
    </row>
    <row r="64" spans="1:8">
      <c r="A64" s="44">
        <f>Baseline!A60</f>
        <v>2056</v>
      </c>
      <c r="B64" s="44">
        <f>Baseline!B60</f>
        <v>29</v>
      </c>
      <c r="C64" s="44">
        <f>Baseline!C60</f>
        <v>1</v>
      </c>
      <c r="D64" s="44">
        <f>Baseline!D60</f>
        <v>1</v>
      </c>
      <c r="E64" s="2">
        <f>IF(C64=1,(1+Baseline!$B$9)^(A64-Baseline!$B$8),0)</f>
        <v>1</v>
      </c>
      <c r="F64" s="34">
        <f t="shared" si="3"/>
        <v>0</v>
      </c>
      <c r="G64" s="45">
        <f>Baseline!F60</f>
        <v>0.1405628153554111</v>
      </c>
      <c r="H64" s="34">
        <f t="shared" si="4"/>
        <v>0</v>
      </c>
    </row>
    <row r="65" spans="1:8">
      <c r="A65" s="44">
        <f>Baseline!A61</f>
        <v>2057</v>
      </c>
      <c r="B65" s="44">
        <f>Baseline!B61</f>
        <v>30</v>
      </c>
      <c r="C65" s="44">
        <f>Baseline!C61</f>
        <v>0</v>
      </c>
      <c r="D65" s="44">
        <f>Baseline!D61</f>
        <v>0</v>
      </c>
      <c r="E65" s="2">
        <f>IF(C65=1,(1+Baseline!$B$9)^(A65-Baseline!$B$8),0)</f>
        <v>0</v>
      </c>
      <c r="F65" s="34">
        <f t="shared" si="3"/>
        <v>0</v>
      </c>
      <c r="G65" s="45">
        <f>Baseline!F61</f>
        <v>0</v>
      </c>
      <c r="H65" s="34">
        <f t="shared" si="4"/>
        <v>0</v>
      </c>
    </row>
    <row r="66" spans="1:8">
      <c r="A66" s="44">
        <f>Baseline!A62</f>
        <v>2058</v>
      </c>
      <c r="B66" s="44">
        <f>Baseline!B62</f>
        <v>31</v>
      </c>
      <c r="C66" s="44">
        <f>Baseline!C62</f>
        <v>0</v>
      </c>
      <c r="D66" s="44">
        <f>Baseline!D62</f>
        <v>0</v>
      </c>
      <c r="E66" s="2">
        <f>IF(C66=1,(1+Baseline!$B$9)^(A66-Baseline!$B$8),0)</f>
        <v>0</v>
      </c>
      <c r="F66" s="34">
        <f t="shared" si="3"/>
        <v>0</v>
      </c>
      <c r="G66" s="45">
        <f>Baseline!F62</f>
        <v>0</v>
      </c>
      <c r="H66" s="34">
        <f t="shared" si="4"/>
        <v>0</v>
      </c>
    </row>
    <row r="67" spans="1:8">
      <c r="A67" s="44">
        <f>Baseline!A63</f>
        <v>2059</v>
      </c>
      <c r="B67" s="44">
        <f>Baseline!B63</f>
        <v>32</v>
      </c>
      <c r="C67" s="44">
        <f>Baseline!C63</f>
        <v>0</v>
      </c>
      <c r="D67" s="44">
        <f>Baseline!D63</f>
        <v>0</v>
      </c>
      <c r="E67" s="2">
        <f>IF(C67=1,(1+Baseline!$B$9)^(A67-Baseline!$B$8),0)</f>
        <v>0</v>
      </c>
      <c r="F67" s="34">
        <f t="shared" si="3"/>
        <v>0</v>
      </c>
      <c r="G67" s="45">
        <f>Baseline!F63</f>
        <v>0</v>
      </c>
      <c r="H67" s="34">
        <f t="shared" si="4"/>
        <v>0</v>
      </c>
    </row>
    <row r="68" spans="1:8">
      <c r="A68" s="44">
        <f>Baseline!A64</f>
        <v>2060</v>
      </c>
      <c r="B68" s="44">
        <f>Baseline!B64</f>
        <v>33</v>
      </c>
      <c r="C68" s="44">
        <f>Baseline!C64</f>
        <v>0</v>
      </c>
      <c r="D68" s="44">
        <f>Baseline!D64</f>
        <v>0</v>
      </c>
      <c r="E68" s="2">
        <f>IF(C68=1,(1+Baseline!$B$9)^(A68-Baseline!$B$8),0)</f>
        <v>0</v>
      </c>
      <c r="F68" s="34">
        <f t="shared" si="3"/>
        <v>0</v>
      </c>
      <c r="G68" s="45">
        <f>Baseline!F64</f>
        <v>0</v>
      </c>
      <c r="H68" s="34">
        <f t="shared" si="4"/>
        <v>0</v>
      </c>
    </row>
    <row r="69" spans="1:8">
      <c r="A69" s="44">
        <f>Baseline!A65</f>
        <v>2061</v>
      </c>
      <c r="B69" s="44">
        <f>Baseline!B65</f>
        <v>34</v>
      </c>
      <c r="C69" s="44">
        <f>Baseline!C65</f>
        <v>0</v>
      </c>
      <c r="D69" s="44">
        <f>Baseline!D65</f>
        <v>0</v>
      </c>
      <c r="E69" s="2">
        <f>IF(C69=1,(1+Baseline!$B$9)^(A69-Baseline!$B$8),0)</f>
        <v>0</v>
      </c>
      <c r="F69" s="34">
        <f t="shared" si="3"/>
        <v>0</v>
      </c>
      <c r="G69" s="45">
        <f>Baseline!F65</f>
        <v>0</v>
      </c>
      <c r="H69" s="34">
        <f t="shared" si="4"/>
        <v>0</v>
      </c>
    </row>
    <row r="70" spans="1:8">
      <c r="A70" s="44">
        <f>Baseline!A66</f>
        <v>2062</v>
      </c>
      <c r="B70" s="44">
        <f>Baseline!B66</f>
        <v>35</v>
      </c>
      <c r="C70" s="44">
        <f>Baseline!C66</f>
        <v>0</v>
      </c>
      <c r="D70" s="44">
        <f>Baseline!D66</f>
        <v>0</v>
      </c>
      <c r="E70" s="2">
        <f>IF(C70=1,(1+Baseline!$B$9)^(A70-Baseline!$B$8),0)</f>
        <v>0</v>
      </c>
      <c r="F70" s="34">
        <f t="shared" si="3"/>
        <v>0</v>
      </c>
      <c r="G70" s="45">
        <f>Baseline!F66</f>
        <v>0</v>
      </c>
      <c r="H70" s="34">
        <f t="shared" si="4"/>
        <v>0</v>
      </c>
    </row>
    <row r="71" spans="1:8">
      <c r="A71" s="44">
        <f>Baseline!A67</f>
        <v>2063</v>
      </c>
      <c r="B71" s="44">
        <f>Baseline!B67</f>
        <v>36</v>
      </c>
      <c r="C71" s="44">
        <f>Baseline!C67</f>
        <v>0</v>
      </c>
      <c r="D71" s="44">
        <f>Baseline!D67</f>
        <v>0</v>
      </c>
      <c r="E71" s="2">
        <f>IF(C71=1,(1+Baseline!$B$9)^(A71-Baseline!$B$8),0)</f>
        <v>0</v>
      </c>
      <c r="F71" s="34">
        <f t="shared" si="3"/>
        <v>0</v>
      </c>
      <c r="G71" s="45">
        <f>Baseline!F67</f>
        <v>0</v>
      </c>
      <c r="H71" s="34">
        <f t="shared" si="4"/>
        <v>0</v>
      </c>
    </row>
    <row r="72" spans="1:8">
      <c r="A72" s="44">
        <f>Baseline!A68</f>
        <v>2064</v>
      </c>
      <c r="B72" s="44">
        <f>Baseline!B68</f>
        <v>37</v>
      </c>
      <c r="C72" s="44">
        <f>Baseline!C68</f>
        <v>0</v>
      </c>
      <c r="D72" s="44">
        <f>Baseline!D68</f>
        <v>0</v>
      </c>
      <c r="E72" s="2">
        <f>IF(C72=1,(1+Baseline!$B$9)^(A72-Baseline!$B$8),0)</f>
        <v>0</v>
      </c>
      <c r="F72" s="34">
        <f t="shared" si="3"/>
        <v>0</v>
      </c>
      <c r="G72" s="45">
        <f>Baseline!F68</f>
        <v>0</v>
      </c>
      <c r="H72" s="34">
        <f t="shared" si="4"/>
        <v>0</v>
      </c>
    </row>
    <row r="73" spans="1:8">
      <c r="A73" s="44">
        <f>Baseline!A69</f>
        <v>2065</v>
      </c>
      <c r="B73" s="44">
        <f>Baseline!B69</f>
        <v>38</v>
      </c>
      <c r="C73" s="44">
        <f>Baseline!C69</f>
        <v>0</v>
      </c>
      <c r="D73" s="44">
        <f>Baseline!D69</f>
        <v>0</v>
      </c>
      <c r="E73" s="2">
        <f>IF(C73=1,(1+Baseline!$B$9)^(A73-Baseline!$B$8),0)</f>
        <v>0</v>
      </c>
      <c r="F73" s="34">
        <f t="shared" si="3"/>
        <v>0</v>
      </c>
      <c r="G73" s="45">
        <f>Baseline!F69</f>
        <v>0</v>
      </c>
      <c r="H73" s="34">
        <f t="shared" si="4"/>
        <v>0</v>
      </c>
    </row>
    <row r="74" spans="1:8">
      <c r="A74" s="44">
        <f>Baseline!A70</f>
        <v>2066</v>
      </c>
      <c r="B74" s="44">
        <f>Baseline!B70</f>
        <v>39</v>
      </c>
      <c r="C74" s="44">
        <f>Baseline!C70</f>
        <v>0</v>
      </c>
      <c r="D74" s="44">
        <f>Baseline!D70</f>
        <v>0</v>
      </c>
      <c r="E74" s="2">
        <f>IF(C74=1,(1+Baseline!$B$9)^(A74-Baseline!$B$8),0)</f>
        <v>0</v>
      </c>
      <c r="F74" s="34">
        <f t="shared" si="3"/>
        <v>0</v>
      </c>
      <c r="G74" s="45">
        <f>Baseline!F70</f>
        <v>0</v>
      </c>
      <c r="H74" s="34">
        <f t="shared" si="4"/>
        <v>0</v>
      </c>
    </row>
    <row r="75" spans="1:8">
      <c r="A75" s="44">
        <f>Baseline!A71</f>
        <v>2067</v>
      </c>
      <c r="B75" s="44">
        <f>Baseline!B71</f>
        <v>40</v>
      </c>
      <c r="C75" s="44">
        <f>Baseline!C71</f>
        <v>0</v>
      </c>
      <c r="D75" s="44">
        <f>Baseline!D71</f>
        <v>0</v>
      </c>
      <c r="E75" s="2">
        <f>IF(C75=1,(1+Baseline!$B$9)^(A75-Baseline!$B$8),0)</f>
        <v>0</v>
      </c>
      <c r="F75" s="34">
        <f t="shared" si="3"/>
        <v>0</v>
      </c>
      <c r="G75" s="45">
        <f>Baseline!F71</f>
        <v>0</v>
      </c>
      <c r="H75" s="34">
        <f t="shared" si="4"/>
        <v>0</v>
      </c>
    </row>
    <row r="76" spans="1:8">
      <c r="A76" s="44">
        <f>Baseline!A72</f>
        <v>2068</v>
      </c>
      <c r="B76" s="44">
        <f>Baseline!B72</f>
        <v>41</v>
      </c>
      <c r="C76" s="44">
        <f>Baseline!C72</f>
        <v>0</v>
      </c>
      <c r="D76" s="44">
        <f>Baseline!D72</f>
        <v>0</v>
      </c>
      <c r="E76" s="2">
        <f>IF(C76=1,(1+Baseline!$B$9)^(A76-Baseline!$B$8),0)</f>
        <v>0</v>
      </c>
      <c r="F76" s="34">
        <f t="shared" si="3"/>
        <v>0</v>
      </c>
      <c r="G76" s="45">
        <f>Baseline!F72</f>
        <v>0</v>
      </c>
      <c r="H76" s="34">
        <f t="shared" si="4"/>
        <v>0</v>
      </c>
    </row>
    <row r="77" spans="1:8">
      <c r="A77" s="44">
        <f>Baseline!A73</f>
        <v>2069</v>
      </c>
      <c r="B77" s="44">
        <f>Baseline!B73</f>
        <v>42</v>
      </c>
      <c r="C77" s="44">
        <f>Baseline!C73</f>
        <v>0</v>
      </c>
      <c r="D77" s="44">
        <f>Baseline!D73</f>
        <v>0</v>
      </c>
      <c r="E77" s="2">
        <f>IF(C77=1,(1+Baseline!$B$9)^(A77-Baseline!$B$8),0)</f>
        <v>0</v>
      </c>
      <c r="F77" s="34">
        <f t="shared" si="3"/>
        <v>0</v>
      </c>
      <c r="G77" s="45">
        <f>Baseline!F73</f>
        <v>0</v>
      </c>
      <c r="H77" s="34">
        <f t="shared" si="4"/>
        <v>0</v>
      </c>
    </row>
    <row r="78" spans="1:8">
      <c r="A78" s="44">
        <f>Baseline!A74</f>
        <v>2070</v>
      </c>
      <c r="B78" s="44">
        <f>Baseline!B74</f>
        <v>43</v>
      </c>
      <c r="C78" s="44">
        <f>Baseline!C74</f>
        <v>0</v>
      </c>
      <c r="D78" s="44">
        <f>Baseline!D74</f>
        <v>0</v>
      </c>
      <c r="E78" s="2">
        <f>IF(C78=1,(1+Baseline!$B$9)^(A78-Baseline!$B$8),0)</f>
        <v>0</v>
      </c>
      <c r="F78" s="34">
        <f t="shared" si="3"/>
        <v>0</v>
      </c>
      <c r="G78" s="45">
        <f>Baseline!F74</f>
        <v>0</v>
      </c>
      <c r="H78" s="34">
        <f t="shared" si="4"/>
        <v>0</v>
      </c>
    </row>
    <row r="79" spans="1:8">
      <c r="A79" s="44">
        <f>Baseline!A75</f>
        <v>2071</v>
      </c>
      <c r="B79" s="44">
        <f>Baseline!B75</f>
        <v>44</v>
      </c>
      <c r="C79" s="44">
        <f>Baseline!C75</f>
        <v>0</v>
      </c>
      <c r="D79" s="44">
        <f>Baseline!D75</f>
        <v>0</v>
      </c>
      <c r="E79" s="2">
        <f>IF(C79=1,(1+Baseline!$B$9)^(A79-Baseline!$B$8),0)</f>
        <v>0</v>
      </c>
      <c r="F79" s="34">
        <f t="shared" si="3"/>
        <v>0</v>
      </c>
      <c r="G79" s="45">
        <f>Baseline!F75</f>
        <v>0</v>
      </c>
      <c r="H79" s="34">
        <f t="shared" si="4"/>
        <v>0</v>
      </c>
    </row>
    <row r="80" spans="1:8">
      <c r="A80" s="44">
        <f>Baseline!A76</f>
        <v>2072</v>
      </c>
      <c r="B80" s="44">
        <f>Baseline!B76</f>
        <v>45</v>
      </c>
      <c r="C80" s="44">
        <f>Baseline!C76</f>
        <v>0</v>
      </c>
      <c r="D80" s="44">
        <f>Baseline!D76</f>
        <v>0</v>
      </c>
      <c r="E80" s="2">
        <f>IF(C80=1,(1+Baseline!$B$9)^(A80-Baseline!$B$8),0)</f>
        <v>0</v>
      </c>
      <c r="F80" s="34">
        <f t="shared" si="3"/>
        <v>0</v>
      </c>
      <c r="G80" s="45">
        <f>Baseline!F76</f>
        <v>0</v>
      </c>
      <c r="H80" s="34">
        <f t="shared" si="4"/>
        <v>0</v>
      </c>
    </row>
    <row r="81" spans="1:8">
      <c r="A81" s="44">
        <f>Baseline!A77</f>
        <v>2073</v>
      </c>
      <c r="B81" s="44">
        <f>Baseline!B77</f>
        <v>46</v>
      </c>
      <c r="C81" s="44">
        <f>Baseline!C77</f>
        <v>0</v>
      </c>
      <c r="D81" s="44">
        <f>Baseline!D77</f>
        <v>0</v>
      </c>
      <c r="E81" s="2">
        <f>IF(C81=1,(1+Baseline!$B$9)^(A81-Baseline!$B$8),0)</f>
        <v>0</v>
      </c>
      <c r="F81" s="34">
        <f t="shared" si="3"/>
        <v>0</v>
      </c>
      <c r="G81" s="45">
        <f>Baseline!F77</f>
        <v>0</v>
      </c>
      <c r="H81" s="34">
        <f t="shared" si="4"/>
        <v>0</v>
      </c>
    </row>
    <row r="82" spans="1:8">
      <c r="A82" s="44">
        <f>Baseline!A78</f>
        <v>2074</v>
      </c>
      <c r="B82" s="44">
        <f>Baseline!B78</f>
        <v>47</v>
      </c>
      <c r="C82" s="44">
        <f>Baseline!C78</f>
        <v>0</v>
      </c>
      <c r="D82" s="44">
        <f>Baseline!D78</f>
        <v>0</v>
      </c>
      <c r="E82" s="2">
        <f>IF(C82=1,(1+Baseline!$B$9)^(A82-Baseline!$B$8),0)</f>
        <v>0</v>
      </c>
      <c r="F82" s="34">
        <f t="shared" si="3"/>
        <v>0</v>
      </c>
      <c r="G82" s="45">
        <f>Baseline!F78</f>
        <v>0</v>
      </c>
      <c r="H82" s="34">
        <f t="shared" si="4"/>
        <v>0</v>
      </c>
    </row>
    <row r="83" spans="1:8">
      <c r="A83" s="44">
        <f>Baseline!A79</f>
        <v>2075</v>
      </c>
      <c r="B83" s="44">
        <f>Baseline!B79</f>
        <v>48</v>
      </c>
      <c r="C83" s="44">
        <f>Baseline!C79</f>
        <v>0</v>
      </c>
      <c r="D83" s="44">
        <f>Baseline!D79</f>
        <v>0</v>
      </c>
      <c r="E83" s="2">
        <f>IF(C83=1,(1+Baseline!$B$9)^(A83-Baseline!$B$8),0)</f>
        <v>0</v>
      </c>
      <c r="F83" s="34">
        <f t="shared" si="3"/>
        <v>0</v>
      </c>
      <c r="G83" s="45">
        <f>Baseline!F79</f>
        <v>0</v>
      </c>
      <c r="H83" s="34">
        <f t="shared" si="4"/>
        <v>0</v>
      </c>
    </row>
    <row r="84" spans="1:8">
      <c r="A84" s="44">
        <f>Baseline!A80</f>
        <v>2076</v>
      </c>
      <c r="B84" s="44">
        <f>Baseline!B80</f>
        <v>49</v>
      </c>
      <c r="C84" s="44">
        <f>Baseline!C80</f>
        <v>0</v>
      </c>
      <c r="D84" s="44">
        <f>Baseline!D80</f>
        <v>0</v>
      </c>
      <c r="E84" s="2">
        <f>IF(C84=1,(1+Baseline!$B$9)^(A84-Baseline!$B$8),0)</f>
        <v>0</v>
      </c>
      <c r="F84" s="34">
        <f t="shared" si="3"/>
        <v>0</v>
      </c>
      <c r="G84" s="45">
        <f>Baseline!F80</f>
        <v>0</v>
      </c>
      <c r="H84" s="34">
        <f t="shared" si="4"/>
        <v>0</v>
      </c>
    </row>
    <row r="85" spans="1:8">
      <c r="A85" s="44">
        <f>Baseline!A81</f>
        <v>2077</v>
      </c>
      <c r="B85" s="44">
        <f>Baseline!B81</f>
        <v>50</v>
      </c>
      <c r="C85" s="44">
        <f>Baseline!C81</f>
        <v>0</v>
      </c>
      <c r="D85" s="44">
        <f>Baseline!D81</f>
        <v>0</v>
      </c>
      <c r="E85" s="2">
        <f>IF(C85=1,(1+Baseline!$B$9)^(A85-Baseline!$B$8),0)</f>
        <v>0</v>
      </c>
      <c r="F85" s="34">
        <f t="shared" si="3"/>
        <v>0</v>
      </c>
      <c r="G85" s="45">
        <f>Baseline!F81</f>
        <v>0</v>
      </c>
      <c r="H85" s="34">
        <f t="shared" si="4"/>
        <v>0</v>
      </c>
    </row>
  </sheetData>
  <sheetProtection algorithmName="SHA-512" hashValue="LIvjdfcfi8bzQ7rIvE6VVqRKqB5mXkZwMwH6oiaBzkAmBI6I0VrMVns6GKBf2AaqzZS5JeDh1OQGo0n1YBM4aA==" saltValue="4mxX/DQnwJMS+2QDrjtRyA==" spinCount="100000" sheet="1" objects="1" scenarios="1"/>
  <mergeCells count="5">
    <mergeCell ref="A1:K1"/>
    <mergeCell ref="A3:K3"/>
    <mergeCell ref="A9:K9"/>
    <mergeCell ref="A16:K16"/>
    <mergeCell ref="A33:K33"/>
  </mergeCells>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0E13F-78AE-4A91-96F5-3AAF8D3CA3BA}">
  <sheetPr codeName="Sheet7">
    <tabColor theme="6" tint="0.79998168889431442"/>
  </sheetPr>
  <dimension ref="A1:K89"/>
  <sheetViews>
    <sheetView zoomScale="70" zoomScaleNormal="70" workbookViewId="0">
      <selection activeCell="F27" sqref="F27"/>
    </sheetView>
  </sheetViews>
  <sheetFormatPr defaultColWidth="8.75" defaultRowHeight="15.75"/>
  <cols>
    <col min="1" max="1" width="27.5" style="2" customWidth="1"/>
    <col min="2" max="2" width="30.875" style="2" customWidth="1"/>
    <col min="3" max="3" width="26.375" style="2" customWidth="1"/>
    <col min="4" max="4" width="22.25" style="2" customWidth="1"/>
    <col min="5" max="5" width="23.875" style="2" customWidth="1"/>
    <col min="6" max="6" width="19.5" style="2" customWidth="1"/>
    <col min="7" max="7" width="22.5" style="2" customWidth="1"/>
    <col min="8" max="8" width="22.125" style="2" customWidth="1"/>
    <col min="9" max="9" width="14.25" style="2" customWidth="1"/>
    <col min="10" max="10" width="18.5" style="2" customWidth="1"/>
    <col min="11" max="11" width="13.5" style="2" customWidth="1"/>
    <col min="12" max="12" width="13.25" style="2" customWidth="1"/>
    <col min="13" max="13" width="17.25" style="2" customWidth="1"/>
    <col min="14" max="16384" width="8.75" style="2"/>
  </cols>
  <sheetData>
    <row r="1" spans="1:11" ht="30" customHeight="1">
      <c r="A1" s="133" t="s">
        <v>704</v>
      </c>
      <c r="B1" s="133"/>
      <c r="C1" s="133"/>
      <c r="D1" s="133"/>
      <c r="E1" s="133"/>
      <c r="F1" s="133"/>
      <c r="G1" s="133"/>
      <c r="H1" s="133"/>
      <c r="I1" s="133"/>
      <c r="J1" s="133"/>
      <c r="K1" s="133"/>
    </row>
    <row r="3" spans="1:11" ht="22.9" customHeight="1">
      <c r="A3" s="136" t="s">
        <v>931</v>
      </c>
      <c r="B3" s="136"/>
      <c r="C3" s="136"/>
      <c r="D3" s="136"/>
      <c r="E3" s="136"/>
      <c r="F3" s="136"/>
      <c r="G3" s="136"/>
      <c r="H3" s="136"/>
      <c r="I3" s="136"/>
      <c r="J3" s="136"/>
      <c r="K3" s="136"/>
    </row>
    <row r="4" spans="1:11">
      <c r="A4" s="2" t="s">
        <v>932</v>
      </c>
      <c r="B4" s="35">
        <f>-SUM($F$11:$F$15)</f>
        <v>-279229.92258493719</v>
      </c>
    </row>
    <row r="5" spans="1:11">
      <c r="A5" s="2" t="s">
        <v>933</v>
      </c>
      <c r="B5" s="35">
        <f>IFERROR(INDEX($F$39:$F$89,MATCH(Baseline!$B$8,$A$39:$A$89,0)),0)</f>
        <v>-223383.93806794976</v>
      </c>
    </row>
    <row r="6" spans="1:11">
      <c r="A6" s="2" t="s">
        <v>934</v>
      </c>
      <c r="B6" s="35">
        <f>SUM($H$39:$H$89)</f>
        <v>-3661593.7488648035</v>
      </c>
    </row>
    <row r="9" spans="1:11" ht="22.9" customHeight="1">
      <c r="A9" s="136" t="s">
        <v>1004</v>
      </c>
      <c r="B9" s="136"/>
      <c r="C9" s="136"/>
      <c r="D9" s="136"/>
      <c r="E9" s="136"/>
      <c r="F9" s="136"/>
      <c r="G9" s="136"/>
      <c r="H9" s="136"/>
      <c r="I9" s="136"/>
      <c r="J9" s="136"/>
      <c r="K9" s="136"/>
    </row>
    <row r="10" spans="1:11">
      <c r="A10" s="24" t="s">
        <v>1005</v>
      </c>
      <c r="B10" s="24" t="s">
        <v>1006</v>
      </c>
      <c r="C10" s="24" t="s">
        <v>981</v>
      </c>
      <c r="D10" s="24" t="s">
        <v>1007</v>
      </c>
      <c r="E10" s="24" t="s">
        <v>1008</v>
      </c>
      <c r="F10" s="24" t="s">
        <v>1009</v>
      </c>
    </row>
    <row r="11" spans="1:11">
      <c r="A11" s="2" t="s">
        <v>1010</v>
      </c>
      <c r="B11" s="40">
        <f>$B$23</f>
        <v>0.88380730572227695</v>
      </c>
      <c r="C11" s="46">
        <f>$B$22*B11</f>
        <v>0</v>
      </c>
      <c r="D11" s="37">
        <f>$B$26</f>
        <v>23.234964008923683</v>
      </c>
      <c r="E11" s="38">
        <f>$B$28/D11</f>
        <v>0.13716397403395986</v>
      </c>
      <c r="F11" s="34">
        <f>C11*E11</f>
        <v>0</v>
      </c>
    </row>
    <row r="12" spans="1:11">
      <c r="A12" s="2" t="s">
        <v>1011</v>
      </c>
      <c r="B12" s="40">
        <f>$B$24</f>
        <v>8.7362434841890116E-2</v>
      </c>
      <c r="C12" s="46">
        <f>$B$22*B12</f>
        <v>0</v>
      </c>
      <c r="D12" s="37">
        <f>$B$27</f>
        <v>24.23076923076923</v>
      </c>
      <c r="E12" s="38">
        <f>$B$29/D12</f>
        <v>0.13565396825396828</v>
      </c>
      <c r="F12" s="34">
        <f t="shared" ref="F12:F13" si="0">C12*E12</f>
        <v>0</v>
      </c>
    </row>
    <row r="13" spans="1:11">
      <c r="A13" s="2" t="s">
        <v>1012</v>
      </c>
      <c r="B13" s="40">
        <f>$B$25</f>
        <v>2.8830259435832933E-2</v>
      </c>
      <c r="C13" s="46">
        <f>$B$22*B13</f>
        <v>0</v>
      </c>
      <c r="D13" s="37"/>
      <c r="E13" s="38">
        <f>$B$30</f>
        <v>0.47299999999999998</v>
      </c>
      <c r="F13" s="34">
        <f t="shared" si="0"/>
        <v>0</v>
      </c>
    </row>
    <row r="14" spans="1:11">
      <c r="A14" s="2" t="s">
        <v>1013</v>
      </c>
      <c r="F14" s="34">
        <f>$B$32</f>
        <v>0</v>
      </c>
    </row>
    <row r="15" spans="1:11">
      <c r="A15" s="2" t="s">
        <v>1014</v>
      </c>
      <c r="C15" s="61">
        <f>B33</f>
        <v>100000</v>
      </c>
      <c r="E15" s="34">
        <f>B34</f>
        <v>2.792299225849372</v>
      </c>
      <c r="F15" s="34">
        <f>C15*E15</f>
        <v>279229.92258493719</v>
      </c>
    </row>
    <row r="18" spans="1:11" ht="22.9" customHeight="1">
      <c r="A18" s="136" t="s">
        <v>946</v>
      </c>
      <c r="B18" s="136"/>
      <c r="C18" s="136"/>
      <c r="D18" s="136"/>
      <c r="E18" s="136"/>
      <c r="F18" s="136"/>
      <c r="G18" s="136"/>
      <c r="H18" s="136"/>
      <c r="I18" s="136"/>
      <c r="J18" s="136"/>
      <c r="K18" s="136"/>
    </row>
    <row r="19" spans="1:11">
      <c r="A19" s="24" t="s">
        <v>947</v>
      </c>
      <c r="B19" s="24" t="s">
        <v>57</v>
      </c>
      <c r="D19" s="43" t="s">
        <v>1015</v>
      </c>
      <c r="E19" s="43" t="s">
        <v>1016</v>
      </c>
      <c r="F19" s="43" t="s">
        <v>1017</v>
      </c>
    </row>
    <row r="20" spans="1:11">
      <c r="A20" s="2" t="s">
        <v>148</v>
      </c>
      <c r="B20" s="39">
        <f>MATCH('Scenario Inputs'!$B$7,{"Statewide","Urban","Rural"},0)</f>
        <v>1</v>
      </c>
      <c r="D20" s="40">
        <f>'Parameter Library'!$E$103</f>
        <v>0.88380730572227695</v>
      </c>
      <c r="E20" s="40">
        <f>'Parameter Library'!$E$104</f>
        <v>8.7362434841890116E-2</v>
      </c>
      <c r="F20" s="40">
        <f>'Parameter Library'!$E$105</f>
        <v>2.8830259435832933E-2</v>
      </c>
    </row>
    <row r="21" spans="1:11">
      <c r="A21" s="2" t="s">
        <v>1018</v>
      </c>
      <c r="B21" s="2">
        <f>MATCH('Scenario Inputs'!$D$30,{"Passenger vehicle","Motorcycle","Truck"},0)</f>
        <v>1</v>
      </c>
      <c r="D21" s="40">
        <f>'Parameter Library'!$E$106</f>
        <v>0.89814547404421707</v>
      </c>
      <c r="E21" s="40">
        <f>'Parameter Library'!$E$107</f>
        <v>6.1913644580428445E-2</v>
      </c>
      <c r="F21" s="40">
        <f>'Parameter Library'!$E$108</f>
        <v>3.9940881375354433E-2</v>
      </c>
    </row>
    <row r="22" spans="1:11">
      <c r="A22" s="2" t="s">
        <v>991</v>
      </c>
      <c r="B22" s="39">
        <f>'Scenario Inputs'!$B$11</f>
        <v>0</v>
      </c>
      <c r="D22" s="40">
        <f>'Parameter Library'!$E$109</f>
        <v>0.86316245520241275</v>
      </c>
      <c r="E22" s="40">
        <f>'Parameter Library'!$E$110</f>
        <v>0.12400494447509816</v>
      </c>
      <c r="F22" s="40">
        <f>'Parameter Library'!$E$111</f>
        <v>1.2832600322489058E-2</v>
      </c>
    </row>
    <row r="23" spans="1:11">
      <c r="A23" s="2" t="s">
        <v>1015</v>
      </c>
      <c r="B23" s="40">
        <f>INDEX(D20:F22,B20,1)</f>
        <v>0.88380730572227695</v>
      </c>
      <c r="D23" s="39"/>
      <c r="E23" s="39"/>
      <c r="F23" s="39"/>
    </row>
    <row r="24" spans="1:11">
      <c r="A24" s="2" t="s">
        <v>1016</v>
      </c>
      <c r="B24" s="40">
        <f>INDEX(D20:F22,B20,2)</f>
        <v>8.7362434841890116E-2</v>
      </c>
      <c r="D24" s="43" t="s">
        <v>1019</v>
      </c>
      <c r="E24" s="43" t="s">
        <v>1020</v>
      </c>
      <c r="F24" s="43" t="s">
        <v>1019</v>
      </c>
      <c r="G24" s="43" t="s">
        <v>1020</v>
      </c>
    </row>
    <row r="25" spans="1:11">
      <c r="A25" s="2" t="s">
        <v>1017</v>
      </c>
      <c r="B25" s="40">
        <f>INDEX(D20:F22,B20,3)</f>
        <v>2.8830259435832933E-2</v>
      </c>
      <c r="D25" s="2" t="s">
        <v>82</v>
      </c>
      <c r="E25" s="2" t="s">
        <v>114</v>
      </c>
      <c r="F25" s="47">
        <f>'Parameter Library'!$E$224</f>
        <v>23.234964008923683</v>
      </c>
      <c r="G25" s="47">
        <f>'Parameter Library'!$E$225</f>
        <v>24.23076923076923</v>
      </c>
    </row>
    <row r="26" spans="1:11">
      <c r="A26" s="2" t="s">
        <v>1019</v>
      </c>
      <c r="B26" s="41">
        <f>INDEX(F25:F33,(B20-1)*3+B21)</f>
        <v>23.234964008923683</v>
      </c>
      <c r="D26" s="2" t="s">
        <v>82</v>
      </c>
      <c r="E26" s="2" t="s">
        <v>1021</v>
      </c>
      <c r="F26" s="47">
        <f>'Parameter Library'!$E$226</f>
        <v>28.747655179268062</v>
      </c>
      <c r="G26" s="47">
        <f>'Parameter Library'!$E$227</f>
        <v>32.160037907488395</v>
      </c>
    </row>
    <row r="27" spans="1:11">
      <c r="A27" s="2" t="s">
        <v>1020</v>
      </c>
      <c r="B27" s="41">
        <f>INDEX(G25:G33,(B20-1)*3+B21)</f>
        <v>24.23076923076923</v>
      </c>
      <c r="D27" s="2" t="s">
        <v>82</v>
      </c>
      <c r="E27" s="2" t="s">
        <v>1022</v>
      </c>
      <c r="F27" s="47">
        <f>'Parameter Library'!$E$228</f>
        <v>19.099660612642495</v>
      </c>
      <c r="G27" s="47">
        <f>'Parameter Library'!$E$229</f>
        <v>18.483658730018956</v>
      </c>
    </row>
    <row r="28" spans="1:11">
      <c r="A28" s="2" t="s">
        <v>1023</v>
      </c>
      <c r="B28" s="34">
        <f>'Parameter Library'!$E$218</f>
        <v>3.1869999999999998</v>
      </c>
      <c r="D28" s="39" t="s">
        <v>150</v>
      </c>
      <c r="E28" s="39" t="s">
        <v>114</v>
      </c>
      <c r="F28" s="47">
        <f>'Parameter Library'!$E$230</f>
        <v>26.067148724580676</v>
      </c>
      <c r="G28" s="47">
        <f>'Parameter Library'!$E$231</f>
        <v>22.166666666666668</v>
      </c>
    </row>
    <row r="29" spans="1:11">
      <c r="A29" s="2" t="s">
        <v>1024</v>
      </c>
      <c r="B29" s="34">
        <f>'Parameter Library'!$E$219</f>
        <v>3.2870000000000004</v>
      </c>
      <c r="D29" s="2" t="s">
        <v>150</v>
      </c>
      <c r="E29" s="2" t="s">
        <v>1021</v>
      </c>
      <c r="F29" s="47">
        <f>'Parameter Library'!$E$232</f>
        <v>30.501595124100522</v>
      </c>
      <c r="G29" s="47">
        <f>'Parameter Library'!$E$233</f>
        <v>31.95568549011281</v>
      </c>
    </row>
    <row r="30" spans="1:11">
      <c r="A30" s="2" t="s">
        <v>1025</v>
      </c>
      <c r="B30" s="34">
        <f>'Parameter Library'!$E$220</f>
        <v>0.47299999999999998</v>
      </c>
      <c r="D30" s="2" t="s">
        <v>150</v>
      </c>
      <c r="E30" s="2" t="s">
        <v>1022</v>
      </c>
      <c r="F30" s="47">
        <f>'Parameter Library'!$E$234</f>
        <v>19.9689920171447</v>
      </c>
      <c r="G30" s="47">
        <f>'Parameter Library'!$E$235</f>
        <v>18.469870365267347</v>
      </c>
    </row>
    <row r="31" spans="1:11">
      <c r="A31" s="2" t="s">
        <v>1026</v>
      </c>
      <c r="B31" s="39">
        <f>'Parameter Library'!$E$221</f>
        <v>0.4133</v>
      </c>
      <c r="D31" s="2" t="s">
        <v>151</v>
      </c>
      <c r="E31" s="2" t="s">
        <v>114</v>
      </c>
      <c r="F31" s="47">
        <f>'Parameter Library'!$E$236</f>
        <v>22.068177655866993</v>
      </c>
      <c r="G31" s="47">
        <f>'Parameter Library'!$E$237</f>
        <v>26</v>
      </c>
    </row>
    <row r="32" spans="1:11">
      <c r="A32" s="2" t="s">
        <v>1027</v>
      </c>
      <c r="B32" s="39">
        <f>B22*B31</f>
        <v>0</v>
      </c>
      <c r="D32" s="2" t="s">
        <v>151</v>
      </c>
      <c r="E32" s="2" t="s">
        <v>1021</v>
      </c>
      <c r="F32" s="47">
        <f>'Parameter Library'!$E$238</f>
        <v>31.427729443995904</v>
      </c>
      <c r="G32" s="47">
        <f>'Parameter Library'!$E$239</f>
        <v>32.282613749169364</v>
      </c>
    </row>
    <row r="33" spans="1:11">
      <c r="A33" s="2" t="s">
        <v>1028</v>
      </c>
      <c r="B33" s="116">
        <f>'Scenario Inputs'!$B$12</f>
        <v>100000</v>
      </c>
      <c r="D33" s="2" t="s">
        <v>151</v>
      </c>
      <c r="E33" s="2" t="s">
        <v>1022</v>
      </c>
      <c r="F33" s="47">
        <f>'Parameter Library'!$E$240</f>
        <v>19.495479811169847</v>
      </c>
      <c r="G33" s="47">
        <f>'Parameter Library'!$E$241</f>
        <v>18.227754500451326</v>
      </c>
    </row>
    <row r="34" spans="1:11">
      <c r="A34" s="2" t="s">
        <v>1029</v>
      </c>
      <c r="B34" s="34">
        <f>'Parameter Library'!$E$242</f>
        <v>2.792299225849372</v>
      </c>
    </row>
    <row r="37" spans="1:11" ht="22.9" customHeight="1">
      <c r="A37" s="136" t="s">
        <v>970</v>
      </c>
      <c r="B37" s="136"/>
      <c r="C37" s="136"/>
      <c r="D37" s="136"/>
      <c r="E37" s="136"/>
      <c r="F37" s="136"/>
      <c r="G37" s="136"/>
      <c r="H37" s="136"/>
      <c r="I37" s="136"/>
      <c r="J37" s="136"/>
      <c r="K37" s="136"/>
    </row>
    <row r="38" spans="1:11">
      <c r="A38" s="24" t="s">
        <v>971</v>
      </c>
      <c r="B38" s="24" t="s">
        <v>972</v>
      </c>
      <c r="C38" s="24" t="s">
        <v>973</v>
      </c>
      <c r="D38" s="24" t="s">
        <v>974</v>
      </c>
      <c r="E38" s="24" t="s">
        <v>273</v>
      </c>
      <c r="F38" s="24" t="s">
        <v>975</v>
      </c>
      <c r="G38" s="24" t="s">
        <v>976</v>
      </c>
      <c r="H38" s="24" t="s">
        <v>977</v>
      </c>
    </row>
    <row r="39" spans="1:11">
      <c r="A39" s="44">
        <f>Baseline!A31</f>
        <v>2027</v>
      </c>
      <c r="B39" s="44">
        <f>Baseline!B31</f>
        <v>0</v>
      </c>
      <c r="C39" s="44">
        <f>Baseline!C31</f>
        <v>1</v>
      </c>
      <c r="D39" s="44">
        <f>Baseline!D31</f>
        <v>0.8</v>
      </c>
      <c r="E39" s="2">
        <f>IF(C39=1,(1+Baseline!$B$9)^(A39-Baseline!$B$8),0)</f>
        <v>1</v>
      </c>
      <c r="F39" s="34">
        <f>$B$4*D39*E39</f>
        <v>-223383.93806794976</v>
      </c>
      <c r="G39" s="45">
        <f>Baseline!F31</f>
        <v>1</v>
      </c>
      <c r="H39" s="34">
        <f>F39*G39</f>
        <v>-223383.93806794976</v>
      </c>
    </row>
    <row r="40" spans="1:11">
      <c r="A40" s="44">
        <f>Baseline!A32</f>
        <v>2028</v>
      </c>
      <c r="B40" s="44">
        <f>Baseline!B32</f>
        <v>1</v>
      </c>
      <c r="C40" s="44">
        <f>Baseline!C32</f>
        <v>1</v>
      </c>
      <c r="D40" s="44">
        <f>Baseline!D32</f>
        <v>0.9</v>
      </c>
      <c r="E40" s="2">
        <f>IF(C40=1,(1+Baseline!$B$9)^(A40-Baseline!$B$8),0)</f>
        <v>1</v>
      </c>
      <c r="F40" s="34">
        <f t="shared" ref="F40:F89" si="1">$B$4*D40*E40</f>
        <v>-251306.93032644349</v>
      </c>
      <c r="G40" s="45">
        <f>Baseline!F32</f>
        <v>0.93457943925233644</v>
      </c>
      <c r="H40" s="34">
        <f t="shared" ref="H40:H89" si="2">F40*G40</f>
        <v>-234866.29002471353</v>
      </c>
    </row>
    <row r="41" spans="1:11">
      <c r="A41" s="44">
        <f>Baseline!A33</f>
        <v>2029</v>
      </c>
      <c r="B41" s="44">
        <f>Baseline!B33</f>
        <v>2</v>
      </c>
      <c r="C41" s="44">
        <f>Baseline!C33</f>
        <v>1</v>
      </c>
      <c r="D41" s="44">
        <f>Baseline!D33</f>
        <v>1</v>
      </c>
      <c r="E41" s="2">
        <f>IF(C41=1,(1+Baseline!$B$9)^(A41-Baseline!$B$8),0)</f>
        <v>1</v>
      </c>
      <c r="F41" s="34">
        <f t="shared" si="1"/>
        <v>-279229.92258493719</v>
      </c>
      <c r="G41" s="45">
        <f>Baseline!F33</f>
        <v>0.87343872827321156</v>
      </c>
      <c r="H41" s="34">
        <f t="shared" si="2"/>
        <v>-243890.22847841485</v>
      </c>
    </row>
    <row r="42" spans="1:11">
      <c r="A42" s="44">
        <f>Baseline!A34</f>
        <v>2030</v>
      </c>
      <c r="B42" s="44">
        <f>Baseline!B34</f>
        <v>3</v>
      </c>
      <c r="C42" s="44">
        <f>Baseline!C34</f>
        <v>1</v>
      </c>
      <c r="D42" s="44">
        <f>Baseline!D34</f>
        <v>1</v>
      </c>
      <c r="E42" s="2">
        <f>IF(C42=1,(1+Baseline!$B$9)^(A42-Baseline!$B$8),0)</f>
        <v>1</v>
      </c>
      <c r="F42" s="34">
        <f t="shared" si="1"/>
        <v>-279229.92258493719</v>
      </c>
      <c r="G42" s="45">
        <f>Baseline!F34</f>
        <v>0.81629787689085187</v>
      </c>
      <c r="H42" s="34">
        <f t="shared" si="2"/>
        <v>-227934.79297048115</v>
      </c>
    </row>
    <row r="43" spans="1:11">
      <c r="A43" s="44">
        <f>Baseline!A35</f>
        <v>2031</v>
      </c>
      <c r="B43" s="44">
        <f>Baseline!B35</f>
        <v>4</v>
      </c>
      <c r="C43" s="44">
        <f>Baseline!C35</f>
        <v>1</v>
      </c>
      <c r="D43" s="44">
        <f>Baseline!D35</f>
        <v>1</v>
      </c>
      <c r="E43" s="2">
        <f>IF(C43=1,(1+Baseline!$B$9)^(A43-Baseline!$B$8),0)</f>
        <v>1</v>
      </c>
      <c r="F43" s="34">
        <f t="shared" si="1"/>
        <v>-279229.92258493719</v>
      </c>
      <c r="G43" s="45">
        <f>Baseline!F35</f>
        <v>0.7628952120475252</v>
      </c>
      <c r="H43" s="34">
        <f t="shared" si="2"/>
        <v>-213023.17100044969</v>
      </c>
    </row>
    <row r="44" spans="1:11">
      <c r="A44" s="44">
        <f>Baseline!A36</f>
        <v>2032</v>
      </c>
      <c r="B44" s="44">
        <f>Baseline!B36</f>
        <v>5</v>
      </c>
      <c r="C44" s="44">
        <f>Baseline!C36</f>
        <v>1</v>
      </c>
      <c r="D44" s="44">
        <f>Baseline!D36</f>
        <v>1</v>
      </c>
      <c r="E44" s="2">
        <f>IF(C44=1,(1+Baseline!$B$9)^(A44-Baseline!$B$8),0)</f>
        <v>1</v>
      </c>
      <c r="F44" s="34">
        <f t="shared" si="1"/>
        <v>-279229.92258493719</v>
      </c>
      <c r="G44" s="45">
        <f>Baseline!F36</f>
        <v>0.71298617948366838</v>
      </c>
      <c r="H44" s="34">
        <f t="shared" si="2"/>
        <v>-199087.07570135486</v>
      </c>
    </row>
    <row r="45" spans="1:11">
      <c r="A45" s="44">
        <f>Baseline!A37</f>
        <v>2033</v>
      </c>
      <c r="B45" s="44">
        <f>Baseline!B37</f>
        <v>6</v>
      </c>
      <c r="C45" s="44">
        <f>Baseline!C37</f>
        <v>1</v>
      </c>
      <c r="D45" s="44">
        <f>Baseline!D37</f>
        <v>1</v>
      </c>
      <c r="E45" s="2">
        <f>IF(C45=1,(1+Baseline!$B$9)^(A45-Baseline!$B$8),0)</f>
        <v>1</v>
      </c>
      <c r="F45" s="34">
        <f t="shared" si="1"/>
        <v>-279229.92258493719</v>
      </c>
      <c r="G45" s="45">
        <f>Baseline!F37</f>
        <v>0.66634222381651254</v>
      </c>
      <c r="H45" s="34">
        <f t="shared" si="2"/>
        <v>-186062.68757135968</v>
      </c>
    </row>
    <row r="46" spans="1:11">
      <c r="A46" s="44">
        <f>Baseline!A38</f>
        <v>2034</v>
      </c>
      <c r="B46" s="44">
        <f>Baseline!B38</f>
        <v>7</v>
      </c>
      <c r="C46" s="44">
        <f>Baseline!C38</f>
        <v>1</v>
      </c>
      <c r="D46" s="44">
        <f>Baseline!D38</f>
        <v>1</v>
      </c>
      <c r="E46" s="2">
        <f>IF(C46=1,(1+Baseline!$B$9)^(A46-Baseline!$B$8),0)</f>
        <v>1</v>
      </c>
      <c r="F46" s="34">
        <f t="shared" si="1"/>
        <v>-279229.92258493719</v>
      </c>
      <c r="G46" s="45">
        <f>Baseline!F38</f>
        <v>0.62274974188459109</v>
      </c>
      <c r="H46" s="34">
        <f t="shared" si="2"/>
        <v>-173890.36221622399</v>
      </c>
    </row>
    <row r="47" spans="1:11">
      <c r="A47" s="44">
        <f>Baseline!A39</f>
        <v>2035</v>
      </c>
      <c r="B47" s="44">
        <f>Baseline!B39</f>
        <v>8</v>
      </c>
      <c r="C47" s="44">
        <f>Baseline!C39</f>
        <v>1</v>
      </c>
      <c r="D47" s="44">
        <f>Baseline!D39</f>
        <v>1</v>
      </c>
      <c r="E47" s="2">
        <f>IF(C47=1,(1+Baseline!$B$9)^(A47-Baseline!$B$8),0)</f>
        <v>1</v>
      </c>
      <c r="F47" s="34">
        <f t="shared" si="1"/>
        <v>-279229.92258493719</v>
      </c>
      <c r="G47" s="45">
        <f>Baseline!F39</f>
        <v>0.5820091045650384</v>
      </c>
      <c r="H47" s="34">
        <f t="shared" si="2"/>
        <v>-162514.3572114243</v>
      </c>
    </row>
    <row r="48" spans="1:11">
      <c r="A48" s="44">
        <f>Baseline!A40</f>
        <v>2036</v>
      </c>
      <c r="B48" s="44">
        <f>Baseline!B40</f>
        <v>9</v>
      </c>
      <c r="C48" s="44">
        <f>Baseline!C40</f>
        <v>1</v>
      </c>
      <c r="D48" s="44">
        <f>Baseline!D40</f>
        <v>1</v>
      </c>
      <c r="E48" s="2">
        <f>IF(C48=1,(1+Baseline!$B$9)^(A48-Baseline!$B$8),0)</f>
        <v>1</v>
      </c>
      <c r="F48" s="34">
        <f t="shared" si="1"/>
        <v>-279229.92258493719</v>
      </c>
      <c r="G48" s="45">
        <f>Baseline!F40</f>
        <v>0.54393374258414806</v>
      </c>
      <c r="H48" s="34">
        <f t="shared" si="2"/>
        <v>-151882.57683310681</v>
      </c>
    </row>
    <row r="49" spans="1:8">
      <c r="A49" s="44">
        <f>Baseline!A41</f>
        <v>2037</v>
      </c>
      <c r="B49" s="44">
        <f>Baseline!B41</f>
        <v>9</v>
      </c>
      <c r="C49" s="44">
        <f>Baseline!C41</f>
        <v>1</v>
      </c>
      <c r="D49" s="44">
        <f>Baseline!D41</f>
        <v>1</v>
      </c>
      <c r="E49" s="2">
        <f>IF(C49=1,(1+Baseline!$B$9)^(A49-Baseline!$B$8),0)</f>
        <v>1</v>
      </c>
      <c r="F49" s="34">
        <f t="shared" si="1"/>
        <v>-279229.92258493719</v>
      </c>
      <c r="G49" s="45">
        <f>Baseline!F41</f>
        <v>0.54393374258414806</v>
      </c>
      <c r="H49" s="34">
        <f t="shared" si="2"/>
        <v>-151882.57683310681</v>
      </c>
    </row>
    <row r="50" spans="1:8">
      <c r="A50" s="44">
        <f>Baseline!A42</f>
        <v>2038</v>
      </c>
      <c r="B50" s="44">
        <f>Baseline!B42</f>
        <v>10</v>
      </c>
      <c r="C50" s="44">
        <f>Baseline!C42</f>
        <v>1</v>
      </c>
      <c r="D50" s="44">
        <f>Baseline!D42</f>
        <v>1</v>
      </c>
      <c r="E50" s="2">
        <f>IF(C50=1,(1+Baseline!$B$9)^(A50-Baseline!$B$8),0)</f>
        <v>1</v>
      </c>
      <c r="F50" s="34">
        <f t="shared" si="1"/>
        <v>-279229.92258493719</v>
      </c>
      <c r="G50" s="45">
        <f>Baseline!F42</f>
        <v>0.5083492921347178</v>
      </c>
      <c r="H50" s="34">
        <f t="shared" si="2"/>
        <v>-141946.33348888488</v>
      </c>
    </row>
    <row r="51" spans="1:8">
      <c r="A51" s="44">
        <f>Baseline!A43</f>
        <v>2039</v>
      </c>
      <c r="B51" s="44">
        <f>Baseline!B43</f>
        <v>11</v>
      </c>
      <c r="C51" s="44">
        <f>Baseline!C43</f>
        <v>1</v>
      </c>
      <c r="D51" s="44">
        <f>Baseline!D43</f>
        <v>1</v>
      </c>
      <c r="E51" s="2">
        <f>IF(C51=1,(1+Baseline!$B$9)^(A51-Baseline!$B$8),0)</f>
        <v>1</v>
      </c>
      <c r="F51" s="34">
        <f t="shared" si="1"/>
        <v>-279229.92258493719</v>
      </c>
      <c r="G51" s="45">
        <f>Baseline!F43</f>
        <v>0.47509279638758667</v>
      </c>
      <c r="H51" s="34">
        <f t="shared" si="2"/>
        <v>-132660.12475596715</v>
      </c>
    </row>
    <row r="52" spans="1:8">
      <c r="A52" s="44">
        <f>Baseline!A44</f>
        <v>2040</v>
      </c>
      <c r="B52" s="44">
        <f>Baseline!B44</f>
        <v>12</v>
      </c>
      <c r="C52" s="44">
        <f>Baseline!C44</f>
        <v>1</v>
      </c>
      <c r="D52" s="44">
        <f>Baseline!D44</f>
        <v>1</v>
      </c>
      <c r="E52" s="2">
        <f>IF(C52=1,(1+Baseline!$B$9)^(A52-Baseline!$B$8),0)</f>
        <v>1</v>
      </c>
      <c r="F52" s="34">
        <f t="shared" si="1"/>
        <v>-279229.92258493719</v>
      </c>
      <c r="G52" s="45">
        <f>Baseline!F44</f>
        <v>0.44401195924073528</v>
      </c>
      <c r="H52" s="34">
        <f t="shared" si="2"/>
        <v>-123981.42500557679</v>
      </c>
    </row>
    <row r="53" spans="1:8">
      <c r="A53" s="44">
        <f>Baseline!A45</f>
        <v>2041</v>
      </c>
      <c r="B53" s="44">
        <f>Baseline!B45</f>
        <v>14</v>
      </c>
      <c r="C53" s="44">
        <f>Baseline!C45</f>
        <v>1</v>
      </c>
      <c r="D53" s="44">
        <f>Baseline!D45</f>
        <v>1</v>
      </c>
      <c r="E53" s="2">
        <f>IF(C53=1,(1+Baseline!$B$9)^(A53-Baseline!$B$8),0)</f>
        <v>1</v>
      </c>
      <c r="F53" s="34">
        <f t="shared" si="1"/>
        <v>-279229.92258493719</v>
      </c>
      <c r="G53" s="45">
        <f>Baseline!F45</f>
        <v>0.3878172410173249</v>
      </c>
      <c r="H53" s="34">
        <f t="shared" si="2"/>
        <v>-108290.17818637156</v>
      </c>
    </row>
    <row r="54" spans="1:8">
      <c r="A54" s="44">
        <f>Baseline!A46</f>
        <v>2042</v>
      </c>
      <c r="B54" s="44">
        <f>Baseline!B46</f>
        <v>15</v>
      </c>
      <c r="C54" s="44">
        <f>Baseline!C46</f>
        <v>1</v>
      </c>
      <c r="D54" s="44">
        <f>Baseline!D46</f>
        <v>1</v>
      </c>
      <c r="E54" s="2">
        <f>IF(C54=1,(1+Baseline!$B$9)^(A54-Baseline!$B$8),0)</f>
        <v>1</v>
      </c>
      <c r="F54" s="34">
        <f t="shared" si="1"/>
        <v>-279229.92258493719</v>
      </c>
      <c r="G54" s="45">
        <f>Baseline!F46</f>
        <v>0.36244601964235967</v>
      </c>
      <c r="H54" s="34">
        <f t="shared" si="2"/>
        <v>-101205.77400595472</v>
      </c>
    </row>
    <row r="55" spans="1:8">
      <c r="A55" s="44">
        <f>Baseline!A47</f>
        <v>2043</v>
      </c>
      <c r="B55" s="44">
        <f>Baseline!B47</f>
        <v>16</v>
      </c>
      <c r="C55" s="44">
        <f>Baseline!C47</f>
        <v>1</v>
      </c>
      <c r="D55" s="44">
        <f>Baseline!D47</f>
        <v>1</v>
      </c>
      <c r="E55" s="2">
        <f>IF(C55=1,(1+Baseline!$B$9)^(A55-Baseline!$B$8),0)</f>
        <v>1</v>
      </c>
      <c r="F55" s="34">
        <f t="shared" si="1"/>
        <v>-279229.92258493719</v>
      </c>
      <c r="G55" s="45">
        <f>Baseline!F47</f>
        <v>0.33873459779659787</v>
      </c>
      <c r="H55" s="34">
        <f t="shared" si="2"/>
        <v>-94584.835519583852</v>
      </c>
    </row>
    <row r="56" spans="1:8">
      <c r="A56" s="44">
        <f>Baseline!A48</f>
        <v>2044</v>
      </c>
      <c r="B56" s="44">
        <f>Baseline!B48</f>
        <v>17</v>
      </c>
      <c r="C56" s="44">
        <f>Baseline!C48</f>
        <v>1</v>
      </c>
      <c r="D56" s="44">
        <f>Baseline!D48</f>
        <v>1</v>
      </c>
      <c r="E56" s="2">
        <f>IF(C56=1,(1+Baseline!$B$9)^(A56-Baseline!$B$8),0)</f>
        <v>1</v>
      </c>
      <c r="F56" s="34">
        <f t="shared" si="1"/>
        <v>-279229.92258493719</v>
      </c>
      <c r="G56" s="45">
        <f>Baseline!F48</f>
        <v>0.31657439046411018</v>
      </c>
      <c r="H56" s="34">
        <f t="shared" si="2"/>
        <v>-88397.042541667164</v>
      </c>
    </row>
    <row r="57" spans="1:8">
      <c r="A57" s="44">
        <f>Baseline!A49</f>
        <v>2045</v>
      </c>
      <c r="B57" s="44">
        <f>Baseline!B49</f>
        <v>18</v>
      </c>
      <c r="C57" s="44">
        <f>Baseline!C49</f>
        <v>1</v>
      </c>
      <c r="D57" s="44">
        <f>Baseline!D49</f>
        <v>1</v>
      </c>
      <c r="E57" s="2">
        <f>IF(C57=1,(1+Baseline!$B$9)^(A57-Baseline!$B$8),0)</f>
        <v>1</v>
      </c>
      <c r="F57" s="34">
        <f t="shared" si="1"/>
        <v>-279229.92258493719</v>
      </c>
      <c r="G57" s="45">
        <f>Baseline!F49</f>
        <v>0.29586391632159825</v>
      </c>
      <c r="H57" s="34">
        <f t="shared" si="2"/>
        <v>-82614.058450156212</v>
      </c>
    </row>
    <row r="58" spans="1:8">
      <c r="A58" s="44">
        <f>Baseline!A50</f>
        <v>2046</v>
      </c>
      <c r="B58" s="44">
        <f>Baseline!B50</f>
        <v>19</v>
      </c>
      <c r="C58" s="44">
        <f>Baseline!C50</f>
        <v>1</v>
      </c>
      <c r="D58" s="44">
        <f>Baseline!D50</f>
        <v>1</v>
      </c>
      <c r="E58" s="2">
        <f>IF(C58=1,(1+Baseline!$B$9)^(A58-Baseline!$B$8),0)</f>
        <v>1</v>
      </c>
      <c r="F58" s="34">
        <f t="shared" si="1"/>
        <v>-279229.92258493719</v>
      </c>
      <c r="G58" s="45">
        <f>Baseline!F50</f>
        <v>0.27650833301083949</v>
      </c>
      <c r="H58" s="34">
        <f t="shared" si="2"/>
        <v>-77209.400420706748</v>
      </c>
    </row>
    <row r="59" spans="1:8">
      <c r="A59" s="44">
        <f>Baseline!A51</f>
        <v>2047</v>
      </c>
      <c r="B59" s="44">
        <f>Baseline!B51</f>
        <v>20</v>
      </c>
      <c r="C59" s="44">
        <f>Baseline!C51</f>
        <v>1</v>
      </c>
      <c r="D59" s="44">
        <f>Baseline!D51</f>
        <v>1</v>
      </c>
      <c r="E59" s="2">
        <f>IF(C59=1,(1+Baseline!$B$9)^(A59-Baseline!$B$8),0)</f>
        <v>1</v>
      </c>
      <c r="F59" s="34">
        <f t="shared" si="1"/>
        <v>-279229.92258493719</v>
      </c>
      <c r="G59" s="45">
        <f>Baseline!F51</f>
        <v>0.2584190028138687</v>
      </c>
      <c r="H59" s="34">
        <f t="shared" si="2"/>
        <v>-72158.318150193227</v>
      </c>
    </row>
    <row r="60" spans="1:8">
      <c r="A60" s="44">
        <f>Baseline!A52</f>
        <v>2048</v>
      </c>
      <c r="B60" s="44">
        <f>Baseline!B52</f>
        <v>21</v>
      </c>
      <c r="C60" s="44">
        <f>Baseline!C52</f>
        <v>1</v>
      </c>
      <c r="D60" s="44">
        <f>Baseline!D52</f>
        <v>1</v>
      </c>
      <c r="E60" s="2">
        <f>IF(C60=1,(1+Baseline!$B$9)^(A60-Baseline!$B$8),0)</f>
        <v>1</v>
      </c>
      <c r="F60" s="34">
        <f t="shared" si="1"/>
        <v>-279229.92258493719</v>
      </c>
      <c r="G60" s="45">
        <f>Baseline!F52</f>
        <v>0.24151308674193336</v>
      </c>
      <c r="H60" s="34">
        <f t="shared" si="2"/>
        <v>-67437.680514199266</v>
      </c>
    </row>
    <row r="61" spans="1:8">
      <c r="A61" s="44">
        <f>Baseline!A53</f>
        <v>2049</v>
      </c>
      <c r="B61" s="44">
        <f>Baseline!B53</f>
        <v>22</v>
      </c>
      <c r="C61" s="44">
        <f>Baseline!C53</f>
        <v>1</v>
      </c>
      <c r="D61" s="44">
        <f>Baseline!D53</f>
        <v>1</v>
      </c>
      <c r="E61" s="2">
        <f>IF(C61=1,(1+Baseline!$B$9)^(A61-Baseline!$B$8),0)</f>
        <v>1</v>
      </c>
      <c r="F61" s="34">
        <f t="shared" si="1"/>
        <v>-279229.92258493719</v>
      </c>
      <c r="G61" s="45">
        <f>Baseline!F53</f>
        <v>0.22571316517937698</v>
      </c>
      <c r="H61" s="34">
        <f t="shared" si="2"/>
        <v>-63025.869639438577</v>
      </c>
    </row>
    <row r="62" spans="1:8">
      <c r="A62" s="44">
        <f>Baseline!A54</f>
        <v>2050</v>
      </c>
      <c r="B62" s="44">
        <f>Baseline!B54</f>
        <v>23</v>
      </c>
      <c r="C62" s="44">
        <f>Baseline!C54</f>
        <v>1</v>
      </c>
      <c r="D62" s="44">
        <f>Baseline!D54</f>
        <v>1</v>
      </c>
      <c r="E62" s="2">
        <f>IF(C62=1,(1+Baseline!$B$9)^(A62-Baseline!$B$8),0)</f>
        <v>1</v>
      </c>
      <c r="F62" s="34">
        <f t="shared" si="1"/>
        <v>-279229.92258493719</v>
      </c>
      <c r="G62" s="45">
        <f>Baseline!F54</f>
        <v>0.21094688334521211</v>
      </c>
      <c r="H62" s="34">
        <f t="shared" si="2"/>
        <v>-58902.681906017351</v>
      </c>
    </row>
    <row r="63" spans="1:8">
      <c r="A63" s="44">
        <f>Baseline!A55</f>
        <v>2051</v>
      </c>
      <c r="B63" s="44">
        <f>Baseline!B55</f>
        <v>24</v>
      </c>
      <c r="C63" s="44">
        <f>Baseline!C55</f>
        <v>1</v>
      </c>
      <c r="D63" s="44">
        <f>Baseline!D55</f>
        <v>1</v>
      </c>
      <c r="E63" s="2">
        <f>IF(C63=1,(1+Baseline!$B$9)^(A63-Baseline!$B$8),0)</f>
        <v>1</v>
      </c>
      <c r="F63" s="34">
        <f t="shared" si="1"/>
        <v>-279229.92258493719</v>
      </c>
      <c r="G63" s="45">
        <f>Baseline!F55</f>
        <v>0.19714661994879637</v>
      </c>
      <c r="H63" s="34">
        <f t="shared" si="2"/>
        <v>-55049.235426184445</v>
      </c>
    </row>
    <row r="64" spans="1:8">
      <c r="A64" s="44">
        <f>Baseline!A56</f>
        <v>2052</v>
      </c>
      <c r="B64" s="44">
        <f>Baseline!B56</f>
        <v>25</v>
      </c>
      <c r="C64" s="44">
        <f>Baseline!C56</f>
        <v>1</v>
      </c>
      <c r="D64" s="44">
        <f>Baseline!D56</f>
        <v>1</v>
      </c>
      <c r="E64" s="2">
        <f>IF(C64=1,(1+Baseline!$B$9)^(A64-Baseline!$B$8),0)</f>
        <v>1</v>
      </c>
      <c r="F64" s="34">
        <f t="shared" si="1"/>
        <v>-279229.92258493719</v>
      </c>
      <c r="G64" s="45">
        <f>Baseline!F56</f>
        <v>0.18424917752223957</v>
      </c>
      <c r="H64" s="34">
        <f t="shared" si="2"/>
        <v>-51447.883575873304</v>
      </c>
    </row>
    <row r="65" spans="1:8">
      <c r="A65" s="44">
        <f>Baseline!A57</f>
        <v>2053</v>
      </c>
      <c r="B65" s="44">
        <f>Baseline!B57</f>
        <v>26</v>
      </c>
      <c r="C65" s="44">
        <f>Baseline!C57</f>
        <v>1</v>
      </c>
      <c r="D65" s="44">
        <f>Baseline!D57</f>
        <v>1</v>
      </c>
      <c r="E65" s="2">
        <f>IF(C65=1,(1+Baseline!$B$9)^(A65-Baseline!$B$8),0)</f>
        <v>1</v>
      </c>
      <c r="F65" s="34">
        <f t="shared" si="1"/>
        <v>-279229.92258493719</v>
      </c>
      <c r="G65" s="45">
        <f>Baseline!F57</f>
        <v>0.17219549301143888</v>
      </c>
      <c r="H65" s="34">
        <f t="shared" si="2"/>
        <v>-48082.13418305917</v>
      </c>
    </row>
    <row r="66" spans="1:8">
      <c r="A66" s="44">
        <f>Baseline!A58</f>
        <v>2054</v>
      </c>
      <c r="B66" s="44">
        <f>Baseline!B58</f>
        <v>27</v>
      </c>
      <c r="C66" s="44">
        <f>Baseline!C58</f>
        <v>1</v>
      </c>
      <c r="D66" s="44">
        <f>Baseline!D58</f>
        <v>1</v>
      </c>
      <c r="E66" s="2">
        <f>IF(C66=1,(1+Baseline!$B$9)^(A66-Baseline!$B$8),0)</f>
        <v>1</v>
      </c>
      <c r="F66" s="34">
        <f t="shared" si="1"/>
        <v>-279229.92258493719</v>
      </c>
      <c r="G66" s="45">
        <f>Baseline!F58</f>
        <v>0.16093036730041013</v>
      </c>
      <c r="H66" s="34">
        <f t="shared" si="2"/>
        <v>-44936.57400285903</v>
      </c>
    </row>
    <row r="67" spans="1:8">
      <c r="A67" s="44">
        <f>Baseline!A59</f>
        <v>2055</v>
      </c>
      <c r="B67" s="44">
        <f>Baseline!B59</f>
        <v>28</v>
      </c>
      <c r="C67" s="44">
        <f>Baseline!C59</f>
        <v>1</v>
      </c>
      <c r="D67" s="44">
        <f>Baseline!D59</f>
        <v>1</v>
      </c>
      <c r="E67" s="2">
        <f>IF(C67=1,(1+Baseline!$B$9)^(A67-Baseline!$B$8),0)</f>
        <v>1</v>
      </c>
      <c r="F67" s="34">
        <f t="shared" si="1"/>
        <v>-279229.92258493719</v>
      </c>
      <c r="G67" s="45">
        <f>Baseline!F59</f>
        <v>0.15040221243028987</v>
      </c>
      <c r="H67" s="34">
        <f t="shared" si="2"/>
        <v>-41996.798133513119</v>
      </c>
    </row>
    <row r="68" spans="1:8">
      <c r="A68" s="44">
        <f>Baseline!A60</f>
        <v>2056</v>
      </c>
      <c r="B68" s="44">
        <f>Baseline!B60</f>
        <v>29</v>
      </c>
      <c r="C68" s="44">
        <f>Baseline!C60</f>
        <v>1</v>
      </c>
      <c r="D68" s="44">
        <f>Baseline!D60</f>
        <v>1</v>
      </c>
      <c r="E68" s="2">
        <f>IF(C68=1,(1+Baseline!$B$9)^(A68-Baseline!$B$8),0)</f>
        <v>1</v>
      </c>
      <c r="F68" s="34">
        <f t="shared" si="1"/>
        <v>-279229.92258493719</v>
      </c>
      <c r="G68" s="45">
        <f>Baseline!F60</f>
        <v>0.1405628153554111</v>
      </c>
      <c r="H68" s="34">
        <f t="shared" si="2"/>
        <v>-39249.34405001226</v>
      </c>
    </row>
    <row r="69" spans="1:8">
      <c r="A69" s="44">
        <f>Baseline!A61</f>
        <v>2057</v>
      </c>
      <c r="B69" s="44">
        <f>Baseline!B61</f>
        <v>30</v>
      </c>
      <c r="C69" s="44">
        <f>Baseline!C61</f>
        <v>0</v>
      </c>
      <c r="D69" s="44">
        <f>Baseline!D61</f>
        <v>0</v>
      </c>
      <c r="E69" s="2">
        <f>IF(C69=1,(1+Baseline!$B$9)^(A69-Baseline!$B$8),0)</f>
        <v>0</v>
      </c>
      <c r="F69" s="34">
        <f t="shared" si="1"/>
        <v>0</v>
      </c>
      <c r="G69" s="45">
        <f>Baseline!F61</f>
        <v>0</v>
      </c>
      <c r="H69" s="34">
        <f t="shared" si="2"/>
        <v>0</v>
      </c>
    </row>
    <row r="70" spans="1:8">
      <c r="A70" s="44">
        <f>Baseline!A62</f>
        <v>2058</v>
      </c>
      <c r="B70" s="44">
        <f>Baseline!B62</f>
        <v>31</v>
      </c>
      <c r="C70" s="44">
        <f>Baseline!C62</f>
        <v>0</v>
      </c>
      <c r="D70" s="44">
        <f>Baseline!D62</f>
        <v>0</v>
      </c>
      <c r="E70" s="2">
        <f>IF(C70=1,(1+Baseline!$B$9)^(A70-Baseline!$B$8),0)</f>
        <v>0</v>
      </c>
      <c r="F70" s="34">
        <f t="shared" si="1"/>
        <v>0</v>
      </c>
      <c r="G70" s="45">
        <f>Baseline!F62</f>
        <v>0</v>
      </c>
      <c r="H70" s="34">
        <f t="shared" si="2"/>
        <v>0</v>
      </c>
    </row>
    <row r="71" spans="1:8">
      <c r="A71" s="44">
        <f>Baseline!A63</f>
        <v>2059</v>
      </c>
      <c r="B71" s="44">
        <f>Baseline!B63</f>
        <v>32</v>
      </c>
      <c r="C71" s="44">
        <f>Baseline!C63</f>
        <v>0</v>
      </c>
      <c r="D71" s="44">
        <f>Baseline!D63</f>
        <v>0</v>
      </c>
      <c r="E71" s="2">
        <f>IF(C71=1,(1+Baseline!$B$9)^(A71-Baseline!$B$8),0)</f>
        <v>0</v>
      </c>
      <c r="F71" s="34">
        <f t="shared" si="1"/>
        <v>0</v>
      </c>
      <c r="G71" s="45">
        <f>Baseline!F63</f>
        <v>0</v>
      </c>
      <c r="H71" s="34">
        <f t="shared" si="2"/>
        <v>0</v>
      </c>
    </row>
    <row r="72" spans="1:8">
      <c r="A72" s="44">
        <f>Baseline!A64</f>
        <v>2060</v>
      </c>
      <c r="B72" s="44">
        <f>Baseline!B64</f>
        <v>33</v>
      </c>
      <c r="C72" s="44">
        <f>Baseline!C64</f>
        <v>0</v>
      </c>
      <c r="D72" s="44">
        <f>Baseline!D64</f>
        <v>0</v>
      </c>
      <c r="E72" s="2">
        <f>IF(C72=1,(1+Baseline!$B$9)^(A72-Baseline!$B$8),0)</f>
        <v>0</v>
      </c>
      <c r="F72" s="34">
        <f t="shared" si="1"/>
        <v>0</v>
      </c>
      <c r="G72" s="45">
        <f>Baseline!F64</f>
        <v>0</v>
      </c>
      <c r="H72" s="34">
        <f t="shared" si="2"/>
        <v>0</v>
      </c>
    </row>
    <row r="73" spans="1:8">
      <c r="A73" s="44">
        <f>Baseline!A65</f>
        <v>2061</v>
      </c>
      <c r="B73" s="44">
        <f>Baseline!B65</f>
        <v>34</v>
      </c>
      <c r="C73" s="44">
        <f>Baseline!C65</f>
        <v>0</v>
      </c>
      <c r="D73" s="44">
        <f>Baseline!D65</f>
        <v>0</v>
      </c>
      <c r="E73" s="2">
        <f>IF(C73=1,(1+Baseline!$B$9)^(A73-Baseline!$B$8),0)</f>
        <v>0</v>
      </c>
      <c r="F73" s="34">
        <f t="shared" si="1"/>
        <v>0</v>
      </c>
      <c r="G73" s="45">
        <f>Baseline!F65</f>
        <v>0</v>
      </c>
      <c r="H73" s="34">
        <f t="shared" si="2"/>
        <v>0</v>
      </c>
    </row>
    <row r="74" spans="1:8">
      <c r="A74" s="44">
        <f>Baseline!A66</f>
        <v>2062</v>
      </c>
      <c r="B74" s="44">
        <f>Baseline!B66</f>
        <v>35</v>
      </c>
      <c r="C74" s="44">
        <f>Baseline!C66</f>
        <v>0</v>
      </c>
      <c r="D74" s="44">
        <f>Baseline!D66</f>
        <v>0</v>
      </c>
      <c r="E74" s="2">
        <f>IF(C74=1,(1+Baseline!$B$9)^(A74-Baseline!$B$8),0)</f>
        <v>0</v>
      </c>
      <c r="F74" s="34">
        <f t="shared" si="1"/>
        <v>0</v>
      </c>
      <c r="G74" s="45">
        <f>Baseline!F66</f>
        <v>0</v>
      </c>
      <c r="H74" s="34">
        <f t="shared" si="2"/>
        <v>0</v>
      </c>
    </row>
    <row r="75" spans="1:8">
      <c r="A75" s="44">
        <f>Baseline!A67</f>
        <v>2063</v>
      </c>
      <c r="B75" s="44">
        <f>Baseline!B67</f>
        <v>36</v>
      </c>
      <c r="C75" s="44">
        <f>Baseline!C67</f>
        <v>0</v>
      </c>
      <c r="D75" s="44">
        <f>Baseline!D67</f>
        <v>0</v>
      </c>
      <c r="E75" s="2">
        <f>IF(C75=1,(1+Baseline!$B$9)^(A75-Baseline!$B$8),0)</f>
        <v>0</v>
      </c>
      <c r="F75" s="34">
        <f t="shared" si="1"/>
        <v>0</v>
      </c>
      <c r="G75" s="45">
        <f>Baseline!F67</f>
        <v>0</v>
      </c>
      <c r="H75" s="34">
        <f t="shared" si="2"/>
        <v>0</v>
      </c>
    </row>
    <row r="76" spans="1:8">
      <c r="A76" s="44">
        <f>Baseline!A68</f>
        <v>2064</v>
      </c>
      <c r="B76" s="44">
        <f>Baseline!B68</f>
        <v>37</v>
      </c>
      <c r="C76" s="44">
        <f>Baseline!C68</f>
        <v>0</v>
      </c>
      <c r="D76" s="44">
        <f>Baseline!D68</f>
        <v>0</v>
      </c>
      <c r="E76" s="2">
        <f>IF(C76=1,(1+Baseline!$B$9)^(A76-Baseline!$B$8),0)</f>
        <v>0</v>
      </c>
      <c r="F76" s="34">
        <f t="shared" si="1"/>
        <v>0</v>
      </c>
      <c r="G76" s="45">
        <f>Baseline!F68</f>
        <v>0</v>
      </c>
      <c r="H76" s="34">
        <f t="shared" si="2"/>
        <v>0</v>
      </c>
    </row>
    <row r="77" spans="1:8">
      <c r="A77" s="44">
        <f>Baseline!A69</f>
        <v>2065</v>
      </c>
      <c r="B77" s="44">
        <f>Baseline!B69</f>
        <v>38</v>
      </c>
      <c r="C77" s="44">
        <f>Baseline!C69</f>
        <v>0</v>
      </c>
      <c r="D77" s="44">
        <f>Baseline!D69</f>
        <v>0</v>
      </c>
      <c r="E77" s="2">
        <f>IF(C77=1,(1+Baseline!$B$9)^(A77-Baseline!$B$8),0)</f>
        <v>0</v>
      </c>
      <c r="F77" s="34">
        <f t="shared" si="1"/>
        <v>0</v>
      </c>
      <c r="G77" s="45">
        <f>Baseline!F69</f>
        <v>0</v>
      </c>
      <c r="H77" s="34">
        <f t="shared" si="2"/>
        <v>0</v>
      </c>
    </row>
    <row r="78" spans="1:8">
      <c r="A78" s="44">
        <f>Baseline!A70</f>
        <v>2066</v>
      </c>
      <c r="B78" s="44">
        <f>Baseline!B70</f>
        <v>39</v>
      </c>
      <c r="C78" s="44">
        <f>Baseline!C70</f>
        <v>0</v>
      </c>
      <c r="D78" s="44">
        <f>Baseline!D70</f>
        <v>0</v>
      </c>
      <c r="E78" s="2">
        <f>IF(C78=1,(1+Baseline!$B$9)^(A78-Baseline!$B$8),0)</f>
        <v>0</v>
      </c>
      <c r="F78" s="34">
        <f t="shared" si="1"/>
        <v>0</v>
      </c>
      <c r="G78" s="45">
        <f>Baseline!F70</f>
        <v>0</v>
      </c>
      <c r="H78" s="34">
        <f t="shared" si="2"/>
        <v>0</v>
      </c>
    </row>
    <row r="79" spans="1:8">
      <c r="A79" s="44">
        <f>Baseline!A71</f>
        <v>2067</v>
      </c>
      <c r="B79" s="44">
        <f>Baseline!B71</f>
        <v>40</v>
      </c>
      <c r="C79" s="44">
        <f>Baseline!C71</f>
        <v>0</v>
      </c>
      <c r="D79" s="44">
        <f>Baseline!D71</f>
        <v>0</v>
      </c>
      <c r="E79" s="2">
        <f>IF(C79=1,(1+Baseline!$B$9)^(A79-Baseline!$B$8),0)</f>
        <v>0</v>
      </c>
      <c r="F79" s="34">
        <f t="shared" si="1"/>
        <v>0</v>
      </c>
      <c r="G79" s="45">
        <f>Baseline!F71</f>
        <v>0</v>
      </c>
      <c r="H79" s="34">
        <f t="shared" si="2"/>
        <v>0</v>
      </c>
    </row>
    <row r="80" spans="1:8">
      <c r="A80" s="44">
        <f>Baseline!A72</f>
        <v>2068</v>
      </c>
      <c r="B80" s="44">
        <f>Baseline!B72</f>
        <v>41</v>
      </c>
      <c r="C80" s="44">
        <f>Baseline!C72</f>
        <v>0</v>
      </c>
      <c r="D80" s="44">
        <f>Baseline!D72</f>
        <v>0</v>
      </c>
      <c r="E80" s="2">
        <f>IF(C80=1,(1+Baseline!$B$9)^(A80-Baseline!$B$8),0)</f>
        <v>0</v>
      </c>
      <c r="F80" s="34">
        <f t="shared" si="1"/>
        <v>0</v>
      </c>
      <c r="G80" s="45">
        <f>Baseline!F72</f>
        <v>0</v>
      </c>
      <c r="H80" s="34">
        <f t="shared" si="2"/>
        <v>0</v>
      </c>
    </row>
    <row r="81" spans="1:8">
      <c r="A81" s="44">
        <f>Baseline!A73</f>
        <v>2069</v>
      </c>
      <c r="B81" s="44">
        <f>Baseline!B73</f>
        <v>42</v>
      </c>
      <c r="C81" s="44">
        <f>Baseline!C73</f>
        <v>0</v>
      </c>
      <c r="D81" s="44">
        <f>Baseline!D73</f>
        <v>0</v>
      </c>
      <c r="E81" s="2">
        <f>IF(C81=1,(1+Baseline!$B$9)^(A81-Baseline!$B$8),0)</f>
        <v>0</v>
      </c>
      <c r="F81" s="34">
        <f t="shared" si="1"/>
        <v>0</v>
      </c>
      <c r="G81" s="45">
        <f>Baseline!F73</f>
        <v>0</v>
      </c>
      <c r="H81" s="34">
        <f t="shared" si="2"/>
        <v>0</v>
      </c>
    </row>
    <row r="82" spans="1:8">
      <c r="A82" s="44">
        <f>Baseline!A74</f>
        <v>2070</v>
      </c>
      <c r="B82" s="44">
        <f>Baseline!B74</f>
        <v>43</v>
      </c>
      <c r="C82" s="44">
        <f>Baseline!C74</f>
        <v>0</v>
      </c>
      <c r="D82" s="44">
        <f>Baseline!D74</f>
        <v>0</v>
      </c>
      <c r="E82" s="2">
        <f>IF(C82=1,(1+Baseline!$B$9)^(A82-Baseline!$B$8),0)</f>
        <v>0</v>
      </c>
      <c r="F82" s="34">
        <f t="shared" si="1"/>
        <v>0</v>
      </c>
      <c r="G82" s="45">
        <f>Baseline!F74</f>
        <v>0</v>
      </c>
      <c r="H82" s="34">
        <f t="shared" si="2"/>
        <v>0</v>
      </c>
    </row>
    <row r="83" spans="1:8">
      <c r="A83" s="44">
        <f>Baseline!A75</f>
        <v>2071</v>
      </c>
      <c r="B83" s="44">
        <f>Baseline!B75</f>
        <v>44</v>
      </c>
      <c r="C83" s="44">
        <f>Baseline!C75</f>
        <v>0</v>
      </c>
      <c r="D83" s="44">
        <f>Baseline!D75</f>
        <v>0</v>
      </c>
      <c r="E83" s="2">
        <f>IF(C83=1,(1+Baseline!$B$9)^(A83-Baseline!$B$8),0)</f>
        <v>0</v>
      </c>
      <c r="F83" s="34">
        <f t="shared" si="1"/>
        <v>0</v>
      </c>
      <c r="G83" s="45">
        <f>Baseline!F75</f>
        <v>0</v>
      </c>
      <c r="H83" s="34">
        <f t="shared" si="2"/>
        <v>0</v>
      </c>
    </row>
    <row r="84" spans="1:8">
      <c r="A84" s="44">
        <f>Baseline!A76</f>
        <v>2072</v>
      </c>
      <c r="B84" s="44">
        <f>Baseline!B76</f>
        <v>45</v>
      </c>
      <c r="C84" s="44">
        <f>Baseline!C76</f>
        <v>0</v>
      </c>
      <c r="D84" s="44">
        <f>Baseline!D76</f>
        <v>0</v>
      </c>
      <c r="E84" s="2">
        <f>IF(C84=1,(1+Baseline!$B$9)^(A84-Baseline!$B$8),0)</f>
        <v>0</v>
      </c>
      <c r="F84" s="34">
        <f t="shared" si="1"/>
        <v>0</v>
      </c>
      <c r="G84" s="45">
        <f>Baseline!F76</f>
        <v>0</v>
      </c>
      <c r="H84" s="34">
        <f t="shared" si="2"/>
        <v>0</v>
      </c>
    </row>
    <row r="85" spans="1:8">
      <c r="A85" s="44">
        <f>Baseline!A77</f>
        <v>2073</v>
      </c>
      <c r="B85" s="44">
        <f>Baseline!B77</f>
        <v>46</v>
      </c>
      <c r="C85" s="44">
        <f>Baseline!C77</f>
        <v>0</v>
      </c>
      <c r="D85" s="44">
        <f>Baseline!D77</f>
        <v>0</v>
      </c>
      <c r="E85" s="2">
        <f>IF(C85=1,(1+Baseline!$B$9)^(A85-Baseline!$B$8),0)</f>
        <v>0</v>
      </c>
      <c r="F85" s="34">
        <f t="shared" si="1"/>
        <v>0</v>
      </c>
      <c r="G85" s="45">
        <f>Baseline!F77</f>
        <v>0</v>
      </c>
      <c r="H85" s="34">
        <f t="shared" si="2"/>
        <v>0</v>
      </c>
    </row>
    <row r="86" spans="1:8">
      <c r="A86" s="44">
        <f>Baseline!A78</f>
        <v>2074</v>
      </c>
      <c r="B86" s="44">
        <f>Baseline!B78</f>
        <v>47</v>
      </c>
      <c r="C86" s="44">
        <f>Baseline!C78</f>
        <v>0</v>
      </c>
      <c r="D86" s="44">
        <f>Baseline!D78</f>
        <v>0</v>
      </c>
      <c r="E86" s="2">
        <f>IF(C86=1,(1+Baseline!$B$9)^(A86-Baseline!$B$8),0)</f>
        <v>0</v>
      </c>
      <c r="F86" s="34">
        <f t="shared" si="1"/>
        <v>0</v>
      </c>
      <c r="G86" s="45">
        <f>Baseline!F78</f>
        <v>0</v>
      </c>
      <c r="H86" s="34">
        <f t="shared" si="2"/>
        <v>0</v>
      </c>
    </row>
    <row r="87" spans="1:8">
      <c r="A87" s="44">
        <f>Baseline!A79</f>
        <v>2075</v>
      </c>
      <c r="B87" s="44">
        <f>Baseline!B79</f>
        <v>48</v>
      </c>
      <c r="C87" s="44">
        <f>Baseline!C79</f>
        <v>0</v>
      </c>
      <c r="D87" s="44">
        <f>Baseline!D79</f>
        <v>0</v>
      </c>
      <c r="E87" s="2">
        <f>IF(C87=1,(1+Baseline!$B$9)^(A87-Baseline!$B$8),0)</f>
        <v>0</v>
      </c>
      <c r="F87" s="34">
        <f t="shared" si="1"/>
        <v>0</v>
      </c>
      <c r="G87" s="45">
        <f>Baseline!F79</f>
        <v>0</v>
      </c>
      <c r="H87" s="34">
        <f t="shared" si="2"/>
        <v>0</v>
      </c>
    </row>
    <row r="88" spans="1:8">
      <c r="A88" s="44">
        <f>Baseline!A80</f>
        <v>2076</v>
      </c>
      <c r="B88" s="44">
        <f>Baseline!B80</f>
        <v>49</v>
      </c>
      <c r="C88" s="44">
        <f>Baseline!C80</f>
        <v>0</v>
      </c>
      <c r="D88" s="44">
        <f>Baseline!D80</f>
        <v>0</v>
      </c>
      <c r="E88" s="2">
        <f>IF(C88=1,(1+Baseline!$B$9)^(A88-Baseline!$B$8),0)</f>
        <v>0</v>
      </c>
      <c r="F88" s="34">
        <f t="shared" si="1"/>
        <v>0</v>
      </c>
      <c r="G88" s="45">
        <f>Baseline!F80</f>
        <v>0</v>
      </c>
      <c r="H88" s="34">
        <f t="shared" si="2"/>
        <v>0</v>
      </c>
    </row>
    <row r="89" spans="1:8">
      <c r="A89" s="44">
        <f>Baseline!A81</f>
        <v>2077</v>
      </c>
      <c r="B89" s="44">
        <f>Baseline!B81</f>
        <v>50</v>
      </c>
      <c r="C89" s="44">
        <f>Baseline!C81</f>
        <v>0</v>
      </c>
      <c r="D89" s="44">
        <f>Baseline!D81</f>
        <v>0</v>
      </c>
      <c r="E89" s="2">
        <f>IF(C89=1,(1+Baseline!$B$9)^(A89-Baseline!$B$8),0)</f>
        <v>0</v>
      </c>
      <c r="F89" s="34">
        <f t="shared" si="1"/>
        <v>0</v>
      </c>
      <c r="G89" s="45">
        <f>Baseline!F81</f>
        <v>0</v>
      </c>
      <c r="H89" s="34">
        <f t="shared" si="2"/>
        <v>0</v>
      </c>
    </row>
  </sheetData>
  <sheetProtection algorithmName="SHA-512" hashValue="QUEaofB7OxXdbsoG0lznQj3c4QeVlkVr8W6kyWYTrFXH9euQU1i/hSXiCSCQH1KRlu1czgDA37liaYf3bCzjCg==" saltValue="j/JbyKzXkJUgIRR4MdWmxA==" spinCount="100000" sheet="1" objects="1" scenarios="1"/>
  <mergeCells count="5">
    <mergeCell ref="A3:K3"/>
    <mergeCell ref="A9:K9"/>
    <mergeCell ref="A18:K18"/>
    <mergeCell ref="A37:K37"/>
    <mergeCell ref="A1:K1"/>
  </mergeCells>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A9F07-3B41-46BA-A76A-F4CE582516E2}">
  <sheetPr codeName="Sheet8">
    <tabColor theme="6" tint="0.79998168889431442"/>
  </sheetPr>
  <dimension ref="A1:L85"/>
  <sheetViews>
    <sheetView zoomScale="70" zoomScaleNormal="70" workbookViewId="0">
      <selection activeCell="F27" sqref="F27"/>
    </sheetView>
  </sheetViews>
  <sheetFormatPr defaultColWidth="8.75" defaultRowHeight="15.75"/>
  <cols>
    <col min="1" max="1" width="27.5" style="2" customWidth="1"/>
    <col min="2" max="2" width="30.875" style="2" customWidth="1"/>
    <col min="3" max="3" width="26.375" style="2" customWidth="1"/>
    <col min="4" max="4" width="22.25" style="2" customWidth="1"/>
    <col min="5" max="5" width="23.875" style="2" customWidth="1"/>
    <col min="6" max="6" width="19.5" style="2" customWidth="1"/>
    <col min="7" max="7" width="22.5" style="2" customWidth="1"/>
    <col min="8" max="8" width="22.125" style="2" customWidth="1"/>
    <col min="9" max="9" width="14.25" style="2" customWidth="1"/>
    <col min="10" max="10" width="18.5" style="2" customWidth="1"/>
    <col min="11" max="11" width="13.5" style="2" customWidth="1"/>
    <col min="12" max="12" width="13.25" style="2" customWidth="1"/>
    <col min="13" max="13" width="17.25" style="2" customWidth="1"/>
    <col min="14" max="16384" width="8.75" style="2"/>
  </cols>
  <sheetData>
    <row r="1" spans="1:11" ht="30" customHeight="1">
      <c r="A1" s="133" t="s">
        <v>795</v>
      </c>
      <c r="B1" s="133"/>
      <c r="C1" s="133"/>
      <c r="D1" s="133"/>
      <c r="E1" s="133"/>
      <c r="F1" s="133"/>
      <c r="G1" s="133"/>
      <c r="H1" s="133"/>
      <c r="I1" s="133"/>
      <c r="J1" s="133"/>
      <c r="K1" s="133"/>
    </row>
    <row r="3" spans="1:11" ht="22.9" customHeight="1">
      <c r="A3" s="136" t="s">
        <v>931</v>
      </c>
      <c r="B3" s="136"/>
      <c r="C3" s="136"/>
      <c r="D3" s="136"/>
      <c r="E3" s="136"/>
      <c r="F3" s="136"/>
      <c r="G3" s="136"/>
      <c r="H3" s="136"/>
      <c r="I3" s="136"/>
      <c r="J3" s="136"/>
      <c r="K3" s="136"/>
    </row>
    <row r="4" spans="1:11">
      <c r="A4" s="2" t="s">
        <v>932</v>
      </c>
      <c r="B4" s="35">
        <f>B27</f>
        <v>0</v>
      </c>
    </row>
    <row r="5" spans="1:11">
      <c r="A5" s="2" t="s">
        <v>933</v>
      </c>
      <c r="B5" s="35">
        <f>IFERROR(INDEX($F$35:$F$85,MATCH(Baseline!$B$8,$A$35:$A$85,0)),0)</f>
        <v>0</v>
      </c>
    </row>
    <row r="6" spans="1:11">
      <c r="A6" s="2" t="s">
        <v>934</v>
      </c>
      <c r="B6" s="35">
        <f>SUM($H$35:$H$85)</f>
        <v>0</v>
      </c>
    </row>
    <row r="9" spans="1:11" ht="22.9" customHeight="1">
      <c r="A9" s="136" t="s">
        <v>1030</v>
      </c>
      <c r="B9" s="136"/>
      <c r="C9" s="136"/>
      <c r="D9" s="136"/>
      <c r="E9" s="136"/>
      <c r="F9" s="136"/>
      <c r="G9" s="136"/>
      <c r="H9" s="136"/>
      <c r="I9" s="136"/>
      <c r="J9" s="136"/>
      <c r="K9" s="136"/>
    </row>
    <row r="10" spans="1:11">
      <c r="A10" s="24" t="s">
        <v>1031</v>
      </c>
      <c r="B10" s="24" t="s">
        <v>1032</v>
      </c>
      <c r="C10" s="24" t="s">
        <v>981</v>
      </c>
      <c r="D10" s="24" t="s">
        <v>1033</v>
      </c>
      <c r="E10" s="24" t="s">
        <v>1034</v>
      </c>
      <c r="F10" s="24" t="s">
        <v>944</v>
      </c>
    </row>
    <row r="11" spans="1:11">
      <c r="A11" s="2" t="s">
        <v>1035</v>
      </c>
      <c r="B11" s="39">
        <f>INDEX($D$20:$H$22,$B$20,1)</f>
        <v>1.4321494657454237</v>
      </c>
      <c r="C11" s="46">
        <f>$B$21</f>
        <v>0</v>
      </c>
      <c r="D11" s="37">
        <f>C11*B11/1000000</f>
        <v>0</v>
      </c>
      <c r="E11" s="42">
        <f>INDEX($D$25:$H$25,1,1)</f>
        <v>21316.303619576764</v>
      </c>
      <c r="F11" s="34">
        <f>-D11*E11</f>
        <v>0</v>
      </c>
    </row>
    <row r="12" spans="1:11">
      <c r="A12" s="2" t="s">
        <v>1036</v>
      </c>
      <c r="B12" s="39">
        <f>INDEX($D$20:$H$22,$B$20,2)</f>
        <v>8.0094065587151524E-3</v>
      </c>
      <c r="C12" s="46">
        <f t="shared" ref="C12:C15" si="0">$B$21</f>
        <v>0</v>
      </c>
      <c r="D12" s="37">
        <f t="shared" ref="D12:D15" si="1">C12*B12/1000000</f>
        <v>0</v>
      </c>
      <c r="E12" s="42">
        <f>INDEX($D$25:$H$25,1,2)</f>
        <v>57185.083748672281</v>
      </c>
      <c r="F12" s="34">
        <f t="shared" ref="F12:F15" si="2">-D12*E12</f>
        <v>0</v>
      </c>
    </row>
    <row r="13" spans="1:11">
      <c r="A13" s="2" t="s">
        <v>1037</v>
      </c>
      <c r="B13" s="39">
        <f>INDEX($D$20:$H$22,$B$20,3)</f>
        <v>6.3318236574400222E-2</v>
      </c>
      <c r="C13" s="46">
        <f t="shared" si="0"/>
        <v>0</v>
      </c>
      <c r="D13" s="37">
        <f t="shared" si="1"/>
        <v>0</v>
      </c>
      <c r="E13" s="42">
        <f>INDEX($D$25:$H$25,1,3)</f>
        <v>1023080.0915107444</v>
      </c>
      <c r="F13" s="34">
        <f t="shared" si="2"/>
        <v>0</v>
      </c>
    </row>
    <row r="14" spans="1:11">
      <c r="A14" s="2" t="s">
        <v>1038</v>
      </c>
      <c r="B14" s="39">
        <f>INDEX($D$20:$H$22,$B$20,4)</f>
        <v>9.903019267187755</v>
      </c>
      <c r="C14" s="46">
        <f t="shared" si="0"/>
        <v>0</v>
      </c>
      <c r="D14" s="37">
        <f t="shared" si="1"/>
        <v>0</v>
      </c>
      <c r="E14" s="42">
        <f>INDEX($D$25:$H$25,1,4)</f>
        <v>422.20442910800989</v>
      </c>
      <c r="F14" s="34">
        <f t="shared" si="2"/>
        <v>0</v>
      </c>
    </row>
    <row r="15" spans="1:11">
      <c r="A15" s="2" t="s">
        <v>210</v>
      </c>
      <c r="B15" s="39">
        <f>INDEX($D$20:$H$22,$B$20,5)</f>
        <v>0.83796739465875247</v>
      </c>
      <c r="C15" s="46">
        <f t="shared" si="0"/>
        <v>0</v>
      </c>
      <c r="D15" s="37">
        <f t="shared" si="1"/>
        <v>0</v>
      </c>
      <c r="E15" s="42">
        <f>INDEX($D$25:$H$25,1,5)</f>
        <v>2392.4917649453896</v>
      </c>
      <c r="F15" s="34">
        <f t="shared" si="2"/>
        <v>0</v>
      </c>
    </row>
    <row r="18" spans="1:11" ht="22.9" customHeight="1">
      <c r="A18" s="136" t="s">
        <v>946</v>
      </c>
      <c r="B18" s="136"/>
      <c r="C18" s="136"/>
      <c r="D18" s="136"/>
      <c r="E18" s="136"/>
      <c r="F18" s="136"/>
      <c r="G18" s="136"/>
      <c r="H18" s="136"/>
      <c r="I18" s="136"/>
      <c r="J18" s="136"/>
      <c r="K18" s="136"/>
    </row>
    <row r="19" spans="1:11">
      <c r="A19" s="24" t="s">
        <v>947</v>
      </c>
      <c r="B19" s="24" t="s">
        <v>57</v>
      </c>
      <c r="D19" s="43" t="s">
        <v>1035</v>
      </c>
      <c r="E19" s="43" t="s">
        <v>1036</v>
      </c>
      <c r="F19" s="43" t="s">
        <v>1037</v>
      </c>
      <c r="G19" s="43" t="s">
        <v>1038</v>
      </c>
      <c r="H19" s="43" t="s">
        <v>210</v>
      </c>
    </row>
    <row r="20" spans="1:11">
      <c r="A20" s="2" t="s">
        <v>148</v>
      </c>
      <c r="B20" s="39">
        <f>MATCH('Scenario Inputs'!$B$7,{"Statewide","Urban","Rural"},0)</f>
        <v>1</v>
      </c>
      <c r="D20" s="39">
        <f>'Parameter Library'!$E$252</f>
        <v>1.4321494657454237</v>
      </c>
      <c r="E20" s="39">
        <f>'Parameter Library'!$E$253</f>
        <v>8.0094065587151524E-3</v>
      </c>
      <c r="F20" s="39">
        <f>'Parameter Library'!$E$254</f>
        <v>6.3318236574400222E-2</v>
      </c>
      <c r="G20" s="39">
        <f>'Parameter Library'!$E$255</f>
        <v>9.903019267187755</v>
      </c>
      <c r="H20" s="39">
        <f>'Parameter Library'!$E$256</f>
        <v>0.83796739465875247</v>
      </c>
    </row>
    <row r="21" spans="1:11">
      <c r="A21" s="2" t="s">
        <v>991</v>
      </c>
      <c r="B21" s="39">
        <f>'Scenario Inputs'!$B$11</f>
        <v>0</v>
      </c>
      <c r="D21" s="39">
        <f>'Parameter Library'!$E$257</f>
        <v>2.4233352160546917</v>
      </c>
      <c r="E21" s="39">
        <f>'Parameter Library'!$E$258</f>
        <v>1.3552689462710061E-2</v>
      </c>
      <c r="F21" s="39">
        <f>'Parameter Library'!$E$259</f>
        <v>0.10714057169260691</v>
      </c>
      <c r="G21" s="39">
        <f>'Parameter Library'!$E$260</f>
        <v>16.756865054551586</v>
      </c>
      <c r="H21" s="39">
        <f>'Parameter Library'!$E$261</f>
        <v>1.4179217644194719</v>
      </c>
    </row>
    <row r="22" spans="1:11">
      <c r="A22" s="2" t="s">
        <v>1039</v>
      </c>
      <c r="B22" s="42">
        <f>SUM(F11:F15)</f>
        <v>0</v>
      </c>
      <c r="D22" s="39">
        <f>'Parameter Library'!$E$262</f>
        <v>3.5007795273505868</v>
      </c>
      <c r="E22" s="39">
        <f>'Parameter Library'!$E$263</f>
        <v>1.9578380034784518E-2</v>
      </c>
      <c r="F22" s="39">
        <f>'Parameter Library'!$E$264</f>
        <v>0.15477657298306313</v>
      </c>
      <c r="G22" s="39">
        <f>'Parameter Library'!$E$265</f>
        <v>24.207171066104266</v>
      </c>
      <c r="H22" s="39">
        <f>'Parameter Library'!$E$266</f>
        <v>2.0483470266015731</v>
      </c>
    </row>
    <row r="23" spans="1:11">
      <c r="A23" s="2" t="s">
        <v>1040</v>
      </c>
      <c r="B23" s="39">
        <f>'Parameter Library'!$E$267</f>
        <v>307.98</v>
      </c>
      <c r="D23" s="39"/>
      <c r="E23" s="39"/>
      <c r="F23" s="39"/>
    </row>
    <row r="24" spans="1:11">
      <c r="A24" s="2" t="s">
        <v>1041</v>
      </c>
      <c r="B24" s="39">
        <f>IF('Scenario Inputs'!$B$33="Yes",B21*B23/1000000,0)</f>
        <v>0</v>
      </c>
      <c r="D24" s="43" t="s">
        <v>1042</v>
      </c>
      <c r="E24" s="43" t="s">
        <v>1043</v>
      </c>
      <c r="F24" s="43" t="s">
        <v>1044</v>
      </c>
      <c r="G24" s="43" t="s">
        <v>1045</v>
      </c>
      <c r="H24" s="43" t="s">
        <v>1046</v>
      </c>
    </row>
    <row r="25" spans="1:11">
      <c r="A25" s="2" t="s">
        <v>1047</v>
      </c>
      <c r="B25" s="44">
        <f>MATCH('Scenario Inputs'!$B$34,{"2.5% case","Reference 2.0%","1.5% case"},0)</f>
        <v>2</v>
      </c>
      <c r="D25" s="42">
        <f>'Parameter Library'!$E$269</f>
        <v>21316.303619576764</v>
      </c>
      <c r="E25" s="42">
        <f>'Parameter Library'!$E$270</f>
        <v>57185.083748672281</v>
      </c>
      <c r="F25" s="42">
        <f>'Parameter Library'!$E$271</f>
        <v>1023080.0915107444</v>
      </c>
      <c r="G25" s="42">
        <f>'Parameter Library'!$E$272</f>
        <v>422.20442910800989</v>
      </c>
      <c r="H25" s="42">
        <f>'Parameter Library'!$E$273</f>
        <v>2392.4917649453896</v>
      </c>
    </row>
    <row r="26" spans="1:11">
      <c r="A26" s="2" t="s">
        <v>1048</v>
      </c>
      <c r="B26" s="42">
        <f>IFERROR(INDEX('Parameter Library'!$O$247:$Q$293,MATCH(Baseline!$B$8,'Parameter Library'!$N$247:$N$293,0),B25),0)</f>
        <v>261</v>
      </c>
    </row>
    <row r="27" spans="1:11">
      <c r="A27" s="2" t="s">
        <v>1049</v>
      </c>
      <c r="B27" s="42">
        <f>B22-B24*B26</f>
        <v>0</v>
      </c>
    </row>
    <row r="28" spans="1:11">
      <c r="A28" s="2" t="s">
        <v>1050</v>
      </c>
      <c r="B28" s="2">
        <f>MAX('Parameter Library'!$N$247:$N$293)</f>
        <v>2070</v>
      </c>
      <c r="D28" s="39"/>
      <c r="E28" s="39"/>
    </row>
    <row r="29" spans="1:11">
      <c r="A29" s="2" t="s">
        <v>1051</v>
      </c>
      <c r="B29" s="34" t="s">
        <v>1052</v>
      </c>
    </row>
    <row r="33" spans="1:12" ht="22.9" customHeight="1">
      <c r="A33" s="136" t="s">
        <v>970</v>
      </c>
      <c r="B33" s="136"/>
      <c r="C33" s="136"/>
      <c r="D33" s="136"/>
      <c r="E33" s="136"/>
      <c r="F33" s="136"/>
      <c r="G33" s="136"/>
      <c r="H33" s="136"/>
      <c r="I33" s="136"/>
      <c r="J33" s="136"/>
      <c r="K33" s="136"/>
    </row>
    <row r="34" spans="1:12" ht="31.5">
      <c r="A34" s="24" t="s">
        <v>971</v>
      </c>
      <c r="B34" s="24" t="s">
        <v>972</v>
      </c>
      <c r="C34" s="24" t="s">
        <v>973</v>
      </c>
      <c r="D34" s="24" t="s">
        <v>974</v>
      </c>
      <c r="E34" s="24" t="s">
        <v>273</v>
      </c>
      <c r="F34" s="24" t="s">
        <v>975</v>
      </c>
      <c r="G34" s="24" t="s">
        <v>976</v>
      </c>
      <c r="H34" s="24" t="s">
        <v>977</v>
      </c>
      <c r="I34" s="24" t="s">
        <v>1053</v>
      </c>
      <c r="J34" s="24" t="s">
        <v>1054</v>
      </c>
      <c r="K34" s="24" t="s">
        <v>1055</v>
      </c>
      <c r="L34" s="24" t="s">
        <v>1056</v>
      </c>
    </row>
    <row r="35" spans="1:12">
      <c r="A35" s="44">
        <f>Baseline!A31</f>
        <v>2027</v>
      </c>
      <c r="B35" s="44">
        <f>Baseline!B31</f>
        <v>0</v>
      </c>
      <c r="C35" s="44">
        <f>Baseline!C31</f>
        <v>1</v>
      </c>
      <c r="D35" s="44">
        <f>Baseline!D31</f>
        <v>0.8</v>
      </c>
      <c r="E35" s="2">
        <f>IF(C35=1,(1+Baseline!$B$9)^(A35-Baseline!$B$8),0)</f>
        <v>1</v>
      </c>
      <c r="F35" s="34">
        <f>I35+L35</f>
        <v>0</v>
      </c>
      <c r="G35" s="45">
        <f>Baseline!F31</f>
        <v>1</v>
      </c>
      <c r="H35" s="34">
        <f>F35*G35</f>
        <v>0</v>
      </c>
      <c r="I35" s="34">
        <f>$B$22*D35*E35</f>
        <v>0</v>
      </c>
      <c r="J35" s="2">
        <f>$B$24*D35*E35</f>
        <v>0</v>
      </c>
      <c r="K35" s="49">
        <f>IF(C35=0,0,IFERROR(INDEX('Parameter Library'!$O$247:$Q$293,MATCH(A35,'Parameter Library'!$N$247:$N$293,0),$B$25),0))</f>
        <v>261</v>
      </c>
      <c r="L35" s="34">
        <f>-J35*K35</f>
        <v>0</v>
      </c>
    </row>
    <row r="36" spans="1:12">
      <c r="A36" s="44">
        <f>Baseline!A32</f>
        <v>2028</v>
      </c>
      <c r="B36" s="44">
        <f>Baseline!B32</f>
        <v>1</v>
      </c>
      <c r="C36" s="44">
        <f>Baseline!C32</f>
        <v>1</v>
      </c>
      <c r="D36" s="44">
        <f>Baseline!D32</f>
        <v>0.9</v>
      </c>
      <c r="E36" s="2">
        <f>IF(C36=1,(1+Baseline!$B$9)^(A36-Baseline!$B$8),0)</f>
        <v>1</v>
      </c>
      <c r="F36" s="34">
        <f t="shared" ref="F36:F85" si="3">I36+L36</f>
        <v>0</v>
      </c>
      <c r="G36" s="45">
        <f>Baseline!F32</f>
        <v>0.93457943925233644</v>
      </c>
      <c r="H36" s="34">
        <f t="shared" ref="H36:H85" si="4">F36*G36</f>
        <v>0</v>
      </c>
      <c r="I36" s="34">
        <f t="shared" ref="I36:I85" si="5">$B$22*D36*E36</f>
        <v>0</v>
      </c>
      <c r="J36" s="2">
        <f t="shared" ref="J36:J85" si="6">$B$24*D36*E36</f>
        <v>0</v>
      </c>
      <c r="K36" s="49">
        <f>IF(C36=0,0,IFERROR(INDEX('Parameter Library'!$O$247:$Q$293,MATCH(A36,'Parameter Library'!$N$247:$N$293,0),$B$25),0))</f>
        <v>265</v>
      </c>
      <c r="L36" s="34">
        <f t="shared" ref="L36:L85" si="7">-J36*K36</f>
        <v>0</v>
      </c>
    </row>
    <row r="37" spans="1:12">
      <c r="A37" s="44">
        <f>Baseline!A33</f>
        <v>2029</v>
      </c>
      <c r="B37" s="44">
        <f>Baseline!B33</f>
        <v>2</v>
      </c>
      <c r="C37" s="44">
        <f>Baseline!C33</f>
        <v>1</v>
      </c>
      <c r="D37" s="44">
        <f>Baseline!D33</f>
        <v>1</v>
      </c>
      <c r="E37" s="2">
        <f>IF(C37=1,(1+Baseline!$B$9)^(A37-Baseline!$B$8),0)</f>
        <v>1</v>
      </c>
      <c r="F37" s="34">
        <f t="shared" si="3"/>
        <v>0</v>
      </c>
      <c r="G37" s="45">
        <f>Baseline!F33</f>
        <v>0.87343872827321156</v>
      </c>
      <c r="H37" s="34">
        <f t="shared" si="4"/>
        <v>0</v>
      </c>
      <c r="I37" s="34">
        <f t="shared" si="5"/>
        <v>0</v>
      </c>
      <c r="J37" s="2">
        <f t="shared" si="6"/>
        <v>0</v>
      </c>
      <c r="K37" s="49">
        <f>IF(C37=0,0,IFERROR(INDEX('Parameter Library'!$O$247:$Q$293,MATCH(A37,'Parameter Library'!$N$247:$N$293,0),$B$25),0))</f>
        <v>269</v>
      </c>
      <c r="L37" s="34">
        <f t="shared" si="7"/>
        <v>0</v>
      </c>
    </row>
    <row r="38" spans="1:12">
      <c r="A38" s="44">
        <f>Baseline!A34</f>
        <v>2030</v>
      </c>
      <c r="B38" s="44">
        <f>Baseline!B34</f>
        <v>3</v>
      </c>
      <c r="C38" s="44">
        <f>Baseline!C34</f>
        <v>1</v>
      </c>
      <c r="D38" s="44">
        <f>Baseline!D34</f>
        <v>1</v>
      </c>
      <c r="E38" s="2">
        <f>IF(C38=1,(1+Baseline!$B$9)^(A38-Baseline!$B$8),0)</f>
        <v>1</v>
      </c>
      <c r="F38" s="34">
        <f t="shared" si="3"/>
        <v>0</v>
      </c>
      <c r="G38" s="45">
        <f>Baseline!F34</f>
        <v>0.81629787689085187</v>
      </c>
      <c r="H38" s="34">
        <f t="shared" si="4"/>
        <v>0</v>
      </c>
      <c r="I38" s="34">
        <f t="shared" si="5"/>
        <v>0</v>
      </c>
      <c r="J38" s="2">
        <f t="shared" si="6"/>
        <v>0</v>
      </c>
      <c r="K38" s="49">
        <f>IF(C38=0,0,IFERROR(INDEX('Parameter Library'!$O$247:$Q$293,MATCH(A38,'Parameter Library'!$N$247:$N$293,0),$B$25),0))</f>
        <v>274</v>
      </c>
      <c r="L38" s="34">
        <f t="shared" si="7"/>
        <v>0</v>
      </c>
    </row>
    <row r="39" spans="1:12">
      <c r="A39" s="44">
        <f>Baseline!A35</f>
        <v>2031</v>
      </c>
      <c r="B39" s="44">
        <f>Baseline!B35</f>
        <v>4</v>
      </c>
      <c r="C39" s="44">
        <f>Baseline!C35</f>
        <v>1</v>
      </c>
      <c r="D39" s="44">
        <f>Baseline!D35</f>
        <v>1</v>
      </c>
      <c r="E39" s="2">
        <f>IF(C39=1,(1+Baseline!$B$9)^(A39-Baseline!$B$8),0)</f>
        <v>1</v>
      </c>
      <c r="F39" s="34">
        <f t="shared" si="3"/>
        <v>0</v>
      </c>
      <c r="G39" s="45">
        <f>Baseline!F35</f>
        <v>0.7628952120475252</v>
      </c>
      <c r="H39" s="34">
        <f t="shared" si="4"/>
        <v>0</v>
      </c>
      <c r="I39" s="34">
        <f t="shared" si="5"/>
        <v>0</v>
      </c>
      <c r="J39" s="2">
        <f t="shared" si="6"/>
        <v>0</v>
      </c>
      <c r="K39" s="49">
        <f>IF(C39=0,0,IFERROR(INDEX('Parameter Library'!$O$247:$Q$293,MATCH(A39,'Parameter Library'!$N$247:$N$293,0),$B$25),0))</f>
        <v>279</v>
      </c>
      <c r="L39" s="34">
        <f t="shared" si="7"/>
        <v>0</v>
      </c>
    </row>
    <row r="40" spans="1:12">
      <c r="A40" s="44">
        <f>Baseline!A36</f>
        <v>2032</v>
      </c>
      <c r="B40" s="44">
        <f>Baseline!B36</f>
        <v>5</v>
      </c>
      <c r="C40" s="44">
        <f>Baseline!C36</f>
        <v>1</v>
      </c>
      <c r="D40" s="44">
        <f>Baseline!D36</f>
        <v>1</v>
      </c>
      <c r="E40" s="2">
        <f>IF(C40=1,(1+Baseline!$B$9)^(A40-Baseline!$B$8),0)</f>
        <v>1</v>
      </c>
      <c r="F40" s="34">
        <f t="shared" si="3"/>
        <v>0</v>
      </c>
      <c r="G40" s="45">
        <f>Baseline!F36</f>
        <v>0.71298617948366838</v>
      </c>
      <c r="H40" s="34">
        <f t="shared" si="4"/>
        <v>0</v>
      </c>
      <c r="I40" s="34">
        <f t="shared" si="5"/>
        <v>0</v>
      </c>
      <c r="J40" s="2">
        <f t="shared" si="6"/>
        <v>0</v>
      </c>
      <c r="K40" s="49">
        <f>IF(C40=0,0,IFERROR(INDEX('Parameter Library'!$O$247:$Q$293,MATCH(A40,'Parameter Library'!$N$247:$N$293,0),$B$25),0))</f>
        <v>282</v>
      </c>
      <c r="L40" s="34">
        <f t="shared" si="7"/>
        <v>0</v>
      </c>
    </row>
    <row r="41" spans="1:12">
      <c r="A41" s="44">
        <f>Baseline!A37</f>
        <v>2033</v>
      </c>
      <c r="B41" s="44">
        <f>Baseline!B37</f>
        <v>6</v>
      </c>
      <c r="C41" s="44">
        <f>Baseline!C37</f>
        <v>1</v>
      </c>
      <c r="D41" s="44">
        <f>Baseline!D37</f>
        <v>1</v>
      </c>
      <c r="E41" s="2">
        <f>IF(C41=1,(1+Baseline!$B$9)^(A41-Baseline!$B$8),0)</f>
        <v>1</v>
      </c>
      <c r="F41" s="34">
        <f t="shared" si="3"/>
        <v>0</v>
      </c>
      <c r="G41" s="45">
        <f>Baseline!F37</f>
        <v>0.66634222381651254</v>
      </c>
      <c r="H41" s="34">
        <f t="shared" si="4"/>
        <v>0</v>
      </c>
      <c r="I41" s="34">
        <f t="shared" si="5"/>
        <v>0</v>
      </c>
      <c r="J41" s="2">
        <f t="shared" si="6"/>
        <v>0</v>
      </c>
      <c r="K41" s="49">
        <f>IF(C41=0,0,IFERROR(INDEX('Parameter Library'!$O$247:$Q$293,MATCH(A41,'Parameter Library'!$N$247:$N$293,0),$B$25),0))</f>
        <v>287</v>
      </c>
      <c r="L41" s="34">
        <f t="shared" si="7"/>
        <v>0</v>
      </c>
    </row>
    <row r="42" spans="1:12">
      <c r="A42" s="44">
        <f>Baseline!A38</f>
        <v>2034</v>
      </c>
      <c r="B42" s="44">
        <f>Baseline!B38</f>
        <v>7</v>
      </c>
      <c r="C42" s="44">
        <f>Baseline!C38</f>
        <v>1</v>
      </c>
      <c r="D42" s="44">
        <f>Baseline!D38</f>
        <v>1</v>
      </c>
      <c r="E42" s="2">
        <f>IF(C42=1,(1+Baseline!$B$9)^(A42-Baseline!$B$8),0)</f>
        <v>1</v>
      </c>
      <c r="F42" s="34">
        <f t="shared" si="3"/>
        <v>0</v>
      </c>
      <c r="G42" s="45">
        <f>Baseline!F38</f>
        <v>0.62274974188459109</v>
      </c>
      <c r="H42" s="34">
        <f t="shared" si="4"/>
        <v>0</v>
      </c>
      <c r="I42" s="34">
        <f t="shared" si="5"/>
        <v>0</v>
      </c>
      <c r="J42" s="2">
        <f t="shared" si="6"/>
        <v>0</v>
      </c>
      <c r="K42" s="49">
        <f>IF(C42=0,0,IFERROR(INDEX('Parameter Library'!$O$247:$Q$293,MATCH(A42,'Parameter Library'!$N$247:$N$293,0),$B$25),0))</f>
        <v>292</v>
      </c>
      <c r="L42" s="34">
        <f t="shared" si="7"/>
        <v>0</v>
      </c>
    </row>
    <row r="43" spans="1:12">
      <c r="A43" s="44">
        <f>Baseline!A39</f>
        <v>2035</v>
      </c>
      <c r="B43" s="44">
        <f>Baseline!B39</f>
        <v>8</v>
      </c>
      <c r="C43" s="44">
        <f>Baseline!C39</f>
        <v>1</v>
      </c>
      <c r="D43" s="44">
        <f>Baseline!D39</f>
        <v>1</v>
      </c>
      <c r="E43" s="2">
        <f>IF(C43=1,(1+Baseline!$B$9)^(A43-Baseline!$B$8),0)</f>
        <v>1</v>
      </c>
      <c r="F43" s="34">
        <f t="shared" si="3"/>
        <v>0</v>
      </c>
      <c r="G43" s="45">
        <f>Baseline!F39</f>
        <v>0.5820091045650384</v>
      </c>
      <c r="H43" s="34">
        <f t="shared" si="4"/>
        <v>0</v>
      </c>
      <c r="I43" s="34">
        <f t="shared" si="5"/>
        <v>0</v>
      </c>
      <c r="J43" s="2">
        <f t="shared" si="6"/>
        <v>0</v>
      </c>
      <c r="K43" s="49">
        <f>IF(C43=0,0,IFERROR(INDEX('Parameter Library'!$O$247:$Q$293,MATCH(A43,'Parameter Library'!$N$247:$N$293,0),$B$25),0))</f>
        <v>295</v>
      </c>
      <c r="L43" s="34">
        <f t="shared" si="7"/>
        <v>0</v>
      </c>
    </row>
    <row r="44" spans="1:12">
      <c r="A44" s="44">
        <f>Baseline!A40</f>
        <v>2036</v>
      </c>
      <c r="B44" s="44">
        <f>Baseline!B40</f>
        <v>9</v>
      </c>
      <c r="C44" s="44">
        <f>Baseline!C40</f>
        <v>1</v>
      </c>
      <c r="D44" s="44">
        <f>Baseline!D40</f>
        <v>1</v>
      </c>
      <c r="E44" s="2">
        <f>IF(C44=1,(1+Baseline!$B$9)^(A44-Baseline!$B$8),0)</f>
        <v>1</v>
      </c>
      <c r="F44" s="34">
        <f t="shared" si="3"/>
        <v>0</v>
      </c>
      <c r="G44" s="45">
        <f>Baseline!F40</f>
        <v>0.54393374258414806</v>
      </c>
      <c r="H44" s="34">
        <f t="shared" si="4"/>
        <v>0</v>
      </c>
      <c r="I44" s="34">
        <f t="shared" si="5"/>
        <v>0</v>
      </c>
      <c r="J44" s="2">
        <f t="shared" si="6"/>
        <v>0</v>
      </c>
      <c r="K44" s="49">
        <f>IF(C44=0,0,IFERROR(INDEX('Parameter Library'!$O$247:$Q$293,MATCH(A44,'Parameter Library'!$N$247:$N$293,0),$B$25),0))</f>
        <v>300</v>
      </c>
      <c r="L44" s="34">
        <f t="shared" si="7"/>
        <v>0</v>
      </c>
    </row>
    <row r="45" spans="1:12">
      <c r="A45" s="44">
        <f>Baseline!A41</f>
        <v>2037</v>
      </c>
      <c r="B45" s="44">
        <f>Baseline!B41</f>
        <v>9</v>
      </c>
      <c r="C45" s="44">
        <f>Baseline!C41</f>
        <v>1</v>
      </c>
      <c r="D45" s="44">
        <f>Baseline!D41</f>
        <v>1</v>
      </c>
      <c r="E45" s="2">
        <f>IF(C45=1,(1+Baseline!$B$9)^(A45-Baseline!$B$8),0)</f>
        <v>1</v>
      </c>
      <c r="F45" s="34">
        <f t="shared" si="3"/>
        <v>0</v>
      </c>
      <c r="G45" s="45">
        <f>Baseline!F41</f>
        <v>0.54393374258414806</v>
      </c>
      <c r="H45" s="34">
        <f t="shared" si="4"/>
        <v>0</v>
      </c>
      <c r="I45" s="34">
        <f t="shared" si="5"/>
        <v>0</v>
      </c>
      <c r="J45" s="2">
        <f t="shared" si="6"/>
        <v>0</v>
      </c>
      <c r="K45" s="49">
        <f>IF(C45=0,0,IFERROR(INDEX('Parameter Library'!$O$247:$Q$293,MATCH(A45,'Parameter Library'!$N$247:$N$293,0),$B$25),0))</f>
        <v>305</v>
      </c>
      <c r="L45" s="34">
        <f t="shared" si="7"/>
        <v>0</v>
      </c>
    </row>
    <row r="46" spans="1:12">
      <c r="A46" s="44">
        <f>Baseline!A42</f>
        <v>2038</v>
      </c>
      <c r="B46" s="44">
        <f>Baseline!B42</f>
        <v>10</v>
      </c>
      <c r="C46" s="44">
        <f>Baseline!C42</f>
        <v>1</v>
      </c>
      <c r="D46" s="44">
        <f>Baseline!D42</f>
        <v>1</v>
      </c>
      <c r="E46" s="2">
        <f>IF(C46=1,(1+Baseline!$B$9)^(A46-Baseline!$B$8),0)</f>
        <v>1</v>
      </c>
      <c r="F46" s="34">
        <f t="shared" si="3"/>
        <v>0</v>
      </c>
      <c r="G46" s="45">
        <f>Baseline!F42</f>
        <v>0.5083492921347178</v>
      </c>
      <c r="H46" s="34">
        <f t="shared" si="4"/>
        <v>0</v>
      </c>
      <c r="I46" s="34">
        <f t="shared" si="5"/>
        <v>0</v>
      </c>
      <c r="J46" s="2">
        <f t="shared" si="6"/>
        <v>0</v>
      </c>
      <c r="K46" s="49">
        <f>IF(C46=0,0,IFERROR(INDEX('Parameter Library'!$O$247:$Q$293,MATCH(A46,'Parameter Library'!$N$247:$N$293,0),$B$25),0))</f>
        <v>308</v>
      </c>
      <c r="L46" s="34">
        <f t="shared" si="7"/>
        <v>0</v>
      </c>
    </row>
    <row r="47" spans="1:12">
      <c r="A47" s="44">
        <f>Baseline!A43</f>
        <v>2039</v>
      </c>
      <c r="B47" s="44">
        <f>Baseline!B43</f>
        <v>11</v>
      </c>
      <c r="C47" s="44">
        <f>Baseline!C43</f>
        <v>1</v>
      </c>
      <c r="D47" s="44">
        <f>Baseline!D43</f>
        <v>1</v>
      </c>
      <c r="E47" s="2">
        <f>IF(C47=1,(1+Baseline!$B$9)^(A47-Baseline!$B$8),0)</f>
        <v>1</v>
      </c>
      <c r="F47" s="34">
        <f t="shared" si="3"/>
        <v>0</v>
      </c>
      <c r="G47" s="45">
        <f>Baseline!F43</f>
        <v>0.47509279638758667</v>
      </c>
      <c r="H47" s="34">
        <f t="shared" si="4"/>
        <v>0</v>
      </c>
      <c r="I47" s="34">
        <f t="shared" si="5"/>
        <v>0</v>
      </c>
      <c r="J47" s="2">
        <f t="shared" si="6"/>
        <v>0</v>
      </c>
      <c r="K47" s="49">
        <f>IF(C47=0,0,IFERROR(INDEX('Parameter Library'!$O$247:$Q$293,MATCH(A47,'Parameter Library'!$N$247:$N$293,0),$B$25),0))</f>
        <v>313</v>
      </c>
      <c r="L47" s="34">
        <f t="shared" si="7"/>
        <v>0</v>
      </c>
    </row>
    <row r="48" spans="1:12">
      <c r="A48" s="44">
        <f>Baseline!A44</f>
        <v>2040</v>
      </c>
      <c r="B48" s="44">
        <f>Baseline!B44</f>
        <v>12</v>
      </c>
      <c r="C48" s="44">
        <f>Baseline!C44</f>
        <v>1</v>
      </c>
      <c r="D48" s="44">
        <f>Baseline!D44</f>
        <v>1</v>
      </c>
      <c r="E48" s="2">
        <f>IF(C48=1,(1+Baseline!$B$9)^(A48-Baseline!$B$8),0)</f>
        <v>1</v>
      </c>
      <c r="F48" s="34">
        <f t="shared" si="3"/>
        <v>0</v>
      </c>
      <c r="G48" s="45">
        <f>Baseline!F44</f>
        <v>0.44401195924073528</v>
      </c>
      <c r="H48" s="34">
        <f t="shared" si="4"/>
        <v>0</v>
      </c>
      <c r="I48" s="34">
        <f t="shared" si="5"/>
        <v>0</v>
      </c>
      <c r="J48" s="2">
        <f t="shared" si="6"/>
        <v>0</v>
      </c>
      <c r="K48" s="49">
        <f>IF(C48=0,0,IFERROR(INDEX('Parameter Library'!$O$247:$Q$293,MATCH(A48,'Parameter Library'!$N$247:$N$293,0),$B$25),0))</f>
        <v>318</v>
      </c>
      <c r="L48" s="34">
        <f t="shared" si="7"/>
        <v>0</v>
      </c>
    </row>
    <row r="49" spans="1:12">
      <c r="A49" s="44">
        <f>Baseline!A45</f>
        <v>2041</v>
      </c>
      <c r="B49" s="44">
        <f>Baseline!B45</f>
        <v>14</v>
      </c>
      <c r="C49" s="44">
        <f>Baseline!C45</f>
        <v>1</v>
      </c>
      <c r="D49" s="44">
        <f>Baseline!D45</f>
        <v>1</v>
      </c>
      <c r="E49" s="2">
        <f>IF(C49=1,(1+Baseline!$B$9)^(A49-Baseline!$B$8),0)</f>
        <v>1</v>
      </c>
      <c r="F49" s="34">
        <f t="shared" si="3"/>
        <v>0</v>
      </c>
      <c r="G49" s="45">
        <f>Baseline!F45</f>
        <v>0.3878172410173249</v>
      </c>
      <c r="H49" s="34">
        <f t="shared" si="4"/>
        <v>0</v>
      </c>
      <c r="I49" s="34">
        <f t="shared" si="5"/>
        <v>0</v>
      </c>
      <c r="J49" s="2">
        <f t="shared" si="6"/>
        <v>0</v>
      </c>
      <c r="K49" s="49">
        <f>IF(C49=0,0,IFERROR(INDEX('Parameter Library'!$O$247:$Q$293,MATCH(A49,'Parameter Library'!$N$247:$N$293,0),$B$25),0))</f>
        <v>323</v>
      </c>
      <c r="L49" s="34">
        <f t="shared" si="7"/>
        <v>0</v>
      </c>
    </row>
    <row r="50" spans="1:12">
      <c r="A50" s="44">
        <f>Baseline!A46</f>
        <v>2042</v>
      </c>
      <c r="B50" s="44">
        <f>Baseline!B46</f>
        <v>15</v>
      </c>
      <c r="C50" s="44">
        <f>Baseline!C46</f>
        <v>1</v>
      </c>
      <c r="D50" s="44">
        <f>Baseline!D46</f>
        <v>1</v>
      </c>
      <c r="E50" s="2">
        <f>IF(C50=1,(1+Baseline!$B$9)^(A50-Baseline!$B$8),0)</f>
        <v>1</v>
      </c>
      <c r="F50" s="34">
        <f t="shared" si="3"/>
        <v>0</v>
      </c>
      <c r="G50" s="45">
        <f>Baseline!F46</f>
        <v>0.36244601964235967</v>
      </c>
      <c r="H50" s="34">
        <f t="shared" si="4"/>
        <v>0</v>
      </c>
      <c r="I50" s="34">
        <f t="shared" si="5"/>
        <v>0</v>
      </c>
      <c r="J50" s="2">
        <f t="shared" si="6"/>
        <v>0</v>
      </c>
      <c r="K50" s="49">
        <f>IF(C50=0,0,IFERROR(INDEX('Parameter Library'!$O$247:$Q$293,MATCH(A50,'Parameter Library'!$N$247:$N$293,0),$B$25),0))</f>
        <v>327</v>
      </c>
      <c r="L50" s="34">
        <f t="shared" si="7"/>
        <v>0</v>
      </c>
    </row>
    <row r="51" spans="1:12">
      <c r="A51" s="44">
        <f>Baseline!A47</f>
        <v>2043</v>
      </c>
      <c r="B51" s="44">
        <f>Baseline!B47</f>
        <v>16</v>
      </c>
      <c r="C51" s="44">
        <f>Baseline!C47</f>
        <v>1</v>
      </c>
      <c r="D51" s="44">
        <f>Baseline!D47</f>
        <v>1</v>
      </c>
      <c r="E51" s="2">
        <f>IF(C51=1,(1+Baseline!$B$9)^(A51-Baseline!$B$8),0)</f>
        <v>1</v>
      </c>
      <c r="F51" s="34">
        <f t="shared" si="3"/>
        <v>0</v>
      </c>
      <c r="G51" s="45">
        <f>Baseline!F47</f>
        <v>0.33873459779659787</v>
      </c>
      <c r="H51" s="34">
        <f t="shared" si="4"/>
        <v>0</v>
      </c>
      <c r="I51" s="34">
        <f t="shared" si="5"/>
        <v>0</v>
      </c>
      <c r="J51" s="2">
        <f t="shared" si="6"/>
        <v>0</v>
      </c>
      <c r="K51" s="49">
        <f>IF(C51=0,0,IFERROR(INDEX('Parameter Library'!$O$247:$Q$293,MATCH(A51,'Parameter Library'!$N$247:$N$293,0),$B$25),0))</f>
        <v>332</v>
      </c>
      <c r="L51" s="34">
        <f t="shared" si="7"/>
        <v>0</v>
      </c>
    </row>
    <row r="52" spans="1:12">
      <c r="A52" s="44">
        <f>Baseline!A48</f>
        <v>2044</v>
      </c>
      <c r="B52" s="44">
        <f>Baseline!B48</f>
        <v>17</v>
      </c>
      <c r="C52" s="44">
        <f>Baseline!C48</f>
        <v>1</v>
      </c>
      <c r="D52" s="44">
        <f>Baseline!D48</f>
        <v>1</v>
      </c>
      <c r="E52" s="2">
        <f>IF(C52=1,(1+Baseline!$B$9)^(A52-Baseline!$B$8),0)</f>
        <v>1</v>
      </c>
      <c r="F52" s="34">
        <f t="shared" si="3"/>
        <v>0</v>
      </c>
      <c r="G52" s="45">
        <f>Baseline!F48</f>
        <v>0.31657439046411018</v>
      </c>
      <c r="H52" s="34">
        <f t="shared" si="4"/>
        <v>0</v>
      </c>
      <c r="I52" s="34">
        <f t="shared" si="5"/>
        <v>0</v>
      </c>
      <c r="J52" s="2">
        <f t="shared" si="6"/>
        <v>0</v>
      </c>
      <c r="K52" s="49">
        <f>IF(C52=0,0,IFERROR(INDEX('Parameter Library'!$O$247:$Q$293,MATCH(A52,'Parameter Library'!$N$247:$N$293,0),$B$25),0))</f>
        <v>337</v>
      </c>
      <c r="L52" s="34">
        <f t="shared" si="7"/>
        <v>0</v>
      </c>
    </row>
    <row r="53" spans="1:12">
      <c r="A53" s="44">
        <f>Baseline!A49</f>
        <v>2045</v>
      </c>
      <c r="B53" s="44">
        <f>Baseline!B49</f>
        <v>18</v>
      </c>
      <c r="C53" s="44">
        <f>Baseline!C49</f>
        <v>1</v>
      </c>
      <c r="D53" s="44">
        <f>Baseline!D49</f>
        <v>1</v>
      </c>
      <c r="E53" s="2">
        <f>IF(C53=1,(1+Baseline!$B$9)^(A53-Baseline!$B$8),0)</f>
        <v>1</v>
      </c>
      <c r="F53" s="34">
        <f t="shared" si="3"/>
        <v>0</v>
      </c>
      <c r="G53" s="45">
        <f>Baseline!F49</f>
        <v>0.29586391632159825</v>
      </c>
      <c r="H53" s="34">
        <f t="shared" si="4"/>
        <v>0</v>
      </c>
      <c r="I53" s="34">
        <f t="shared" si="5"/>
        <v>0</v>
      </c>
      <c r="J53" s="2">
        <f t="shared" si="6"/>
        <v>0</v>
      </c>
      <c r="K53" s="49">
        <f>IF(C53=0,0,IFERROR(INDEX('Parameter Library'!$O$247:$Q$293,MATCH(A53,'Parameter Library'!$N$247:$N$293,0),$B$25),0))</f>
        <v>342</v>
      </c>
      <c r="L53" s="34">
        <f t="shared" si="7"/>
        <v>0</v>
      </c>
    </row>
    <row r="54" spans="1:12">
      <c r="A54" s="44">
        <f>Baseline!A50</f>
        <v>2046</v>
      </c>
      <c r="B54" s="44">
        <f>Baseline!B50</f>
        <v>19</v>
      </c>
      <c r="C54" s="44">
        <f>Baseline!C50</f>
        <v>1</v>
      </c>
      <c r="D54" s="44">
        <f>Baseline!D50</f>
        <v>1</v>
      </c>
      <c r="E54" s="2">
        <f>IF(C54=1,(1+Baseline!$B$9)^(A54-Baseline!$B$8),0)</f>
        <v>1</v>
      </c>
      <c r="F54" s="34">
        <f t="shared" si="3"/>
        <v>0</v>
      </c>
      <c r="G54" s="45">
        <f>Baseline!F50</f>
        <v>0.27650833301083949</v>
      </c>
      <c r="H54" s="34">
        <f t="shared" si="4"/>
        <v>0</v>
      </c>
      <c r="I54" s="34">
        <f t="shared" si="5"/>
        <v>0</v>
      </c>
      <c r="J54" s="2">
        <f t="shared" si="6"/>
        <v>0</v>
      </c>
      <c r="K54" s="49">
        <f>IF(C54=0,0,IFERROR(INDEX('Parameter Library'!$O$247:$Q$293,MATCH(A54,'Parameter Library'!$N$247:$N$293,0),$B$25),0))</f>
        <v>346</v>
      </c>
      <c r="L54" s="34">
        <f t="shared" si="7"/>
        <v>0</v>
      </c>
    </row>
    <row r="55" spans="1:12">
      <c r="A55" s="44">
        <f>Baseline!A51</f>
        <v>2047</v>
      </c>
      <c r="B55" s="44">
        <f>Baseline!B51</f>
        <v>20</v>
      </c>
      <c r="C55" s="44">
        <f>Baseline!C51</f>
        <v>1</v>
      </c>
      <c r="D55" s="44">
        <f>Baseline!D51</f>
        <v>1</v>
      </c>
      <c r="E55" s="2">
        <f>IF(C55=1,(1+Baseline!$B$9)^(A55-Baseline!$B$8),0)</f>
        <v>1</v>
      </c>
      <c r="F55" s="34">
        <f t="shared" si="3"/>
        <v>0</v>
      </c>
      <c r="G55" s="45">
        <f>Baseline!F51</f>
        <v>0.2584190028138687</v>
      </c>
      <c r="H55" s="34">
        <f t="shared" si="4"/>
        <v>0</v>
      </c>
      <c r="I55" s="34">
        <f t="shared" si="5"/>
        <v>0</v>
      </c>
      <c r="J55" s="2">
        <f t="shared" si="6"/>
        <v>0</v>
      </c>
      <c r="K55" s="49">
        <f>IF(C55=0,0,IFERROR(INDEX('Parameter Library'!$O$247:$Q$293,MATCH(A55,'Parameter Library'!$N$247:$N$293,0),$B$25),0))</f>
        <v>352</v>
      </c>
      <c r="L55" s="34">
        <f t="shared" si="7"/>
        <v>0</v>
      </c>
    </row>
    <row r="56" spans="1:12">
      <c r="A56" s="44">
        <f>Baseline!A52</f>
        <v>2048</v>
      </c>
      <c r="B56" s="44">
        <f>Baseline!B52</f>
        <v>21</v>
      </c>
      <c r="C56" s="44">
        <f>Baseline!C52</f>
        <v>1</v>
      </c>
      <c r="D56" s="44">
        <f>Baseline!D52</f>
        <v>1</v>
      </c>
      <c r="E56" s="2">
        <f>IF(C56=1,(1+Baseline!$B$9)^(A56-Baseline!$B$8),0)</f>
        <v>1</v>
      </c>
      <c r="F56" s="34">
        <f t="shared" si="3"/>
        <v>0</v>
      </c>
      <c r="G56" s="45">
        <f>Baseline!F52</f>
        <v>0.24151308674193336</v>
      </c>
      <c r="H56" s="34">
        <f t="shared" si="4"/>
        <v>0</v>
      </c>
      <c r="I56" s="34">
        <f t="shared" si="5"/>
        <v>0</v>
      </c>
      <c r="J56" s="2">
        <f t="shared" si="6"/>
        <v>0</v>
      </c>
      <c r="K56" s="49">
        <f>IF(C56=0,0,IFERROR(INDEX('Parameter Library'!$O$247:$Q$293,MATCH(A56,'Parameter Library'!$N$247:$N$293,0),$B$25),0))</f>
        <v>357</v>
      </c>
      <c r="L56" s="34">
        <f t="shared" si="7"/>
        <v>0</v>
      </c>
    </row>
    <row r="57" spans="1:12">
      <c r="A57" s="44">
        <f>Baseline!A53</f>
        <v>2049</v>
      </c>
      <c r="B57" s="44">
        <f>Baseline!B53</f>
        <v>22</v>
      </c>
      <c r="C57" s="44">
        <f>Baseline!C53</f>
        <v>1</v>
      </c>
      <c r="D57" s="44">
        <f>Baseline!D53</f>
        <v>1</v>
      </c>
      <c r="E57" s="2">
        <f>IF(C57=1,(1+Baseline!$B$9)^(A57-Baseline!$B$8),0)</f>
        <v>1</v>
      </c>
      <c r="F57" s="34">
        <f t="shared" si="3"/>
        <v>0</v>
      </c>
      <c r="G57" s="45">
        <f>Baseline!F53</f>
        <v>0.22571316517937698</v>
      </c>
      <c r="H57" s="34">
        <f t="shared" si="4"/>
        <v>0</v>
      </c>
      <c r="I57" s="34">
        <f t="shared" si="5"/>
        <v>0</v>
      </c>
      <c r="J57" s="2">
        <f t="shared" si="6"/>
        <v>0</v>
      </c>
      <c r="K57" s="49">
        <f>IF(C57=0,0,IFERROR(INDEX('Parameter Library'!$O$247:$Q$293,MATCH(A57,'Parameter Library'!$N$247:$N$293,0),$B$25),0))</f>
        <v>362</v>
      </c>
      <c r="L57" s="34">
        <f t="shared" si="7"/>
        <v>0</v>
      </c>
    </row>
    <row r="58" spans="1:12">
      <c r="A58" s="44">
        <f>Baseline!A54</f>
        <v>2050</v>
      </c>
      <c r="B58" s="44">
        <f>Baseline!B54</f>
        <v>23</v>
      </c>
      <c r="C58" s="44">
        <f>Baseline!C54</f>
        <v>1</v>
      </c>
      <c r="D58" s="44">
        <f>Baseline!D54</f>
        <v>1</v>
      </c>
      <c r="E58" s="2">
        <f>IF(C58=1,(1+Baseline!$B$9)^(A58-Baseline!$B$8),0)</f>
        <v>1</v>
      </c>
      <c r="F58" s="34">
        <f t="shared" si="3"/>
        <v>0</v>
      </c>
      <c r="G58" s="45">
        <f>Baseline!F54</f>
        <v>0.21094688334521211</v>
      </c>
      <c r="H58" s="34">
        <f t="shared" si="4"/>
        <v>0</v>
      </c>
      <c r="I58" s="34">
        <f t="shared" si="5"/>
        <v>0</v>
      </c>
      <c r="J58" s="2">
        <f t="shared" si="6"/>
        <v>0</v>
      </c>
      <c r="K58" s="49">
        <f>IF(C58=0,0,IFERROR(INDEX('Parameter Library'!$O$247:$Q$293,MATCH(A58,'Parameter Library'!$N$247:$N$293,0),$B$25),0))</f>
        <v>367</v>
      </c>
      <c r="L58" s="34">
        <f t="shared" si="7"/>
        <v>0</v>
      </c>
    </row>
    <row r="59" spans="1:12">
      <c r="A59" s="44">
        <f>Baseline!A55</f>
        <v>2051</v>
      </c>
      <c r="B59" s="44">
        <f>Baseline!B55</f>
        <v>24</v>
      </c>
      <c r="C59" s="44">
        <f>Baseline!C55</f>
        <v>1</v>
      </c>
      <c r="D59" s="44">
        <f>Baseline!D55</f>
        <v>1</v>
      </c>
      <c r="E59" s="2">
        <f>IF(C59=1,(1+Baseline!$B$9)^(A59-Baseline!$B$8),0)</f>
        <v>1</v>
      </c>
      <c r="F59" s="34">
        <f t="shared" si="3"/>
        <v>0</v>
      </c>
      <c r="G59" s="45">
        <f>Baseline!F55</f>
        <v>0.19714661994879637</v>
      </c>
      <c r="H59" s="34">
        <f t="shared" si="4"/>
        <v>0</v>
      </c>
      <c r="I59" s="34">
        <f t="shared" si="5"/>
        <v>0</v>
      </c>
      <c r="J59" s="2">
        <f t="shared" si="6"/>
        <v>0</v>
      </c>
      <c r="K59" s="49">
        <f>IF(C59=0,0,IFERROR(INDEX('Parameter Library'!$O$247:$Q$293,MATCH(A59,'Parameter Library'!$N$247:$N$293,0),$B$25),0))</f>
        <v>371.36695863423705</v>
      </c>
      <c r="L59" s="34">
        <f t="shared" si="7"/>
        <v>0</v>
      </c>
    </row>
    <row r="60" spans="1:12">
      <c r="A60" s="44">
        <f>Baseline!A56</f>
        <v>2052</v>
      </c>
      <c r="B60" s="44">
        <f>Baseline!B56</f>
        <v>25</v>
      </c>
      <c r="C60" s="44">
        <f>Baseline!C56</f>
        <v>1</v>
      </c>
      <c r="D60" s="44">
        <f>Baseline!D56</f>
        <v>1</v>
      </c>
      <c r="E60" s="2">
        <f>IF(C60=1,(1+Baseline!$B$9)^(A60-Baseline!$B$8),0)</f>
        <v>1</v>
      </c>
      <c r="F60" s="34">
        <f t="shared" si="3"/>
        <v>0</v>
      </c>
      <c r="G60" s="45">
        <f>Baseline!F56</f>
        <v>0.18424917752223957</v>
      </c>
      <c r="H60" s="34">
        <f t="shared" si="4"/>
        <v>0</v>
      </c>
      <c r="I60" s="34">
        <f t="shared" si="5"/>
        <v>0</v>
      </c>
      <c r="J60" s="2">
        <f t="shared" si="6"/>
        <v>0</v>
      </c>
      <c r="K60" s="49">
        <f>IF(C60=0,0,IFERROR(INDEX('Parameter Library'!$O$247:$Q$293,MATCH(A60,'Parameter Library'!$N$247:$N$293,0),$B$25),0))</f>
        <v>374.93779477495087</v>
      </c>
      <c r="L60" s="34">
        <f t="shared" si="7"/>
        <v>0</v>
      </c>
    </row>
    <row r="61" spans="1:12">
      <c r="A61" s="44">
        <f>Baseline!A57</f>
        <v>2053</v>
      </c>
      <c r="B61" s="44">
        <f>Baseline!B57</f>
        <v>26</v>
      </c>
      <c r="C61" s="44">
        <f>Baseline!C57</f>
        <v>1</v>
      </c>
      <c r="D61" s="44">
        <f>Baseline!D57</f>
        <v>1</v>
      </c>
      <c r="E61" s="2">
        <f>IF(C61=1,(1+Baseline!$B$9)^(A61-Baseline!$B$8),0)</f>
        <v>1</v>
      </c>
      <c r="F61" s="34">
        <f t="shared" si="3"/>
        <v>0</v>
      </c>
      <c r="G61" s="45">
        <f>Baseline!F57</f>
        <v>0.17219549301143888</v>
      </c>
      <c r="H61" s="34">
        <f t="shared" si="4"/>
        <v>0</v>
      </c>
      <c r="I61" s="34">
        <f t="shared" si="5"/>
        <v>0</v>
      </c>
      <c r="J61" s="2">
        <f t="shared" si="6"/>
        <v>0</v>
      </c>
      <c r="K61" s="49">
        <f>IF(C61=0,0,IFERROR(INDEX('Parameter Library'!$O$247:$Q$293,MATCH(A61,'Parameter Library'!$N$247:$N$293,0),$B$25),0))</f>
        <v>379.69890962923597</v>
      </c>
      <c r="L61" s="34">
        <f t="shared" si="7"/>
        <v>0</v>
      </c>
    </row>
    <row r="62" spans="1:12">
      <c r="A62" s="44">
        <f>Baseline!A58</f>
        <v>2054</v>
      </c>
      <c r="B62" s="44">
        <f>Baseline!B58</f>
        <v>27</v>
      </c>
      <c r="C62" s="44">
        <f>Baseline!C58</f>
        <v>1</v>
      </c>
      <c r="D62" s="44">
        <f>Baseline!D58</f>
        <v>1</v>
      </c>
      <c r="E62" s="2">
        <f>IF(C62=1,(1+Baseline!$B$9)^(A62-Baseline!$B$8),0)</f>
        <v>1</v>
      </c>
      <c r="F62" s="34">
        <f t="shared" si="3"/>
        <v>0</v>
      </c>
      <c r="G62" s="45">
        <f>Baseline!F58</f>
        <v>0.16093036730041013</v>
      </c>
      <c r="H62" s="34">
        <f t="shared" si="4"/>
        <v>0</v>
      </c>
      <c r="I62" s="34">
        <f t="shared" si="5"/>
        <v>0</v>
      </c>
      <c r="J62" s="2">
        <f t="shared" si="6"/>
        <v>0</v>
      </c>
      <c r="K62" s="49">
        <f>IF(C62=0,0,IFERROR(INDEX('Parameter Library'!$O$247:$Q$293,MATCH(A62,'Parameter Library'!$N$247:$N$293,0),$B$25),0))</f>
        <v>384.46002448352107</v>
      </c>
      <c r="L62" s="34">
        <f t="shared" si="7"/>
        <v>0</v>
      </c>
    </row>
    <row r="63" spans="1:12">
      <c r="A63" s="44">
        <f>Baseline!A59</f>
        <v>2055</v>
      </c>
      <c r="B63" s="44">
        <f>Baseline!B59</f>
        <v>28</v>
      </c>
      <c r="C63" s="44">
        <f>Baseline!C59</f>
        <v>1</v>
      </c>
      <c r="D63" s="44">
        <f>Baseline!D59</f>
        <v>1</v>
      </c>
      <c r="E63" s="2">
        <f>IF(C63=1,(1+Baseline!$B$9)^(A63-Baseline!$B$8),0)</f>
        <v>1</v>
      </c>
      <c r="F63" s="34">
        <f t="shared" si="3"/>
        <v>0</v>
      </c>
      <c r="G63" s="45">
        <f>Baseline!F59</f>
        <v>0.15040221243028987</v>
      </c>
      <c r="H63" s="34">
        <f t="shared" si="4"/>
        <v>0</v>
      </c>
      <c r="I63" s="34">
        <f t="shared" si="5"/>
        <v>0</v>
      </c>
      <c r="J63" s="2">
        <f t="shared" si="6"/>
        <v>0</v>
      </c>
      <c r="K63" s="49">
        <f>IF(C63=0,0,IFERROR(INDEX('Parameter Library'!$O$247:$Q$293,MATCH(A63,'Parameter Library'!$N$247:$N$293,0),$B$25),0))</f>
        <v>388.03086062423489</v>
      </c>
      <c r="L63" s="34">
        <f t="shared" si="7"/>
        <v>0</v>
      </c>
    </row>
    <row r="64" spans="1:12">
      <c r="A64" s="44">
        <f>Baseline!A60</f>
        <v>2056</v>
      </c>
      <c r="B64" s="44">
        <f>Baseline!B60</f>
        <v>29</v>
      </c>
      <c r="C64" s="44">
        <f>Baseline!C60</f>
        <v>1</v>
      </c>
      <c r="D64" s="44">
        <f>Baseline!D60</f>
        <v>1</v>
      </c>
      <c r="E64" s="2">
        <f>IF(C64=1,(1+Baseline!$B$9)^(A64-Baseline!$B$8),0)</f>
        <v>1</v>
      </c>
      <c r="F64" s="34">
        <f t="shared" si="3"/>
        <v>0</v>
      </c>
      <c r="G64" s="45">
        <f>Baseline!F60</f>
        <v>0.1405628153554111</v>
      </c>
      <c r="H64" s="34">
        <f t="shared" si="4"/>
        <v>0</v>
      </c>
      <c r="I64" s="34">
        <f t="shared" si="5"/>
        <v>0</v>
      </c>
      <c r="J64" s="2">
        <f t="shared" si="6"/>
        <v>0</v>
      </c>
      <c r="K64" s="49">
        <f>IF(C64=0,0,IFERROR(INDEX('Parameter Library'!$O$247:$Q$293,MATCH(A64,'Parameter Library'!$N$247:$N$293,0),$B$25),0))</f>
        <v>392.79197547851999</v>
      </c>
      <c r="L64" s="34">
        <f t="shared" si="7"/>
        <v>0</v>
      </c>
    </row>
    <row r="65" spans="1:12">
      <c r="A65" s="44">
        <f>Baseline!A61</f>
        <v>2057</v>
      </c>
      <c r="B65" s="44">
        <f>Baseline!B61</f>
        <v>30</v>
      </c>
      <c r="C65" s="44">
        <f>Baseline!C61</f>
        <v>0</v>
      </c>
      <c r="D65" s="44">
        <f>Baseline!D61</f>
        <v>0</v>
      </c>
      <c r="E65" s="2">
        <f>IF(C65=1,(1+Baseline!$B$9)^(A65-Baseline!$B$8),0)</f>
        <v>0</v>
      </c>
      <c r="F65" s="34">
        <f t="shared" si="3"/>
        <v>0</v>
      </c>
      <c r="G65" s="45">
        <f>Baseline!F61</f>
        <v>0</v>
      </c>
      <c r="H65" s="34">
        <f t="shared" si="4"/>
        <v>0</v>
      </c>
      <c r="I65" s="34">
        <f t="shared" si="5"/>
        <v>0</v>
      </c>
      <c r="J65" s="2">
        <f t="shared" si="6"/>
        <v>0</v>
      </c>
      <c r="K65" s="49">
        <f>IF(C65=0,0,IFERROR(INDEX('Parameter Library'!$O$247:$Q$293,MATCH(A65,'Parameter Library'!$N$247:$N$293,0),$B$25),0))</f>
        <v>0</v>
      </c>
      <c r="L65" s="34">
        <f t="shared" si="7"/>
        <v>0</v>
      </c>
    </row>
    <row r="66" spans="1:12">
      <c r="A66" s="44">
        <f>Baseline!A62</f>
        <v>2058</v>
      </c>
      <c r="B66" s="44">
        <f>Baseline!B62</f>
        <v>31</v>
      </c>
      <c r="C66" s="44">
        <f>Baseline!C62</f>
        <v>0</v>
      </c>
      <c r="D66" s="44">
        <f>Baseline!D62</f>
        <v>0</v>
      </c>
      <c r="E66" s="2">
        <f>IF(C66=1,(1+Baseline!$B$9)^(A66-Baseline!$B$8),0)</f>
        <v>0</v>
      </c>
      <c r="F66" s="34">
        <f t="shared" si="3"/>
        <v>0</v>
      </c>
      <c r="G66" s="45">
        <f>Baseline!F62</f>
        <v>0</v>
      </c>
      <c r="H66" s="34">
        <f t="shared" si="4"/>
        <v>0</v>
      </c>
      <c r="I66" s="34">
        <f t="shared" si="5"/>
        <v>0</v>
      </c>
      <c r="J66" s="2">
        <f t="shared" si="6"/>
        <v>0</v>
      </c>
      <c r="K66" s="49">
        <f>IF(C66=0,0,IFERROR(INDEX('Parameter Library'!$O$247:$Q$293,MATCH(A66,'Parameter Library'!$N$247:$N$293,0),$B$25),0))</f>
        <v>0</v>
      </c>
      <c r="L66" s="34">
        <f t="shared" si="7"/>
        <v>0</v>
      </c>
    </row>
    <row r="67" spans="1:12">
      <c r="A67" s="44">
        <f>Baseline!A63</f>
        <v>2059</v>
      </c>
      <c r="B67" s="44">
        <f>Baseline!B63</f>
        <v>32</v>
      </c>
      <c r="C67" s="44">
        <f>Baseline!C63</f>
        <v>0</v>
      </c>
      <c r="D67" s="44">
        <f>Baseline!D63</f>
        <v>0</v>
      </c>
      <c r="E67" s="2">
        <f>IF(C67=1,(1+Baseline!$B$9)^(A67-Baseline!$B$8),0)</f>
        <v>0</v>
      </c>
      <c r="F67" s="34">
        <f t="shared" si="3"/>
        <v>0</v>
      </c>
      <c r="G67" s="45">
        <f>Baseline!F63</f>
        <v>0</v>
      </c>
      <c r="H67" s="34">
        <f t="shared" si="4"/>
        <v>0</v>
      </c>
      <c r="I67" s="34">
        <f t="shared" si="5"/>
        <v>0</v>
      </c>
      <c r="J67" s="2">
        <f t="shared" si="6"/>
        <v>0</v>
      </c>
      <c r="K67" s="49">
        <f>IF(C67=0,0,IFERROR(INDEX('Parameter Library'!$O$247:$Q$293,MATCH(A67,'Parameter Library'!$N$247:$N$293,0),$B$25),0))</f>
        <v>0</v>
      </c>
      <c r="L67" s="34">
        <f t="shared" si="7"/>
        <v>0</v>
      </c>
    </row>
    <row r="68" spans="1:12">
      <c r="A68" s="44">
        <f>Baseline!A64</f>
        <v>2060</v>
      </c>
      <c r="B68" s="44">
        <f>Baseline!B64</f>
        <v>33</v>
      </c>
      <c r="C68" s="44">
        <f>Baseline!C64</f>
        <v>0</v>
      </c>
      <c r="D68" s="44">
        <f>Baseline!D64</f>
        <v>0</v>
      </c>
      <c r="E68" s="2">
        <f>IF(C68=1,(1+Baseline!$B$9)^(A68-Baseline!$B$8),0)</f>
        <v>0</v>
      </c>
      <c r="F68" s="34">
        <f t="shared" si="3"/>
        <v>0</v>
      </c>
      <c r="G68" s="45">
        <f>Baseline!F64</f>
        <v>0</v>
      </c>
      <c r="H68" s="34">
        <f t="shared" si="4"/>
        <v>0</v>
      </c>
      <c r="I68" s="34">
        <f t="shared" si="5"/>
        <v>0</v>
      </c>
      <c r="J68" s="2">
        <f t="shared" si="6"/>
        <v>0</v>
      </c>
      <c r="K68" s="49">
        <f>IF(C68=0,0,IFERROR(INDEX('Parameter Library'!$O$247:$Q$293,MATCH(A68,'Parameter Library'!$N$247:$N$293,0),$B$25),0))</f>
        <v>0</v>
      </c>
      <c r="L68" s="34">
        <f t="shared" si="7"/>
        <v>0</v>
      </c>
    </row>
    <row r="69" spans="1:12">
      <c r="A69" s="44">
        <f>Baseline!A65</f>
        <v>2061</v>
      </c>
      <c r="B69" s="44">
        <f>Baseline!B65</f>
        <v>34</v>
      </c>
      <c r="C69" s="44">
        <f>Baseline!C65</f>
        <v>0</v>
      </c>
      <c r="D69" s="44">
        <f>Baseline!D65</f>
        <v>0</v>
      </c>
      <c r="E69" s="2">
        <f>IF(C69=1,(1+Baseline!$B$9)^(A69-Baseline!$B$8),0)</f>
        <v>0</v>
      </c>
      <c r="F69" s="34">
        <f t="shared" si="3"/>
        <v>0</v>
      </c>
      <c r="G69" s="45">
        <f>Baseline!F65</f>
        <v>0</v>
      </c>
      <c r="H69" s="34">
        <f t="shared" si="4"/>
        <v>0</v>
      </c>
      <c r="I69" s="34">
        <f t="shared" si="5"/>
        <v>0</v>
      </c>
      <c r="J69" s="2">
        <f t="shared" si="6"/>
        <v>0</v>
      </c>
      <c r="K69" s="49">
        <f>IF(C69=0,0,IFERROR(INDEX('Parameter Library'!$O$247:$Q$293,MATCH(A69,'Parameter Library'!$N$247:$N$293,0),$B$25),0))</f>
        <v>0</v>
      </c>
      <c r="L69" s="34">
        <f t="shared" si="7"/>
        <v>0</v>
      </c>
    </row>
    <row r="70" spans="1:12">
      <c r="A70" s="44">
        <f>Baseline!A66</f>
        <v>2062</v>
      </c>
      <c r="B70" s="44">
        <f>Baseline!B66</f>
        <v>35</v>
      </c>
      <c r="C70" s="44">
        <f>Baseline!C66</f>
        <v>0</v>
      </c>
      <c r="D70" s="44">
        <f>Baseline!D66</f>
        <v>0</v>
      </c>
      <c r="E70" s="2">
        <f>IF(C70=1,(1+Baseline!$B$9)^(A70-Baseline!$B$8),0)</f>
        <v>0</v>
      </c>
      <c r="F70" s="34">
        <f t="shared" si="3"/>
        <v>0</v>
      </c>
      <c r="G70" s="45">
        <f>Baseline!F66</f>
        <v>0</v>
      </c>
      <c r="H70" s="34">
        <f t="shared" si="4"/>
        <v>0</v>
      </c>
      <c r="I70" s="34">
        <f t="shared" si="5"/>
        <v>0</v>
      </c>
      <c r="J70" s="2">
        <f t="shared" si="6"/>
        <v>0</v>
      </c>
      <c r="K70" s="49">
        <f>IF(C70=0,0,IFERROR(INDEX('Parameter Library'!$O$247:$Q$293,MATCH(A70,'Parameter Library'!$N$247:$N$293,0),$B$25),0))</f>
        <v>0</v>
      </c>
      <c r="L70" s="34">
        <f t="shared" si="7"/>
        <v>0</v>
      </c>
    </row>
    <row r="71" spans="1:12">
      <c r="A71" s="44">
        <f>Baseline!A67</f>
        <v>2063</v>
      </c>
      <c r="B71" s="44">
        <f>Baseline!B67</f>
        <v>36</v>
      </c>
      <c r="C71" s="44">
        <f>Baseline!C67</f>
        <v>0</v>
      </c>
      <c r="D71" s="44">
        <f>Baseline!D67</f>
        <v>0</v>
      </c>
      <c r="E71" s="2">
        <f>IF(C71=1,(1+Baseline!$B$9)^(A71-Baseline!$B$8),0)</f>
        <v>0</v>
      </c>
      <c r="F71" s="34">
        <f t="shared" si="3"/>
        <v>0</v>
      </c>
      <c r="G71" s="45">
        <f>Baseline!F67</f>
        <v>0</v>
      </c>
      <c r="H71" s="34">
        <f t="shared" si="4"/>
        <v>0</v>
      </c>
      <c r="I71" s="34">
        <f t="shared" si="5"/>
        <v>0</v>
      </c>
      <c r="J71" s="2">
        <f t="shared" si="6"/>
        <v>0</v>
      </c>
      <c r="K71" s="49">
        <f>IF(C71=0,0,IFERROR(INDEX('Parameter Library'!$O$247:$Q$293,MATCH(A71,'Parameter Library'!$N$247:$N$293,0),$B$25),0))</f>
        <v>0</v>
      </c>
      <c r="L71" s="34">
        <f t="shared" si="7"/>
        <v>0</v>
      </c>
    </row>
    <row r="72" spans="1:12">
      <c r="A72" s="44">
        <f>Baseline!A68</f>
        <v>2064</v>
      </c>
      <c r="B72" s="44">
        <f>Baseline!B68</f>
        <v>37</v>
      </c>
      <c r="C72" s="44">
        <f>Baseline!C68</f>
        <v>0</v>
      </c>
      <c r="D72" s="44">
        <f>Baseline!D68</f>
        <v>0</v>
      </c>
      <c r="E72" s="2">
        <f>IF(C72=1,(1+Baseline!$B$9)^(A72-Baseline!$B$8),0)</f>
        <v>0</v>
      </c>
      <c r="F72" s="34">
        <f t="shared" si="3"/>
        <v>0</v>
      </c>
      <c r="G72" s="45">
        <f>Baseline!F68</f>
        <v>0</v>
      </c>
      <c r="H72" s="34">
        <f t="shared" si="4"/>
        <v>0</v>
      </c>
      <c r="I72" s="34">
        <f t="shared" si="5"/>
        <v>0</v>
      </c>
      <c r="J72" s="2">
        <f t="shared" si="6"/>
        <v>0</v>
      </c>
      <c r="K72" s="49">
        <f>IF(C72=0,0,IFERROR(INDEX('Parameter Library'!$O$247:$Q$293,MATCH(A72,'Parameter Library'!$N$247:$N$293,0),$B$25),0))</f>
        <v>0</v>
      </c>
      <c r="L72" s="34">
        <f t="shared" si="7"/>
        <v>0</v>
      </c>
    </row>
    <row r="73" spans="1:12">
      <c r="A73" s="44">
        <f>Baseline!A69</f>
        <v>2065</v>
      </c>
      <c r="B73" s="44">
        <f>Baseline!B69</f>
        <v>38</v>
      </c>
      <c r="C73" s="44">
        <f>Baseline!C69</f>
        <v>0</v>
      </c>
      <c r="D73" s="44">
        <f>Baseline!D69</f>
        <v>0</v>
      </c>
      <c r="E73" s="2">
        <f>IF(C73=1,(1+Baseline!$B$9)^(A73-Baseline!$B$8),0)</f>
        <v>0</v>
      </c>
      <c r="F73" s="34">
        <f t="shared" si="3"/>
        <v>0</v>
      </c>
      <c r="G73" s="45">
        <f>Baseline!F69</f>
        <v>0</v>
      </c>
      <c r="H73" s="34">
        <f t="shared" si="4"/>
        <v>0</v>
      </c>
      <c r="I73" s="34">
        <f t="shared" si="5"/>
        <v>0</v>
      </c>
      <c r="J73" s="2">
        <f t="shared" si="6"/>
        <v>0</v>
      </c>
      <c r="K73" s="49">
        <f>IF(C73=0,0,IFERROR(INDEX('Parameter Library'!$O$247:$Q$293,MATCH(A73,'Parameter Library'!$N$247:$N$293,0),$B$25),0))</f>
        <v>0</v>
      </c>
      <c r="L73" s="34">
        <f t="shared" si="7"/>
        <v>0</v>
      </c>
    </row>
    <row r="74" spans="1:12">
      <c r="A74" s="44">
        <f>Baseline!A70</f>
        <v>2066</v>
      </c>
      <c r="B74" s="44">
        <f>Baseline!B70</f>
        <v>39</v>
      </c>
      <c r="C74" s="44">
        <f>Baseline!C70</f>
        <v>0</v>
      </c>
      <c r="D74" s="44">
        <f>Baseline!D70</f>
        <v>0</v>
      </c>
      <c r="E74" s="2">
        <f>IF(C74=1,(1+Baseline!$B$9)^(A74-Baseline!$B$8),0)</f>
        <v>0</v>
      </c>
      <c r="F74" s="34">
        <f t="shared" si="3"/>
        <v>0</v>
      </c>
      <c r="G74" s="45">
        <f>Baseline!F70</f>
        <v>0</v>
      </c>
      <c r="H74" s="34">
        <f t="shared" si="4"/>
        <v>0</v>
      </c>
      <c r="I74" s="34">
        <f t="shared" si="5"/>
        <v>0</v>
      </c>
      <c r="J74" s="2">
        <f t="shared" si="6"/>
        <v>0</v>
      </c>
      <c r="K74" s="49">
        <f>IF(C74=0,0,IFERROR(INDEX('Parameter Library'!$O$247:$Q$293,MATCH(A74,'Parameter Library'!$N$247:$N$293,0),$B$25),0))</f>
        <v>0</v>
      </c>
      <c r="L74" s="34">
        <f t="shared" si="7"/>
        <v>0</v>
      </c>
    </row>
    <row r="75" spans="1:12">
      <c r="A75" s="44">
        <f>Baseline!A71</f>
        <v>2067</v>
      </c>
      <c r="B75" s="44">
        <f>Baseline!B71</f>
        <v>40</v>
      </c>
      <c r="C75" s="44">
        <f>Baseline!C71</f>
        <v>0</v>
      </c>
      <c r="D75" s="44">
        <f>Baseline!D71</f>
        <v>0</v>
      </c>
      <c r="E75" s="2">
        <f>IF(C75=1,(1+Baseline!$B$9)^(A75-Baseline!$B$8),0)</f>
        <v>0</v>
      </c>
      <c r="F75" s="34">
        <f t="shared" si="3"/>
        <v>0</v>
      </c>
      <c r="G75" s="45">
        <f>Baseline!F71</f>
        <v>0</v>
      </c>
      <c r="H75" s="34">
        <f t="shared" si="4"/>
        <v>0</v>
      </c>
      <c r="I75" s="34">
        <f t="shared" si="5"/>
        <v>0</v>
      </c>
      <c r="J75" s="2">
        <f t="shared" si="6"/>
        <v>0</v>
      </c>
      <c r="K75" s="49">
        <f>IF(C75=0,0,IFERROR(INDEX('Parameter Library'!$O$247:$Q$293,MATCH(A75,'Parameter Library'!$N$247:$N$293,0),$B$25),0))</f>
        <v>0</v>
      </c>
      <c r="L75" s="34">
        <f t="shared" si="7"/>
        <v>0</v>
      </c>
    </row>
    <row r="76" spans="1:12">
      <c r="A76" s="44">
        <f>Baseline!A72</f>
        <v>2068</v>
      </c>
      <c r="B76" s="44">
        <f>Baseline!B72</f>
        <v>41</v>
      </c>
      <c r="C76" s="44">
        <f>Baseline!C72</f>
        <v>0</v>
      </c>
      <c r="D76" s="44">
        <f>Baseline!D72</f>
        <v>0</v>
      </c>
      <c r="E76" s="2">
        <f>IF(C76=1,(1+Baseline!$B$9)^(A76-Baseline!$B$8),0)</f>
        <v>0</v>
      </c>
      <c r="F76" s="34">
        <f t="shared" si="3"/>
        <v>0</v>
      </c>
      <c r="G76" s="45">
        <f>Baseline!F72</f>
        <v>0</v>
      </c>
      <c r="H76" s="34">
        <f t="shared" si="4"/>
        <v>0</v>
      </c>
      <c r="I76" s="34">
        <f t="shared" si="5"/>
        <v>0</v>
      </c>
      <c r="J76" s="2">
        <f t="shared" si="6"/>
        <v>0</v>
      </c>
      <c r="K76" s="49">
        <f>IF(C76=0,0,IFERROR(INDEX('Parameter Library'!$O$247:$Q$293,MATCH(A76,'Parameter Library'!$N$247:$N$293,0),$B$25),0))</f>
        <v>0</v>
      </c>
      <c r="L76" s="34">
        <f t="shared" si="7"/>
        <v>0</v>
      </c>
    </row>
    <row r="77" spans="1:12">
      <c r="A77" s="44">
        <f>Baseline!A73</f>
        <v>2069</v>
      </c>
      <c r="B77" s="44">
        <f>Baseline!B73</f>
        <v>42</v>
      </c>
      <c r="C77" s="44">
        <f>Baseline!C73</f>
        <v>0</v>
      </c>
      <c r="D77" s="44">
        <f>Baseline!D73</f>
        <v>0</v>
      </c>
      <c r="E77" s="2">
        <f>IF(C77=1,(1+Baseline!$B$9)^(A77-Baseline!$B$8),0)</f>
        <v>0</v>
      </c>
      <c r="F77" s="34">
        <f t="shared" si="3"/>
        <v>0</v>
      </c>
      <c r="G77" s="45">
        <f>Baseline!F73</f>
        <v>0</v>
      </c>
      <c r="H77" s="34">
        <f t="shared" si="4"/>
        <v>0</v>
      </c>
      <c r="I77" s="34">
        <f t="shared" si="5"/>
        <v>0</v>
      </c>
      <c r="J77" s="2">
        <f t="shared" si="6"/>
        <v>0</v>
      </c>
      <c r="K77" s="49">
        <f>IF(C77=0,0,IFERROR(INDEX('Parameter Library'!$O$247:$Q$293,MATCH(A77,'Parameter Library'!$N$247:$N$293,0),$B$25),0))</f>
        <v>0</v>
      </c>
      <c r="L77" s="34">
        <f t="shared" si="7"/>
        <v>0</v>
      </c>
    </row>
    <row r="78" spans="1:12">
      <c r="A78" s="44">
        <f>Baseline!A74</f>
        <v>2070</v>
      </c>
      <c r="B78" s="44">
        <f>Baseline!B74</f>
        <v>43</v>
      </c>
      <c r="C78" s="44">
        <f>Baseline!C74</f>
        <v>0</v>
      </c>
      <c r="D78" s="44">
        <f>Baseline!D74</f>
        <v>0</v>
      </c>
      <c r="E78" s="2">
        <f>IF(C78=1,(1+Baseline!$B$9)^(A78-Baseline!$B$8),0)</f>
        <v>0</v>
      </c>
      <c r="F78" s="34">
        <f t="shared" si="3"/>
        <v>0</v>
      </c>
      <c r="G78" s="45">
        <f>Baseline!F74</f>
        <v>0</v>
      </c>
      <c r="H78" s="34">
        <f t="shared" si="4"/>
        <v>0</v>
      </c>
      <c r="I78" s="34">
        <f t="shared" si="5"/>
        <v>0</v>
      </c>
      <c r="J78" s="2">
        <f t="shared" si="6"/>
        <v>0</v>
      </c>
      <c r="K78" s="49">
        <f>IF(C78=0,0,IFERROR(INDEX('Parameter Library'!$O$247:$Q$293,MATCH(A78,'Parameter Library'!$N$247:$N$293,0),$B$25),0))</f>
        <v>0</v>
      </c>
      <c r="L78" s="34">
        <f t="shared" si="7"/>
        <v>0</v>
      </c>
    </row>
    <row r="79" spans="1:12">
      <c r="A79" s="44">
        <f>Baseline!A75</f>
        <v>2071</v>
      </c>
      <c r="B79" s="44">
        <f>Baseline!B75</f>
        <v>44</v>
      </c>
      <c r="C79" s="44">
        <f>Baseline!C75</f>
        <v>0</v>
      </c>
      <c r="D79" s="44">
        <f>Baseline!D75</f>
        <v>0</v>
      </c>
      <c r="E79" s="2">
        <f>IF(C79=1,(1+Baseline!$B$9)^(A79-Baseline!$B$8),0)</f>
        <v>0</v>
      </c>
      <c r="F79" s="34">
        <f t="shared" si="3"/>
        <v>0</v>
      </c>
      <c r="G79" s="45">
        <f>Baseline!F75</f>
        <v>0</v>
      </c>
      <c r="H79" s="34">
        <f t="shared" si="4"/>
        <v>0</v>
      </c>
      <c r="I79" s="34">
        <f t="shared" si="5"/>
        <v>0</v>
      </c>
      <c r="J79" s="2">
        <f t="shared" si="6"/>
        <v>0</v>
      </c>
      <c r="K79" s="49">
        <f>IF(C79=0,0,IFERROR(INDEX('Parameter Library'!$O$247:$Q$293,MATCH(A79,'Parameter Library'!$N$247:$N$293,0),$B$25),0))</f>
        <v>0</v>
      </c>
      <c r="L79" s="34">
        <f t="shared" si="7"/>
        <v>0</v>
      </c>
    </row>
    <row r="80" spans="1:12">
      <c r="A80" s="44">
        <f>Baseline!A76</f>
        <v>2072</v>
      </c>
      <c r="B80" s="44">
        <f>Baseline!B76</f>
        <v>45</v>
      </c>
      <c r="C80" s="44">
        <f>Baseline!C76</f>
        <v>0</v>
      </c>
      <c r="D80" s="44">
        <f>Baseline!D76</f>
        <v>0</v>
      </c>
      <c r="E80" s="2">
        <f>IF(C80=1,(1+Baseline!$B$9)^(A80-Baseline!$B$8),0)</f>
        <v>0</v>
      </c>
      <c r="F80" s="34">
        <f t="shared" si="3"/>
        <v>0</v>
      </c>
      <c r="G80" s="45">
        <f>Baseline!F76</f>
        <v>0</v>
      </c>
      <c r="H80" s="34">
        <f t="shared" si="4"/>
        <v>0</v>
      </c>
      <c r="I80" s="34">
        <f t="shared" si="5"/>
        <v>0</v>
      </c>
      <c r="J80" s="2">
        <f t="shared" si="6"/>
        <v>0</v>
      </c>
      <c r="K80" s="49">
        <f>IF(C80=0,0,IFERROR(INDEX('Parameter Library'!$O$247:$Q$293,MATCH(A80,'Parameter Library'!$N$247:$N$293,0),$B$25),0))</f>
        <v>0</v>
      </c>
      <c r="L80" s="34">
        <f t="shared" si="7"/>
        <v>0</v>
      </c>
    </row>
    <row r="81" spans="1:12">
      <c r="A81" s="44">
        <f>Baseline!A77</f>
        <v>2073</v>
      </c>
      <c r="B81" s="44">
        <f>Baseline!B77</f>
        <v>46</v>
      </c>
      <c r="C81" s="44">
        <f>Baseline!C77</f>
        <v>0</v>
      </c>
      <c r="D81" s="44">
        <f>Baseline!D77</f>
        <v>0</v>
      </c>
      <c r="E81" s="2">
        <f>IF(C81=1,(1+Baseline!$B$9)^(A81-Baseline!$B$8),0)</f>
        <v>0</v>
      </c>
      <c r="F81" s="34">
        <f t="shared" si="3"/>
        <v>0</v>
      </c>
      <c r="G81" s="45">
        <f>Baseline!F77</f>
        <v>0</v>
      </c>
      <c r="H81" s="34">
        <f t="shared" si="4"/>
        <v>0</v>
      </c>
      <c r="I81" s="34">
        <f t="shared" si="5"/>
        <v>0</v>
      </c>
      <c r="J81" s="2">
        <f t="shared" si="6"/>
        <v>0</v>
      </c>
      <c r="K81" s="49">
        <f>IF(C81=0,0,IFERROR(INDEX('Parameter Library'!$O$247:$Q$293,MATCH(A81,'Parameter Library'!$N$247:$N$293,0),$B$25),0))</f>
        <v>0</v>
      </c>
      <c r="L81" s="34">
        <f t="shared" si="7"/>
        <v>0</v>
      </c>
    </row>
    <row r="82" spans="1:12">
      <c r="A82" s="44">
        <f>Baseline!A78</f>
        <v>2074</v>
      </c>
      <c r="B82" s="44">
        <f>Baseline!B78</f>
        <v>47</v>
      </c>
      <c r="C82" s="44">
        <f>Baseline!C78</f>
        <v>0</v>
      </c>
      <c r="D82" s="44">
        <f>Baseline!D78</f>
        <v>0</v>
      </c>
      <c r="E82" s="2">
        <f>IF(C82=1,(1+Baseline!$B$9)^(A82-Baseline!$B$8),0)</f>
        <v>0</v>
      </c>
      <c r="F82" s="34">
        <f t="shared" si="3"/>
        <v>0</v>
      </c>
      <c r="G82" s="45">
        <f>Baseline!F78</f>
        <v>0</v>
      </c>
      <c r="H82" s="34">
        <f t="shared" si="4"/>
        <v>0</v>
      </c>
      <c r="I82" s="34">
        <f t="shared" si="5"/>
        <v>0</v>
      </c>
      <c r="J82" s="2">
        <f t="shared" si="6"/>
        <v>0</v>
      </c>
      <c r="K82" s="49">
        <f>IF(C82=0,0,IFERROR(INDEX('Parameter Library'!$O$247:$Q$293,MATCH(A82,'Parameter Library'!$N$247:$N$293,0),$B$25),0))</f>
        <v>0</v>
      </c>
      <c r="L82" s="34">
        <f t="shared" si="7"/>
        <v>0</v>
      </c>
    </row>
    <row r="83" spans="1:12">
      <c r="A83" s="44">
        <f>Baseline!A79</f>
        <v>2075</v>
      </c>
      <c r="B83" s="44">
        <f>Baseline!B79</f>
        <v>48</v>
      </c>
      <c r="C83" s="44">
        <f>Baseline!C79</f>
        <v>0</v>
      </c>
      <c r="D83" s="44">
        <f>Baseline!D79</f>
        <v>0</v>
      </c>
      <c r="E83" s="2">
        <f>IF(C83=1,(1+Baseline!$B$9)^(A83-Baseline!$B$8),0)</f>
        <v>0</v>
      </c>
      <c r="F83" s="34">
        <f t="shared" si="3"/>
        <v>0</v>
      </c>
      <c r="G83" s="45">
        <f>Baseline!F79</f>
        <v>0</v>
      </c>
      <c r="H83" s="34">
        <f t="shared" si="4"/>
        <v>0</v>
      </c>
      <c r="I83" s="34">
        <f t="shared" si="5"/>
        <v>0</v>
      </c>
      <c r="J83" s="2">
        <f t="shared" si="6"/>
        <v>0</v>
      </c>
      <c r="K83" s="49">
        <f>IF(C83=0,0,IFERROR(INDEX('Parameter Library'!$O$247:$Q$293,MATCH(A83,'Parameter Library'!$N$247:$N$293,0),$B$25),0))</f>
        <v>0</v>
      </c>
      <c r="L83" s="34">
        <f t="shared" si="7"/>
        <v>0</v>
      </c>
    </row>
    <row r="84" spans="1:12">
      <c r="A84" s="44">
        <f>Baseline!A80</f>
        <v>2076</v>
      </c>
      <c r="B84" s="44">
        <f>Baseline!B80</f>
        <v>49</v>
      </c>
      <c r="C84" s="44">
        <f>Baseline!C80</f>
        <v>0</v>
      </c>
      <c r="D84" s="44">
        <f>Baseline!D80</f>
        <v>0</v>
      </c>
      <c r="E84" s="2">
        <f>IF(C84=1,(1+Baseline!$B$9)^(A84-Baseline!$B$8),0)</f>
        <v>0</v>
      </c>
      <c r="F84" s="34">
        <f t="shared" si="3"/>
        <v>0</v>
      </c>
      <c r="G84" s="45">
        <f>Baseline!F80</f>
        <v>0</v>
      </c>
      <c r="H84" s="34">
        <f t="shared" si="4"/>
        <v>0</v>
      </c>
      <c r="I84" s="34">
        <f t="shared" si="5"/>
        <v>0</v>
      </c>
      <c r="J84" s="2">
        <f t="shared" si="6"/>
        <v>0</v>
      </c>
      <c r="K84" s="49">
        <f>IF(C84=0,0,IFERROR(INDEX('Parameter Library'!$O$247:$Q$293,MATCH(A84,'Parameter Library'!$N$247:$N$293,0),$B$25),0))</f>
        <v>0</v>
      </c>
      <c r="L84" s="34">
        <f t="shared" si="7"/>
        <v>0</v>
      </c>
    </row>
    <row r="85" spans="1:12">
      <c r="A85" s="44">
        <f>Baseline!A81</f>
        <v>2077</v>
      </c>
      <c r="B85" s="44">
        <f>Baseline!B81</f>
        <v>50</v>
      </c>
      <c r="C85" s="44">
        <f>Baseline!C81</f>
        <v>0</v>
      </c>
      <c r="D85" s="44">
        <f>Baseline!D81</f>
        <v>0</v>
      </c>
      <c r="E85" s="2">
        <f>IF(C85=1,(1+Baseline!$B$9)^(A85-Baseline!$B$8),0)</f>
        <v>0</v>
      </c>
      <c r="F85" s="34">
        <f t="shared" si="3"/>
        <v>0</v>
      </c>
      <c r="G85" s="45">
        <f>Baseline!F81</f>
        <v>0</v>
      </c>
      <c r="H85" s="34">
        <f t="shared" si="4"/>
        <v>0</v>
      </c>
      <c r="I85" s="34">
        <f t="shared" si="5"/>
        <v>0</v>
      </c>
      <c r="J85" s="2">
        <f t="shared" si="6"/>
        <v>0</v>
      </c>
      <c r="K85" s="49">
        <f>IF(C85=0,0,IFERROR(INDEX('Parameter Library'!$O$247:$Q$293,MATCH(A85,'Parameter Library'!$N$247:$N$293,0),$B$25),0))</f>
        <v>0</v>
      </c>
      <c r="L85" s="34">
        <f t="shared" si="7"/>
        <v>0</v>
      </c>
    </row>
  </sheetData>
  <sheetProtection algorithmName="SHA-512" hashValue="x0viCzXHwVXgpdPDjw2grHI2AUhbFk+8fkorIZXj30aIc5vV0DuhvnwVKcHn7DzTAxPY0ymTCo0JG82yzqdCGw==" saltValue="29WDNtR3t5lDStiYPXH57g==" spinCount="100000" sheet="1" objects="1" scenarios="1"/>
  <mergeCells count="5">
    <mergeCell ref="A1:K1"/>
    <mergeCell ref="A3:K3"/>
    <mergeCell ref="A9:K9"/>
    <mergeCell ref="A18:K18"/>
    <mergeCell ref="A33:K33"/>
  </mergeCells>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84EED-5015-4C01-A603-652C3BD43A4E}">
  <sheetPr codeName="Sheet9">
    <tabColor theme="6" tint="0.79998168889431442"/>
  </sheetPr>
  <dimension ref="A1:K89"/>
  <sheetViews>
    <sheetView zoomScale="70" zoomScaleNormal="70" workbookViewId="0">
      <selection activeCell="F27" sqref="F27"/>
    </sheetView>
  </sheetViews>
  <sheetFormatPr defaultColWidth="8.75" defaultRowHeight="15.75"/>
  <cols>
    <col min="1" max="1" width="27.5" style="2" customWidth="1"/>
    <col min="2" max="2" width="30.875" style="2" customWidth="1"/>
    <col min="3" max="3" width="26.375" style="2" customWidth="1"/>
    <col min="4" max="4" width="22.25" style="2" customWidth="1"/>
    <col min="5" max="5" width="23.875" style="2" customWidth="1"/>
    <col min="6" max="6" width="19.5" style="2" customWidth="1"/>
    <col min="7" max="7" width="22.5" style="2" customWidth="1"/>
    <col min="8" max="8" width="22.125" style="2" customWidth="1"/>
    <col min="9" max="9" width="14.25" style="2" customWidth="1"/>
    <col min="10" max="10" width="18.5" style="2" customWidth="1"/>
    <col min="11" max="11" width="13.5" style="2" customWidth="1"/>
    <col min="12" max="12" width="13.25" style="2" customWidth="1"/>
    <col min="13" max="13" width="17.25" style="2" customWidth="1"/>
    <col min="14" max="16384" width="8.75" style="2"/>
  </cols>
  <sheetData>
    <row r="1" spans="1:11" ht="30" customHeight="1">
      <c r="A1" s="133" t="s">
        <v>1057</v>
      </c>
      <c r="B1" s="133"/>
      <c r="C1" s="133"/>
      <c r="D1" s="133"/>
      <c r="E1" s="133"/>
      <c r="F1" s="133"/>
      <c r="G1" s="133"/>
      <c r="H1" s="133"/>
      <c r="I1" s="133"/>
      <c r="J1" s="133"/>
      <c r="K1" s="133"/>
    </row>
    <row r="3" spans="1:11" ht="22.9" customHeight="1">
      <c r="A3" s="136" t="s">
        <v>931</v>
      </c>
      <c r="B3" s="136"/>
      <c r="C3" s="136"/>
      <c r="D3" s="136"/>
      <c r="E3" s="136"/>
      <c r="F3" s="136"/>
      <c r="G3" s="136"/>
      <c r="H3" s="136"/>
      <c r="I3" s="136"/>
      <c r="J3" s="136"/>
      <c r="K3" s="136"/>
    </row>
    <row r="4" spans="1:11">
      <c r="A4" s="2" t="s">
        <v>932</v>
      </c>
      <c r="B4" s="35">
        <f>SUM(J11:J12)</f>
        <v>0</v>
      </c>
    </row>
    <row r="5" spans="1:11">
      <c r="A5" s="2" t="s">
        <v>933</v>
      </c>
      <c r="B5" s="35">
        <f>IFERROR(INDEX($F$39:$F$89,MATCH(Baseline!$B$8,$A$39:$A$89,0)),0)</f>
        <v>0</v>
      </c>
    </row>
    <row r="6" spans="1:11">
      <c r="A6" s="2" t="s">
        <v>934</v>
      </c>
      <c r="B6" s="35">
        <f>SUM($H$39:$H$89)</f>
        <v>0</v>
      </c>
    </row>
    <row r="9" spans="1:11" ht="22.9" customHeight="1">
      <c r="A9" s="136" t="s">
        <v>1058</v>
      </c>
      <c r="B9" s="136"/>
      <c r="C9" s="136"/>
      <c r="D9" s="136"/>
      <c r="E9" s="136"/>
      <c r="F9" s="136"/>
      <c r="G9" s="136"/>
      <c r="H9" s="136"/>
      <c r="I9" s="136"/>
      <c r="J9" s="136"/>
      <c r="K9" s="136"/>
    </row>
    <row r="10" spans="1:11" ht="31.5">
      <c r="A10" s="24" t="s">
        <v>936</v>
      </c>
      <c r="B10" s="24" t="s">
        <v>937</v>
      </c>
      <c r="C10" s="24" t="s">
        <v>1059</v>
      </c>
      <c r="D10" s="24" t="s">
        <v>1060</v>
      </c>
      <c r="E10" s="24" t="s">
        <v>1061</v>
      </c>
      <c r="F10" s="24" t="s">
        <v>1062</v>
      </c>
      <c r="G10" s="24" t="s">
        <v>1063</v>
      </c>
      <c r="H10" s="24" t="s">
        <v>1064</v>
      </c>
      <c r="I10" s="24" t="s">
        <v>1065</v>
      </c>
      <c r="J10" s="24" t="s">
        <v>1066</v>
      </c>
    </row>
    <row r="11" spans="1:11">
      <c r="A11" s="2" t="s">
        <v>175</v>
      </c>
      <c r="B11" s="50">
        <f>'Scenario Inputs'!$B$13</f>
        <v>0</v>
      </c>
      <c r="C11" s="37">
        <f>$B$22</f>
        <v>0.69900353723742836</v>
      </c>
      <c r="D11" s="37">
        <f>B11/C11</f>
        <v>0</v>
      </c>
      <c r="E11" s="46">
        <f>D11*B24*$B$26</f>
        <v>0</v>
      </c>
      <c r="F11" s="34">
        <f>E11*B27</f>
        <v>0</v>
      </c>
      <c r="G11" s="37">
        <f>D11*B29</f>
        <v>0</v>
      </c>
      <c r="H11" s="37">
        <f>G11/B31</f>
        <v>0</v>
      </c>
      <c r="I11" s="34">
        <f>H11*$B$21*$B$33</f>
        <v>0</v>
      </c>
      <c r="J11" s="34">
        <f>F11+I11</f>
        <v>0</v>
      </c>
    </row>
    <row r="12" spans="1:11">
      <c r="A12" s="2" t="s">
        <v>178</v>
      </c>
      <c r="B12" s="50">
        <f>'Scenario Inputs'!$B$14</f>
        <v>0</v>
      </c>
      <c r="C12" s="37">
        <f>$B$23</f>
        <v>2.5293017881025901</v>
      </c>
      <c r="D12" s="37">
        <f>B12/C12</f>
        <v>0</v>
      </c>
      <c r="E12" s="46">
        <f>D12*B25*$B$26</f>
        <v>0</v>
      </c>
      <c r="F12" s="34">
        <f>E12*B28</f>
        <v>0</v>
      </c>
      <c r="G12" s="37">
        <f>D12*B30</f>
        <v>0</v>
      </c>
      <c r="H12" s="37">
        <f>G12/B32</f>
        <v>0</v>
      </c>
      <c r="I12" s="34">
        <f>H12*$B$21*$B$33</f>
        <v>0</v>
      </c>
      <c r="J12" s="34">
        <f>F12+I12</f>
        <v>0</v>
      </c>
    </row>
    <row r="13" spans="1:11">
      <c r="B13" s="40"/>
      <c r="C13" s="46"/>
      <c r="D13" s="37"/>
      <c r="E13" s="38"/>
      <c r="F13" s="34"/>
    </row>
    <row r="14" spans="1:11">
      <c r="F14" s="34"/>
    </row>
    <row r="17" spans="1:11" ht="22.9" customHeight="1">
      <c r="A17" s="136" t="s">
        <v>946</v>
      </c>
      <c r="B17" s="136"/>
      <c r="C17" s="136"/>
      <c r="D17" s="136"/>
      <c r="E17" s="136"/>
      <c r="F17" s="136"/>
      <c r="G17" s="136"/>
      <c r="H17" s="136"/>
      <c r="I17" s="136"/>
      <c r="J17" s="136"/>
      <c r="K17" s="136"/>
    </row>
    <row r="18" spans="1:11">
      <c r="A18" s="24" t="s">
        <v>947</v>
      </c>
      <c r="B18" s="24" t="s">
        <v>57</v>
      </c>
      <c r="D18" s="24" t="s">
        <v>1067</v>
      </c>
    </row>
    <row r="19" spans="1:11">
      <c r="A19" s="2" t="s">
        <v>148</v>
      </c>
      <c r="B19" s="39">
        <f>MATCH('Scenario Inputs'!$B$7,{"Statewide","Urban","Rural"},0)</f>
        <v>1</v>
      </c>
      <c r="D19" s="42">
        <f>'Parameter Library'!$E$32</f>
        <v>25.67</v>
      </c>
    </row>
    <row r="20" spans="1:11">
      <c r="A20" s="2" t="s">
        <v>1068</v>
      </c>
      <c r="B20" s="42">
        <f>INDEX(D19:D21,B19)</f>
        <v>25.67</v>
      </c>
      <c r="D20" s="42">
        <f>'Parameter Library'!$E$33</f>
        <v>27.658508751059625</v>
      </c>
    </row>
    <row r="21" spans="1:11">
      <c r="A21" s="2" t="s">
        <v>1069</v>
      </c>
      <c r="B21" s="42">
        <f>B20*B34</f>
        <v>205.36</v>
      </c>
      <c r="D21" s="42">
        <f>'Parameter Library'!$E$34</f>
        <v>22.967305695504443</v>
      </c>
    </row>
    <row r="22" spans="1:11">
      <c r="A22" s="2" t="s">
        <v>965</v>
      </c>
      <c r="B22" s="52">
        <f>'Parameter Library'!$E$76</f>
        <v>0.69900353723742836</v>
      </c>
    </row>
    <row r="23" spans="1:11">
      <c r="A23" s="2" t="s">
        <v>967</v>
      </c>
      <c r="B23" s="52">
        <f>'Parameter Library'!$E$77</f>
        <v>2.5293017881025901</v>
      </c>
    </row>
    <row r="24" spans="1:11">
      <c r="A24" s="2" t="s">
        <v>1070</v>
      </c>
      <c r="B24" s="51">
        <f>'Parameter Library'!$E$20</f>
        <v>0.7</v>
      </c>
    </row>
    <row r="25" spans="1:11">
      <c r="A25" s="2" t="s">
        <v>1071</v>
      </c>
      <c r="B25" s="40">
        <f>'Parameter Library'!$E$21</f>
        <v>0.58499999999999996</v>
      </c>
    </row>
    <row r="26" spans="1:11">
      <c r="A26" s="2" t="s">
        <v>1072</v>
      </c>
      <c r="B26" s="40">
        <f>'Parameter Library'!$E$278</f>
        <v>0.89</v>
      </c>
    </row>
    <row r="27" spans="1:11">
      <c r="A27" s="2" t="s">
        <v>1073</v>
      </c>
      <c r="B27" s="42">
        <f>'Parameter Library'!$E$282</f>
        <v>8.24</v>
      </c>
      <c r="D27" s="39"/>
      <c r="E27" s="39"/>
    </row>
    <row r="28" spans="1:11">
      <c r="A28" s="2" t="s">
        <v>1074</v>
      </c>
      <c r="B28" s="42">
        <f>'Parameter Library'!$E$283</f>
        <v>7.34</v>
      </c>
    </row>
    <row r="29" spans="1:11">
      <c r="A29" s="2" t="s">
        <v>1075</v>
      </c>
      <c r="B29" s="40">
        <f>'Parameter Library'!$E$81</f>
        <v>3.775294942857825E-2</v>
      </c>
    </row>
    <row r="30" spans="1:11">
      <c r="A30" s="2" t="s">
        <v>1076</v>
      </c>
      <c r="B30" s="40">
        <f>'Parameter Library'!$E$82</f>
        <v>0.13263153967861324</v>
      </c>
    </row>
    <row r="31" spans="1:11">
      <c r="A31" s="2" t="s">
        <v>1077</v>
      </c>
      <c r="B31" s="47">
        <f>'Parameter Library'!$E$83</f>
        <v>382.48201140838955</v>
      </c>
    </row>
    <row r="32" spans="1:11">
      <c r="A32" s="2" t="s">
        <v>1078</v>
      </c>
      <c r="B32" s="47">
        <f>'Parameter Library'!$E$84</f>
        <v>400.86837195135001</v>
      </c>
    </row>
    <row r="33" spans="1:11">
      <c r="A33" s="2" t="s">
        <v>883</v>
      </c>
      <c r="B33" s="39">
        <f>'Parameter Library'!$E$284</f>
        <v>0.1386</v>
      </c>
    </row>
    <row r="34" spans="1:11">
      <c r="A34" s="2" t="s">
        <v>1079</v>
      </c>
      <c r="B34" s="39">
        <f>'Parameter Library'!$E$24</f>
        <v>8</v>
      </c>
    </row>
    <row r="37" spans="1:11" ht="22.9" customHeight="1">
      <c r="A37" s="136" t="s">
        <v>970</v>
      </c>
      <c r="B37" s="136"/>
      <c r="C37" s="136"/>
      <c r="D37" s="136"/>
      <c r="E37" s="136"/>
      <c r="F37" s="136"/>
      <c r="G37" s="136"/>
      <c r="H37" s="136"/>
      <c r="I37" s="136"/>
      <c r="J37" s="136"/>
      <c r="K37" s="136"/>
    </row>
    <row r="38" spans="1:11">
      <c r="A38" s="24" t="s">
        <v>971</v>
      </c>
      <c r="B38" s="24" t="s">
        <v>972</v>
      </c>
      <c r="C38" s="24" t="s">
        <v>973</v>
      </c>
      <c r="D38" s="24" t="s">
        <v>974</v>
      </c>
      <c r="E38" s="24" t="s">
        <v>273</v>
      </c>
      <c r="F38" s="24" t="s">
        <v>975</v>
      </c>
      <c r="G38" s="24" t="s">
        <v>976</v>
      </c>
      <c r="H38" s="24" t="s">
        <v>977</v>
      </c>
    </row>
    <row r="39" spans="1:11">
      <c r="A39" s="44">
        <f>Baseline!A31</f>
        <v>2027</v>
      </c>
      <c r="B39" s="44">
        <f>Baseline!B31</f>
        <v>0</v>
      </c>
      <c r="C39" s="44">
        <f>Baseline!C31</f>
        <v>1</v>
      </c>
      <c r="D39" s="44">
        <f>Baseline!D31</f>
        <v>0.8</v>
      </c>
      <c r="E39" s="2">
        <f>IF(C39=1,(1+Baseline!$B$9)^(A39-Baseline!$B$8),0)</f>
        <v>1</v>
      </c>
      <c r="F39" s="34">
        <f>$B$4*D39*E39</f>
        <v>0</v>
      </c>
      <c r="G39" s="45">
        <f>Baseline!F31</f>
        <v>1</v>
      </c>
      <c r="H39" s="34">
        <f>F39*G39</f>
        <v>0</v>
      </c>
    </row>
    <row r="40" spans="1:11">
      <c r="A40" s="44">
        <f>Baseline!A32</f>
        <v>2028</v>
      </c>
      <c r="B40" s="44">
        <f>Baseline!B32</f>
        <v>1</v>
      </c>
      <c r="C40" s="44">
        <f>Baseline!C32</f>
        <v>1</v>
      </c>
      <c r="D40" s="44">
        <f>Baseline!D32</f>
        <v>0.9</v>
      </c>
      <c r="E40" s="2">
        <f>IF(C40=1,(1+Baseline!$B$9)^(A40-Baseline!$B$8),0)</f>
        <v>1</v>
      </c>
      <c r="F40" s="34">
        <f t="shared" ref="F40:F89" si="0">$B$4*D40*E40</f>
        <v>0</v>
      </c>
      <c r="G40" s="45">
        <f>Baseline!F32</f>
        <v>0.93457943925233644</v>
      </c>
      <c r="H40" s="34">
        <f t="shared" ref="H40:H89" si="1">F40*G40</f>
        <v>0</v>
      </c>
    </row>
    <row r="41" spans="1:11">
      <c r="A41" s="44">
        <f>Baseline!A33</f>
        <v>2029</v>
      </c>
      <c r="B41" s="44">
        <f>Baseline!B33</f>
        <v>2</v>
      </c>
      <c r="C41" s="44">
        <f>Baseline!C33</f>
        <v>1</v>
      </c>
      <c r="D41" s="44">
        <f>Baseline!D33</f>
        <v>1</v>
      </c>
      <c r="E41" s="2">
        <f>IF(C41=1,(1+Baseline!$B$9)^(A41-Baseline!$B$8),0)</f>
        <v>1</v>
      </c>
      <c r="F41" s="34">
        <f t="shared" si="0"/>
        <v>0</v>
      </c>
      <c r="G41" s="45">
        <f>Baseline!F33</f>
        <v>0.87343872827321156</v>
      </c>
      <c r="H41" s="34">
        <f t="shared" si="1"/>
        <v>0</v>
      </c>
    </row>
    <row r="42" spans="1:11">
      <c r="A42" s="44">
        <f>Baseline!A34</f>
        <v>2030</v>
      </c>
      <c r="B42" s="44">
        <f>Baseline!B34</f>
        <v>3</v>
      </c>
      <c r="C42" s="44">
        <f>Baseline!C34</f>
        <v>1</v>
      </c>
      <c r="D42" s="44">
        <f>Baseline!D34</f>
        <v>1</v>
      </c>
      <c r="E42" s="2">
        <f>IF(C42=1,(1+Baseline!$B$9)^(A42-Baseline!$B$8),0)</f>
        <v>1</v>
      </c>
      <c r="F42" s="34">
        <f t="shared" si="0"/>
        <v>0</v>
      </c>
      <c r="G42" s="45">
        <f>Baseline!F34</f>
        <v>0.81629787689085187</v>
      </c>
      <c r="H42" s="34">
        <f t="shared" si="1"/>
        <v>0</v>
      </c>
    </row>
    <row r="43" spans="1:11">
      <c r="A43" s="44">
        <f>Baseline!A35</f>
        <v>2031</v>
      </c>
      <c r="B43" s="44">
        <f>Baseline!B35</f>
        <v>4</v>
      </c>
      <c r="C43" s="44">
        <f>Baseline!C35</f>
        <v>1</v>
      </c>
      <c r="D43" s="44">
        <f>Baseline!D35</f>
        <v>1</v>
      </c>
      <c r="E43" s="2">
        <f>IF(C43=1,(1+Baseline!$B$9)^(A43-Baseline!$B$8),0)</f>
        <v>1</v>
      </c>
      <c r="F43" s="34">
        <f t="shared" si="0"/>
        <v>0</v>
      </c>
      <c r="G43" s="45">
        <f>Baseline!F35</f>
        <v>0.7628952120475252</v>
      </c>
      <c r="H43" s="34">
        <f t="shared" si="1"/>
        <v>0</v>
      </c>
    </row>
    <row r="44" spans="1:11">
      <c r="A44" s="44">
        <f>Baseline!A36</f>
        <v>2032</v>
      </c>
      <c r="B44" s="44">
        <f>Baseline!B36</f>
        <v>5</v>
      </c>
      <c r="C44" s="44">
        <f>Baseline!C36</f>
        <v>1</v>
      </c>
      <c r="D44" s="44">
        <f>Baseline!D36</f>
        <v>1</v>
      </c>
      <c r="E44" s="2">
        <f>IF(C44=1,(1+Baseline!$B$9)^(A44-Baseline!$B$8),0)</f>
        <v>1</v>
      </c>
      <c r="F44" s="34">
        <f t="shared" si="0"/>
        <v>0</v>
      </c>
      <c r="G44" s="45">
        <f>Baseline!F36</f>
        <v>0.71298617948366838</v>
      </c>
      <c r="H44" s="34">
        <f t="shared" si="1"/>
        <v>0</v>
      </c>
    </row>
    <row r="45" spans="1:11">
      <c r="A45" s="44">
        <f>Baseline!A37</f>
        <v>2033</v>
      </c>
      <c r="B45" s="44">
        <f>Baseline!B37</f>
        <v>6</v>
      </c>
      <c r="C45" s="44">
        <f>Baseline!C37</f>
        <v>1</v>
      </c>
      <c r="D45" s="44">
        <f>Baseline!D37</f>
        <v>1</v>
      </c>
      <c r="E45" s="2">
        <f>IF(C45=1,(1+Baseline!$B$9)^(A45-Baseline!$B$8),0)</f>
        <v>1</v>
      </c>
      <c r="F45" s="34">
        <f t="shared" si="0"/>
        <v>0</v>
      </c>
      <c r="G45" s="45">
        <f>Baseline!F37</f>
        <v>0.66634222381651254</v>
      </c>
      <c r="H45" s="34">
        <f t="shared" si="1"/>
        <v>0</v>
      </c>
    </row>
    <row r="46" spans="1:11">
      <c r="A46" s="44">
        <f>Baseline!A38</f>
        <v>2034</v>
      </c>
      <c r="B46" s="44">
        <f>Baseline!B38</f>
        <v>7</v>
      </c>
      <c r="C46" s="44">
        <f>Baseline!C38</f>
        <v>1</v>
      </c>
      <c r="D46" s="44">
        <f>Baseline!D38</f>
        <v>1</v>
      </c>
      <c r="E46" s="2">
        <f>IF(C46=1,(1+Baseline!$B$9)^(A46-Baseline!$B$8),0)</f>
        <v>1</v>
      </c>
      <c r="F46" s="34">
        <f t="shared" si="0"/>
        <v>0</v>
      </c>
      <c r="G46" s="45">
        <f>Baseline!F38</f>
        <v>0.62274974188459109</v>
      </c>
      <c r="H46" s="34">
        <f t="shared" si="1"/>
        <v>0</v>
      </c>
    </row>
    <row r="47" spans="1:11">
      <c r="A47" s="44">
        <f>Baseline!A39</f>
        <v>2035</v>
      </c>
      <c r="B47" s="44">
        <f>Baseline!B39</f>
        <v>8</v>
      </c>
      <c r="C47" s="44">
        <f>Baseline!C39</f>
        <v>1</v>
      </c>
      <c r="D47" s="44">
        <f>Baseline!D39</f>
        <v>1</v>
      </c>
      <c r="E47" s="2">
        <f>IF(C47=1,(1+Baseline!$B$9)^(A47-Baseline!$B$8),0)</f>
        <v>1</v>
      </c>
      <c r="F47" s="34">
        <f t="shared" si="0"/>
        <v>0</v>
      </c>
      <c r="G47" s="45">
        <f>Baseline!F39</f>
        <v>0.5820091045650384</v>
      </c>
      <c r="H47" s="34">
        <f t="shared" si="1"/>
        <v>0</v>
      </c>
    </row>
    <row r="48" spans="1:11">
      <c r="A48" s="44">
        <f>Baseline!A40</f>
        <v>2036</v>
      </c>
      <c r="B48" s="44">
        <f>Baseline!B40</f>
        <v>9</v>
      </c>
      <c r="C48" s="44">
        <f>Baseline!C40</f>
        <v>1</v>
      </c>
      <c r="D48" s="44">
        <f>Baseline!D40</f>
        <v>1</v>
      </c>
      <c r="E48" s="2">
        <f>IF(C48=1,(1+Baseline!$B$9)^(A48-Baseline!$B$8),0)</f>
        <v>1</v>
      </c>
      <c r="F48" s="34">
        <f t="shared" si="0"/>
        <v>0</v>
      </c>
      <c r="G48" s="45">
        <f>Baseline!F40</f>
        <v>0.54393374258414806</v>
      </c>
      <c r="H48" s="34">
        <f t="shared" si="1"/>
        <v>0</v>
      </c>
    </row>
    <row r="49" spans="1:8">
      <c r="A49" s="44">
        <f>Baseline!A41</f>
        <v>2037</v>
      </c>
      <c r="B49" s="44">
        <f>Baseline!B41</f>
        <v>9</v>
      </c>
      <c r="C49" s="44">
        <f>Baseline!C41</f>
        <v>1</v>
      </c>
      <c r="D49" s="44">
        <f>Baseline!D41</f>
        <v>1</v>
      </c>
      <c r="E49" s="2">
        <f>IF(C49=1,(1+Baseline!$B$9)^(A49-Baseline!$B$8),0)</f>
        <v>1</v>
      </c>
      <c r="F49" s="34">
        <f t="shared" si="0"/>
        <v>0</v>
      </c>
      <c r="G49" s="45">
        <f>Baseline!F41</f>
        <v>0.54393374258414806</v>
      </c>
      <c r="H49" s="34">
        <f t="shared" si="1"/>
        <v>0</v>
      </c>
    </row>
    <row r="50" spans="1:8">
      <c r="A50" s="44">
        <f>Baseline!A42</f>
        <v>2038</v>
      </c>
      <c r="B50" s="44">
        <f>Baseline!B42</f>
        <v>10</v>
      </c>
      <c r="C50" s="44">
        <f>Baseline!C42</f>
        <v>1</v>
      </c>
      <c r="D50" s="44">
        <f>Baseline!D42</f>
        <v>1</v>
      </c>
      <c r="E50" s="2">
        <f>IF(C50=1,(1+Baseline!$B$9)^(A50-Baseline!$B$8),0)</f>
        <v>1</v>
      </c>
      <c r="F50" s="34">
        <f t="shared" si="0"/>
        <v>0</v>
      </c>
      <c r="G50" s="45">
        <f>Baseline!F42</f>
        <v>0.5083492921347178</v>
      </c>
      <c r="H50" s="34">
        <f t="shared" si="1"/>
        <v>0</v>
      </c>
    </row>
    <row r="51" spans="1:8">
      <c r="A51" s="44">
        <f>Baseline!A43</f>
        <v>2039</v>
      </c>
      <c r="B51" s="44">
        <f>Baseline!B43</f>
        <v>11</v>
      </c>
      <c r="C51" s="44">
        <f>Baseline!C43</f>
        <v>1</v>
      </c>
      <c r="D51" s="44">
        <f>Baseline!D43</f>
        <v>1</v>
      </c>
      <c r="E51" s="2">
        <f>IF(C51=1,(1+Baseline!$B$9)^(A51-Baseline!$B$8),0)</f>
        <v>1</v>
      </c>
      <c r="F51" s="34">
        <f t="shared" si="0"/>
        <v>0</v>
      </c>
      <c r="G51" s="45">
        <f>Baseline!F43</f>
        <v>0.47509279638758667</v>
      </c>
      <c r="H51" s="34">
        <f t="shared" si="1"/>
        <v>0</v>
      </c>
    </row>
    <row r="52" spans="1:8">
      <c r="A52" s="44">
        <f>Baseline!A44</f>
        <v>2040</v>
      </c>
      <c r="B52" s="44">
        <f>Baseline!B44</f>
        <v>12</v>
      </c>
      <c r="C52" s="44">
        <f>Baseline!C44</f>
        <v>1</v>
      </c>
      <c r="D52" s="44">
        <f>Baseline!D44</f>
        <v>1</v>
      </c>
      <c r="E52" s="2">
        <f>IF(C52=1,(1+Baseline!$B$9)^(A52-Baseline!$B$8),0)</f>
        <v>1</v>
      </c>
      <c r="F52" s="34">
        <f t="shared" si="0"/>
        <v>0</v>
      </c>
      <c r="G52" s="45">
        <f>Baseline!F44</f>
        <v>0.44401195924073528</v>
      </c>
      <c r="H52" s="34">
        <f t="shared" si="1"/>
        <v>0</v>
      </c>
    </row>
    <row r="53" spans="1:8">
      <c r="A53" s="44">
        <f>Baseline!A45</f>
        <v>2041</v>
      </c>
      <c r="B53" s="44">
        <f>Baseline!B45</f>
        <v>14</v>
      </c>
      <c r="C53" s="44">
        <f>Baseline!C45</f>
        <v>1</v>
      </c>
      <c r="D53" s="44">
        <f>Baseline!D45</f>
        <v>1</v>
      </c>
      <c r="E53" s="2">
        <f>IF(C53=1,(1+Baseline!$B$9)^(A53-Baseline!$B$8),0)</f>
        <v>1</v>
      </c>
      <c r="F53" s="34">
        <f t="shared" si="0"/>
        <v>0</v>
      </c>
      <c r="G53" s="45">
        <f>Baseline!F45</f>
        <v>0.3878172410173249</v>
      </c>
      <c r="H53" s="34">
        <f t="shared" si="1"/>
        <v>0</v>
      </c>
    </row>
    <row r="54" spans="1:8">
      <c r="A54" s="44">
        <f>Baseline!A46</f>
        <v>2042</v>
      </c>
      <c r="B54" s="44">
        <f>Baseline!B46</f>
        <v>15</v>
      </c>
      <c r="C54" s="44">
        <f>Baseline!C46</f>
        <v>1</v>
      </c>
      <c r="D54" s="44">
        <f>Baseline!D46</f>
        <v>1</v>
      </c>
      <c r="E54" s="2">
        <f>IF(C54=1,(1+Baseline!$B$9)^(A54-Baseline!$B$8),0)</f>
        <v>1</v>
      </c>
      <c r="F54" s="34">
        <f t="shared" si="0"/>
        <v>0</v>
      </c>
      <c r="G54" s="45">
        <f>Baseline!F46</f>
        <v>0.36244601964235967</v>
      </c>
      <c r="H54" s="34">
        <f t="shared" si="1"/>
        <v>0</v>
      </c>
    </row>
    <row r="55" spans="1:8">
      <c r="A55" s="44">
        <f>Baseline!A47</f>
        <v>2043</v>
      </c>
      <c r="B55" s="44">
        <f>Baseline!B47</f>
        <v>16</v>
      </c>
      <c r="C55" s="44">
        <f>Baseline!C47</f>
        <v>1</v>
      </c>
      <c r="D55" s="44">
        <f>Baseline!D47</f>
        <v>1</v>
      </c>
      <c r="E55" s="2">
        <f>IF(C55=1,(1+Baseline!$B$9)^(A55-Baseline!$B$8),0)</f>
        <v>1</v>
      </c>
      <c r="F55" s="34">
        <f t="shared" si="0"/>
        <v>0</v>
      </c>
      <c r="G55" s="45">
        <f>Baseline!F47</f>
        <v>0.33873459779659787</v>
      </c>
      <c r="H55" s="34">
        <f t="shared" si="1"/>
        <v>0</v>
      </c>
    </row>
    <row r="56" spans="1:8">
      <c r="A56" s="44">
        <f>Baseline!A48</f>
        <v>2044</v>
      </c>
      <c r="B56" s="44">
        <f>Baseline!B48</f>
        <v>17</v>
      </c>
      <c r="C56" s="44">
        <f>Baseline!C48</f>
        <v>1</v>
      </c>
      <c r="D56" s="44">
        <f>Baseline!D48</f>
        <v>1</v>
      </c>
      <c r="E56" s="2">
        <f>IF(C56=1,(1+Baseline!$B$9)^(A56-Baseline!$B$8),0)</f>
        <v>1</v>
      </c>
      <c r="F56" s="34">
        <f t="shared" si="0"/>
        <v>0</v>
      </c>
      <c r="G56" s="45">
        <f>Baseline!F48</f>
        <v>0.31657439046411018</v>
      </c>
      <c r="H56" s="34">
        <f t="shared" si="1"/>
        <v>0</v>
      </c>
    </row>
    <row r="57" spans="1:8">
      <c r="A57" s="44">
        <f>Baseline!A49</f>
        <v>2045</v>
      </c>
      <c r="B57" s="44">
        <f>Baseline!B49</f>
        <v>18</v>
      </c>
      <c r="C57" s="44">
        <f>Baseline!C49</f>
        <v>1</v>
      </c>
      <c r="D57" s="44">
        <f>Baseline!D49</f>
        <v>1</v>
      </c>
      <c r="E57" s="2">
        <f>IF(C57=1,(1+Baseline!$B$9)^(A57-Baseline!$B$8),0)</f>
        <v>1</v>
      </c>
      <c r="F57" s="34">
        <f t="shared" si="0"/>
        <v>0</v>
      </c>
      <c r="G57" s="45">
        <f>Baseline!F49</f>
        <v>0.29586391632159825</v>
      </c>
      <c r="H57" s="34">
        <f t="shared" si="1"/>
        <v>0</v>
      </c>
    </row>
    <row r="58" spans="1:8">
      <c r="A58" s="44">
        <f>Baseline!A50</f>
        <v>2046</v>
      </c>
      <c r="B58" s="44">
        <f>Baseline!B50</f>
        <v>19</v>
      </c>
      <c r="C58" s="44">
        <f>Baseline!C50</f>
        <v>1</v>
      </c>
      <c r="D58" s="44">
        <f>Baseline!D50</f>
        <v>1</v>
      </c>
      <c r="E58" s="2">
        <f>IF(C58=1,(1+Baseline!$B$9)^(A58-Baseline!$B$8),0)</f>
        <v>1</v>
      </c>
      <c r="F58" s="34">
        <f t="shared" si="0"/>
        <v>0</v>
      </c>
      <c r="G58" s="45">
        <f>Baseline!F50</f>
        <v>0.27650833301083949</v>
      </c>
      <c r="H58" s="34">
        <f t="shared" si="1"/>
        <v>0</v>
      </c>
    </row>
    <row r="59" spans="1:8">
      <c r="A59" s="44">
        <f>Baseline!A51</f>
        <v>2047</v>
      </c>
      <c r="B59" s="44">
        <f>Baseline!B51</f>
        <v>20</v>
      </c>
      <c r="C59" s="44">
        <f>Baseline!C51</f>
        <v>1</v>
      </c>
      <c r="D59" s="44">
        <f>Baseline!D51</f>
        <v>1</v>
      </c>
      <c r="E59" s="2">
        <f>IF(C59=1,(1+Baseline!$B$9)^(A59-Baseline!$B$8),0)</f>
        <v>1</v>
      </c>
      <c r="F59" s="34">
        <f t="shared" si="0"/>
        <v>0</v>
      </c>
      <c r="G59" s="45">
        <f>Baseline!F51</f>
        <v>0.2584190028138687</v>
      </c>
      <c r="H59" s="34">
        <f t="shared" si="1"/>
        <v>0</v>
      </c>
    </row>
    <row r="60" spans="1:8">
      <c r="A60" s="44">
        <f>Baseline!A52</f>
        <v>2048</v>
      </c>
      <c r="B60" s="44">
        <f>Baseline!B52</f>
        <v>21</v>
      </c>
      <c r="C60" s="44">
        <f>Baseline!C52</f>
        <v>1</v>
      </c>
      <c r="D60" s="44">
        <f>Baseline!D52</f>
        <v>1</v>
      </c>
      <c r="E60" s="2">
        <f>IF(C60=1,(1+Baseline!$B$9)^(A60-Baseline!$B$8),0)</f>
        <v>1</v>
      </c>
      <c r="F60" s="34">
        <f t="shared" si="0"/>
        <v>0</v>
      </c>
      <c r="G60" s="45">
        <f>Baseline!F52</f>
        <v>0.24151308674193336</v>
      </c>
      <c r="H60" s="34">
        <f t="shared" si="1"/>
        <v>0</v>
      </c>
    </row>
    <row r="61" spans="1:8">
      <c r="A61" s="44">
        <f>Baseline!A53</f>
        <v>2049</v>
      </c>
      <c r="B61" s="44">
        <f>Baseline!B53</f>
        <v>22</v>
      </c>
      <c r="C61" s="44">
        <f>Baseline!C53</f>
        <v>1</v>
      </c>
      <c r="D61" s="44">
        <f>Baseline!D53</f>
        <v>1</v>
      </c>
      <c r="E61" s="2">
        <f>IF(C61=1,(1+Baseline!$B$9)^(A61-Baseline!$B$8),0)</f>
        <v>1</v>
      </c>
      <c r="F61" s="34">
        <f t="shared" si="0"/>
        <v>0</v>
      </c>
      <c r="G61" s="45">
        <f>Baseline!F53</f>
        <v>0.22571316517937698</v>
      </c>
      <c r="H61" s="34">
        <f t="shared" si="1"/>
        <v>0</v>
      </c>
    </row>
    <row r="62" spans="1:8">
      <c r="A62" s="44">
        <f>Baseline!A54</f>
        <v>2050</v>
      </c>
      <c r="B62" s="44">
        <f>Baseline!B54</f>
        <v>23</v>
      </c>
      <c r="C62" s="44">
        <f>Baseline!C54</f>
        <v>1</v>
      </c>
      <c r="D62" s="44">
        <f>Baseline!D54</f>
        <v>1</v>
      </c>
      <c r="E62" s="2">
        <f>IF(C62=1,(1+Baseline!$B$9)^(A62-Baseline!$B$8),0)</f>
        <v>1</v>
      </c>
      <c r="F62" s="34">
        <f t="shared" si="0"/>
        <v>0</v>
      </c>
      <c r="G62" s="45">
        <f>Baseline!F54</f>
        <v>0.21094688334521211</v>
      </c>
      <c r="H62" s="34">
        <f t="shared" si="1"/>
        <v>0</v>
      </c>
    </row>
    <row r="63" spans="1:8">
      <c r="A63" s="44">
        <f>Baseline!A55</f>
        <v>2051</v>
      </c>
      <c r="B63" s="44">
        <f>Baseline!B55</f>
        <v>24</v>
      </c>
      <c r="C63" s="44">
        <f>Baseline!C55</f>
        <v>1</v>
      </c>
      <c r="D63" s="44">
        <f>Baseline!D55</f>
        <v>1</v>
      </c>
      <c r="E63" s="2">
        <f>IF(C63=1,(1+Baseline!$B$9)^(A63-Baseline!$B$8),0)</f>
        <v>1</v>
      </c>
      <c r="F63" s="34">
        <f t="shared" si="0"/>
        <v>0</v>
      </c>
      <c r="G63" s="45">
        <f>Baseline!F55</f>
        <v>0.19714661994879637</v>
      </c>
      <c r="H63" s="34">
        <f t="shared" si="1"/>
        <v>0</v>
      </c>
    </row>
    <row r="64" spans="1:8">
      <c r="A64" s="44">
        <f>Baseline!A56</f>
        <v>2052</v>
      </c>
      <c r="B64" s="44">
        <f>Baseline!B56</f>
        <v>25</v>
      </c>
      <c r="C64" s="44">
        <f>Baseline!C56</f>
        <v>1</v>
      </c>
      <c r="D64" s="44">
        <f>Baseline!D56</f>
        <v>1</v>
      </c>
      <c r="E64" s="2">
        <f>IF(C64=1,(1+Baseline!$B$9)^(A64-Baseline!$B$8),0)</f>
        <v>1</v>
      </c>
      <c r="F64" s="34">
        <f t="shared" si="0"/>
        <v>0</v>
      </c>
      <c r="G64" s="45">
        <f>Baseline!F56</f>
        <v>0.18424917752223957</v>
      </c>
      <c r="H64" s="34">
        <f t="shared" si="1"/>
        <v>0</v>
      </c>
    </row>
    <row r="65" spans="1:8">
      <c r="A65" s="44">
        <f>Baseline!A57</f>
        <v>2053</v>
      </c>
      <c r="B65" s="44">
        <f>Baseline!B57</f>
        <v>26</v>
      </c>
      <c r="C65" s="44">
        <f>Baseline!C57</f>
        <v>1</v>
      </c>
      <c r="D65" s="44">
        <f>Baseline!D57</f>
        <v>1</v>
      </c>
      <c r="E65" s="2">
        <f>IF(C65=1,(1+Baseline!$B$9)^(A65-Baseline!$B$8),0)</f>
        <v>1</v>
      </c>
      <c r="F65" s="34">
        <f t="shared" si="0"/>
        <v>0</v>
      </c>
      <c r="G65" s="45">
        <f>Baseline!F57</f>
        <v>0.17219549301143888</v>
      </c>
      <c r="H65" s="34">
        <f t="shared" si="1"/>
        <v>0</v>
      </c>
    </row>
    <row r="66" spans="1:8">
      <c r="A66" s="44">
        <f>Baseline!A58</f>
        <v>2054</v>
      </c>
      <c r="B66" s="44">
        <f>Baseline!B58</f>
        <v>27</v>
      </c>
      <c r="C66" s="44">
        <f>Baseline!C58</f>
        <v>1</v>
      </c>
      <c r="D66" s="44">
        <f>Baseline!D58</f>
        <v>1</v>
      </c>
      <c r="E66" s="2">
        <f>IF(C66=1,(1+Baseline!$B$9)^(A66-Baseline!$B$8),0)</f>
        <v>1</v>
      </c>
      <c r="F66" s="34">
        <f t="shared" si="0"/>
        <v>0</v>
      </c>
      <c r="G66" s="45">
        <f>Baseline!F58</f>
        <v>0.16093036730041013</v>
      </c>
      <c r="H66" s="34">
        <f t="shared" si="1"/>
        <v>0</v>
      </c>
    </row>
    <row r="67" spans="1:8">
      <c r="A67" s="44">
        <f>Baseline!A59</f>
        <v>2055</v>
      </c>
      <c r="B67" s="44">
        <f>Baseline!B59</f>
        <v>28</v>
      </c>
      <c r="C67" s="44">
        <f>Baseline!C59</f>
        <v>1</v>
      </c>
      <c r="D67" s="44">
        <f>Baseline!D59</f>
        <v>1</v>
      </c>
      <c r="E67" s="2">
        <f>IF(C67=1,(1+Baseline!$B$9)^(A67-Baseline!$B$8),0)</f>
        <v>1</v>
      </c>
      <c r="F67" s="34">
        <f t="shared" si="0"/>
        <v>0</v>
      </c>
      <c r="G67" s="45">
        <f>Baseline!F59</f>
        <v>0.15040221243028987</v>
      </c>
      <c r="H67" s="34">
        <f t="shared" si="1"/>
        <v>0</v>
      </c>
    </row>
    <row r="68" spans="1:8">
      <c r="A68" s="44">
        <f>Baseline!A60</f>
        <v>2056</v>
      </c>
      <c r="B68" s="44">
        <f>Baseline!B60</f>
        <v>29</v>
      </c>
      <c r="C68" s="44">
        <f>Baseline!C60</f>
        <v>1</v>
      </c>
      <c r="D68" s="44">
        <f>Baseline!D60</f>
        <v>1</v>
      </c>
      <c r="E68" s="2">
        <f>IF(C68=1,(1+Baseline!$B$9)^(A68-Baseline!$B$8),0)</f>
        <v>1</v>
      </c>
      <c r="F68" s="34">
        <f t="shared" si="0"/>
        <v>0</v>
      </c>
      <c r="G68" s="45">
        <f>Baseline!F60</f>
        <v>0.1405628153554111</v>
      </c>
      <c r="H68" s="34">
        <f t="shared" si="1"/>
        <v>0</v>
      </c>
    </row>
    <row r="69" spans="1:8">
      <c r="A69" s="44">
        <f>Baseline!A61</f>
        <v>2057</v>
      </c>
      <c r="B69" s="44">
        <f>Baseline!B61</f>
        <v>30</v>
      </c>
      <c r="C69" s="44">
        <f>Baseline!C61</f>
        <v>0</v>
      </c>
      <c r="D69" s="44">
        <f>Baseline!D61</f>
        <v>0</v>
      </c>
      <c r="E69" s="2">
        <f>IF(C69=1,(1+Baseline!$B$9)^(A69-Baseline!$B$8),0)</f>
        <v>0</v>
      </c>
      <c r="F69" s="34">
        <f t="shared" si="0"/>
        <v>0</v>
      </c>
      <c r="G69" s="45">
        <f>Baseline!F61</f>
        <v>0</v>
      </c>
      <c r="H69" s="34">
        <f t="shared" si="1"/>
        <v>0</v>
      </c>
    </row>
    <row r="70" spans="1:8">
      <c r="A70" s="44">
        <f>Baseline!A62</f>
        <v>2058</v>
      </c>
      <c r="B70" s="44">
        <f>Baseline!B62</f>
        <v>31</v>
      </c>
      <c r="C70" s="44">
        <f>Baseline!C62</f>
        <v>0</v>
      </c>
      <c r="D70" s="44">
        <f>Baseline!D62</f>
        <v>0</v>
      </c>
      <c r="E70" s="2">
        <f>IF(C70=1,(1+Baseline!$B$9)^(A70-Baseline!$B$8),0)</f>
        <v>0</v>
      </c>
      <c r="F70" s="34">
        <f t="shared" si="0"/>
        <v>0</v>
      </c>
      <c r="G70" s="45">
        <f>Baseline!F62</f>
        <v>0</v>
      </c>
      <c r="H70" s="34">
        <f t="shared" si="1"/>
        <v>0</v>
      </c>
    </row>
    <row r="71" spans="1:8">
      <c r="A71" s="44">
        <f>Baseline!A63</f>
        <v>2059</v>
      </c>
      <c r="B71" s="44">
        <f>Baseline!B63</f>
        <v>32</v>
      </c>
      <c r="C71" s="44">
        <f>Baseline!C63</f>
        <v>0</v>
      </c>
      <c r="D71" s="44">
        <f>Baseline!D63</f>
        <v>0</v>
      </c>
      <c r="E71" s="2">
        <f>IF(C71=1,(1+Baseline!$B$9)^(A71-Baseline!$B$8),0)</f>
        <v>0</v>
      </c>
      <c r="F71" s="34">
        <f t="shared" si="0"/>
        <v>0</v>
      </c>
      <c r="G71" s="45">
        <f>Baseline!F63</f>
        <v>0</v>
      </c>
      <c r="H71" s="34">
        <f t="shared" si="1"/>
        <v>0</v>
      </c>
    </row>
    <row r="72" spans="1:8">
      <c r="A72" s="44">
        <f>Baseline!A64</f>
        <v>2060</v>
      </c>
      <c r="B72" s="44">
        <f>Baseline!B64</f>
        <v>33</v>
      </c>
      <c r="C72" s="44">
        <f>Baseline!C64</f>
        <v>0</v>
      </c>
      <c r="D72" s="44">
        <f>Baseline!D64</f>
        <v>0</v>
      </c>
      <c r="E72" s="2">
        <f>IF(C72=1,(1+Baseline!$B$9)^(A72-Baseline!$B$8),0)</f>
        <v>0</v>
      </c>
      <c r="F72" s="34">
        <f t="shared" si="0"/>
        <v>0</v>
      </c>
      <c r="G72" s="45">
        <f>Baseline!F64</f>
        <v>0</v>
      </c>
      <c r="H72" s="34">
        <f t="shared" si="1"/>
        <v>0</v>
      </c>
    </row>
    <row r="73" spans="1:8">
      <c r="A73" s="44">
        <f>Baseline!A65</f>
        <v>2061</v>
      </c>
      <c r="B73" s="44">
        <f>Baseline!B65</f>
        <v>34</v>
      </c>
      <c r="C73" s="44">
        <f>Baseline!C65</f>
        <v>0</v>
      </c>
      <c r="D73" s="44">
        <f>Baseline!D65</f>
        <v>0</v>
      </c>
      <c r="E73" s="2">
        <f>IF(C73=1,(1+Baseline!$B$9)^(A73-Baseline!$B$8),0)</f>
        <v>0</v>
      </c>
      <c r="F73" s="34">
        <f t="shared" si="0"/>
        <v>0</v>
      </c>
      <c r="G73" s="45">
        <f>Baseline!F65</f>
        <v>0</v>
      </c>
      <c r="H73" s="34">
        <f t="shared" si="1"/>
        <v>0</v>
      </c>
    </row>
    <row r="74" spans="1:8">
      <c r="A74" s="44">
        <f>Baseline!A66</f>
        <v>2062</v>
      </c>
      <c r="B74" s="44">
        <f>Baseline!B66</f>
        <v>35</v>
      </c>
      <c r="C74" s="44">
        <f>Baseline!C66</f>
        <v>0</v>
      </c>
      <c r="D74" s="44">
        <f>Baseline!D66</f>
        <v>0</v>
      </c>
      <c r="E74" s="2">
        <f>IF(C74=1,(1+Baseline!$B$9)^(A74-Baseline!$B$8),0)</f>
        <v>0</v>
      </c>
      <c r="F74" s="34">
        <f t="shared" si="0"/>
        <v>0</v>
      </c>
      <c r="G74" s="45">
        <f>Baseline!F66</f>
        <v>0</v>
      </c>
      <c r="H74" s="34">
        <f t="shared" si="1"/>
        <v>0</v>
      </c>
    </row>
    <row r="75" spans="1:8">
      <c r="A75" s="44">
        <f>Baseline!A67</f>
        <v>2063</v>
      </c>
      <c r="B75" s="44">
        <f>Baseline!B67</f>
        <v>36</v>
      </c>
      <c r="C75" s="44">
        <f>Baseline!C67</f>
        <v>0</v>
      </c>
      <c r="D75" s="44">
        <f>Baseline!D67</f>
        <v>0</v>
      </c>
      <c r="E75" s="2">
        <f>IF(C75=1,(1+Baseline!$B$9)^(A75-Baseline!$B$8),0)</f>
        <v>0</v>
      </c>
      <c r="F75" s="34">
        <f t="shared" si="0"/>
        <v>0</v>
      </c>
      <c r="G75" s="45">
        <f>Baseline!F67</f>
        <v>0</v>
      </c>
      <c r="H75" s="34">
        <f t="shared" si="1"/>
        <v>0</v>
      </c>
    </row>
    <row r="76" spans="1:8">
      <c r="A76" s="44">
        <f>Baseline!A68</f>
        <v>2064</v>
      </c>
      <c r="B76" s="44">
        <f>Baseline!B68</f>
        <v>37</v>
      </c>
      <c r="C76" s="44">
        <f>Baseline!C68</f>
        <v>0</v>
      </c>
      <c r="D76" s="44">
        <f>Baseline!D68</f>
        <v>0</v>
      </c>
      <c r="E76" s="2">
        <f>IF(C76=1,(1+Baseline!$B$9)^(A76-Baseline!$B$8),0)</f>
        <v>0</v>
      </c>
      <c r="F76" s="34">
        <f t="shared" si="0"/>
        <v>0</v>
      </c>
      <c r="G76" s="45">
        <f>Baseline!F68</f>
        <v>0</v>
      </c>
      <c r="H76" s="34">
        <f t="shared" si="1"/>
        <v>0</v>
      </c>
    </row>
    <row r="77" spans="1:8">
      <c r="A77" s="44">
        <f>Baseline!A69</f>
        <v>2065</v>
      </c>
      <c r="B77" s="44">
        <f>Baseline!B69</f>
        <v>38</v>
      </c>
      <c r="C77" s="44">
        <f>Baseline!C69</f>
        <v>0</v>
      </c>
      <c r="D77" s="44">
        <f>Baseline!D69</f>
        <v>0</v>
      </c>
      <c r="E77" s="2">
        <f>IF(C77=1,(1+Baseline!$B$9)^(A77-Baseline!$B$8),0)</f>
        <v>0</v>
      </c>
      <c r="F77" s="34">
        <f t="shared" si="0"/>
        <v>0</v>
      </c>
      <c r="G77" s="45">
        <f>Baseline!F69</f>
        <v>0</v>
      </c>
      <c r="H77" s="34">
        <f t="shared" si="1"/>
        <v>0</v>
      </c>
    </row>
    <row r="78" spans="1:8">
      <c r="A78" s="44">
        <f>Baseline!A70</f>
        <v>2066</v>
      </c>
      <c r="B78" s="44">
        <f>Baseline!B70</f>
        <v>39</v>
      </c>
      <c r="C78" s="44">
        <f>Baseline!C70</f>
        <v>0</v>
      </c>
      <c r="D78" s="44">
        <f>Baseline!D70</f>
        <v>0</v>
      </c>
      <c r="E78" s="2">
        <f>IF(C78=1,(1+Baseline!$B$9)^(A78-Baseline!$B$8),0)</f>
        <v>0</v>
      </c>
      <c r="F78" s="34">
        <f t="shared" si="0"/>
        <v>0</v>
      </c>
      <c r="G78" s="45">
        <f>Baseline!F70</f>
        <v>0</v>
      </c>
      <c r="H78" s="34">
        <f t="shared" si="1"/>
        <v>0</v>
      </c>
    </row>
    <row r="79" spans="1:8">
      <c r="A79" s="44">
        <f>Baseline!A71</f>
        <v>2067</v>
      </c>
      <c r="B79" s="44">
        <f>Baseline!B71</f>
        <v>40</v>
      </c>
      <c r="C79" s="44">
        <f>Baseline!C71</f>
        <v>0</v>
      </c>
      <c r="D79" s="44">
        <f>Baseline!D71</f>
        <v>0</v>
      </c>
      <c r="E79" s="2">
        <f>IF(C79=1,(1+Baseline!$B$9)^(A79-Baseline!$B$8),0)</f>
        <v>0</v>
      </c>
      <c r="F79" s="34">
        <f t="shared" si="0"/>
        <v>0</v>
      </c>
      <c r="G79" s="45">
        <f>Baseline!F71</f>
        <v>0</v>
      </c>
      <c r="H79" s="34">
        <f t="shared" si="1"/>
        <v>0</v>
      </c>
    </row>
    <row r="80" spans="1:8">
      <c r="A80" s="44">
        <f>Baseline!A72</f>
        <v>2068</v>
      </c>
      <c r="B80" s="44">
        <f>Baseline!B72</f>
        <v>41</v>
      </c>
      <c r="C80" s="44">
        <f>Baseline!C72</f>
        <v>0</v>
      </c>
      <c r="D80" s="44">
        <f>Baseline!D72</f>
        <v>0</v>
      </c>
      <c r="E80" s="2">
        <f>IF(C80=1,(1+Baseline!$B$9)^(A80-Baseline!$B$8),0)</f>
        <v>0</v>
      </c>
      <c r="F80" s="34">
        <f t="shared" si="0"/>
        <v>0</v>
      </c>
      <c r="G80" s="45">
        <f>Baseline!F72</f>
        <v>0</v>
      </c>
      <c r="H80" s="34">
        <f t="shared" si="1"/>
        <v>0</v>
      </c>
    </row>
    <row r="81" spans="1:8">
      <c r="A81" s="44">
        <f>Baseline!A73</f>
        <v>2069</v>
      </c>
      <c r="B81" s="44">
        <f>Baseline!B73</f>
        <v>42</v>
      </c>
      <c r="C81" s="44">
        <f>Baseline!C73</f>
        <v>0</v>
      </c>
      <c r="D81" s="44">
        <f>Baseline!D73</f>
        <v>0</v>
      </c>
      <c r="E81" s="2">
        <f>IF(C81=1,(1+Baseline!$B$9)^(A81-Baseline!$B$8),0)</f>
        <v>0</v>
      </c>
      <c r="F81" s="34">
        <f t="shared" si="0"/>
        <v>0</v>
      </c>
      <c r="G81" s="45">
        <f>Baseline!F73</f>
        <v>0</v>
      </c>
      <c r="H81" s="34">
        <f t="shared" si="1"/>
        <v>0</v>
      </c>
    </row>
    <row r="82" spans="1:8">
      <c r="A82" s="44">
        <f>Baseline!A74</f>
        <v>2070</v>
      </c>
      <c r="B82" s="44">
        <f>Baseline!B74</f>
        <v>43</v>
      </c>
      <c r="C82" s="44">
        <f>Baseline!C74</f>
        <v>0</v>
      </c>
      <c r="D82" s="44">
        <f>Baseline!D74</f>
        <v>0</v>
      </c>
      <c r="E82" s="2">
        <f>IF(C82=1,(1+Baseline!$B$9)^(A82-Baseline!$B$8),0)</f>
        <v>0</v>
      </c>
      <c r="F82" s="34">
        <f t="shared" si="0"/>
        <v>0</v>
      </c>
      <c r="G82" s="45">
        <f>Baseline!F74</f>
        <v>0</v>
      </c>
      <c r="H82" s="34">
        <f t="shared" si="1"/>
        <v>0</v>
      </c>
    </row>
    <row r="83" spans="1:8">
      <c r="A83" s="44">
        <f>Baseline!A75</f>
        <v>2071</v>
      </c>
      <c r="B83" s="44">
        <f>Baseline!B75</f>
        <v>44</v>
      </c>
      <c r="C83" s="44">
        <f>Baseline!C75</f>
        <v>0</v>
      </c>
      <c r="D83" s="44">
        <f>Baseline!D75</f>
        <v>0</v>
      </c>
      <c r="E83" s="2">
        <f>IF(C83=1,(1+Baseline!$B$9)^(A83-Baseline!$B$8),0)</f>
        <v>0</v>
      </c>
      <c r="F83" s="34">
        <f t="shared" si="0"/>
        <v>0</v>
      </c>
      <c r="G83" s="45">
        <f>Baseline!F75</f>
        <v>0</v>
      </c>
      <c r="H83" s="34">
        <f t="shared" si="1"/>
        <v>0</v>
      </c>
    </row>
    <row r="84" spans="1:8">
      <c r="A84" s="44">
        <f>Baseline!A76</f>
        <v>2072</v>
      </c>
      <c r="B84" s="44">
        <f>Baseline!B76</f>
        <v>45</v>
      </c>
      <c r="C84" s="44">
        <f>Baseline!C76</f>
        <v>0</v>
      </c>
      <c r="D84" s="44">
        <f>Baseline!D76</f>
        <v>0</v>
      </c>
      <c r="E84" s="2">
        <f>IF(C84=1,(1+Baseline!$B$9)^(A84-Baseline!$B$8),0)</f>
        <v>0</v>
      </c>
      <c r="F84" s="34">
        <f t="shared" si="0"/>
        <v>0</v>
      </c>
      <c r="G84" s="45">
        <f>Baseline!F76</f>
        <v>0</v>
      </c>
      <c r="H84" s="34">
        <f t="shared" si="1"/>
        <v>0</v>
      </c>
    </row>
    <row r="85" spans="1:8">
      <c r="A85" s="44">
        <f>Baseline!A77</f>
        <v>2073</v>
      </c>
      <c r="B85" s="44">
        <f>Baseline!B77</f>
        <v>46</v>
      </c>
      <c r="C85" s="44">
        <f>Baseline!C77</f>
        <v>0</v>
      </c>
      <c r="D85" s="44">
        <f>Baseline!D77</f>
        <v>0</v>
      </c>
      <c r="E85" s="2">
        <f>IF(C85=1,(1+Baseline!$B$9)^(A85-Baseline!$B$8),0)</f>
        <v>0</v>
      </c>
      <c r="F85" s="34">
        <f t="shared" si="0"/>
        <v>0</v>
      </c>
      <c r="G85" s="45">
        <f>Baseline!F77</f>
        <v>0</v>
      </c>
      <c r="H85" s="34">
        <f t="shared" si="1"/>
        <v>0</v>
      </c>
    </row>
    <row r="86" spans="1:8">
      <c r="A86" s="44">
        <f>Baseline!A78</f>
        <v>2074</v>
      </c>
      <c r="B86" s="44">
        <f>Baseline!B78</f>
        <v>47</v>
      </c>
      <c r="C86" s="44">
        <f>Baseline!C78</f>
        <v>0</v>
      </c>
      <c r="D86" s="44">
        <f>Baseline!D78</f>
        <v>0</v>
      </c>
      <c r="E86" s="2">
        <f>IF(C86=1,(1+Baseline!$B$9)^(A86-Baseline!$B$8),0)</f>
        <v>0</v>
      </c>
      <c r="F86" s="34">
        <f t="shared" si="0"/>
        <v>0</v>
      </c>
      <c r="G86" s="45">
        <f>Baseline!F78</f>
        <v>0</v>
      </c>
      <c r="H86" s="34">
        <f t="shared" si="1"/>
        <v>0</v>
      </c>
    </row>
    <row r="87" spans="1:8">
      <c r="A87" s="44">
        <f>Baseline!A79</f>
        <v>2075</v>
      </c>
      <c r="B87" s="44">
        <f>Baseline!B79</f>
        <v>48</v>
      </c>
      <c r="C87" s="44">
        <f>Baseline!C79</f>
        <v>0</v>
      </c>
      <c r="D87" s="44">
        <f>Baseline!D79</f>
        <v>0</v>
      </c>
      <c r="E87" s="2">
        <f>IF(C87=1,(1+Baseline!$B$9)^(A87-Baseline!$B$8),0)</f>
        <v>0</v>
      </c>
      <c r="F87" s="34">
        <f t="shared" si="0"/>
        <v>0</v>
      </c>
      <c r="G87" s="45">
        <f>Baseline!F79</f>
        <v>0</v>
      </c>
      <c r="H87" s="34">
        <f t="shared" si="1"/>
        <v>0</v>
      </c>
    </row>
    <row r="88" spans="1:8">
      <c r="A88" s="44">
        <f>Baseline!A80</f>
        <v>2076</v>
      </c>
      <c r="B88" s="44">
        <f>Baseline!B80</f>
        <v>49</v>
      </c>
      <c r="C88" s="44">
        <f>Baseline!C80</f>
        <v>0</v>
      </c>
      <c r="D88" s="44">
        <f>Baseline!D80</f>
        <v>0</v>
      </c>
      <c r="E88" s="2">
        <f>IF(C88=1,(1+Baseline!$B$9)^(A88-Baseline!$B$8),0)</f>
        <v>0</v>
      </c>
      <c r="F88" s="34">
        <f t="shared" si="0"/>
        <v>0</v>
      </c>
      <c r="G88" s="45">
        <f>Baseline!F80</f>
        <v>0</v>
      </c>
      <c r="H88" s="34">
        <f t="shared" si="1"/>
        <v>0</v>
      </c>
    </row>
    <row r="89" spans="1:8">
      <c r="A89" s="44">
        <f>Baseline!A81</f>
        <v>2077</v>
      </c>
      <c r="B89" s="44">
        <f>Baseline!B81</f>
        <v>50</v>
      </c>
      <c r="C89" s="44">
        <f>Baseline!C81</f>
        <v>0</v>
      </c>
      <c r="D89" s="44">
        <f>Baseline!D81</f>
        <v>0</v>
      </c>
      <c r="E89" s="2">
        <f>IF(C89=1,(1+Baseline!$B$9)^(A89-Baseline!$B$8),0)</f>
        <v>0</v>
      </c>
      <c r="F89" s="34">
        <f t="shared" si="0"/>
        <v>0</v>
      </c>
      <c r="G89" s="45">
        <f>Baseline!F81</f>
        <v>0</v>
      </c>
      <c r="H89" s="34">
        <f t="shared" si="1"/>
        <v>0</v>
      </c>
    </row>
  </sheetData>
  <sheetProtection algorithmName="SHA-512" hashValue="7KteYDXCP1YUOpvcmV/aCl6EL/BJH+VI09Cb5R7AC+y7oQfQo7oqaiCVbKErkBskGYXelnCq0lVbUJeJ2F0Zzg==" saltValue="rIWv+4PCbslvuK77UG58vg==" spinCount="100000" sheet="1" objects="1" scenarios="1"/>
  <mergeCells count="5">
    <mergeCell ref="A3:K3"/>
    <mergeCell ref="A9:K9"/>
    <mergeCell ref="A17:K17"/>
    <mergeCell ref="A37:K37"/>
    <mergeCell ref="A1:K1"/>
  </mergeCells>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D6152-5F9E-49A9-A20E-41B7BF95912D}">
  <sheetPr codeName="Sheet12">
    <tabColor theme="6" tint="0.79998168889431442"/>
  </sheetPr>
  <dimension ref="A1:K79"/>
  <sheetViews>
    <sheetView zoomScale="70" zoomScaleNormal="70" workbookViewId="0">
      <selection activeCell="A27" sqref="A27:K27"/>
    </sheetView>
  </sheetViews>
  <sheetFormatPr defaultColWidth="8.75" defaultRowHeight="15.75"/>
  <cols>
    <col min="1" max="1" width="27.5" style="2" customWidth="1"/>
    <col min="2" max="2" width="30.875" style="2" customWidth="1"/>
    <col min="3" max="3" width="26.375" style="2" customWidth="1"/>
    <col min="4" max="4" width="22.25" style="2" customWidth="1"/>
    <col min="5" max="5" width="27" style="2" customWidth="1"/>
    <col min="6" max="6" width="19.5" style="2" customWidth="1"/>
    <col min="7" max="7" width="22.5" style="2" customWidth="1"/>
    <col min="8" max="8" width="22.125" style="2" customWidth="1"/>
    <col min="9" max="9" width="14.25" style="2" customWidth="1"/>
    <col min="10" max="10" width="18.5" style="2" customWidth="1"/>
    <col min="11" max="11" width="13.5" style="2" customWidth="1"/>
    <col min="12" max="12" width="13.25" style="2" customWidth="1"/>
    <col min="13" max="13" width="17.25" style="2" customWidth="1"/>
    <col min="14" max="16384" width="8.75" style="2"/>
  </cols>
  <sheetData>
    <row r="1" spans="1:11" ht="30" customHeight="1">
      <c r="A1" s="133" t="s">
        <v>1080</v>
      </c>
      <c r="B1" s="133"/>
      <c r="C1" s="133"/>
      <c r="D1" s="133"/>
      <c r="E1" s="133"/>
      <c r="F1" s="133"/>
      <c r="G1" s="133"/>
      <c r="H1" s="133"/>
      <c r="I1" s="133"/>
      <c r="J1" s="133"/>
      <c r="K1" s="133"/>
    </row>
    <row r="3" spans="1:11" ht="22.9" customHeight="1">
      <c r="A3" s="136" t="s">
        <v>931</v>
      </c>
      <c r="B3" s="136"/>
      <c r="C3" s="136"/>
      <c r="D3" s="136"/>
      <c r="E3" s="136"/>
      <c r="F3" s="136"/>
      <c r="G3" s="136"/>
      <c r="H3" s="136"/>
      <c r="I3" s="136"/>
      <c r="J3" s="136"/>
      <c r="K3" s="136"/>
    </row>
    <row r="4" spans="1:11">
      <c r="A4" s="2" t="s">
        <v>932</v>
      </c>
      <c r="B4" s="35">
        <f>$B$13</f>
        <v>0</v>
      </c>
    </row>
    <row r="5" spans="1:11">
      <c r="A5" s="2" t="s">
        <v>933</v>
      </c>
      <c r="B5" s="35">
        <f>IFERROR(INDEX($F$29:$F$79,MATCH(Baseline!$B$8,$A$29:$A$79,0)),0)</f>
        <v>0</v>
      </c>
    </row>
    <row r="6" spans="1:11">
      <c r="A6" s="2" t="s">
        <v>934</v>
      </c>
      <c r="B6" s="35">
        <f>SUM($H$29:$H$79)</f>
        <v>0</v>
      </c>
    </row>
    <row r="9" spans="1:11" ht="22.9" customHeight="1">
      <c r="A9" s="136" t="s">
        <v>1081</v>
      </c>
      <c r="B9" s="136"/>
      <c r="C9" s="136"/>
      <c r="D9" s="136"/>
      <c r="E9" s="136"/>
      <c r="F9" s="136"/>
      <c r="G9" s="136"/>
      <c r="H9" s="136"/>
      <c r="I9" s="136"/>
      <c r="J9" s="136"/>
      <c r="K9" s="136"/>
    </row>
    <row r="10" spans="1:11">
      <c r="A10" s="24" t="s">
        <v>280</v>
      </c>
      <c r="B10" s="24" t="s">
        <v>141</v>
      </c>
    </row>
    <row r="11" spans="1:11">
      <c r="A11" s="2" t="s">
        <v>1082</v>
      </c>
      <c r="B11" s="53">
        <f>'Scenario Inputs'!$B$11</f>
        <v>0</v>
      </c>
    </row>
    <row r="12" spans="1:11">
      <c r="A12" s="2" t="s">
        <v>1083</v>
      </c>
      <c r="B12" s="22">
        <f>$B$21</f>
        <v>0.13227805993073546</v>
      </c>
    </row>
    <row r="13" spans="1:11">
      <c r="A13" s="2" t="s">
        <v>1084</v>
      </c>
      <c r="B13" s="42">
        <f>-B11*B12/100</f>
        <v>0</v>
      </c>
    </row>
    <row r="17" spans="1:11" ht="22.9" customHeight="1">
      <c r="A17" s="136" t="s">
        <v>946</v>
      </c>
      <c r="B17" s="136"/>
      <c r="C17" s="136"/>
      <c r="D17" s="136"/>
      <c r="E17" s="136"/>
      <c r="F17" s="136"/>
      <c r="G17" s="136"/>
      <c r="H17" s="136"/>
      <c r="I17" s="136"/>
      <c r="J17" s="136"/>
      <c r="K17" s="136"/>
    </row>
    <row r="18" spans="1:11" ht="31.5">
      <c r="A18" s="24" t="s">
        <v>947</v>
      </c>
      <c r="B18" s="24" t="s">
        <v>57</v>
      </c>
      <c r="D18" s="43" t="s">
        <v>1085</v>
      </c>
      <c r="E18" s="43" t="s">
        <v>1086</v>
      </c>
    </row>
    <row r="19" spans="1:11">
      <c r="A19" s="2" t="s">
        <v>148</v>
      </c>
      <c r="B19" s="39">
        <f>MATCH('Scenario Inputs'!$B$7,{"Statewide","Urban","Rural"},0)</f>
        <v>1</v>
      </c>
      <c r="D19" s="22">
        <f>'Parameter Library'!$E$293</f>
        <v>0.13227805993073546</v>
      </c>
      <c r="E19" s="22">
        <f>'Parameter Library'!$E$294</f>
        <v>0.12045931678013175</v>
      </c>
    </row>
    <row r="20" spans="1:11">
      <c r="A20" s="2" t="s">
        <v>1087</v>
      </c>
      <c r="B20" s="2">
        <f>MATCH('Scenario Inputs'!$F$30,{"Automobile","Pickups and Vans"},0)</f>
        <v>1</v>
      </c>
      <c r="D20" s="22">
        <f>'Parameter Library'!$E$298</f>
        <v>0.21</v>
      </c>
      <c r="E20" s="22">
        <f>'Parameter Library'!$E$299</f>
        <v>0.19</v>
      </c>
    </row>
    <row r="21" spans="1:11">
      <c r="A21" s="2" t="s">
        <v>1088</v>
      </c>
      <c r="B21" s="22">
        <f>INDEX(D19:E21,B19,1)</f>
        <v>0.13227805993073546</v>
      </c>
      <c r="D21" s="22">
        <f>'Parameter Library'!$E$303</f>
        <v>0.02</v>
      </c>
      <c r="E21" s="22">
        <f>'Parameter Library'!$E$304</f>
        <v>0.02</v>
      </c>
      <c r="F21" s="40"/>
    </row>
    <row r="22" spans="1:11">
      <c r="B22" s="39"/>
      <c r="D22" s="40"/>
      <c r="E22" s="40"/>
      <c r="F22" s="40"/>
    </row>
    <row r="23" spans="1:11">
      <c r="B23" s="39"/>
      <c r="D23" s="40"/>
      <c r="E23" s="40"/>
      <c r="F23" s="40"/>
    </row>
    <row r="27" spans="1:11" ht="22.9" customHeight="1">
      <c r="A27" s="136" t="s">
        <v>970</v>
      </c>
      <c r="B27" s="136"/>
      <c r="C27" s="136"/>
      <c r="D27" s="136"/>
      <c r="E27" s="136"/>
      <c r="F27" s="136"/>
      <c r="G27" s="136"/>
      <c r="H27" s="136"/>
      <c r="I27" s="136"/>
      <c r="J27" s="136"/>
      <c r="K27" s="136"/>
    </row>
    <row r="28" spans="1:11">
      <c r="A28" s="24" t="s">
        <v>971</v>
      </c>
      <c r="B28" s="24" t="s">
        <v>972</v>
      </c>
      <c r="C28" s="24" t="s">
        <v>973</v>
      </c>
      <c r="D28" s="24" t="s">
        <v>974</v>
      </c>
      <c r="E28" s="24" t="s">
        <v>273</v>
      </c>
      <c r="F28" s="24" t="s">
        <v>975</v>
      </c>
      <c r="G28" s="24" t="s">
        <v>976</v>
      </c>
      <c r="H28" s="24" t="s">
        <v>977</v>
      </c>
    </row>
    <row r="29" spans="1:11">
      <c r="A29" s="44">
        <f>Baseline!A31</f>
        <v>2027</v>
      </c>
      <c r="B29" s="44">
        <f>Baseline!B31</f>
        <v>0</v>
      </c>
      <c r="C29" s="44">
        <f>Baseline!C31</f>
        <v>1</v>
      </c>
      <c r="D29" s="44">
        <f>Baseline!D31</f>
        <v>0.8</v>
      </c>
      <c r="E29" s="2">
        <f>IF(C29=1,(1+Baseline!$B$9)^(A29-Baseline!$B$8),0)</f>
        <v>1</v>
      </c>
      <c r="F29" s="34">
        <f>$B$4*D29*E29</f>
        <v>0</v>
      </c>
      <c r="G29" s="45">
        <f>Baseline!F31</f>
        <v>1</v>
      </c>
      <c r="H29" s="34">
        <f>F29*G29</f>
        <v>0</v>
      </c>
    </row>
    <row r="30" spans="1:11">
      <c r="A30" s="44">
        <f>Baseline!A32</f>
        <v>2028</v>
      </c>
      <c r="B30" s="44">
        <f>Baseline!B32</f>
        <v>1</v>
      </c>
      <c r="C30" s="44">
        <f>Baseline!C32</f>
        <v>1</v>
      </c>
      <c r="D30" s="44">
        <f>Baseline!D32</f>
        <v>0.9</v>
      </c>
      <c r="E30" s="2">
        <f>IF(C30=1,(1+Baseline!$B$9)^(A30-Baseline!$B$8),0)</f>
        <v>1</v>
      </c>
      <c r="F30" s="34">
        <f t="shared" ref="F30:F79" si="0">$B$4*D30*E30</f>
        <v>0</v>
      </c>
      <c r="G30" s="45">
        <f>Baseline!F32</f>
        <v>0.93457943925233644</v>
      </c>
      <c r="H30" s="34">
        <f t="shared" ref="H30:H79" si="1">F30*G30</f>
        <v>0</v>
      </c>
    </row>
    <row r="31" spans="1:11">
      <c r="A31" s="44">
        <f>Baseline!A33</f>
        <v>2029</v>
      </c>
      <c r="B31" s="44">
        <f>Baseline!B33</f>
        <v>2</v>
      </c>
      <c r="C31" s="44">
        <f>Baseline!C33</f>
        <v>1</v>
      </c>
      <c r="D31" s="44">
        <f>Baseline!D33</f>
        <v>1</v>
      </c>
      <c r="E31" s="2">
        <f>IF(C31=1,(1+Baseline!$B$9)^(A31-Baseline!$B$8),0)</f>
        <v>1</v>
      </c>
      <c r="F31" s="34">
        <f t="shared" si="0"/>
        <v>0</v>
      </c>
      <c r="G31" s="45">
        <f>Baseline!F33</f>
        <v>0.87343872827321156</v>
      </c>
      <c r="H31" s="34">
        <f t="shared" si="1"/>
        <v>0</v>
      </c>
    </row>
    <row r="32" spans="1:11">
      <c r="A32" s="44">
        <f>Baseline!A34</f>
        <v>2030</v>
      </c>
      <c r="B32" s="44">
        <f>Baseline!B34</f>
        <v>3</v>
      </c>
      <c r="C32" s="44">
        <f>Baseline!C34</f>
        <v>1</v>
      </c>
      <c r="D32" s="44">
        <f>Baseline!D34</f>
        <v>1</v>
      </c>
      <c r="E32" s="2">
        <f>IF(C32=1,(1+Baseline!$B$9)^(A32-Baseline!$B$8),0)</f>
        <v>1</v>
      </c>
      <c r="F32" s="34">
        <f t="shared" si="0"/>
        <v>0</v>
      </c>
      <c r="G32" s="45">
        <f>Baseline!F34</f>
        <v>0.81629787689085187</v>
      </c>
      <c r="H32" s="34">
        <f t="shared" si="1"/>
        <v>0</v>
      </c>
    </row>
    <row r="33" spans="1:8">
      <c r="A33" s="44">
        <f>Baseline!A35</f>
        <v>2031</v>
      </c>
      <c r="B33" s="44">
        <f>Baseline!B35</f>
        <v>4</v>
      </c>
      <c r="C33" s="44">
        <f>Baseline!C35</f>
        <v>1</v>
      </c>
      <c r="D33" s="44">
        <f>Baseline!D35</f>
        <v>1</v>
      </c>
      <c r="E33" s="2">
        <f>IF(C33=1,(1+Baseline!$B$9)^(A33-Baseline!$B$8),0)</f>
        <v>1</v>
      </c>
      <c r="F33" s="34">
        <f t="shared" si="0"/>
        <v>0</v>
      </c>
      <c r="G33" s="45">
        <f>Baseline!F35</f>
        <v>0.7628952120475252</v>
      </c>
      <c r="H33" s="34">
        <f t="shared" si="1"/>
        <v>0</v>
      </c>
    </row>
    <row r="34" spans="1:8">
      <c r="A34" s="44">
        <f>Baseline!A36</f>
        <v>2032</v>
      </c>
      <c r="B34" s="44">
        <f>Baseline!B36</f>
        <v>5</v>
      </c>
      <c r="C34" s="44">
        <f>Baseline!C36</f>
        <v>1</v>
      </c>
      <c r="D34" s="44">
        <f>Baseline!D36</f>
        <v>1</v>
      </c>
      <c r="E34" s="2">
        <f>IF(C34=1,(1+Baseline!$B$9)^(A34-Baseline!$B$8),0)</f>
        <v>1</v>
      </c>
      <c r="F34" s="34">
        <f t="shared" si="0"/>
        <v>0</v>
      </c>
      <c r="G34" s="45">
        <f>Baseline!F36</f>
        <v>0.71298617948366838</v>
      </c>
      <c r="H34" s="34">
        <f t="shared" si="1"/>
        <v>0</v>
      </c>
    </row>
    <row r="35" spans="1:8">
      <c r="A35" s="44">
        <f>Baseline!A37</f>
        <v>2033</v>
      </c>
      <c r="B35" s="44">
        <f>Baseline!B37</f>
        <v>6</v>
      </c>
      <c r="C35" s="44">
        <f>Baseline!C37</f>
        <v>1</v>
      </c>
      <c r="D35" s="44">
        <f>Baseline!D37</f>
        <v>1</v>
      </c>
      <c r="E35" s="2">
        <f>IF(C35=1,(1+Baseline!$B$9)^(A35-Baseline!$B$8),0)</f>
        <v>1</v>
      </c>
      <c r="F35" s="34">
        <f t="shared" si="0"/>
        <v>0</v>
      </c>
      <c r="G35" s="45">
        <f>Baseline!F37</f>
        <v>0.66634222381651254</v>
      </c>
      <c r="H35" s="34">
        <f t="shared" si="1"/>
        <v>0</v>
      </c>
    </row>
    <row r="36" spans="1:8">
      <c r="A36" s="44">
        <f>Baseline!A38</f>
        <v>2034</v>
      </c>
      <c r="B36" s="44">
        <f>Baseline!B38</f>
        <v>7</v>
      </c>
      <c r="C36" s="44">
        <f>Baseline!C38</f>
        <v>1</v>
      </c>
      <c r="D36" s="44">
        <f>Baseline!D38</f>
        <v>1</v>
      </c>
      <c r="E36" s="2">
        <f>IF(C36=1,(1+Baseline!$B$9)^(A36-Baseline!$B$8),0)</f>
        <v>1</v>
      </c>
      <c r="F36" s="34">
        <f t="shared" si="0"/>
        <v>0</v>
      </c>
      <c r="G36" s="45">
        <f>Baseline!F38</f>
        <v>0.62274974188459109</v>
      </c>
      <c r="H36" s="34">
        <f t="shared" si="1"/>
        <v>0</v>
      </c>
    </row>
    <row r="37" spans="1:8">
      <c r="A37" s="44">
        <f>Baseline!A39</f>
        <v>2035</v>
      </c>
      <c r="B37" s="44">
        <f>Baseline!B39</f>
        <v>8</v>
      </c>
      <c r="C37" s="44">
        <f>Baseline!C39</f>
        <v>1</v>
      </c>
      <c r="D37" s="44">
        <f>Baseline!D39</f>
        <v>1</v>
      </c>
      <c r="E37" s="2">
        <f>IF(C37=1,(1+Baseline!$B$9)^(A37-Baseline!$B$8),0)</f>
        <v>1</v>
      </c>
      <c r="F37" s="34">
        <f t="shared" si="0"/>
        <v>0</v>
      </c>
      <c r="G37" s="45">
        <f>Baseline!F39</f>
        <v>0.5820091045650384</v>
      </c>
      <c r="H37" s="34">
        <f t="shared" si="1"/>
        <v>0</v>
      </c>
    </row>
    <row r="38" spans="1:8">
      <c r="A38" s="44">
        <f>Baseline!A40</f>
        <v>2036</v>
      </c>
      <c r="B38" s="44">
        <f>Baseline!B40</f>
        <v>9</v>
      </c>
      <c r="C38" s="44">
        <f>Baseline!C40</f>
        <v>1</v>
      </c>
      <c r="D38" s="44">
        <f>Baseline!D40</f>
        <v>1</v>
      </c>
      <c r="E38" s="2">
        <f>IF(C38=1,(1+Baseline!$B$9)^(A38-Baseline!$B$8),0)</f>
        <v>1</v>
      </c>
      <c r="F38" s="34">
        <f t="shared" si="0"/>
        <v>0</v>
      </c>
      <c r="G38" s="45">
        <f>Baseline!F40</f>
        <v>0.54393374258414806</v>
      </c>
      <c r="H38" s="34">
        <f t="shared" si="1"/>
        <v>0</v>
      </c>
    </row>
    <row r="39" spans="1:8">
      <c r="A39" s="44">
        <f>Baseline!A41</f>
        <v>2037</v>
      </c>
      <c r="B39" s="44">
        <f>Baseline!B41</f>
        <v>9</v>
      </c>
      <c r="C39" s="44">
        <f>Baseline!C41</f>
        <v>1</v>
      </c>
      <c r="D39" s="44">
        <f>Baseline!D41</f>
        <v>1</v>
      </c>
      <c r="E39" s="2">
        <f>IF(C39=1,(1+Baseline!$B$9)^(A39-Baseline!$B$8),0)</f>
        <v>1</v>
      </c>
      <c r="F39" s="34">
        <f t="shared" si="0"/>
        <v>0</v>
      </c>
      <c r="G39" s="45">
        <f>Baseline!F41</f>
        <v>0.54393374258414806</v>
      </c>
      <c r="H39" s="34">
        <f t="shared" si="1"/>
        <v>0</v>
      </c>
    </row>
    <row r="40" spans="1:8">
      <c r="A40" s="44">
        <f>Baseline!A42</f>
        <v>2038</v>
      </c>
      <c r="B40" s="44">
        <f>Baseline!B42</f>
        <v>10</v>
      </c>
      <c r="C40" s="44">
        <f>Baseline!C42</f>
        <v>1</v>
      </c>
      <c r="D40" s="44">
        <f>Baseline!D42</f>
        <v>1</v>
      </c>
      <c r="E40" s="2">
        <f>IF(C40=1,(1+Baseline!$B$9)^(A40-Baseline!$B$8),0)</f>
        <v>1</v>
      </c>
      <c r="F40" s="34">
        <f t="shared" si="0"/>
        <v>0</v>
      </c>
      <c r="G40" s="45">
        <f>Baseline!F42</f>
        <v>0.5083492921347178</v>
      </c>
      <c r="H40" s="34">
        <f t="shared" si="1"/>
        <v>0</v>
      </c>
    </row>
    <row r="41" spans="1:8">
      <c r="A41" s="44">
        <f>Baseline!A43</f>
        <v>2039</v>
      </c>
      <c r="B41" s="44">
        <f>Baseline!B43</f>
        <v>11</v>
      </c>
      <c r="C41" s="44">
        <f>Baseline!C43</f>
        <v>1</v>
      </c>
      <c r="D41" s="44">
        <f>Baseline!D43</f>
        <v>1</v>
      </c>
      <c r="E41" s="2">
        <f>IF(C41=1,(1+Baseline!$B$9)^(A41-Baseline!$B$8),0)</f>
        <v>1</v>
      </c>
      <c r="F41" s="34">
        <f t="shared" si="0"/>
        <v>0</v>
      </c>
      <c r="G41" s="45">
        <f>Baseline!F43</f>
        <v>0.47509279638758667</v>
      </c>
      <c r="H41" s="34">
        <f t="shared" si="1"/>
        <v>0</v>
      </c>
    </row>
    <row r="42" spans="1:8">
      <c r="A42" s="44">
        <f>Baseline!A44</f>
        <v>2040</v>
      </c>
      <c r="B42" s="44">
        <f>Baseline!B44</f>
        <v>12</v>
      </c>
      <c r="C42" s="44">
        <f>Baseline!C44</f>
        <v>1</v>
      </c>
      <c r="D42" s="44">
        <f>Baseline!D44</f>
        <v>1</v>
      </c>
      <c r="E42" s="2">
        <f>IF(C42=1,(1+Baseline!$B$9)^(A42-Baseline!$B$8),0)</f>
        <v>1</v>
      </c>
      <c r="F42" s="34">
        <f t="shared" si="0"/>
        <v>0</v>
      </c>
      <c r="G42" s="45">
        <f>Baseline!F44</f>
        <v>0.44401195924073528</v>
      </c>
      <c r="H42" s="34">
        <f t="shared" si="1"/>
        <v>0</v>
      </c>
    </row>
    <row r="43" spans="1:8">
      <c r="A43" s="44">
        <f>Baseline!A45</f>
        <v>2041</v>
      </c>
      <c r="B43" s="44">
        <f>Baseline!B45</f>
        <v>14</v>
      </c>
      <c r="C43" s="44">
        <f>Baseline!C45</f>
        <v>1</v>
      </c>
      <c r="D43" s="44">
        <f>Baseline!D45</f>
        <v>1</v>
      </c>
      <c r="E43" s="2">
        <f>IF(C43=1,(1+Baseline!$B$9)^(A43-Baseline!$B$8),0)</f>
        <v>1</v>
      </c>
      <c r="F43" s="34">
        <f t="shared" si="0"/>
        <v>0</v>
      </c>
      <c r="G43" s="45">
        <f>Baseline!F45</f>
        <v>0.3878172410173249</v>
      </c>
      <c r="H43" s="34">
        <f t="shared" si="1"/>
        <v>0</v>
      </c>
    </row>
    <row r="44" spans="1:8">
      <c r="A44" s="44">
        <f>Baseline!A46</f>
        <v>2042</v>
      </c>
      <c r="B44" s="44">
        <f>Baseline!B46</f>
        <v>15</v>
      </c>
      <c r="C44" s="44">
        <f>Baseline!C46</f>
        <v>1</v>
      </c>
      <c r="D44" s="44">
        <f>Baseline!D46</f>
        <v>1</v>
      </c>
      <c r="E44" s="2">
        <f>IF(C44=1,(1+Baseline!$B$9)^(A44-Baseline!$B$8),0)</f>
        <v>1</v>
      </c>
      <c r="F44" s="34">
        <f t="shared" si="0"/>
        <v>0</v>
      </c>
      <c r="G44" s="45">
        <f>Baseline!F46</f>
        <v>0.36244601964235967</v>
      </c>
      <c r="H44" s="34">
        <f t="shared" si="1"/>
        <v>0</v>
      </c>
    </row>
    <row r="45" spans="1:8">
      <c r="A45" s="44">
        <f>Baseline!A47</f>
        <v>2043</v>
      </c>
      <c r="B45" s="44">
        <f>Baseline!B47</f>
        <v>16</v>
      </c>
      <c r="C45" s="44">
        <f>Baseline!C47</f>
        <v>1</v>
      </c>
      <c r="D45" s="44">
        <f>Baseline!D47</f>
        <v>1</v>
      </c>
      <c r="E45" s="2">
        <f>IF(C45=1,(1+Baseline!$B$9)^(A45-Baseline!$B$8),0)</f>
        <v>1</v>
      </c>
      <c r="F45" s="34">
        <f t="shared" si="0"/>
        <v>0</v>
      </c>
      <c r="G45" s="45">
        <f>Baseline!F47</f>
        <v>0.33873459779659787</v>
      </c>
      <c r="H45" s="34">
        <f t="shared" si="1"/>
        <v>0</v>
      </c>
    </row>
    <row r="46" spans="1:8">
      <c r="A46" s="44">
        <f>Baseline!A48</f>
        <v>2044</v>
      </c>
      <c r="B46" s="44">
        <f>Baseline!B48</f>
        <v>17</v>
      </c>
      <c r="C46" s="44">
        <f>Baseline!C48</f>
        <v>1</v>
      </c>
      <c r="D46" s="44">
        <f>Baseline!D48</f>
        <v>1</v>
      </c>
      <c r="E46" s="2">
        <f>IF(C46=1,(1+Baseline!$B$9)^(A46-Baseline!$B$8),0)</f>
        <v>1</v>
      </c>
      <c r="F46" s="34">
        <f t="shared" si="0"/>
        <v>0</v>
      </c>
      <c r="G46" s="45">
        <f>Baseline!F48</f>
        <v>0.31657439046411018</v>
      </c>
      <c r="H46" s="34">
        <f t="shared" si="1"/>
        <v>0</v>
      </c>
    </row>
    <row r="47" spans="1:8">
      <c r="A47" s="44">
        <f>Baseline!A49</f>
        <v>2045</v>
      </c>
      <c r="B47" s="44">
        <f>Baseline!B49</f>
        <v>18</v>
      </c>
      <c r="C47" s="44">
        <f>Baseline!C49</f>
        <v>1</v>
      </c>
      <c r="D47" s="44">
        <f>Baseline!D49</f>
        <v>1</v>
      </c>
      <c r="E47" s="2">
        <f>IF(C47=1,(1+Baseline!$B$9)^(A47-Baseline!$B$8),0)</f>
        <v>1</v>
      </c>
      <c r="F47" s="34">
        <f t="shared" si="0"/>
        <v>0</v>
      </c>
      <c r="G47" s="45">
        <f>Baseline!F49</f>
        <v>0.29586391632159825</v>
      </c>
      <c r="H47" s="34">
        <f t="shared" si="1"/>
        <v>0</v>
      </c>
    </row>
    <row r="48" spans="1:8">
      <c r="A48" s="44">
        <f>Baseline!A50</f>
        <v>2046</v>
      </c>
      <c r="B48" s="44">
        <f>Baseline!B50</f>
        <v>19</v>
      </c>
      <c r="C48" s="44">
        <f>Baseline!C50</f>
        <v>1</v>
      </c>
      <c r="D48" s="44">
        <f>Baseline!D50</f>
        <v>1</v>
      </c>
      <c r="E48" s="2">
        <f>IF(C48=1,(1+Baseline!$B$9)^(A48-Baseline!$B$8),0)</f>
        <v>1</v>
      </c>
      <c r="F48" s="34">
        <f t="shared" si="0"/>
        <v>0</v>
      </c>
      <c r="G48" s="45">
        <f>Baseline!F50</f>
        <v>0.27650833301083949</v>
      </c>
      <c r="H48" s="34">
        <f t="shared" si="1"/>
        <v>0</v>
      </c>
    </row>
    <row r="49" spans="1:8">
      <c r="A49" s="44">
        <f>Baseline!A51</f>
        <v>2047</v>
      </c>
      <c r="B49" s="44">
        <f>Baseline!B51</f>
        <v>20</v>
      </c>
      <c r="C49" s="44">
        <f>Baseline!C51</f>
        <v>1</v>
      </c>
      <c r="D49" s="44">
        <f>Baseline!D51</f>
        <v>1</v>
      </c>
      <c r="E49" s="2">
        <f>IF(C49=1,(1+Baseline!$B$9)^(A49-Baseline!$B$8),0)</f>
        <v>1</v>
      </c>
      <c r="F49" s="34">
        <f t="shared" si="0"/>
        <v>0</v>
      </c>
      <c r="G49" s="45">
        <f>Baseline!F51</f>
        <v>0.2584190028138687</v>
      </c>
      <c r="H49" s="34">
        <f t="shared" si="1"/>
        <v>0</v>
      </c>
    </row>
    <row r="50" spans="1:8">
      <c r="A50" s="44">
        <f>Baseline!A52</f>
        <v>2048</v>
      </c>
      <c r="B50" s="44">
        <f>Baseline!B52</f>
        <v>21</v>
      </c>
      <c r="C50" s="44">
        <f>Baseline!C52</f>
        <v>1</v>
      </c>
      <c r="D50" s="44">
        <f>Baseline!D52</f>
        <v>1</v>
      </c>
      <c r="E50" s="2">
        <f>IF(C50=1,(1+Baseline!$B$9)^(A50-Baseline!$B$8),0)</f>
        <v>1</v>
      </c>
      <c r="F50" s="34">
        <f t="shared" si="0"/>
        <v>0</v>
      </c>
      <c r="G50" s="45">
        <f>Baseline!F52</f>
        <v>0.24151308674193336</v>
      </c>
      <c r="H50" s="34">
        <f t="shared" si="1"/>
        <v>0</v>
      </c>
    </row>
    <row r="51" spans="1:8">
      <c r="A51" s="44">
        <f>Baseline!A53</f>
        <v>2049</v>
      </c>
      <c r="B51" s="44">
        <f>Baseline!B53</f>
        <v>22</v>
      </c>
      <c r="C51" s="44">
        <f>Baseline!C53</f>
        <v>1</v>
      </c>
      <c r="D51" s="44">
        <f>Baseline!D53</f>
        <v>1</v>
      </c>
      <c r="E51" s="2">
        <f>IF(C51=1,(1+Baseline!$B$9)^(A51-Baseline!$B$8),0)</f>
        <v>1</v>
      </c>
      <c r="F51" s="34">
        <f t="shared" si="0"/>
        <v>0</v>
      </c>
      <c r="G51" s="45">
        <f>Baseline!F53</f>
        <v>0.22571316517937698</v>
      </c>
      <c r="H51" s="34">
        <f t="shared" si="1"/>
        <v>0</v>
      </c>
    </row>
    <row r="52" spans="1:8">
      <c r="A52" s="44">
        <f>Baseline!A54</f>
        <v>2050</v>
      </c>
      <c r="B52" s="44">
        <f>Baseline!B54</f>
        <v>23</v>
      </c>
      <c r="C52" s="44">
        <f>Baseline!C54</f>
        <v>1</v>
      </c>
      <c r="D52" s="44">
        <f>Baseline!D54</f>
        <v>1</v>
      </c>
      <c r="E52" s="2">
        <f>IF(C52=1,(1+Baseline!$B$9)^(A52-Baseline!$B$8),0)</f>
        <v>1</v>
      </c>
      <c r="F52" s="34">
        <f t="shared" si="0"/>
        <v>0</v>
      </c>
      <c r="G52" s="45">
        <f>Baseline!F54</f>
        <v>0.21094688334521211</v>
      </c>
      <c r="H52" s="34">
        <f t="shared" si="1"/>
        <v>0</v>
      </c>
    </row>
    <row r="53" spans="1:8">
      <c r="A53" s="44">
        <f>Baseline!A55</f>
        <v>2051</v>
      </c>
      <c r="B53" s="44">
        <f>Baseline!B55</f>
        <v>24</v>
      </c>
      <c r="C53" s="44">
        <f>Baseline!C55</f>
        <v>1</v>
      </c>
      <c r="D53" s="44">
        <f>Baseline!D55</f>
        <v>1</v>
      </c>
      <c r="E53" s="2">
        <f>IF(C53=1,(1+Baseline!$B$9)^(A53-Baseline!$B$8),0)</f>
        <v>1</v>
      </c>
      <c r="F53" s="34">
        <f t="shared" si="0"/>
        <v>0</v>
      </c>
      <c r="G53" s="45">
        <f>Baseline!F55</f>
        <v>0.19714661994879637</v>
      </c>
      <c r="H53" s="34">
        <f t="shared" si="1"/>
        <v>0</v>
      </c>
    </row>
    <row r="54" spans="1:8">
      <c r="A54" s="44">
        <f>Baseline!A56</f>
        <v>2052</v>
      </c>
      <c r="B54" s="44">
        <f>Baseline!B56</f>
        <v>25</v>
      </c>
      <c r="C54" s="44">
        <f>Baseline!C56</f>
        <v>1</v>
      </c>
      <c r="D54" s="44">
        <f>Baseline!D56</f>
        <v>1</v>
      </c>
      <c r="E54" s="2">
        <f>IF(C54=1,(1+Baseline!$B$9)^(A54-Baseline!$B$8),0)</f>
        <v>1</v>
      </c>
      <c r="F54" s="34">
        <f t="shared" si="0"/>
        <v>0</v>
      </c>
      <c r="G54" s="45">
        <f>Baseline!F56</f>
        <v>0.18424917752223957</v>
      </c>
      <c r="H54" s="34">
        <f t="shared" si="1"/>
        <v>0</v>
      </c>
    </row>
    <row r="55" spans="1:8">
      <c r="A55" s="44">
        <f>Baseline!A57</f>
        <v>2053</v>
      </c>
      <c r="B55" s="44">
        <f>Baseline!B57</f>
        <v>26</v>
      </c>
      <c r="C55" s="44">
        <f>Baseline!C57</f>
        <v>1</v>
      </c>
      <c r="D55" s="44">
        <f>Baseline!D57</f>
        <v>1</v>
      </c>
      <c r="E55" s="2">
        <f>IF(C55=1,(1+Baseline!$B$9)^(A55-Baseline!$B$8),0)</f>
        <v>1</v>
      </c>
      <c r="F55" s="34">
        <f t="shared" si="0"/>
        <v>0</v>
      </c>
      <c r="G55" s="45">
        <f>Baseline!F57</f>
        <v>0.17219549301143888</v>
      </c>
      <c r="H55" s="34">
        <f t="shared" si="1"/>
        <v>0</v>
      </c>
    </row>
    <row r="56" spans="1:8">
      <c r="A56" s="44">
        <f>Baseline!A58</f>
        <v>2054</v>
      </c>
      <c r="B56" s="44">
        <f>Baseline!B58</f>
        <v>27</v>
      </c>
      <c r="C56" s="44">
        <f>Baseline!C58</f>
        <v>1</v>
      </c>
      <c r="D56" s="44">
        <f>Baseline!D58</f>
        <v>1</v>
      </c>
      <c r="E56" s="2">
        <f>IF(C56=1,(1+Baseline!$B$9)^(A56-Baseline!$B$8),0)</f>
        <v>1</v>
      </c>
      <c r="F56" s="34">
        <f t="shared" si="0"/>
        <v>0</v>
      </c>
      <c r="G56" s="45">
        <f>Baseline!F58</f>
        <v>0.16093036730041013</v>
      </c>
      <c r="H56" s="34">
        <f t="shared" si="1"/>
        <v>0</v>
      </c>
    </row>
    <row r="57" spans="1:8">
      <c r="A57" s="44">
        <f>Baseline!A59</f>
        <v>2055</v>
      </c>
      <c r="B57" s="44">
        <f>Baseline!B59</f>
        <v>28</v>
      </c>
      <c r="C57" s="44">
        <f>Baseline!C59</f>
        <v>1</v>
      </c>
      <c r="D57" s="44">
        <f>Baseline!D59</f>
        <v>1</v>
      </c>
      <c r="E57" s="2">
        <f>IF(C57=1,(1+Baseline!$B$9)^(A57-Baseline!$B$8),0)</f>
        <v>1</v>
      </c>
      <c r="F57" s="34">
        <f t="shared" si="0"/>
        <v>0</v>
      </c>
      <c r="G57" s="45">
        <f>Baseline!F59</f>
        <v>0.15040221243028987</v>
      </c>
      <c r="H57" s="34">
        <f t="shared" si="1"/>
        <v>0</v>
      </c>
    </row>
    <row r="58" spans="1:8">
      <c r="A58" s="44">
        <f>Baseline!A60</f>
        <v>2056</v>
      </c>
      <c r="B58" s="44">
        <f>Baseline!B60</f>
        <v>29</v>
      </c>
      <c r="C58" s="44">
        <f>Baseline!C60</f>
        <v>1</v>
      </c>
      <c r="D58" s="44">
        <f>Baseline!D60</f>
        <v>1</v>
      </c>
      <c r="E58" s="2">
        <f>IF(C58=1,(1+Baseline!$B$9)^(A58-Baseline!$B$8),0)</f>
        <v>1</v>
      </c>
      <c r="F58" s="34">
        <f t="shared" si="0"/>
        <v>0</v>
      </c>
      <c r="G58" s="45">
        <f>Baseline!F60</f>
        <v>0.1405628153554111</v>
      </c>
      <c r="H58" s="34">
        <f t="shared" si="1"/>
        <v>0</v>
      </c>
    </row>
    <row r="59" spans="1:8">
      <c r="A59" s="44">
        <f>Baseline!A61</f>
        <v>2057</v>
      </c>
      <c r="B59" s="44">
        <f>Baseline!B61</f>
        <v>30</v>
      </c>
      <c r="C59" s="44">
        <f>Baseline!C61</f>
        <v>0</v>
      </c>
      <c r="D59" s="44">
        <f>Baseline!D61</f>
        <v>0</v>
      </c>
      <c r="E59" s="2">
        <f>IF(C59=1,(1+Baseline!$B$9)^(A59-Baseline!$B$8),0)</f>
        <v>0</v>
      </c>
      <c r="F59" s="34">
        <f t="shared" si="0"/>
        <v>0</v>
      </c>
      <c r="G59" s="45">
        <f>Baseline!F61</f>
        <v>0</v>
      </c>
      <c r="H59" s="34">
        <f t="shared" si="1"/>
        <v>0</v>
      </c>
    </row>
    <row r="60" spans="1:8">
      <c r="A60" s="44">
        <f>Baseline!A62</f>
        <v>2058</v>
      </c>
      <c r="B60" s="44">
        <f>Baseline!B62</f>
        <v>31</v>
      </c>
      <c r="C60" s="44">
        <f>Baseline!C62</f>
        <v>0</v>
      </c>
      <c r="D60" s="44">
        <f>Baseline!D62</f>
        <v>0</v>
      </c>
      <c r="E60" s="2">
        <f>IF(C60=1,(1+Baseline!$B$9)^(A60-Baseline!$B$8),0)</f>
        <v>0</v>
      </c>
      <c r="F60" s="34">
        <f t="shared" si="0"/>
        <v>0</v>
      </c>
      <c r="G60" s="45">
        <f>Baseline!F62</f>
        <v>0</v>
      </c>
      <c r="H60" s="34">
        <f t="shared" si="1"/>
        <v>0</v>
      </c>
    </row>
    <row r="61" spans="1:8">
      <c r="A61" s="44">
        <f>Baseline!A63</f>
        <v>2059</v>
      </c>
      <c r="B61" s="44">
        <f>Baseline!B63</f>
        <v>32</v>
      </c>
      <c r="C61" s="44">
        <f>Baseline!C63</f>
        <v>0</v>
      </c>
      <c r="D61" s="44">
        <f>Baseline!D63</f>
        <v>0</v>
      </c>
      <c r="E61" s="2">
        <f>IF(C61=1,(1+Baseline!$B$9)^(A61-Baseline!$B$8),0)</f>
        <v>0</v>
      </c>
      <c r="F61" s="34">
        <f t="shared" si="0"/>
        <v>0</v>
      </c>
      <c r="G61" s="45">
        <f>Baseline!F63</f>
        <v>0</v>
      </c>
      <c r="H61" s="34">
        <f t="shared" si="1"/>
        <v>0</v>
      </c>
    </row>
    <row r="62" spans="1:8">
      <c r="A62" s="44">
        <f>Baseline!A64</f>
        <v>2060</v>
      </c>
      <c r="B62" s="44">
        <f>Baseline!B64</f>
        <v>33</v>
      </c>
      <c r="C62" s="44">
        <f>Baseline!C64</f>
        <v>0</v>
      </c>
      <c r="D62" s="44">
        <f>Baseline!D64</f>
        <v>0</v>
      </c>
      <c r="E62" s="2">
        <f>IF(C62=1,(1+Baseline!$B$9)^(A62-Baseline!$B$8),0)</f>
        <v>0</v>
      </c>
      <c r="F62" s="34">
        <f t="shared" si="0"/>
        <v>0</v>
      </c>
      <c r="G62" s="45">
        <f>Baseline!F64</f>
        <v>0</v>
      </c>
      <c r="H62" s="34">
        <f t="shared" si="1"/>
        <v>0</v>
      </c>
    </row>
    <row r="63" spans="1:8">
      <c r="A63" s="44">
        <f>Baseline!A65</f>
        <v>2061</v>
      </c>
      <c r="B63" s="44">
        <f>Baseline!B65</f>
        <v>34</v>
      </c>
      <c r="C63" s="44">
        <f>Baseline!C65</f>
        <v>0</v>
      </c>
      <c r="D63" s="44">
        <f>Baseline!D65</f>
        <v>0</v>
      </c>
      <c r="E63" s="2">
        <f>IF(C63=1,(1+Baseline!$B$9)^(A63-Baseline!$B$8),0)</f>
        <v>0</v>
      </c>
      <c r="F63" s="34">
        <f t="shared" si="0"/>
        <v>0</v>
      </c>
      <c r="G63" s="45">
        <f>Baseline!F65</f>
        <v>0</v>
      </c>
      <c r="H63" s="34">
        <f t="shared" si="1"/>
        <v>0</v>
      </c>
    </row>
    <row r="64" spans="1:8">
      <c r="A64" s="44">
        <f>Baseline!A66</f>
        <v>2062</v>
      </c>
      <c r="B64" s="44">
        <f>Baseline!B66</f>
        <v>35</v>
      </c>
      <c r="C64" s="44">
        <f>Baseline!C66</f>
        <v>0</v>
      </c>
      <c r="D64" s="44">
        <f>Baseline!D66</f>
        <v>0</v>
      </c>
      <c r="E64" s="2">
        <f>IF(C64=1,(1+Baseline!$B$9)^(A64-Baseline!$B$8),0)</f>
        <v>0</v>
      </c>
      <c r="F64" s="34">
        <f t="shared" si="0"/>
        <v>0</v>
      </c>
      <c r="G64" s="45">
        <f>Baseline!F66</f>
        <v>0</v>
      </c>
      <c r="H64" s="34">
        <f t="shared" si="1"/>
        <v>0</v>
      </c>
    </row>
    <row r="65" spans="1:8">
      <c r="A65" s="44">
        <f>Baseline!A67</f>
        <v>2063</v>
      </c>
      <c r="B65" s="44">
        <f>Baseline!B67</f>
        <v>36</v>
      </c>
      <c r="C65" s="44">
        <f>Baseline!C67</f>
        <v>0</v>
      </c>
      <c r="D65" s="44">
        <f>Baseline!D67</f>
        <v>0</v>
      </c>
      <c r="E65" s="2">
        <f>IF(C65=1,(1+Baseline!$B$9)^(A65-Baseline!$B$8),0)</f>
        <v>0</v>
      </c>
      <c r="F65" s="34">
        <f t="shared" si="0"/>
        <v>0</v>
      </c>
      <c r="G65" s="45">
        <f>Baseline!F67</f>
        <v>0</v>
      </c>
      <c r="H65" s="34">
        <f t="shared" si="1"/>
        <v>0</v>
      </c>
    </row>
    <row r="66" spans="1:8">
      <c r="A66" s="44">
        <f>Baseline!A68</f>
        <v>2064</v>
      </c>
      <c r="B66" s="44">
        <f>Baseline!B68</f>
        <v>37</v>
      </c>
      <c r="C66" s="44">
        <f>Baseline!C68</f>
        <v>0</v>
      </c>
      <c r="D66" s="44">
        <f>Baseline!D68</f>
        <v>0</v>
      </c>
      <c r="E66" s="2">
        <f>IF(C66=1,(1+Baseline!$B$9)^(A66-Baseline!$B$8),0)</f>
        <v>0</v>
      </c>
      <c r="F66" s="34">
        <f t="shared" si="0"/>
        <v>0</v>
      </c>
      <c r="G66" s="45">
        <f>Baseline!F68</f>
        <v>0</v>
      </c>
      <c r="H66" s="34">
        <f t="shared" si="1"/>
        <v>0</v>
      </c>
    </row>
    <row r="67" spans="1:8">
      <c r="A67" s="44">
        <f>Baseline!A69</f>
        <v>2065</v>
      </c>
      <c r="B67" s="44">
        <f>Baseline!B69</f>
        <v>38</v>
      </c>
      <c r="C67" s="44">
        <f>Baseline!C69</f>
        <v>0</v>
      </c>
      <c r="D67" s="44">
        <f>Baseline!D69</f>
        <v>0</v>
      </c>
      <c r="E67" s="2">
        <f>IF(C67=1,(1+Baseline!$B$9)^(A67-Baseline!$B$8),0)</f>
        <v>0</v>
      </c>
      <c r="F67" s="34">
        <f t="shared" si="0"/>
        <v>0</v>
      </c>
      <c r="G67" s="45">
        <f>Baseline!F69</f>
        <v>0</v>
      </c>
      <c r="H67" s="34">
        <f t="shared" si="1"/>
        <v>0</v>
      </c>
    </row>
    <row r="68" spans="1:8">
      <c r="A68" s="44">
        <f>Baseline!A70</f>
        <v>2066</v>
      </c>
      <c r="B68" s="44">
        <f>Baseline!B70</f>
        <v>39</v>
      </c>
      <c r="C68" s="44">
        <f>Baseline!C70</f>
        <v>0</v>
      </c>
      <c r="D68" s="44">
        <f>Baseline!D70</f>
        <v>0</v>
      </c>
      <c r="E68" s="2">
        <f>IF(C68=1,(1+Baseline!$B$9)^(A68-Baseline!$B$8),0)</f>
        <v>0</v>
      </c>
      <c r="F68" s="34">
        <f t="shared" si="0"/>
        <v>0</v>
      </c>
      <c r="G68" s="45">
        <f>Baseline!F70</f>
        <v>0</v>
      </c>
      <c r="H68" s="34">
        <f t="shared" si="1"/>
        <v>0</v>
      </c>
    </row>
    <row r="69" spans="1:8">
      <c r="A69" s="44">
        <f>Baseline!A71</f>
        <v>2067</v>
      </c>
      <c r="B69" s="44">
        <f>Baseline!B71</f>
        <v>40</v>
      </c>
      <c r="C69" s="44">
        <f>Baseline!C71</f>
        <v>0</v>
      </c>
      <c r="D69" s="44">
        <f>Baseline!D71</f>
        <v>0</v>
      </c>
      <c r="E69" s="2">
        <f>IF(C69=1,(1+Baseline!$B$9)^(A69-Baseline!$B$8),0)</f>
        <v>0</v>
      </c>
      <c r="F69" s="34">
        <f t="shared" si="0"/>
        <v>0</v>
      </c>
      <c r="G69" s="45">
        <f>Baseline!F71</f>
        <v>0</v>
      </c>
      <c r="H69" s="34">
        <f t="shared" si="1"/>
        <v>0</v>
      </c>
    </row>
    <row r="70" spans="1:8">
      <c r="A70" s="44">
        <f>Baseline!A72</f>
        <v>2068</v>
      </c>
      <c r="B70" s="44">
        <f>Baseline!B72</f>
        <v>41</v>
      </c>
      <c r="C70" s="44">
        <f>Baseline!C72</f>
        <v>0</v>
      </c>
      <c r="D70" s="44">
        <f>Baseline!D72</f>
        <v>0</v>
      </c>
      <c r="E70" s="2">
        <f>IF(C70=1,(1+Baseline!$B$9)^(A70-Baseline!$B$8),0)</f>
        <v>0</v>
      </c>
      <c r="F70" s="34">
        <f t="shared" si="0"/>
        <v>0</v>
      </c>
      <c r="G70" s="45">
        <f>Baseline!F72</f>
        <v>0</v>
      </c>
      <c r="H70" s="34">
        <f t="shared" si="1"/>
        <v>0</v>
      </c>
    </row>
    <row r="71" spans="1:8">
      <c r="A71" s="44">
        <f>Baseline!A73</f>
        <v>2069</v>
      </c>
      <c r="B71" s="44">
        <f>Baseline!B73</f>
        <v>42</v>
      </c>
      <c r="C71" s="44">
        <f>Baseline!C73</f>
        <v>0</v>
      </c>
      <c r="D71" s="44">
        <f>Baseline!D73</f>
        <v>0</v>
      </c>
      <c r="E71" s="2">
        <f>IF(C71=1,(1+Baseline!$B$9)^(A71-Baseline!$B$8),0)</f>
        <v>0</v>
      </c>
      <c r="F71" s="34">
        <f t="shared" si="0"/>
        <v>0</v>
      </c>
      <c r="G71" s="45">
        <f>Baseline!F73</f>
        <v>0</v>
      </c>
      <c r="H71" s="34">
        <f t="shared" si="1"/>
        <v>0</v>
      </c>
    </row>
    <row r="72" spans="1:8">
      <c r="A72" s="44">
        <f>Baseline!A74</f>
        <v>2070</v>
      </c>
      <c r="B72" s="44">
        <f>Baseline!B74</f>
        <v>43</v>
      </c>
      <c r="C72" s="44">
        <f>Baseline!C74</f>
        <v>0</v>
      </c>
      <c r="D72" s="44">
        <f>Baseline!D74</f>
        <v>0</v>
      </c>
      <c r="E72" s="2">
        <f>IF(C72=1,(1+Baseline!$B$9)^(A72-Baseline!$B$8),0)</f>
        <v>0</v>
      </c>
      <c r="F72" s="34">
        <f t="shared" si="0"/>
        <v>0</v>
      </c>
      <c r="G72" s="45">
        <f>Baseline!F74</f>
        <v>0</v>
      </c>
      <c r="H72" s="34">
        <f t="shared" si="1"/>
        <v>0</v>
      </c>
    </row>
    <row r="73" spans="1:8">
      <c r="A73" s="44">
        <f>Baseline!A75</f>
        <v>2071</v>
      </c>
      <c r="B73" s="44">
        <f>Baseline!B75</f>
        <v>44</v>
      </c>
      <c r="C73" s="44">
        <f>Baseline!C75</f>
        <v>0</v>
      </c>
      <c r="D73" s="44">
        <f>Baseline!D75</f>
        <v>0</v>
      </c>
      <c r="E73" s="2">
        <f>IF(C73=1,(1+Baseline!$B$9)^(A73-Baseline!$B$8),0)</f>
        <v>0</v>
      </c>
      <c r="F73" s="34">
        <f t="shared" si="0"/>
        <v>0</v>
      </c>
      <c r="G73" s="45">
        <f>Baseline!F75</f>
        <v>0</v>
      </c>
      <c r="H73" s="34">
        <f t="shared" si="1"/>
        <v>0</v>
      </c>
    </row>
    <row r="74" spans="1:8">
      <c r="A74" s="44">
        <f>Baseline!A76</f>
        <v>2072</v>
      </c>
      <c r="B74" s="44">
        <f>Baseline!B76</f>
        <v>45</v>
      </c>
      <c r="C74" s="44">
        <f>Baseline!C76</f>
        <v>0</v>
      </c>
      <c r="D74" s="44">
        <f>Baseline!D76</f>
        <v>0</v>
      </c>
      <c r="E74" s="2">
        <f>IF(C74=1,(1+Baseline!$B$9)^(A74-Baseline!$B$8),0)</f>
        <v>0</v>
      </c>
      <c r="F74" s="34">
        <f t="shared" si="0"/>
        <v>0</v>
      </c>
      <c r="G74" s="45">
        <f>Baseline!F76</f>
        <v>0</v>
      </c>
      <c r="H74" s="34">
        <f t="shared" si="1"/>
        <v>0</v>
      </c>
    </row>
    <row r="75" spans="1:8">
      <c r="A75" s="44">
        <f>Baseline!A77</f>
        <v>2073</v>
      </c>
      <c r="B75" s="44">
        <f>Baseline!B77</f>
        <v>46</v>
      </c>
      <c r="C75" s="44">
        <f>Baseline!C77</f>
        <v>0</v>
      </c>
      <c r="D75" s="44">
        <f>Baseline!D77</f>
        <v>0</v>
      </c>
      <c r="E75" s="2">
        <f>IF(C75=1,(1+Baseline!$B$9)^(A75-Baseline!$B$8),0)</f>
        <v>0</v>
      </c>
      <c r="F75" s="34">
        <f t="shared" si="0"/>
        <v>0</v>
      </c>
      <c r="G75" s="45">
        <f>Baseline!F77</f>
        <v>0</v>
      </c>
      <c r="H75" s="34">
        <f t="shared" si="1"/>
        <v>0</v>
      </c>
    </row>
    <row r="76" spans="1:8">
      <c r="A76" s="44">
        <f>Baseline!A78</f>
        <v>2074</v>
      </c>
      <c r="B76" s="44">
        <f>Baseline!B78</f>
        <v>47</v>
      </c>
      <c r="C76" s="44">
        <f>Baseline!C78</f>
        <v>0</v>
      </c>
      <c r="D76" s="44">
        <f>Baseline!D78</f>
        <v>0</v>
      </c>
      <c r="E76" s="2">
        <f>IF(C76=1,(1+Baseline!$B$9)^(A76-Baseline!$B$8),0)</f>
        <v>0</v>
      </c>
      <c r="F76" s="34">
        <f t="shared" si="0"/>
        <v>0</v>
      </c>
      <c r="G76" s="45">
        <f>Baseline!F78</f>
        <v>0</v>
      </c>
      <c r="H76" s="34">
        <f t="shared" si="1"/>
        <v>0</v>
      </c>
    </row>
    <row r="77" spans="1:8">
      <c r="A77" s="44">
        <f>Baseline!A79</f>
        <v>2075</v>
      </c>
      <c r="B77" s="44">
        <f>Baseline!B79</f>
        <v>48</v>
      </c>
      <c r="C77" s="44">
        <f>Baseline!C79</f>
        <v>0</v>
      </c>
      <c r="D77" s="44">
        <f>Baseline!D79</f>
        <v>0</v>
      </c>
      <c r="E77" s="2">
        <f>IF(C77=1,(1+Baseline!$B$9)^(A77-Baseline!$B$8),0)</f>
        <v>0</v>
      </c>
      <c r="F77" s="34">
        <f t="shared" si="0"/>
        <v>0</v>
      </c>
      <c r="G77" s="45">
        <f>Baseline!F79</f>
        <v>0</v>
      </c>
      <c r="H77" s="34">
        <f t="shared" si="1"/>
        <v>0</v>
      </c>
    </row>
    <row r="78" spans="1:8">
      <c r="A78" s="44">
        <f>Baseline!A80</f>
        <v>2076</v>
      </c>
      <c r="B78" s="44">
        <f>Baseline!B80</f>
        <v>49</v>
      </c>
      <c r="C78" s="44">
        <f>Baseline!C80</f>
        <v>0</v>
      </c>
      <c r="D78" s="44">
        <f>Baseline!D80</f>
        <v>0</v>
      </c>
      <c r="E78" s="2">
        <f>IF(C78=1,(1+Baseline!$B$9)^(A78-Baseline!$B$8),0)</f>
        <v>0</v>
      </c>
      <c r="F78" s="34">
        <f t="shared" si="0"/>
        <v>0</v>
      </c>
      <c r="G78" s="45">
        <f>Baseline!F80</f>
        <v>0</v>
      </c>
      <c r="H78" s="34">
        <f t="shared" si="1"/>
        <v>0</v>
      </c>
    </row>
    <row r="79" spans="1:8">
      <c r="A79" s="44">
        <f>Baseline!A81</f>
        <v>2077</v>
      </c>
      <c r="B79" s="44">
        <f>Baseline!B81</f>
        <v>50</v>
      </c>
      <c r="C79" s="44">
        <f>Baseline!C81</f>
        <v>0</v>
      </c>
      <c r="D79" s="44">
        <f>Baseline!D81</f>
        <v>0</v>
      </c>
      <c r="E79" s="2">
        <f>IF(C79=1,(1+Baseline!$B$9)^(A79-Baseline!$B$8),0)</f>
        <v>0</v>
      </c>
      <c r="F79" s="34">
        <f t="shared" si="0"/>
        <v>0</v>
      </c>
      <c r="G79" s="45">
        <f>Baseline!F81</f>
        <v>0</v>
      </c>
      <c r="H79" s="34">
        <f t="shared" si="1"/>
        <v>0</v>
      </c>
    </row>
  </sheetData>
  <sheetProtection algorithmName="SHA-512" hashValue="2GZjV/bds6GukgrgMR+0/Oc0j1N96h4de/xeO4mu5+yjqPaOdIiw3+7e5XffaFLT60dRviBbIkoh8B5xpHyOqQ==" saltValue="JDapxiXZuH8Ut4Y442JDsA==" spinCount="100000" sheet="1" objects="1" scenarios="1"/>
  <mergeCells count="5">
    <mergeCell ref="A3:K3"/>
    <mergeCell ref="A9:K9"/>
    <mergeCell ref="A17:K17"/>
    <mergeCell ref="A27:K27"/>
    <mergeCell ref="A1:K1"/>
  </mergeCells>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B869B-78AA-4F74-AD93-093F4DC871DB}">
  <sheetPr codeName="Sheet14">
    <tabColor rgb="FFFFFF00"/>
  </sheetPr>
  <dimension ref="A1:K41"/>
  <sheetViews>
    <sheetView zoomScale="70" zoomScaleNormal="70" workbookViewId="0">
      <selection activeCell="D14" sqref="D14"/>
    </sheetView>
  </sheetViews>
  <sheetFormatPr defaultColWidth="8.75" defaultRowHeight="15.75"/>
  <cols>
    <col min="1" max="1" width="37.125" style="2" customWidth="1"/>
    <col min="2" max="2" width="30.875" style="2" customWidth="1"/>
    <col min="3" max="3" width="26.375" style="2" customWidth="1"/>
    <col min="4" max="4" width="22.25" style="2" customWidth="1"/>
    <col min="5" max="5" width="23.875" style="2" customWidth="1"/>
    <col min="6" max="6" width="19.5" style="2" customWidth="1"/>
    <col min="7" max="7" width="22.5" style="2" customWidth="1"/>
    <col min="8" max="8" width="22.125" style="2" customWidth="1"/>
    <col min="9" max="9" width="14.25" style="2" customWidth="1"/>
    <col min="10" max="10" width="18.5" style="2" customWidth="1"/>
    <col min="11" max="11" width="17" style="2" customWidth="1"/>
    <col min="12" max="12" width="19.125" style="2" customWidth="1"/>
    <col min="13" max="14" width="17.25" style="2" customWidth="1"/>
    <col min="15" max="15" width="24.5" style="2" customWidth="1"/>
    <col min="16" max="16384" width="8.75" style="2"/>
  </cols>
  <sheetData>
    <row r="1" spans="1:11" ht="30" customHeight="1">
      <c r="A1" s="133" t="s">
        <v>1089</v>
      </c>
      <c r="B1" s="133"/>
      <c r="C1" s="133"/>
      <c r="D1" s="133"/>
      <c r="E1" s="133"/>
      <c r="F1" s="133"/>
      <c r="G1" s="133"/>
      <c r="H1" s="133"/>
      <c r="I1" s="133"/>
      <c r="J1" s="133"/>
      <c r="K1" s="133"/>
    </row>
    <row r="3" spans="1:11" ht="22.9" customHeight="1">
      <c r="A3" s="136" t="s">
        <v>931</v>
      </c>
      <c r="B3" s="136"/>
      <c r="C3" s="136"/>
      <c r="D3" s="136"/>
      <c r="E3" s="136"/>
      <c r="F3" s="136"/>
      <c r="G3" s="136"/>
      <c r="H3" s="136"/>
      <c r="I3" s="136"/>
      <c r="J3" s="136"/>
      <c r="K3" s="136"/>
    </row>
    <row r="4" spans="1:11">
      <c r="A4" s="2" t="s">
        <v>123</v>
      </c>
      <c r="B4" s="35" t="str">
        <f>'Scenario Inputs'!$D$37</f>
        <v>Calculator default</v>
      </c>
      <c r="C4" s="2" t="s">
        <v>1090</v>
      </c>
      <c r="D4" s="35" t="str">
        <f>'Scenario Inputs'!$D$38</f>
        <v>Equal</v>
      </c>
      <c r="E4" s="2" t="s">
        <v>180</v>
      </c>
      <c r="F4" s="35" t="str">
        <f>'Scenario Inputs'!$B$7</f>
        <v>Statewide</v>
      </c>
    </row>
    <row r="5" spans="1:11">
      <c r="A5" s="2" t="s">
        <v>122</v>
      </c>
      <c r="B5" s="55">
        <f>'Scenario Inputs'!$B$37</f>
        <v>1.4</v>
      </c>
      <c r="C5" s="2" t="s">
        <v>125</v>
      </c>
      <c r="D5" s="55">
        <f>'Scenario Inputs'!$B$38</f>
        <v>1</v>
      </c>
      <c r="E5" s="2" t="s">
        <v>128</v>
      </c>
      <c r="F5" s="55">
        <f>'Scenario Inputs'!$B$39</f>
        <v>1.8</v>
      </c>
    </row>
    <row r="7" spans="1:11">
      <c r="A7" s="2" t="s">
        <v>1091</v>
      </c>
      <c r="B7" s="35">
        <f>'Travel Time Savings'!$B$6+Safety!$B$6+VOC!$B$6+Emissions!$B$6+Health!$B$6+Noise!$B$6</f>
        <v>-5836597.8956291545</v>
      </c>
      <c r="C7" s="2" t="s">
        <v>1092</v>
      </c>
      <c r="D7" s="35">
        <f>B7-B8</f>
        <v>-5836597.8956291545</v>
      </c>
    </row>
    <row r="8" spans="1:11">
      <c r="A8" s="2" t="s">
        <v>184</v>
      </c>
      <c r="B8" s="35">
        <f>'Scenario Inputs'!$B$18</f>
        <v>0</v>
      </c>
      <c r="C8" s="2" t="s">
        <v>1093</v>
      </c>
      <c r="D8" s="35">
        <f>B9-B8</f>
        <v>-12617783.809340125</v>
      </c>
    </row>
    <row r="9" spans="1:11">
      <c r="A9" s="2" t="s">
        <v>1094</v>
      </c>
      <c r="B9" s="35">
        <f>SUM(E28:E32)</f>
        <v>-12617783.809340125</v>
      </c>
      <c r="C9" s="2" t="s">
        <v>1095</v>
      </c>
      <c r="D9" s="99" t="str">
        <f>IF(B8=0,"",B9/B8)</f>
        <v/>
      </c>
    </row>
    <row r="12" spans="1:11" ht="22.9" customHeight="1">
      <c r="A12" s="136" t="s">
        <v>1096</v>
      </c>
      <c r="B12" s="136"/>
      <c r="C12" s="136"/>
      <c r="D12" s="136"/>
      <c r="E12" s="136"/>
      <c r="F12" s="136"/>
      <c r="G12" s="136"/>
      <c r="H12" s="136"/>
      <c r="I12" s="136"/>
      <c r="J12" s="136"/>
      <c r="K12" s="136"/>
    </row>
    <row r="13" spans="1:11">
      <c r="A13" s="24" t="s">
        <v>1097</v>
      </c>
      <c r="B13" s="24" t="s">
        <v>1098</v>
      </c>
      <c r="C13" s="24" t="s">
        <v>1099</v>
      </c>
      <c r="D13" s="24" t="s">
        <v>1100</v>
      </c>
      <c r="E13" s="24" t="s">
        <v>1101</v>
      </c>
      <c r="F13" s="24" t="s">
        <v>1102</v>
      </c>
    </row>
    <row r="14" spans="1:11">
      <c r="A14" s="2" t="s">
        <v>134</v>
      </c>
      <c r="B14" s="42">
        <f>'Scenario Inputs'!$B$43</f>
        <v>18076</v>
      </c>
      <c r="C14" s="42">
        <f>IF(COUNTIF($B$14:$B$18,"&gt;0")=5,AVERAGE($B$14:$B$18),"")</f>
        <v>72737.8</v>
      </c>
      <c r="D14" s="2">
        <f>IF(OR(B14="",C14=""),"",IF('Scenario Inputs'!$B$8="Yes",(C14/B14)^'Scenario Inputs'!$B$37,1))</f>
        <v>7.0229723772361679</v>
      </c>
      <c r="E14" s="2">
        <f>IF(OR(B14="",C14=""),"",IF('Scenario Inputs'!$B$8="Yes",(C14/B14)^'Scenario Inputs'!$B$38,1))</f>
        <v>4.0239986722726266</v>
      </c>
      <c r="F14" s="2">
        <f>IF(OR(B14="",C14=""),"",IF('Scenario Inputs'!$B$8="Yes",(C14/B14)^'Scenario Inputs'!$B$39,1))</f>
        <v>12.25699733731936</v>
      </c>
    </row>
    <row r="15" spans="1:11">
      <c r="A15" s="2" t="s">
        <v>136</v>
      </c>
      <c r="B15" s="42">
        <f>'Scenario Inputs'!$B$44</f>
        <v>50078</v>
      </c>
      <c r="C15" s="42">
        <f t="shared" ref="C15:C18" si="0">IF(COUNTIF($B$14:$B$18,"&gt;0")=5,AVERAGE($B$14:$B$18),"")</f>
        <v>72737.8</v>
      </c>
      <c r="D15" s="2">
        <f>IF(OR(B15="",C15=""),"",IF('Scenario Inputs'!$B$8="Yes",(C15/B15)^'Scenario Inputs'!$B$37,1))</f>
        <v>1.6863917146327647</v>
      </c>
      <c r="E15" s="2">
        <f>IF(OR(B15="",C15=""),"",IF('Scenario Inputs'!$B$8="Yes",(C15/B15)^'Scenario Inputs'!$B$38,1))</f>
        <v>1.452490115419945</v>
      </c>
      <c r="F15" s="2">
        <f>IF(OR(B15="",C15=""),"",IF('Scenario Inputs'!$B$8="Yes",(C15/B15)^'Scenario Inputs'!$B$39,1))</f>
        <v>1.9579596342793708</v>
      </c>
    </row>
    <row r="16" spans="1:11">
      <c r="A16" s="2" t="s">
        <v>137</v>
      </c>
      <c r="B16" s="42">
        <f>'Scenario Inputs'!$B$45</f>
        <v>83471</v>
      </c>
      <c r="C16" s="42">
        <f t="shared" si="0"/>
        <v>72737.8</v>
      </c>
      <c r="D16" s="2">
        <f>IF(OR(B16="",C16=""),"",IF('Scenario Inputs'!$B$8="Yes",(C16/B16)^'Scenario Inputs'!$B$37,1))</f>
        <v>0.8247348811721793</v>
      </c>
      <c r="E16" s="2">
        <f>IF(OR(B16="",C16=""),"",IF('Scenario Inputs'!$B$8="Yes",(C16/B16)^'Scenario Inputs'!$B$38,1))</f>
        <v>0.87141402403229873</v>
      </c>
      <c r="F16" s="2">
        <f>IF(OR(B16="",C16=""),"",IF('Scenario Inputs'!$B$8="Yes",(C16/B16)^'Scenario Inputs'!$B$39,1))</f>
        <v>0.78055620573404683</v>
      </c>
    </row>
    <row r="17" spans="1:11">
      <c r="A17" s="2" t="s">
        <v>138</v>
      </c>
      <c r="B17" s="42">
        <f>'Scenario Inputs'!$B$46</f>
        <v>83471</v>
      </c>
      <c r="C17" s="42">
        <f t="shared" si="0"/>
        <v>72737.8</v>
      </c>
      <c r="D17" s="2">
        <f>IF(OR(B17="",C17=""),"",IF('Scenario Inputs'!$B$8="Yes",(C17/B17)^'Scenario Inputs'!$B$37,1))</f>
        <v>0.8247348811721793</v>
      </c>
      <c r="E17" s="2">
        <f>IF(OR(B17="",C17=""),"",IF('Scenario Inputs'!$B$8="Yes",(C17/B17)^'Scenario Inputs'!$B$38,1))</f>
        <v>0.87141402403229873</v>
      </c>
      <c r="F17" s="2">
        <f>IF(OR(B17="",C17=""),"",IF('Scenario Inputs'!$B$8="Yes",(C17/B17)^'Scenario Inputs'!$B$39,1))</f>
        <v>0.78055620573404683</v>
      </c>
    </row>
    <row r="18" spans="1:11">
      <c r="A18" s="2" t="s">
        <v>139</v>
      </c>
      <c r="B18" s="42">
        <f>'Scenario Inputs'!$B$47</f>
        <v>128593</v>
      </c>
      <c r="C18" s="42">
        <f t="shared" si="0"/>
        <v>72737.8</v>
      </c>
      <c r="D18" s="2">
        <f>IF(OR(B18="",C18=""),"",IF('Scenario Inputs'!$B$8="Yes",(C18/B18)^'Scenario Inputs'!$B$37,1))</f>
        <v>0.45036016169552118</v>
      </c>
      <c r="E18" s="2">
        <f>IF(OR(B18="",C18=""),"",IF('Scenario Inputs'!$B$8="Yes",(C18/B18)^'Scenario Inputs'!$B$38,1))</f>
        <v>0.56564354202794864</v>
      </c>
      <c r="F18" s="2">
        <f>IF(OR(B18="",C18=""),"",IF('Scenario Inputs'!$B$8="Yes",(C18/B18)^'Scenario Inputs'!$B$39,1))</f>
        <v>0.3585725994771356</v>
      </c>
    </row>
    <row r="21" spans="1:11" ht="22.9" customHeight="1">
      <c r="A21" s="136" t="s">
        <v>1103</v>
      </c>
      <c r="B21" s="136"/>
      <c r="C21" s="136"/>
      <c r="D21" s="136"/>
      <c r="E21" s="136"/>
      <c r="F21" s="136"/>
      <c r="G21" s="136"/>
      <c r="H21" s="136"/>
      <c r="I21" s="136"/>
      <c r="J21" s="136"/>
      <c r="K21" s="136"/>
    </row>
    <row r="22" spans="1:11">
      <c r="A22" s="24" t="s">
        <v>947</v>
      </c>
      <c r="B22" s="24" t="s">
        <v>57</v>
      </c>
    </row>
    <row r="23" spans="1:11">
      <c r="A23" s="2" t="s">
        <v>1104</v>
      </c>
      <c r="B23" s="2">
        <f>COUNTIF('Scenario Inputs'!$D$43:$D$47,TRUE())</f>
        <v>2</v>
      </c>
    </row>
    <row r="24" spans="1:11">
      <c r="A24" s="2" t="s">
        <v>1090</v>
      </c>
      <c r="B24" s="2" t="str">
        <f>'Scenario Inputs'!$D$38</f>
        <v>Equal</v>
      </c>
    </row>
    <row r="25" spans="1:11">
      <c r="A25" s="2" t="s">
        <v>1105</v>
      </c>
      <c r="B25" s="34">
        <f>$B$7</f>
        <v>-5836597.8956291545</v>
      </c>
    </row>
    <row r="27" spans="1:11">
      <c r="A27" s="24" t="s">
        <v>130</v>
      </c>
      <c r="B27" s="24" t="s">
        <v>1106</v>
      </c>
      <c r="C27" s="24" t="s">
        <v>219</v>
      </c>
      <c r="D27" s="24" t="s">
        <v>1107</v>
      </c>
      <c r="E27" s="24" t="s">
        <v>220</v>
      </c>
    </row>
    <row r="28" spans="1:11">
      <c r="A28" s="2" t="s">
        <v>221</v>
      </c>
      <c r="B28" s="27">
        <f>IF($B$24="Equal",0.2,IF($B$23=0,0,IF('Scenario Inputs'!$D$43=TRUE(),1/$B$23,0)))</f>
        <v>0.2</v>
      </c>
      <c r="C28" s="34">
        <f>$B$25*B28</f>
        <v>-1167319.5791258309</v>
      </c>
      <c r="D28" s="2">
        <f>D14</f>
        <v>7.0229723772361679</v>
      </c>
      <c r="E28" s="34">
        <f>C28*D28</f>
        <v>-8198053.15960766</v>
      </c>
    </row>
    <row r="29" spans="1:11">
      <c r="A29" s="2" t="s">
        <v>222</v>
      </c>
      <c r="B29" s="27">
        <f>IF($B$24="Equal",0.2,IF($B$23=0,0,IF('Scenario Inputs'!$D$44=TRUE(),1/$B$23,0)))</f>
        <v>0.2</v>
      </c>
      <c r="C29" s="34">
        <f t="shared" ref="C29:C32" si="1">$B$25*B29</f>
        <v>-1167319.5791258309</v>
      </c>
      <c r="D29" s="2">
        <f t="shared" ref="D29:D32" si="2">D15</f>
        <v>1.6863917146327647</v>
      </c>
      <c r="E29" s="34">
        <f t="shared" ref="E29:E32" si="3">C29*D29</f>
        <v>-1968558.0665664072</v>
      </c>
    </row>
    <row r="30" spans="1:11">
      <c r="A30" s="2" t="s">
        <v>223</v>
      </c>
      <c r="B30" s="27">
        <f>IF($B$24="Equal",0.2,IF($B$23=0,0,IF('Scenario Inputs'!$D$45=TRUE(),1/$B$23,0)))</f>
        <v>0.2</v>
      </c>
      <c r="C30" s="34">
        <f t="shared" si="1"/>
        <v>-1167319.5791258309</v>
      </c>
      <c r="D30" s="2">
        <f t="shared" si="2"/>
        <v>0.8247348811721793</v>
      </c>
      <c r="E30" s="34">
        <f t="shared" si="3"/>
        <v>-962729.17438030045</v>
      </c>
    </row>
    <row r="31" spans="1:11">
      <c r="A31" s="2" t="s">
        <v>224</v>
      </c>
      <c r="B31" s="27">
        <f>IF($B$24="Equal",0.2,IF($B$23=0,0,IF('Scenario Inputs'!$D$46=TRUE(),1/$B$23,0)))</f>
        <v>0.2</v>
      </c>
      <c r="C31" s="34">
        <f t="shared" si="1"/>
        <v>-1167319.5791258309</v>
      </c>
      <c r="D31" s="2">
        <f t="shared" si="2"/>
        <v>0.8247348811721793</v>
      </c>
      <c r="E31" s="34">
        <f t="shared" si="3"/>
        <v>-962729.17438030045</v>
      </c>
    </row>
    <row r="32" spans="1:11">
      <c r="A32" s="2" t="s">
        <v>225</v>
      </c>
      <c r="B32" s="27">
        <f>IF($B$24="Equal",0.2,IF($B$23=0,0,IF('Scenario Inputs'!$D$47=TRUE(),1/$B$23,0)))</f>
        <v>0.2</v>
      </c>
      <c r="C32" s="34">
        <f t="shared" si="1"/>
        <v>-1167319.5791258309</v>
      </c>
      <c r="D32" s="2">
        <f t="shared" si="2"/>
        <v>0.45036016169552118</v>
      </c>
      <c r="E32" s="34">
        <f t="shared" si="3"/>
        <v>-525714.23440545693</v>
      </c>
    </row>
    <row r="33" spans="1:11">
      <c r="A33" s="2" t="s">
        <v>226</v>
      </c>
      <c r="B33" s="27">
        <f>SUM(B28:B32)</f>
        <v>1</v>
      </c>
      <c r="C33" s="34">
        <f>SUM(C28:C32)</f>
        <v>-5836597.8956291545</v>
      </c>
      <c r="E33" s="34">
        <f>SUM(E28:E32)</f>
        <v>-12617783.809340125</v>
      </c>
    </row>
    <row r="36" spans="1:11" ht="22.9" customHeight="1">
      <c r="A36" s="136" t="s">
        <v>1108</v>
      </c>
      <c r="B36" s="136"/>
      <c r="C36" s="136"/>
      <c r="D36" s="136"/>
      <c r="E36" s="136"/>
      <c r="F36" s="136"/>
      <c r="G36" s="136"/>
      <c r="H36" s="136"/>
      <c r="I36" s="136"/>
      <c r="J36" s="136"/>
      <c r="K36" s="136"/>
    </row>
    <row r="37" spans="1:11">
      <c r="A37" s="24" t="s">
        <v>228</v>
      </c>
      <c r="B37" s="24" t="s">
        <v>229</v>
      </c>
      <c r="C37" s="24" t="s">
        <v>230</v>
      </c>
      <c r="D37" s="24" t="s">
        <v>231</v>
      </c>
      <c r="E37" s="24" t="s">
        <v>232</v>
      </c>
      <c r="F37" s="24" t="s">
        <v>233</v>
      </c>
    </row>
    <row r="38" spans="1:11">
      <c r="A38" s="2" t="s">
        <v>234</v>
      </c>
      <c r="B38" s="54">
        <v>0</v>
      </c>
      <c r="C38" s="34">
        <f>B7</f>
        <v>-5836597.8956291545</v>
      </c>
      <c r="D38" s="34">
        <f>$B$8</f>
        <v>0</v>
      </c>
      <c r="E38" s="34">
        <f>C38-D38</f>
        <v>-5836597.8956291545</v>
      </c>
      <c r="F38" s="2" t="str">
        <f>IF(D38=0,"",C38/D38)</f>
        <v/>
      </c>
    </row>
    <row r="39" spans="1:11">
      <c r="A39" s="2" t="s">
        <v>125</v>
      </c>
      <c r="B39" s="54">
        <f>'Scenario Inputs'!$B$38</f>
        <v>1</v>
      </c>
      <c r="C39" s="34">
        <f>SUMPRODUCT(C28:C32,E14:E18)</f>
        <v>-9087536.6717073936</v>
      </c>
      <c r="D39" s="34">
        <f>$B$8</f>
        <v>0</v>
      </c>
      <c r="E39" s="34">
        <f t="shared" ref="E39:E41" si="4">C39-D39</f>
        <v>-9087536.6717073936</v>
      </c>
      <c r="F39" s="2" t="str">
        <f t="shared" ref="F39:F41" si="5">IF(D39=0,"",C39/D39)</f>
        <v/>
      </c>
    </row>
    <row r="40" spans="1:11">
      <c r="A40" s="2" t="s">
        <v>122</v>
      </c>
      <c r="B40" s="54">
        <f>'Scenario Inputs'!$B$37</f>
        <v>1.4</v>
      </c>
      <c r="C40" s="34">
        <f>SUMPRODUCT(C28:C32,D14:D18)</f>
        <v>-12617783.809340125</v>
      </c>
      <c r="D40" s="34">
        <f>$B$8</f>
        <v>0</v>
      </c>
      <c r="E40" s="34">
        <f t="shared" si="4"/>
        <v>-12617783.809340125</v>
      </c>
      <c r="F40" s="2" t="str">
        <f t="shared" si="5"/>
        <v/>
      </c>
    </row>
    <row r="41" spans="1:11">
      <c r="A41" s="2" t="s">
        <v>128</v>
      </c>
      <c r="B41" s="54">
        <f>'Scenario Inputs'!$B$39</f>
        <v>1.8</v>
      </c>
      <c r="C41" s="34">
        <f>SUMPRODUCT(C28:C32,F14:F18)</f>
        <v>-18834283.488409176</v>
      </c>
      <c r="D41" s="34">
        <f>$B$8</f>
        <v>0</v>
      </c>
      <c r="E41" s="34">
        <f t="shared" si="4"/>
        <v>-18834283.488409176</v>
      </c>
      <c r="F41" s="2" t="str">
        <f t="shared" si="5"/>
        <v/>
      </c>
    </row>
  </sheetData>
  <sheetProtection algorithmName="SHA-512" hashValue="VPccIU67UrzfKYCjd990qM/tYMU2MT0dxpU1wODZwc4feHSh4+CQ6FFV+o/PwRuusdzyW/DQuLq3oK17U0Rgqw==" saltValue="L/gRgxp/1zLGyxI3drv0kg==" spinCount="100000" sheet="1" objects="1" scenarios="1"/>
  <mergeCells count="5">
    <mergeCell ref="A3:K3"/>
    <mergeCell ref="A12:K12"/>
    <mergeCell ref="A21:K21"/>
    <mergeCell ref="A1:K1"/>
    <mergeCell ref="A36:K36"/>
  </mergeCells>
  <phoneticPr fontId="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5DD5C-2572-444C-A1F4-1057059B6B7E}">
  <sheetPr codeName="Sheet19">
    <tabColor theme="8" tint="0.59999389629810485"/>
  </sheetPr>
  <dimension ref="A1:L68"/>
  <sheetViews>
    <sheetView zoomScale="70" zoomScaleNormal="70" workbookViewId="0">
      <selection activeCell="F27" sqref="F27"/>
    </sheetView>
  </sheetViews>
  <sheetFormatPr defaultColWidth="8.75" defaultRowHeight="15.75"/>
  <cols>
    <col min="1" max="1" width="37.125" style="2" customWidth="1"/>
    <col min="2" max="2" width="20" style="2" customWidth="1"/>
    <col min="3" max="3" width="26.375" style="2" customWidth="1"/>
    <col min="4" max="4" width="16.875" style="2" customWidth="1"/>
    <col min="5" max="5" width="23.875" style="2" customWidth="1"/>
    <col min="6" max="6" width="19.5" style="2" customWidth="1"/>
    <col min="7" max="7" width="22.5" style="2" customWidth="1"/>
    <col min="8" max="8" width="15.5" style="2" customWidth="1"/>
    <col min="9" max="9" width="22.875" style="2" customWidth="1"/>
    <col min="10" max="10" width="13.5" style="2" customWidth="1"/>
    <col min="11" max="11" width="22.625" style="2" customWidth="1"/>
    <col min="12" max="12" width="16.25" style="2" customWidth="1"/>
    <col min="13" max="14" width="17.25" style="2" customWidth="1"/>
    <col min="15" max="15" width="24.5" style="2" customWidth="1"/>
    <col min="16" max="16" width="19.25" style="2" customWidth="1"/>
    <col min="17" max="16384" width="8.75" style="2"/>
  </cols>
  <sheetData>
    <row r="1" spans="1:11" ht="30" customHeight="1">
      <c r="A1" s="133" t="s">
        <v>1109</v>
      </c>
      <c r="B1" s="133"/>
      <c r="C1" s="133"/>
      <c r="D1" s="133"/>
      <c r="E1" s="133"/>
      <c r="F1" s="133"/>
      <c r="G1" s="133"/>
      <c r="H1" s="133"/>
      <c r="I1" s="133"/>
      <c r="J1" s="133"/>
      <c r="K1" s="133"/>
    </row>
    <row r="2" spans="1:11">
      <c r="A2" s="2" t="s">
        <v>1110</v>
      </c>
      <c r="B2" s="57">
        <f>'Scenario Inputs'!$B$5</f>
        <v>7.0000000000000007E-2</v>
      </c>
      <c r="C2" s="2" t="s">
        <v>1111</v>
      </c>
      <c r="D2" s="57">
        <f>'Scenario Inputs'!$D$56</f>
        <v>0.03</v>
      </c>
    </row>
    <row r="3" spans="1:11">
      <c r="A3" s="2" t="s">
        <v>1112</v>
      </c>
      <c r="B3" s="55">
        <f>'Scenario Inputs'!$B$6</f>
        <v>30</v>
      </c>
      <c r="C3" s="2" t="s">
        <v>1113</v>
      </c>
      <c r="D3" s="55">
        <f>'Scenario Inputs'!$D$57</f>
        <v>20</v>
      </c>
    </row>
    <row r="5" spans="1:11">
      <c r="A5" s="2" t="s">
        <v>1114</v>
      </c>
      <c r="B5" s="35">
        <f>'Travel Time Savings'!$B$6+Safety!$B$6+VOC!$B$6+Emissions!$B$6+Health!$B$6+Noise!$B$6</f>
        <v>-5836597.8956291545</v>
      </c>
      <c r="C5" s="2" t="s">
        <v>1115</v>
      </c>
      <c r="D5" s="35">
        <f>B5-B6</f>
        <v>-5836597.8956291545</v>
      </c>
      <c r="E5" s="2" t="s">
        <v>1116</v>
      </c>
      <c r="F5" s="35">
        <f>F11</f>
        <v>-8891564.8964774292</v>
      </c>
      <c r="G5" s="2" t="s">
        <v>1117</v>
      </c>
      <c r="H5" s="35">
        <f>F12</f>
        <v>-4972190.59757818</v>
      </c>
      <c r="I5" s="2" t="s">
        <v>1118</v>
      </c>
      <c r="J5" s="35">
        <f>F13</f>
        <v>-4669278.3165033236</v>
      </c>
    </row>
    <row r="6" spans="1:11">
      <c r="A6" s="2" t="s">
        <v>1119</v>
      </c>
      <c r="B6" s="35">
        <f>'Scenario Inputs'!$B$18</f>
        <v>0</v>
      </c>
      <c r="C6" s="2" t="s">
        <v>1120</v>
      </c>
      <c r="D6" s="99" t="str">
        <f>IF(B6=0,"",B5/B6)</f>
        <v/>
      </c>
      <c r="E6" s="2" t="s">
        <v>1121</v>
      </c>
      <c r="F6" s="99" t="str">
        <f>G11</f>
        <v/>
      </c>
      <c r="G6" s="2" t="s">
        <v>1122</v>
      </c>
      <c r="H6" s="99" t="str">
        <f>G12</f>
        <v/>
      </c>
      <c r="I6" s="2" t="s">
        <v>1123</v>
      </c>
      <c r="J6" s="99" t="str">
        <f>G13</f>
        <v/>
      </c>
    </row>
    <row r="9" spans="1:11" ht="22.9" customHeight="1">
      <c r="A9" s="136" t="s">
        <v>1124</v>
      </c>
      <c r="B9" s="136"/>
      <c r="C9" s="136"/>
      <c r="D9" s="136"/>
      <c r="E9" s="136"/>
      <c r="F9" s="136"/>
      <c r="G9" s="136"/>
      <c r="H9" s="136"/>
      <c r="I9" s="136"/>
      <c r="J9" s="136"/>
      <c r="K9" s="136"/>
    </row>
    <row r="10" spans="1:11">
      <c r="A10" s="24" t="s">
        <v>280</v>
      </c>
      <c r="B10" s="24" t="s">
        <v>154</v>
      </c>
      <c r="C10" s="24" t="s">
        <v>1125</v>
      </c>
      <c r="D10" s="24" t="s">
        <v>1126</v>
      </c>
      <c r="E10" s="24" t="s">
        <v>1127</v>
      </c>
      <c r="F10" s="24" t="s">
        <v>1128</v>
      </c>
      <c r="G10" s="24" t="s">
        <v>1129</v>
      </c>
      <c r="H10" s="24" t="s">
        <v>1130</v>
      </c>
      <c r="I10" s="24" t="s">
        <v>1131</v>
      </c>
    </row>
    <row r="11" spans="1:11">
      <c r="A11" s="2" t="s">
        <v>177</v>
      </c>
      <c r="B11" s="2" t="str">
        <f>'Scenario Inputs'!$B$56</f>
        <v>Yes</v>
      </c>
      <c r="C11" s="51">
        <f>'Scenario Inputs'!$D$56</f>
        <v>0.03</v>
      </c>
      <c r="D11" s="42">
        <f>SUM(K18:K68)</f>
        <v>-8891564.8964774292</v>
      </c>
      <c r="E11" s="34">
        <f>$B$6</f>
        <v>0</v>
      </c>
      <c r="F11" s="34">
        <f>D11-E11</f>
        <v>-8891564.8964774292</v>
      </c>
      <c r="G11" s="2" t="str">
        <f>IF(E11=0,"",D11/E11)</f>
        <v/>
      </c>
      <c r="H11" s="34">
        <f>IF(B11="Yes",F11-$D$5,"")</f>
        <v>-3054967.0008482747</v>
      </c>
      <c r="I11" s="34" t="str">
        <f>IF(B11="Yes",IFERROR(G11-$D$6,""))</f>
        <v/>
      </c>
    </row>
    <row r="12" spans="1:11">
      <c r="A12" s="2" t="s">
        <v>160</v>
      </c>
      <c r="B12" s="2" t="str">
        <f>'Scenario Inputs'!$B$57</f>
        <v>Yes</v>
      </c>
      <c r="C12" s="39">
        <f>'Scenario Inputs'!$D$57</f>
        <v>20</v>
      </c>
      <c r="D12" s="42">
        <f>SUM(L18:L68)</f>
        <v>-4972190.59757818</v>
      </c>
      <c r="E12" s="34">
        <f>$B$6</f>
        <v>0</v>
      </c>
      <c r="F12" s="34">
        <f t="shared" ref="F12:F13" si="0">D12-E12</f>
        <v>-4972190.59757818</v>
      </c>
      <c r="G12" s="2" t="str">
        <f t="shared" ref="G12:G13" si="1">IF(E12=0,"",D12/E12)</f>
        <v/>
      </c>
      <c r="H12" s="34">
        <f t="shared" ref="H12:H13" si="2">IF(B12="Yes",F12-$D$5,"")</f>
        <v>864407.2980509745</v>
      </c>
      <c r="I12" s="34" t="str">
        <f t="shared" ref="I12:I13" si="3">IF(B12="Yes",IFERROR(G12-$D$6,""))</f>
        <v/>
      </c>
    </row>
    <row r="13" spans="1:11">
      <c r="A13" s="2" t="s">
        <v>162</v>
      </c>
      <c r="B13" s="2" t="str">
        <f>'Scenario Inputs'!$B$58</f>
        <v>Yes</v>
      </c>
      <c r="C13" s="51">
        <f>'Scenario Inputs'!$D$58</f>
        <v>0.8</v>
      </c>
      <c r="D13" s="39">
        <f>B5*C13</f>
        <v>-4669278.3165033236</v>
      </c>
      <c r="E13" s="34">
        <f>$B$6</f>
        <v>0</v>
      </c>
      <c r="F13" s="34">
        <f t="shared" si="0"/>
        <v>-4669278.3165033236</v>
      </c>
      <c r="G13" s="2" t="str">
        <f t="shared" si="1"/>
        <v/>
      </c>
      <c r="H13" s="34">
        <f t="shared" si="2"/>
        <v>1167319.5791258309</v>
      </c>
      <c r="I13" s="34" t="str">
        <f t="shared" si="3"/>
        <v/>
      </c>
    </row>
    <row r="16" spans="1:11" ht="22.9" customHeight="1">
      <c r="A16" s="136" t="s">
        <v>1132</v>
      </c>
      <c r="B16" s="136"/>
      <c r="C16" s="136"/>
      <c r="D16" s="136"/>
      <c r="E16" s="136"/>
      <c r="F16" s="136"/>
      <c r="G16" s="136"/>
      <c r="H16" s="136"/>
      <c r="I16" s="136"/>
      <c r="J16" s="136"/>
      <c r="K16" s="136"/>
    </row>
    <row r="17" spans="1:12">
      <c r="A17" s="24" t="s">
        <v>269</v>
      </c>
      <c r="B17" s="24" t="s">
        <v>270</v>
      </c>
      <c r="C17" s="24" t="s">
        <v>1133</v>
      </c>
      <c r="D17" s="24" t="s">
        <v>209</v>
      </c>
      <c r="E17" s="24" t="s">
        <v>210</v>
      </c>
      <c r="F17" s="24" t="s">
        <v>211</v>
      </c>
      <c r="G17" s="24" t="s">
        <v>212</v>
      </c>
      <c r="H17" s="24" t="s">
        <v>213</v>
      </c>
      <c r="I17" s="24" t="s">
        <v>1066</v>
      </c>
      <c r="J17" s="24" t="s">
        <v>1134</v>
      </c>
      <c r="K17" s="24" t="s">
        <v>1135</v>
      </c>
      <c r="L17" s="24" t="s">
        <v>1136</v>
      </c>
    </row>
    <row r="18" spans="1:12">
      <c r="A18" s="56">
        <f>Baseline!A31</f>
        <v>2027</v>
      </c>
      <c r="B18" s="56">
        <f>Baseline!B31</f>
        <v>0</v>
      </c>
      <c r="C18" s="34">
        <f>'Travel Time Savings'!F38</f>
        <v>-132691.12439602896</v>
      </c>
      <c r="D18" s="34">
        <f>Safety!F35</f>
        <v>0</v>
      </c>
      <c r="E18" s="34">
        <f>VOC!F39</f>
        <v>-223383.93806794976</v>
      </c>
      <c r="F18" s="34">
        <f>Emissions!F35</f>
        <v>0</v>
      </c>
      <c r="G18" s="34">
        <f>Health!F39</f>
        <v>0</v>
      </c>
      <c r="H18" s="34">
        <f>Noise!F29</f>
        <v>0</v>
      </c>
      <c r="I18" s="34">
        <f>SUM(C18:H18)</f>
        <v>-356075.06246397871</v>
      </c>
      <c r="J18" s="34">
        <f>I18*Baseline!F31</f>
        <v>-356075.06246397871</v>
      </c>
      <c r="K18" s="34">
        <f>I18/(1+$C$11)^B18</f>
        <v>-356075.06246397871</v>
      </c>
      <c r="L18" s="34">
        <f>IF(B18&lt;$C$12,J18,0)</f>
        <v>-356075.06246397871</v>
      </c>
    </row>
    <row r="19" spans="1:12">
      <c r="A19" s="56">
        <f>Baseline!A32</f>
        <v>2028</v>
      </c>
      <c r="B19" s="56">
        <f>Baseline!B32</f>
        <v>1</v>
      </c>
      <c r="C19" s="34">
        <f>'Travel Time Savings'!F39</f>
        <v>-149277.51494553257</v>
      </c>
      <c r="D19" s="34">
        <f>Safety!F36</f>
        <v>0</v>
      </c>
      <c r="E19" s="34">
        <f>VOC!F40</f>
        <v>-251306.93032644349</v>
      </c>
      <c r="F19" s="34">
        <f>Emissions!F36</f>
        <v>0</v>
      </c>
      <c r="G19" s="34">
        <f>Health!F40</f>
        <v>0</v>
      </c>
      <c r="H19" s="34">
        <f>Noise!F30</f>
        <v>0</v>
      </c>
      <c r="I19" s="34">
        <f t="shared" ref="I19:I68" si="4">SUM(C19:H19)</f>
        <v>-400584.44527197606</v>
      </c>
      <c r="J19" s="34">
        <f>I19*Baseline!F32</f>
        <v>-374377.98623549164</v>
      </c>
      <c r="K19" s="34">
        <f t="shared" ref="K19:K68" si="5">I19/(1+$C$11)^B19</f>
        <v>-388916.93715725827</v>
      </c>
      <c r="L19" s="34">
        <f t="shared" ref="L19:L68" si="6">IF(B19&lt;$C$12,J19,0)</f>
        <v>-374377.98623549164</v>
      </c>
    </row>
    <row r="20" spans="1:12">
      <c r="A20" s="56">
        <f>Baseline!A33</f>
        <v>2029</v>
      </c>
      <c r="B20" s="56">
        <f>Baseline!B33</f>
        <v>2</v>
      </c>
      <c r="C20" s="34">
        <f>'Travel Time Savings'!F40</f>
        <v>-165863.90549503619</v>
      </c>
      <c r="D20" s="34">
        <f>Safety!F37</f>
        <v>0</v>
      </c>
      <c r="E20" s="34">
        <f>VOC!F41</f>
        <v>-279229.92258493719</v>
      </c>
      <c r="F20" s="34">
        <f>Emissions!F37</f>
        <v>0</v>
      </c>
      <c r="G20" s="34">
        <f>Health!F41</f>
        <v>0</v>
      </c>
      <c r="H20" s="34">
        <f>Noise!F31</f>
        <v>0</v>
      </c>
      <c r="I20" s="34">
        <f t="shared" si="4"/>
        <v>-445093.82807997335</v>
      </c>
      <c r="J20" s="34">
        <f>I20*Baseline!F33</f>
        <v>-388762.18716042739</v>
      </c>
      <c r="K20" s="34">
        <f t="shared" si="5"/>
        <v>-419543.62152886548</v>
      </c>
      <c r="L20" s="34">
        <f t="shared" si="6"/>
        <v>-388762.18716042739</v>
      </c>
    </row>
    <row r="21" spans="1:12">
      <c r="A21" s="56">
        <f>Baseline!A34</f>
        <v>2030</v>
      </c>
      <c r="B21" s="56">
        <f>Baseline!B34</f>
        <v>3</v>
      </c>
      <c r="C21" s="34">
        <f>'Travel Time Savings'!F41</f>
        <v>-165863.90549503619</v>
      </c>
      <c r="D21" s="34">
        <f>Safety!F38</f>
        <v>0</v>
      </c>
      <c r="E21" s="34">
        <f>VOC!F42</f>
        <v>-279229.92258493719</v>
      </c>
      <c r="F21" s="34">
        <f>Emissions!F38</f>
        <v>0</v>
      </c>
      <c r="G21" s="34">
        <f>Health!F42</f>
        <v>0</v>
      </c>
      <c r="H21" s="34">
        <f>Noise!F32</f>
        <v>0</v>
      </c>
      <c r="I21" s="34">
        <f t="shared" si="4"/>
        <v>-445093.82807997335</v>
      </c>
      <c r="J21" s="34">
        <f>I21*Baseline!F34</f>
        <v>-363329.14687890408</v>
      </c>
      <c r="K21" s="34">
        <f t="shared" si="5"/>
        <v>-407323.90439695673</v>
      </c>
      <c r="L21" s="34">
        <f t="shared" si="6"/>
        <v>-363329.14687890408</v>
      </c>
    </row>
    <row r="22" spans="1:12">
      <c r="A22" s="56">
        <f>Baseline!A35</f>
        <v>2031</v>
      </c>
      <c r="B22" s="56">
        <f>Baseline!B35</f>
        <v>4</v>
      </c>
      <c r="C22" s="34">
        <f>'Travel Time Savings'!F42</f>
        <v>-165863.90549503619</v>
      </c>
      <c r="D22" s="34">
        <f>Safety!F39</f>
        <v>0</v>
      </c>
      <c r="E22" s="34">
        <f>VOC!F43</f>
        <v>-279229.92258493719</v>
      </c>
      <c r="F22" s="34">
        <f>Emissions!F39</f>
        <v>0</v>
      </c>
      <c r="G22" s="34">
        <f>Health!F43</f>
        <v>0</v>
      </c>
      <c r="H22" s="34">
        <f>Noise!F33</f>
        <v>0</v>
      </c>
      <c r="I22" s="34">
        <f t="shared" si="4"/>
        <v>-445093.82807997335</v>
      </c>
      <c r="J22" s="34">
        <f>I22*Baseline!F35</f>
        <v>-339559.95035411598</v>
      </c>
      <c r="K22" s="34">
        <f t="shared" si="5"/>
        <v>-395460.10135626869</v>
      </c>
      <c r="L22" s="34">
        <f t="shared" si="6"/>
        <v>-339559.95035411598</v>
      </c>
    </row>
    <row r="23" spans="1:12">
      <c r="A23" s="56">
        <f>Baseline!A36</f>
        <v>2032</v>
      </c>
      <c r="B23" s="56">
        <f>Baseline!B36</f>
        <v>5</v>
      </c>
      <c r="C23" s="34">
        <f>'Travel Time Savings'!F43</f>
        <v>-165863.90549503619</v>
      </c>
      <c r="D23" s="34">
        <f>Safety!F40</f>
        <v>0</v>
      </c>
      <c r="E23" s="34">
        <f>VOC!F44</f>
        <v>-279229.92258493719</v>
      </c>
      <c r="F23" s="34">
        <f>Emissions!F40</f>
        <v>0</v>
      </c>
      <c r="G23" s="34">
        <f>Health!F44</f>
        <v>0</v>
      </c>
      <c r="H23" s="34">
        <f>Noise!F34</f>
        <v>0</v>
      </c>
      <c r="I23" s="34">
        <f t="shared" si="4"/>
        <v>-445093.82807997335</v>
      </c>
      <c r="J23" s="34">
        <f>I23*Baseline!F36</f>
        <v>-317345.74799450091</v>
      </c>
      <c r="K23" s="34">
        <f t="shared" si="5"/>
        <v>-383941.84597695991</v>
      </c>
      <c r="L23" s="34">
        <f t="shared" si="6"/>
        <v>-317345.74799450091</v>
      </c>
    </row>
    <row r="24" spans="1:12">
      <c r="A24" s="56">
        <f>Baseline!A37</f>
        <v>2033</v>
      </c>
      <c r="B24" s="56">
        <f>Baseline!B37</f>
        <v>6</v>
      </c>
      <c r="C24" s="34">
        <f>'Travel Time Savings'!F44</f>
        <v>-165863.90549503619</v>
      </c>
      <c r="D24" s="34">
        <f>Safety!F41</f>
        <v>0</v>
      </c>
      <c r="E24" s="34">
        <f>VOC!F45</f>
        <v>-279229.92258493719</v>
      </c>
      <c r="F24" s="34">
        <f>Emissions!F41</f>
        <v>0</v>
      </c>
      <c r="G24" s="34">
        <f>Health!F45</f>
        <v>0</v>
      </c>
      <c r="H24" s="34">
        <f>Noise!F35</f>
        <v>0</v>
      </c>
      <c r="I24" s="34">
        <f t="shared" si="4"/>
        <v>-445093.82807997335</v>
      </c>
      <c r="J24" s="34">
        <f>I24*Baseline!F37</f>
        <v>-296584.81120981392</v>
      </c>
      <c r="K24" s="34">
        <f t="shared" si="5"/>
        <v>-372759.07376403874</v>
      </c>
      <c r="L24" s="34">
        <f t="shared" si="6"/>
        <v>-296584.81120981392</v>
      </c>
    </row>
    <row r="25" spans="1:12">
      <c r="A25" s="56">
        <f>Baseline!A38</f>
        <v>2034</v>
      </c>
      <c r="B25" s="56">
        <f>Baseline!B38</f>
        <v>7</v>
      </c>
      <c r="C25" s="34">
        <f>'Travel Time Savings'!F45</f>
        <v>-165863.90549503619</v>
      </c>
      <c r="D25" s="34">
        <f>Safety!F42</f>
        <v>0</v>
      </c>
      <c r="E25" s="34">
        <f>VOC!F46</f>
        <v>-279229.92258493719</v>
      </c>
      <c r="F25" s="34">
        <f>Emissions!F42</f>
        <v>0</v>
      </c>
      <c r="G25" s="34">
        <f>Health!F46</f>
        <v>0</v>
      </c>
      <c r="H25" s="34">
        <f>Noise!F36</f>
        <v>0</v>
      </c>
      <c r="I25" s="34">
        <f t="shared" si="4"/>
        <v>-445093.82807997335</v>
      </c>
      <c r="J25" s="34">
        <f>I25*Baseline!F38</f>
        <v>-277182.06655122794</v>
      </c>
      <c r="K25" s="34">
        <f t="shared" si="5"/>
        <v>-361902.01336314442</v>
      </c>
      <c r="L25" s="34">
        <f t="shared" si="6"/>
        <v>-277182.06655122794</v>
      </c>
    </row>
    <row r="26" spans="1:12">
      <c r="A26" s="56">
        <f>Baseline!A39</f>
        <v>2035</v>
      </c>
      <c r="B26" s="56">
        <f>Baseline!B39</f>
        <v>8</v>
      </c>
      <c r="C26" s="34">
        <f>'Travel Time Savings'!F46</f>
        <v>-165863.90549503619</v>
      </c>
      <c r="D26" s="34">
        <f>Safety!F43</f>
        <v>0</v>
      </c>
      <c r="E26" s="34">
        <f>VOC!F47</f>
        <v>-279229.92258493719</v>
      </c>
      <c r="F26" s="34">
        <f>Emissions!F43</f>
        <v>0</v>
      </c>
      <c r="G26" s="34">
        <f>Health!F47</f>
        <v>0</v>
      </c>
      <c r="H26" s="34">
        <f>Noise!F37</f>
        <v>0</v>
      </c>
      <c r="I26" s="34">
        <f t="shared" si="4"/>
        <v>-445093.82807997335</v>
      </c>
      <c r="J26" s="34">
        <f>I26*Baseline!F39</f>
        <v>-259048.66032825044</v>
      </c>
      <c r="K26" s="34">
        <f t="shared" si="5"/>
        <v>-351361.17802247033</v>
      </c>
      <c r="L26" s="34">
        <f t="shared" si="6"/>
        <v>-259048.66032825044</v>
      </c>
    </row>
    <row r="27" spans="1:12">
      <c r="A27" s="56">
        <f>Baseline!A40</f>
        <v>2036</v>
      </c>
      <c r="B27" s="56">
        <f>Baseline!B40</f>
        <v>9</v>
      </c>
      <c r="C27" s="34">
        <f>'Travel Time Savings'!F47</f>
        <v>-165863.90549503619</v>
      </c>
      <c r="D27" s="34">
        <f>Safety!F44</f>
        <v>0</v>
      </c>
      <c r="E27" s="34">
        <f>VOC!F48</f>
        <v>-279229.92258493719</v>
      </c>
      <c r="F27" s="34">
        <f>Emissions!F44</f>
        <v>0</v>
      </c>
      <c r="G27" s="34">
        <f>Health!F48</f>
        <v>0</v>
      </c>
      <c r="H27" s="34">
        <f>Noise!F38</f>
        <v>0</v>
      </c>
      <c r="I27" s="34">
        <f t="shared" si="4"/>
        <v>-445093.82807997335</v>
      </c>
      <c r="J27" s="34">
        <f>I27*Baseline!F40</f>
        <v>-242101.55170864527</v>
      </c>
      <c r="K27" s="34">
        <f t="shared" si="5"/>
        <v>-341127.35730336927</v>
      </c>
      <c r="L27" s="34">
        <f t="shared" si="6"/>
        <v>-242101.55170864527</v>
      </c>
    </row>
    <row r="28" spans="1:12">
      <c r="A28" s="56">
        <f>Baseline!A41</f>
        <v>2037</v>
      </c>
      <c r="B28" s="56">
        <f>Baseline!B41</f>
        <v>9</v>
      </c>
      <c r="C28" s="34">
        <f>'Travel Time Savings'!F48</f>
        <v>-165863.90549503619</v>
      </c>
      <c r="D28" s="34">
        <f>Safety!F45</f>
        <v>0</v>
      </c>
      <c r="E28" s="34">
        <f>VOC!F49</f>
        <v>-279229.92258493719</v>
      </c>
      <c r="F28" s="34">
        <f>Emissions!F45</f>
        <v>0</v>
      </c>
      <c r="G28" s="34">
        <f>Health!F49</f>
        <v>0</v>
      </c>
      <c r="H28" s="34">
        <f>Noise!F39</f>
        <v>0</v>
      </c>
      <c r="I28" s="34">
        <f t="shared" si="4"/>
        <v>-445093.82807997335</v>
      </c>
      <c r="J28" s="34">
        <f>I28*Baseline!F41</f>
        <v>-242101.55170864527</v>
      </c>
      <c r="K28" s="34">
        <f t="shared" si="5"/>
        <v>-341127.35730336927</v>
      </c>
      <c r="L28" s="34">
        <f t="shared" si="6"/>
        <v>-242101.55170864527</v>
      </c>
    </row>
    <row r="29" spans="1:12">
      <c r="A29" s="56">
        <f>Baseline!A42</f>
        <v>2038</v>
      </c>
      <c r="B29" s="56">
        <f>Baseline!B42</f>
        <v>10</v>
      </c>
      <c r="C29" s="34">
        <f>'Travel Time Savings'!F49</f>
        <v>-165863.90549503619</v>
      </c>
      <c r="D29" s="34">
        <f>Safety!F46</f>
        <v>0</v>
      </c>
      <c r="E29" s="34">
        <f>VOC!F50</f>
        <v>-279229.92258493719</v>
      </c>
      <c r="F29" s="34">
        <f>Emissions!F46</f>
        <v>0</v>
      </c>
      <c r="G29" s="34">
        <f>Health!F50</f>
        <v>0</v>
      </c>
      <c r="H29" s="34">
        <f>Noise!F40</f>
        <v>0</v>
      </c>
      <c r="I29" s="34">
        <f t="shared" si="4"/>
        <v>-445093.82807997335</v>
      </c>
      <c r="J29" s="34">
        <f>I29*Baseline!F42</f>
        <v>-226263.13243798623</v>
      </c>
      <c r="K29" s="34">
        <f t="shared" si="5"/>
        <v>-331191.60903239733</v>
      </c>
      <c r="L29" s="34">
        <f t="shared" si="6"/>
        <v>-226263.13243798623</v>
      </c>
    </row>
    <row r="30" spans="1:12">
      <c r="A30" s="56">
        <f>Baseline!A43</f>
        <v>2039</v>
      </c>
      <c r="B30" s="56">
        <f>Baseline!B43</f>
        <v>11</v>
      </c>
      <c r="C30" s="34">
        <f>'Travel Time Savings'!F50</f>
        <v>-165863.90549503619</v>
      </c>
      <c r="D30" s="34">
        <f>Safety!F47</f>
        <v>0</v>
      </c>
      <c r="E30" s="34">
        <f>VOC!F51</f>
        <v>-279229.92258493719</v>
      </c>
      <c r="F30" s="34">
        <f>Emissions!F47</f>
        <v>0</v>
      </c>
      <c r="G30" s="34">
        <f>Health!F51</f>
        <v>0</v>
      </c>
      <c r="H30" s="34">
        <f>Noise!F41</f>
        <v>0</v>
      </c>
      <c r="I30" s="34">
        <f t="shared" si="4"/>
        <v>-445093.82807997335</v>
      </c>
      <c r="J30" s="34">
        <f>I30*Baseline!F43</f>
        <v>-211460.87143737028</v>
      </c>
      <c r="K30" s="34">
        <f t="shared" si="5"/>
        <v>-321545.25148776436</v>
      </c>
      <c r="L30" s="34">
        <f t="shared" si="6"/>
        <v>-211460.87143737028</v>
      </c>
    </row>
    <row r="31" spans="1:12">
      <c r="A31" s="56">
        <f>Baseline!A44</f>
        <v>2040</v>
      </c>
      <c r="B31" s="56">
        <f>Baseline!B44</f>
        <v>12</v>
      </c>
      <c r="C31" s="34">
        <f>'Travel Time Savings'!F51</f>
        <v>-165863.90549503619</v>
      </c>
      <c r="D31" s="34">
        <f>Safety!F48</f>
        <v>0</v>
      </c>
      <c r="E31" s="34">
        <f>VOC!F52</f>
        <v>-279229.92258493719</v>
      </c>
      <c r="F31" s="34">
        <f>Emissions!F48</f>
        <v>0</v>
      </c>
      <c r="G31" s="34">
        <f>Health!F52</f>
        <v>0</v>
      </c>
      <c r="H31" s="34">
        <f>Noise!F42</f>
        <v>0</v>
      </c>
      <c r="I31" s="34">
        <f t="shared" si="4"/>
        <v>-445093.82807997335</v>
      </c>
      <c r="J31" s="34">
        <f>I31*Baseline!F44</f>
        <v>-197626.98265174797</v>
      </c>
      <c r="K31" s="34">
        <f t="shared" si="5"/>
        <v>-312179.85581336351</v>
      </c>
      <c r="L31" s="34">
        <f t="shared" si="6"/>
        <v>-197626.98265174797</v>
      </c>
    </row>
    <row r="32" spans="1:12">
      <c r="A32" s="56">
        <f>Baseline!A45</f>
        <v>2041</v>
      </c>
      <c r="B32" s="56">
        <f>Baseline!B45</f>
        <v>14</v>
      </c>
      <c r="C32" s="34">
        <f>'Travel Time Savings'!F52</f>
        <v>-165863.90549503619</v>
      </c>
      <c r="D32" s="34">
        <f>Safety!F49</f>
        <v>0</v>
      </c>
      <c r="E32" s="34">
        <f>VOC!F53</f>
        <v>-279229.92258493719</v>
      </c>
      <c r="F32" s="34">
        <f>Emissions!F49</f>
        <v>0</v>
      </c>
      <c r="G32" s="34">
        <f>Health!F53</f>
        <v>0</v>
      </c>
      <c r="H32" s="34">
        <f>Noise!F43</f>
        <v>0</v>
      </c>
      <c r="I32" s="34">
        <f t="shared" si="4"/>
        <v>-445093.82807997335</v>
      </c>
      <c r="J32" s="34">
        <f>I32*Baseline!F45</f>
        <v>-172615.0603998148</v>
      </c>
      <c r="K32" s="34">
        <f t="shared" si="5"/>
        <v>-294259.45500364172</v>
      </c>
      <c r="L32" s="34">
        <f t="shared" si="6"/>
        <v>-172615.0603998148</v>
      </c>
    </row>
    <row r="33" spans="1:12">
      <c r="A33" s="56">
        <f>Baseline!A46</f>
        <v>2042</v>
      </c>
      <c r="B33" s="56">
        <f>Baseline!B46</f>
        <v>15</v>
      </c>
      <c r="C33" s="34">
        <f>'Travel Time Savings'!F53</f>
        <v>-165863.90549503619</v>
      </c>
      <c r="D33" s="34">
        <f>Safety!F50</f>
        <v>0</v>
      </c>
      <c r="E33" s="34">
        <f>VOC!F54</f>
        <v>-279229.92258493719</v>
      </c>
      <c r="F33" s="34">
        <f>Emissions!F50</f>
        <v>0</v>
      </c>
      <c r="G33" s="34">
        <f>Health!F54</f>
        <v>0</v>
      </c>
      <c r="H33" s="34">
        <f>Noise!F44</f>
        <v>0</v>
      </c>
      <c r="I33" s="34">
        <f t="shared" si="4"/>
        <v>-445093.82807997335</v>
      </c>
      <c r="J33" s="34">
        <f>I33*Baseline!F46</f>
        <v>-161322.48635496708</v>
      </c>
      <c r="K33" s="34">
        <f t="shared" si="5"/>
        <v>-285688.79126567155</v>
      </c>
      <c r="L33" s="34">
        <f t="shared" si="6"/>
        <v>-161322.48635496708</v>
      </c>
    </row>
    <row r="34" spans="1:12">
      <c r="A34" s="56">
        <f>Baseline!A47</f>
        <v>2043</v>
      </c>
      <c r="B34" s="56">
        <f>Baseline!B47</f>
        <v>16</v>
      </c>
      <c r="C34" s="34">
        <f>'Travel Time Savings'!F54</f>
        <v>-165863.90549503619</v>
      </c>
      <c r="D34" s="34">
        <f>Safety!F51</f>
        <v>0</v>
      </c>
      <c r="E34" s="34">
        <f>VOC!F55</f>
        <v>-279229.92258493719</v>
      </c>
      <c r="F34" s="34">
        <f>Emissions!F51</f>
        <v>0</v>
      </c>
      <c r="G34" s="34">
        <f>Health!F55</f>
        <v>0</v>
      </c>
      <c r="H34" s="34">
        <f>Noise!F45</f>
        <v>0</v>
      </c>
      <c r="I34" s="34">
        <f t="shared" si="4"/>
        <v>-445093.82807997335</v>
      </c>
      <c r="J34" s="34">
        <f>I34*Baseline!F47</f>
        <v>-150768.67883641785</v>
      </c>
      <c r="K34" s="34">
        <f t="shared" si="5"/>
        <v>-277367.75851036079</v>
      </c>
      <c r="L34" s="34">
        <f t="shared" si="6"/>
        <v>-150768.67883641785</v>
      </c>
    </row>
    <row r="35" spans="1:12">
      <c r="A35" s="56">
        <f>Baseline!A48</f>
        <v>2044</v>
      </c>
      <c r="B35" s="56">
        <f>Baseline!B48</f>
        <v>17</v>
      </c>
      <c r="C35" s="34">
        <f>'Travel Time Savings'!F55</f>
        <v>-165863.90549503619</v>
      </c>
      <c r="D35" s="34">
        <f>Safety!F52</f>
        <v>0</v>
      </c>
      <c r="E35" s="34">
        <f>VOC!F56</f>
        <v>-279229.92258493719</v>
      </c>
      <c r="F35" s="34">
        <f>Emissions!F52</f>
        <v>0</v>
      </c>
      <c r="G35" s="34">
        <f>Health!F56</f>
        <v>0</v>
      </c>
      <c r="H35" s="34">
        <f>Noise!F46</f>
        <v>0</v>
      </c>
      <c r="I35" s="34">
        <f t="shared" si="4"/>
        <v>-445093.82807997335</v>
      </c>
      <c r="J35" s="34">
        <f>I35*Baseline!F48</f>
        <v>-140905.307323755</v>
      </c>
      <c r="K35" s="34">
        <f t="shared" si="5"/>
        <v>-269289.08593238913</v>
      </c>
      <c r="L35" s="34">
        <f t="shared" si="6"/>
        <v>-140905.307323755</v>
      </c>
    </row>
    <row r="36" spans="1:12">
      <c r="A36" s="56">
        <f>Baseline!A49</f>
        <v>2045</v>
      </c>
      <c r="B36" s="56">
        <f>Baseline!B49</f>
        <v>18</v>
      </c>
      <c r="C36" s="34">
        <f>'Travel Time Savings'!F56</f>
        <v>-165863.90549503619</v>
      </c>
      <c r="D36" s="34">
        <f>Safety!F53</f>
        <v>0</v>
      </c>
      <c r="E36" s="34">
        <f>VOC!F57</f>
        <v>-279229.92258493719</v>
      </c>
      <c r="F36" s="34">
        <f>Emissions!F53</f>
        <v>0</v>
      </c>
      <c r="G36" s="34">
        <f>Health!F57</f>
        <v>0</v>
      </c>
      <c r="H36" s="34">
        <f>Noise!F47</f>
        <v>0</v>
      </c>
      <c r="I36" s="34">
        <f t="shared" si="4"/>
        <v>-445093.82807997335</v>
      </c>
      <c r="J36" s="34">
        <f>I36*Baseline!F49</f>
        <v>-131687.20310631307</v>
      </c>
      <c r="K36" s="34">
        <f t="shared" si="5"/>
        <v>-261445.71449746515</v>
      </c>
      <c r="L36" s="34">
        <f t="shared" si="6"/>
        <v>-131687.20310631307</v>
      </c>
    </row>
    <row r="37" spans="1:12">
      <c r="A37" s="56">
        <f>Baseline!A50</f>
        <v>2046</v>
      </c>
      <c r="B37" s="56">
        <f>Baseline!B50</f>
        <v>19</v>
      </c>
      <c r="C37" s="34">
        <f>'Travel Time Savings'!F57</f>
        <v>-165863.90549503619</v>
      </c>
      <c r="D37" s="34">
        <f>Safety!F54</f>
        <v>0</v>
      </c>
      <c r="E37" s="34">
        <f>VOC!F58</f>
        <v>-279229.92258493719</v>
      </c>
      <c r="F37" s="34">
        <f>Emissions!F54</f>
        <v>0</v>
      </c>
      <c r="G37" s="34">
        <f>Health!F58</f>
        <v>0</v>
      </c>
      <c r="H37" s="34">
        <f>Noise!F48</f>
        <v>0</v>
      </c>
      <c r="I37" s="34">
        <f t="shared" si="4"/>
        <v>-445093.82807997335</v>
      </c>
      <c r="J37" s="34">
        <f>I37*Baseline!F50</f>
        <v>-123072.15243580661</v>
      </c>
      <c r="K37" s="34">
        <f t="shared" si="5"/>
        <v>-253830.790774238</v>
      </c>
      <c r="L37" s="34">
        <f t="shared" si="6"/>
        <v>-123072.15243580661</v>
      </c>
    </row>
    <row r="38" spans="1:12">
      <c r="A38" s="56">
        <f>Baseline!A51</f>
        <v>2047</v>
      </c>
      <c r="B38" s="56">
        <f>Baseline!B51</f>
        <v>20</v>
      </c>
      <c r="C38" s="34">
        <f>'Travel Time Savings'!F58</f>
        <v>-165863.90549503619</v>
      </c>
      <c r="D38" s="34">
        <f>Safety!F55</f>
        <v>0</v>
      </c>
      <c r="E38" s="34">
        <f>VOC!F59</f>
        <v>-279229.92258493719</v>
      </c>
      <c r="F38" s="34">
        <f>Emissions!F55</f>
        <v>0</v>
      </c>
      <c r="G38" s="34">
        <f>Health!F59</f>
        <v>0</v>
      </c>
      <c r="H38" s="34">
        <f>Noise!F49</f>
        <v>0</v>
      </c>
      <c r="I38" s="34">
        <f t="shared" si="4"/>
        <v>-445093.82807997335</v>
      </c>
      <c r="J38" s="34">
        <f>I38*Baseline!F51</f>
        <v>-115020.70321103423</v>
      </c>
      <c r="K38" s="34">
        <f t="shared" si="5"/>
        <v>-246437.66094586215</v>
      </c>
      <c r="L38" s="34">
        <f t="shared" si="6"/>
        <v>0</v>
      </c>
    </row>
    <row r="39" spans="1:12">
      <c r="A39" s="56">
        <f>Baseline!A52</f>
        <v>2048</v>
      </c>
      <c r="B39" s="56">
        <f>Baseline!B52</f>
        <v>21</v>
      </c>
      <c r="C39" s="34">
        <f>'Travel Time Savings'!F59</f>
        <v>-165863.90549503619</v>
      </c>
      <c r="D39" s="34">
        <f>Safety!F56</f>
        <v>0</v>
      </c>
      <c r="E39" s="34">
        <f>VOC!F60</f>
        <v>-279229.92258493719</v>
      </c>
      <c r="F39" s="34">
        <f>Emissions!F56</f>
        <v>0</v>
      </c>
      <c r="G39" s="34">
        <f>Health!F60</f>
        <v>0</v>
      </c>
      <c r="H39" s="34">
        <f>Noise!F50</f>
        <v>0</v>
      </c>
      <c r="I39" s="34">
        <f t="shared" si="4"/>
        <v>-445093.82807997335</v>
      </c>
      <c r="J39" s="34">
        <f>I39*Baseline!F52</f>
        <v>-107495.98430937777</v>
      </c>
      <c r="K39" s="34">
        <f t="shared" si="5"/>
        <v>-239259.8649959827</v>
      </c>
      <c r="L39" s="34">
        <f t="shared" si="6"/>
        <v>0</v>
      </c>
    </row>
    <row r="40" spans="1:12">
      <c r="A40" s="56">
        <f>Baseline!A53</f>
        <v>2049</v>
      </c>
      <c r="B40" s="56">
        <f>Baseline!B53</f>
        <v>22</v>
      </c>
      <c r="C40" s="34">
        <f>'Travel Time Savings'!F60</f>
        <v>-165863.90549503619</v>
      </c>
      <c r="D40" s="34">
        <f>Safety!F57</f>
        <v>0</v>
      </c>
      <c r="E40" s="34">
        <f>VOC!F61</f>
        <v>-279229.92258493719</v>
      </c>
      <c r="F40" s="34">
        <f>Emissions!F57</f>
        <v>0</v>
      </c>
      <c r="G40" s="34">
        <f>Health!F61</f>
        <v>0</v>
      </c>
      <c r="H40" s="34">
        <f>Noise!F51</f>
        <v>0</v>
      </c>
      <c r="I40" s="34">
        <f t="shared" si="4"/>
        <v>-445093.82807997335</v>
      </c>
      <c r="J40" s="34">
        <f>I40*Baseline!F53</f>
        <v>-100463.53673773624</v>
      </c>
      <c r="K40" s="34">
        <f t="shared" si="5"/>
        <v>-232291.13106406087</v>
      </c>
      <c r="L40" s="34">
        <f t="shared" si="6"/>
        <v>0</v>
      </c>
    </row>
    <row r="41" spans="1:12">
      <c r="A41" s="56">
        <f>Baseline!A54</f>
        <v>2050</v>
      </c>
      <c r="B41" s="56">
        <f>Baseline!B54</f>
        <v>23</v>
      </c>
      <c r="C41" s="34">
        <f>'Travel Time Savings'!F61</f>
        <v>-165863.90549503619</v>
      </c>
      <c r="D41" s="34">
        <f>Safety!F58</f>
        <v>0</v>
      </c>
      <c r="E41" s="34">
        <f>VOC!F62</f>
        <v>-279229.92258493719</v>
      </c>
      <c r="F41" s="34">
        <f>Emissions!F58</f>
        <v>0</v>
      </c>
      <c r="G41" s="34">
        <f>Health!F62</f>
        <v>0</v>
      </c>
      <c r="H41" s="34">
        <f>Noise!F52</f>
        <v>0</v>
      </c>
      <c r="I41" s="34">
        <f t="shared" si="4"/>
        <v>-445093.82807997335</v>
      </c>
      <c r="J41" s="34">
        <f>I41*Baseline!F54</f>
        <v>-93891.155829660027</v>
      </c>
      <c r="K41" s="34">
        <f t="shared" si="5"/>
        <v>-225525.36996510762</v>
      </c>
      <c r="L41" s="34">
        <f t="shared" si="6"/>
        <v>0</v>
      </c>
    </row>
    <row r="42" spans="1:12">
      <c r="A42" s="56">
        <f>Baseline!A55</f>
        <v>2051</v>
      </c>
      <c r="B42" s="56">
        <f>Baseline!B55</f>
        <v>24</v>
      </c>
      <c r="C42" s="34">
        <f>'Travel Time Savings'!F62</f>
        <v>-165863.90549503619</v>
      </c>
      <c r="D42" s="34">
        <f>Safety!F59</f>
        <v>0</v>
      </c>
      <c r="E42" s="34">
        <f>VOC!F63</f>
        <v>-279229.92258493719</v>
      </c>
      <c r="F42" s="34">
        <f>Emissions!F59</f>
        <v>0</v>
      </c>
      <c r="G42" s="34">
        <f>Health!F63</f>
        <v>0</v>
      </c>
      <c r="H42" s="34">
        <f>Noise!F53</f>
        <v>0</v>
      </c>
      <c r="I42" s="34">
        <f t="shared" si="4"/>
        <v>-445093.82807997335</v>
      </c>
      <c r="J42" s="34">
        <f>I42*Baseline!F55</f>
        <v>-87748.743766037413</v>
      </c>
      <c r="K42" s="34">
        <f t="shared" si="5"/>
        <v>-218956.66986903656</v>
      </c>
      <c r="L42" s="34">
        <f t="shared" si="6"/>
        <v>0</v>
      </c>
    </row>
    <row r="43" spans="1:12">
      <c r="A43" s="56">
        <f>Baseline!A56</f>
        <v>2052</v>
      </c>
      <c r="B43" s="56">
        <f>Baseline!B56</f>
        <v>25</v>
      </c>
      <c r="C43" s="34">
        <f>'Travel Time Savings'!F63</f>
        <v>-165863.90549503619</v>
      </c>
      <c r="D43" s="34">
        <f>Safety!F60</f>
        <v>0</v>
      </c>
      <c r="E43" s="34">
        <f>VOC!F64</f>
        <v>-279229.92258493719</v>
      </c>
      <c r="F43" s="34">
        <f>Emissions!F60</f>
        <v>0</v>
      </c>
      <c r="G43" s="34">
        <f>Health!F64</f>
        <v>0</v>
      </c>
      <c r="H43" s="34">
        <f>Noise!F54</f>
        <v>0</v>
      </c>
      <c r="I43" s="34">
        <f t="shared" si="4"/>
        <v>-445093.82807997335</v>
      </c>
      <c r="J43" s="34">
        <f>I43*Baseline!F56</f>
        <v>-82008.171743960193</v>
      </c>
      <c r="K43" s="34">
        <f t="shared" si="5"/>
        <v>-212579.29113498694</v>
      </c>
      <c r="L43" s="34">
        <f t="shared" si="6"/>
        <v>0</v>
      </c>
    </row>
    <row r="44" spans="1:12">
      <c r="A44" s="56">
        <f>Baseline!A57</f>
        <v>2053</v>
      </c>
      <c r="B44" s="56">
        <f>Baseline!B57</f>
        <v>26</v>
      </c>
      <c r="C44" s="34">
        <f>'Travel Time Savings'!F64</f>
        <v>-165863.90549503619</v>
      </c>
      <c r="D44" s="34">
        <f>Safety!F61</f>
        <v>0</v>
      </c>
      <c r="E44" s="34">
        <f>VOC!F65</f>
        <v>-279229.92258493719</v>
      </c>
      <c r="F44" s="34">
        <f>Emissions!F61</f>
        <v>0</v>
      </c>
      <c r="G44" s="34">
        <f>Health!F65</f>
        <v>0</v>
      </c>
      <c r="H44" s="34">
        <f>Noise!F55</f>
        <v>0</v>
      </c>
      <c r="I44" s="34">
        <f t="shared" si="4"/>
        <v>-445093.82807997335</v>
      </c>
      <c r="J44" s="34">
        <f>I44*Baseline!F57</f>
        <v>-76643.151162579627</v>
      </c>
      <c r="K44" s="34">
        <f t="shared" si="5"/>
        <v>-206387.66129610379</v>
      </c>
      <c r="L44" s="34">
        <f t="shared" si="6"/>
        <v>0</v>
      </c>
    </row>
    <row r="45" spans="1:12">
      <c r="A45" s="56">
        <f>Baseline!A58</f>
        <v>2054</v>
      </c>
      <c r="B45" s="56">
        <f>Baseline!B58</f>
        <v>27</v>
      </c>
      <c r="C45" s="34">
        <f>'Travel Time Savings'!F65</f>
        <v>-165863.90549503619</v>
      </c>
      <c r="D45" s="34">
        <f>Safety!F62</f>
        <v>0</v>
      </c>
      <c r="E45" s="34">
        <f>VOC!F66</f>
        <v>-279229.92258493719</v>
      </c>
      <c r="F45" s="34">
        <f>Emissions!F62</f>
        <v>0</v>
      </c>
      <c r="G45" s="34">
        <f>Health!F66</f>
        <v>0</v>
      </c>
      <c r="H45" s="34">
        <f>Noise!F56</f>
        <v>0</v>
      </c>
      <c r="I45" s="34">
        <f t="shared" si="4"/>
        <v>-445093.82807997335</v>
      </c>
      <c r="J45" s="34">
        <f>I45*Baseline!F58</f>
        <v>-71629.113236055709</v>
      </c>
      <c r="K45" s="34">
        <f t="shared" si="5"/>
        <v>-200376.37019039207</v>
      </c>
      <c r="L45" s="34">
        <f t="shared" si="6"/>
        <v>0</v>
      </c>
    </row>
    <row r="46" spans="1:12">
      <c r="A46" s="56">
        <f>Baseline!A59</f>
        <v>2055</v>
      </c>
      <c r="B46" s="56">
        <f>Baseline!B59</f>
        <v>28</v>
      </c>
      <c r="C46" s="34">
        <f>'Travel Time Savings'!F66</f>
        <v>-165863.90549503619</v>
      </c>
      <c r="D46" s="34">
        <f>Safety!F63</f>
        <v>0</v>
      </c>
      <c r="E46" s="34">
        <f>VOC!F67</f>
        <v>-279229.92258493719</v>
      </c>
      <c r="F46" s="34">
        <f>Emissions!F63</f>
        <v>0</v>
      </c>
      <c r="G46" s="34">
        <f>Health!F67</f>
        <v>0</v>
      </c>
      <c r="H46" s="34">
        <f>Noise!F57</f>
        <v>0</v>
      </c>
      <c r="I46" s="34">
        <f t="shared" si="4"/>
        <v>-445093.82807997335</v>
      </c>
      <c r="J46" s="34">
        <f>I46*Baseline!F59</f>
        <v>-66943.096482295063</v>
      </c>
      <c r="K46" s="34">
        <f t="shared" si="5"/>
        <v>-194540.16523339035</v>
      </c>
      <c r="L46" s="34">
        <f t="shared" si="6"/>
        <v>0</v>
      </c>
    </row>
    <row r="47" spans="1:12">
      <c r="A47" s="56">
        <f>Baseline!A60</f>
        <v>2056</v>
      </c>
      <c r="B47" s="56">
        <f>Baseline!B60</f>
        <v>29</v>
      </c>
      <c r="C47" s="34">
        <f>'Travel Time Savings'!F67</f>
        <v>-165863.90549503619</v>
      </c>
      <c r="D47" s="34">
        <f>Safety!F64</f>
        <v>0</v>
      </c>
      <c r="E47" s="34">
        <f>VOC!F68</f>
        <v>-279229.92258493719</v>
      </c>
      <c r="F47" s="34">
        <f>Emissions!F64</f>
        <v>0</v>
      </c>
      <c r="G47" s="34">
        <f>Health!F68</f>
        <v>0</v>
      </c>
      <c r="H47" s="34">
        <f>Noise!F58</f>
        <v>0</v>
      </c>
      <c r="I47" s="34">
        <f t="shared" si="4"/>
        <v>-445093.82807997335</v>
      </c>
      <c r="J47" s="34">
        <f>I47*Baseline!F60</f>
        <v>-62563.641572238383</v>
      </c>
      <c r="K47" s="34">
        <f t="shared" si="5"/>
        <v>-188873.94682853433</v>
      </c>
      <c r="L47" s="34">
        <f t="shared" si="6"/>
        <v>0</v>
      </c>
    </row>
    <row r="48" spans="1:12">
      <c r="A48" s="56">
        <f>Baseline!A61</f>
        <v>2057</v>
      </c>
      <c r="B48" s="56">
        <f>Baseline!B61</f>
        <v>30</v>
      </c>
      <c r="C48" s="34">
        <f>'Travel Time Savings'!F68</f>
        <v>0</v>
      </c>
      <c r="D48" s="34">
        <f>Safety!F65</f>
        <v>0</v>
      </c>
      <c r="E48" s="34">
        <f>VOC!F69</f>
        <v>0</v>
      </c>
      <c r="F48" s="34">
        <f>Emissions!F65</f>
        <v>0</v>
      </c>
      <c r="G48" s="34">
        <f>Health!F69</f>
        <v>0</v>
      </c>
      <c r="H48" s="34">
        <f>Noise!F59</f>
        <v>0</v>
      </c>
      <c r="I48" s="34">
        <f t="shared" si="4"/>
        <v>0</v>
      </c>
      <c r="J48" s="34">
        <f>I48*Baseline!F61</f>
        <v>0</v>
      </c>
      <c r="K48" s="34">
        <f t="shared" si="5"/>
        <v>0</v>
      </c>
      <c r="L48" s="34">
        <f t="shared" si="6"/>
        <v>0</v>
      </c>
    </row>
    <row r="49" spans="1:12">
      <c r="A49" s="56">
        <f>Baseline!A62</f>
        <v>2058</v>
      </c>
      <c r="B49" s="56">
        <f>Baseline!B62</f>
        <v>31</v>
      </c>
      <c r="C49" s="34">
        <f>'Travel Time Savings'!F69</f>
        <v>0</v>
      </c>
      <c r="D49" s="34">
        <f>Safety!F66</f>
        <v>0</v>
      </c>
      <c r="E49" s="34">
        <f>VOC!F70</f>
        <v>0</v>
      </c>
      <c r="F49" s="34">
        <f>Emissions!F66</f>
        <v>0</v>
      </c>
      <c r="G49" s="34">
        <f>Health!F70</f>
        <v>0</v>
      </c>
      <c r="H49" s="34">
        <f>Noise!F60</f>
        <v>0</v>
      </c>
      <c r="I49" s="34">
        <f t="shared" si="4"/>
        <v>0</v>
      </c>
      <c r="J49" s="34">
        <f>I49*Baseline!F62</f>
        <v>0</v>
      </c>
      <c r="K49" s="34">
        <f t="shared" si="5"/>
        <v>0</v>
      </c>
      <c r="L49" s="34">
        <f t="shared" si="6"/>
        <v>0</v>
      </c>
    </row>
    <row r="50" spans="1:12">
      <c r="A50" s="56">
        <f>Baseline!A63</f>
        <v>2059</v>
      </c>
      <c r="B50" s="56">
        <f>Baseline!B63</f>
        <v>32</v>
      </c>
      <c r="C50" s="34">
        <f>'Travel Time Savings'!F70</f>
        <v>0</v>
      </c>
      <c r="D50" s="34">
        <f>Safety!F67</f>
        <v>0</v>
      </c>
      <c r="E50" s="34">
        <f>VOC!F71</f>
        <v>0</v>
      </c>
      <c r="F50" s="34">
        <f>Emissions!F67</f>
        <v>0</v>
      </c>
      <c r="G50" s="34">
        <f>Health!F71</f>
        <v>0</v>
      </c>
      <c r="H50" s="34">
        <f>Noise!F61</f>
        <v>0</v>
      </c>
      <c r="I50" s="34">
        <f t="shared" si="4"/>
        <v>0</v>
      </c>
      <c r="J50" s="34">
        <f>I50*Baseline!F63</f>
        <v>0</v>
      </c>
      <c r="K50" s="34">
        <f t="shared" si="5"/>
        <v>0</v>
      </c>
      <c r="L50" s="34">
        <f t="shared" si="6"/>
        <v>0</v>
      </c>
    </row>
    <row r="51" spans="1:12">
      <c r="A51" s="56">
        <f>Baseline!A64</f>
        <v>2060</v>
      </c>
      <c r="B51" s="56">
        <f>Baseline!B64</f>
        <v>33</v>
      </c>
      <c r="C51" s="34">
        <f>'Travel Time Savings'!F71</f>
        <v>0</v>
      </c>
      <c r="D51" s="34">
        <f>Safety!F68</f>
        <v>0</v>
      </c>
      <c r="E51" s="34">
        <f>VOC!F72</f>
        <v>0</v>
      </c>
      <c r="F51" s="34">
        <f>Emissions!F68</f>
        <v>0</v>
      </c>
      <c r="G51" s="34">
        <f>Health!F72</f>
        <v>0</v>
      </c>
      <c r="H51" s="34">
        <f>Noise!F62</f>
        <v>0</v>
      </c>
      <c r="I51" s="34">
        <f t="shared" si="4"/>
        <v>0</v>
      </c>
      <c r="J51" s="34">
        <f>I51*Baseline!F64</f>
        <v>0</v>
      </c>
      <c r="K51" s="34">
        <f t="shared" si="5"/>
        <v>0</v>
      </c>
      <c r="L51" s="34">
        <f t="shared" si="6"/>
        <v>0</v>
      </c>
    </row>
    <row r="52" spans="1:12">
      <c r="A52" s="56">
        <f>Baseline!A65</f>
        <v>2061</v>
      </c>
      <c r="B52" s="56">
        <f>Baseline!B65</f>
        <v>34</v>
      </c>
      <c r="C52" s="34">
        <f>'Travel Time Savings'!F72</f>
        <v>0</v>
      </c>
      <c r="D52" s="34">
        <f>Safety!F69</f>
        <v>0</v>
      </c>
      <c r="E52" s="34">
        <f>VOC!F73</f>
        <v>0</v>
      </c>
      <c r="F52" s="34">
        <f>Emissions!F69</f>
        <v>0</v>
      </c>
      <c r="G52" s="34">
        <f>Health!F73</f>
        <v>0</v>
      </c>
      <c r="H52" s="34">
        <f>Noise!F63</f>
        <v>0</v>
      </c>
      <c r="I52" s="34">
        <f t="shared" si="4"/>
        <v>0</v>
      </c>
      <c r="J52" s="34">
        <f>I52*Baseline!F65</f>
        <v>0</v>
      </c>
      <c r="K52" s="34">
        <f t="shared" si="5"/>
        <v>0</v>
      </c>
      <c r="L52" s="34">
        <f t="shared" si="6"/>
        <v>0</v>
      </c>
    </row>
    <row r="53" spans="1:12">
      <c r="A53" s="56">
        <f>Baseline!A66</f>
        <v>2062</v>
      </c>
      <c r="B53" s="56">
        <f>Baseline!B66</f>
        <v>35</v>
      </c>
      <c r="C53" s="34">
        <f>'Travel Time Savings'!F73</f>
        <v>0</v>
      </c>
      <c r="D53" s="34">
        <f>Safety!F70</f>
        <v>0</v>
      </c>
      <c r="E53" s="34">
        <f>VOC!F74</f>
        <v>0</v>
      </c>
      <c r="F53" s="34">
        <f>Emissions!F70</f>
        <v>0</v>
      </c>
      <c r="G53" s="34">
        <f>Health!F74</f>
        <v>0</v>
      </c>
      <c r="H53" s="34">
        <f>Noise!F64</f>
        <v>0</v>
      </c>
      <c r="I53" s="34">
        <f t="shared" si="4"/>
        <v>0</v>
      </c>
      <c r="J53" s="34">
        <f>I53*Baseline!F66</f>
        <v>0</v>
      </c>
      <c r="K53" s="34">
        <f t="shared" si="5"/>
        <v>0</v>
      </c>
      <c r="L53" s="34">
        <f t="shared" si="6"/>
        <v>0</v>
      </c>
    </row>
    <row r="54" spans="1:12">
      <c r="A54" s="56">
        <f>Baseline!A67</f>
        <v>2063</v>
      </c>
      <c r="B54" s="56">
        <f>Baseline!B67</f>
        <v>36</v>
      </c>
      <c r="C54" s="34">
        <f>'Travel Time Savings'!F74</f>
        <v>0</v>
      </c>
      <c r="D54" s="34">
        <f>Safety!F71</f>
        <v>0</v>
      </c>
      <c r="E54" s="34">
        <f>VOC!F75</f>
        <v>0</v>
      </c>
      <c r="F54" s="34">
        <f>Emissions!F71</f>
        <v>0</v>
      </c>
      <c r="G54" s="34">
        <f>Health!F75</f>
        <v>0</v>
      </c>
      <c r="H54" s="34">
        <f>Noise!F65</f>
        <v>0</v>
      </c>
      <c r="I54" s="34">
        <f t="shared" si="4"/>
        <v>0</v>
      </c>
      <c r="J54" s="34">
        <f>I54*Baseline!F67</f>
        <v>0</v>
      </c>
      <c r="K54" s="34">
        <f t="shared" si="5"/>
        <v>0</v>
      </c>
      <c r="L54" s="34">
        <f t="shared" si="6"/>
        <v>0</v>
      </c>
    </row>
    <row r="55" spans="1:12">
      <c r="A55" s="56">
        <f>Baseline!A68</f>
        <v>2064</v>
      </c>
      <c r="B55" s="56">
        <f>Baseline!B68</f>
        <v>37</v>
      </c>
      <c r="C55" s="34">
        <f>'Travel Time Savings'!F75</f>
        <v>0</v>
      </c>
      <c r="D55" s="34">
        <f>Safety!F72</f>
        <v>0</v>
      </c>
      <c r="E55" s="34">
        <f>VOC!F76</f>
        <v>0</v>
      </c>
      <c r="F55" s="34">
        <f>Emissions!F72</f>
        <v>0</v>
      </c>
      <c r="G55" s="34">
        <f>Health!F76</f>
        <v>0</v>
      </c>
      <c r="H55" s="34">
        <f>Noise!F66</f>
        <v>0</v>
      </c>
      <c r="I55" s="34">
        <f t="shared" si="4"/>
        <v>0</v>
      </c>
      <c r="J55" s="34">
        <f>I55*Baseline!F68</f>
        <v>0</v>
      </c>
      <c r="K55" s="34">
        <f t="shared" si="5"/>
        <v>0</v>
      </c>
      <c r="L55" s="34">
        <f t="shared" si="6"/>
        <v>0</v>
      </c>
    </row>
    <row r="56" spans="1:12">
      <c r="A56" s="56">
        <f>Baseline!A69</f>
        <v>2065</v>
      </c>
      <c r="B56" s="56">
        <f>Baseline!B69</f>
        <v>38</v>
      </c>
      <c r="C56" s="34">
        <f>'Travel Time Savings'!F76</f>
        <v>0</v>
      </c>
      <c r="D56" s="34">
        <f>Safety!F73</f>
        <v>0</v>
      </c>
      <c r="E56" s="34">
        <f>VOC!F77</f>
        <v>0</v>
      </c>
      <c r="F56" s="34">
        <f>Emissions!F73</f>
        <v>0</v>
      </c>
      <c r="G56" s="34">
        <f>Health!F77</f>
        <v>0</v>
      </c>
      <c r="H56" s="34">
        <f>Noise!F67</f>
        <v>0</v>
      </c>
      <c r="I56" s="34">
        <f t="shared" si="4"/>
        <v>0</v>
      </c>
      <c r="J56" s="34">
        <f>I56*Baseline!F69</f>
        <v>0</v>
      </c>
      <c r="K56" s="34">
        <f t="shared" si="5"/>
        <v>0</v>
      </c>
      <c r="L56" s="34">
        <f t="shared" si="6"/>
        <v>0</v>
      </c>
    </row>
    <row r="57" spans="1:12">
      <c r="A57" s="56">
        <f>Baseline!A70</f>
        <v>2066</v>
      </c>
      <c r="B57" s="56">
        <f>Baseline!B70</f>
        <v>39</v>
      </c>
      <c r="C57" s="34">
        <f>'Travel Time Savings'!F77</f>
        <v>0</v>
      </c>
      <c r="D57" s="34">
        <f>Safety!F74</f>
        <v>0</v>
      </c>
      <c r="E57" s="34">
        <f>VOC!F78</f>
        <v>0</v>
      </c>
      <c r="F57" s="34">
        <f>Emissions!F74</f>
        <v>0</v>
      </c>
      <c r="G57" s="34">
        <f>Health!F78</f>
        <v>0</v>
      </c>
      <c r="H57" s="34">
        <f>Noise!F68</f>
        <v>0</v>
      </c>
      <c r="I57" s="34">
        <f t="shared" si="4"/>
        <v>0</v>
      </c>
      <c r="J57" s="34">
        <f>I57*Baseline!F70</f>
        <v>0</v>
      </c>
      <c r="K57" s="34">
        <f t="shared" si="5"/>
        <v>0</v>
      </c>
      <c r="L57" s="34">
        <f t="shared" si="6"/>
        <v>0</v>
      </c>
    </row>
    <row r="58" spans="1:12">
      <c r="A58" s="56">
        <f>Baseline!A71</f>
        <v>2067</v>
      </c>
      <c r="B58" s="56">
        <f>Baseline!B71</f>
        <v>40</v>
      </c>
      <c r="C58" s="34">
        <f>'Travel Time Savings'!F78</f>
        <v>0</v>
      </c>
      <c r="D58" s="34">
        <f>Safety!F75</f>
        <v>0</v>
      </c>
      <c r="E58" s="34">
        <f>VOC!F79</f>
        <v>0</v>
      </c>
      <c r="F58" s="34">
        <f>Emissions!F75</f>
        <v>0</v>
      </c>
      <c r="G58" s="34">
        <f>Health!F79</f>
        <v>0</v>
      </c>
      <c r="H58" s="34">
        <f>Noise!F69</f>
        <v>0</v>
      </c>
      <c r="I58" s="34">
        <f t="shared" si="4"/>
        <v>0</v>
      </c>
      <c r="J58" s="34">
        <f>I58*Baseline!F71</f>
        <v>0</v>
      </c>
      <c r="K58" s="34">
        <f t="shared" si="5"/>
        <v>0</v>
      </c>
      <c r="L58" s="34">
        <f t="shared" si="6"/>
        <v>0</v>
      </c>
    </row>
    <row r="59" spans="1:12">
      <c r="A59" s="56">
        <f>Baseline!A72</f>
        <v>2068</v>
      </c>
      <c r="B59" s="56">
        <f>Baseline!B72</f>
        <v>41</v>
      </c>
      <c r="C59" s="34">
        <f>'Travel Time Savings'!F79</f>
        <v>0</v>
      </c>
      <c r="D59" s="34">
        <f>Safety!F76</f>
        <v>0</v>
      </c>
      <c r="E59" s="34">
        <f>VOC!F80</f>
        <v>0</v>
      </c>
      <c r="F59" s="34">
        <f>Emissions!F76</f>
        <v>0</v>
      </c>
      <c r="G59" s="34">
        <f>Health!F80</f>
        <v>0</v>
      </c>
      <c r="H59" s="34">
        <f>Noise!F70</f>
        <v>0</v>
      </c>
      <c r="I59" s="34">
        <f t="shared" si="4"/>
        <v>0</v>
      </c>
      <c r="J59" s="34">
        <f>I59*Baseline!F72</f>
        <v>0</v>
      </c>
      <c r="K59" s="34">
        <f t="shared" si="5"/>
        <v>0</v>
      </c>
      <c r="L59" s="34">
        <f t="shared" si="6"/>
        <v>0</v>
      </c>
    </row>
    <row r="60" spans="1:12">
      <c r="A60" s="56">
        <f>Baseline!A73</f>
        <v>2069</v>
      </c>
      <c r="B60" s="56">
        <f>Baseline!B73</f>
        <v>42</v>
      </c>
      <c r="C60" s="34">
        <f>'Travel Time Savings'!F80</f>
        <v>0</v>
      </c>
      <c r="D60" s="34">
        <f>Safety!F77</f>
        <v>0</v>
      </c>
      <c r="E60" s="34">
        <f>VOC!F81</f>
        <v>0</v>
      </c>
      <c r="F60" s="34">
        <f>Emissions!F77</f>
        <v>0</v>
      </c>
      <c r="G60" s="34">
        <f>Health!F81</f>
        <v>0</v>
      </c>
      <c r="H60" s="34">
        <f>Noise!F71</f>
        <v>0</v>
      </c>
      <c r="I60" s="34">
        <f t="shared" si="4"/>
        <v>0</v>
      </c>
      <c r="J60" s="34">
        <f>I60*Baseline!F73</f>
        <v>0</v>
      </c>
      <c r="K60" s="34">
        <f t="shared" si="5"/>
        <v>0</v>
      </c>
      <c r="L60" s="34">
        <f t="shared" si="6"/>
        <v>0</v>
      </c>
    </row>
    <row r="61" spans="1:12">
      <c r="A61" s="56">
        <f>Baseline!A74</f>
        <v>2070</v>
      </c>
      <c r="B61" s="56">
        <f>Baseline!B74</f>
        <v>43</v>
      </c>
      <c r="C61" s="34">
        <f>'Travel Time Savings'!F81</f>
        <v>0</v>
      </c>
      <c r="D61" s="34">
        <f>Safety!F78</f>
        <v>0</v>
      </c>
      <c r="E61" s="34">
        <f>VOC!F82</f>
        <v>0</v>
      </c>
      <c r="F61" s="34">
        <f>Emissions!F78</f>
        <v>0</v>
      </c>
      <c r="G61" s="34">
        <f>Health!F82</f>
        <v>0</v>
      </c>
      <c r="H61" s="34">
        <f>Noise!F72</f>
        <v>0</v>
      </c>
      <c r="I61" s="34">
        <f t="shared" si="4"/>
        <v>0</v>
      </c>
      <c r="J61" s="34">
        <f>I61*Baseline!F74</f>
        <v>0</v>
      </c>
      <c r="K61" s="34">
        <f t="shared" si="5"/>
        <v>0</v>
      </c>
      <c r="L61" s="34">
        <f t="shared" si="6"/>
        <v>0</v>
      </c>
    </row>
    <row r="62" spans="1:12">
      <c r="A62" s="56">
        <f>Baseline!A75</f>
        <v>2071</v>
      </c>
      <c r="B62" s="56">
        <f>Baseline!B75</f>
        <v>44</v>
      </c>
      <c r="C62" s="34">
        <f>'Travel Time Savings'!F82</f>
        <v>0</v>
      </c>
      <c r="D62" s="34">
        <f>Safety!F79</f>
        <v>0</v>
      </c>
      <c r="E62" s="34">
        <f>VOC!F83</f>
        <v>0</v>
      </c>
      <c r="F62" s="34">
        <f>Emissions!F79</f>
        <v>0</v>
      </c>
      <c r="G62" s="34">
        <f>Health!F83</f>
        <v>0</v>
      </c>
      <c r="H62" s="34">
        <f>Noise!F73</f>
        <v>0</v>
      </c>
      <c r="I62" s="34">
        <f t="shared" si="4"/>
        <v>0</v>
      </c>
      <c r="J62" s="34">
        <f>I62*Baseline!F75</f>
        <v>0</v>
      </c>
      <c r="K62" s="34">
        <f t="shared" si="5"/>
        <v>0</v>
      </c>
      <c r="L62" s="34">
        <f t="shared" si="6"/>
        <v>0</v>
      </c>
    </row>
    <row r="63" spans="1:12">
      <c r="A63" s="56">
        <f>Baseline!A76</f>
        <v>2072</v>
      </c>
      <c r="B63" s="56">
        <f>Baseline!B76</f>
        <v>45</v>
      </c>
      <c r="C63" s="34">
        <f>'Travel Time Savings'!F83</f>
        <v>0</v>
      </c>
      <c r="D63" s="34">
        <f>Safety!F80</f>
        <v>0</v>
      </c>
      <c r="E63" s="34">
        <f>VOC!F84</f>
        <v>0</v>
      </c>
      <c r="F63" s="34">
        <f>Emissions!F80</f>
        <v>0</v>
      </c>
      <c r="G63" s="34">
        <f>Health!F84</f>
        <v>0</v>
      </c>
      <c r="H63" s="34">
        <f>Noise!F74</f>
        <v>0</v>
      </c>
      <c r="I63" s="34">
        <f t="shared" si="4"/>
        <v>0</v>
      </c>
      <c r="J63" s="34">
        <f>I63*Baseline!F76</f>
        <v>0</v>
      </c>
      <c r="K63" s="34">
        <f t="shared" si="5"/>
        <v>0</v>
      </c>
      <c r="L63" s="34">
        <f t="shared" si="6"/>
        <v>0</v>
      </c>
    </row>
    <row r="64" spans="1:12">
      <c r="A64" s="56">
        <f>Baseline!A77</f>
        <v>2073</v>
      </c>
      <c r="B64" s="56">
        <f>Baseline!B77</f>
        <v>46</v>
      </c>
      <c r="C64" s="34">
        <f>'Travel Time Savings'!F84</f>
        <v>0</v>
      </c>
      <c r="D64" s="34">
        <f>Safety!F81</f>
        <v>0</v>
      </c>
      <c r="E64" s="34">
        <f>VOC!F85</f>
        <v>0</v>
      </c>
      <c r="F64" s="34">
        <f>Emissions!F81</f>
        <v>0</v>
      </c>
      <c r="G64" s="34">
        <f>Health!F85</f>
        <v>0</v>
      </c>
      <c r="H64" s="34">
        <f>Noise!F75</f>
        <v>0</v>
      </c>
      <c r="I64" s="34">
        <f t="shared" si="4"/>
        <v>0</v>
      </c>
      <c r="J64" s="34">
        <f>I64*Baseline!F77</f>
        <v>0</v>
      </c>
      <c r="K64" s="34">
        <f t="shared" si="5"/>
        <v>0</v>
      </c>
      <c r="L64" s="34">
        <f t="shared" si="6"/>
        <v>0</v>
      </c>
    </row>
    <row r="65" spans="1:12">
      <c r="A65" s="56">
        <f>Baseline!A78</f>
        <v>2074</v>
      </c>
      <c r="B65" s="56">
        <f>Baseline!B78</f>
        <v>47</v>
      </c>
      <c r="C65" s="34">
        <f>'Travel Time Savings'!F85</f>
        <v>0</v>
      </c>
      <c r="D65" s="34">
        <f>Safety!F82</f>
        <v>0</v>
      </c>
      <c r="E65" s="34">
        <f>VOC!F86</f>
        <v>0</v>
      </c>
      <c r="F65" s="34">
        <f>Emissions!F82</f>
        <v>0</v>
      </c>
      <c r="G65" s="34">
        <f>Health!F86</f>
        <v>0</v>
      </c>
      <c r="H65" s="34">
        <f>Noise!F76</f>
        <v>0</v>
      </c>
      <c r="I65" s="34">
        <f t="shared" si="4"/>
        <v>0</v>
      </c>
      <c r="J65" s="34">
        <f>I65*Baseline!F78</f>
        <v>0</v>
      </c>
      <c r="K65" s="34">
        <f t="shared" si="5"/>
        <v>0</v>
      </c>
      <c r="L65" s="34">
        <f t="shared" si="6"/>
        <v>0</v>
      </c>
    </row>
    <row r="66" spans="1:12">
      <c r="A66" s="56">
        <f>Baseline!A79</f>
        <v>2075</v>
      </c>
      <c r="B66" s="56">
        <f>Baseline!B79</f>
        <v>48</v>
      </c>
      <c r="C66" s="34">
        <f>'Travel Time Savings'!F86</f>
        <v>0</v>
      </c>
      <c r="D66" s="34">
        <f>Safety!F83</f>
        <v>0</v>
      </c>
      <c r="E66" s="34">
        <f>VOC!F87</f>
        <v>0</v>
      </c>
      <c r="F66" s="34">
        <f>Emissions!F83</f>
        <v>0</v>
      </c>
      <c r="G66" s="34">
        <f>Health!F87</f>
        <v>0</v>
      </c>
      <c r="H66" s="34">
        <f>Noise!F77</f>
        <v>0</v>
      </c>
      <c r="I66" s="34">
        <f t="shared" si="4"/>
        <v>0</v>
      </c>
      <c r="J66" s="34">
        <f>I66*Baseline!F79</f>
        <v>0</v>
      </c>
      <c r="K66" s="34">
        <f t="shared" si="5"/>
        <v>0</v>
      </c>
      <c r="L66" s="34">
        <f t="shared" si="6"/>
        <v>0</v>
      </c>
    </row>
    <row r="67" spans="1:12">
      <c r="A67" s="56">
        <f>Baseline!A80</f>
        <v>2076</v>
      </c>
      <c r="B67" s="56">
        <f>Baseline!B80</f>
        <v>49</v>
      </c>
      <c r="C67" s="34">
        <f>'Travel Time Savings'!F87</f>
        <v>0</v>
      </c>
      <c r="D67" s="34">
        <f>Safety!F84</f>
        <v>0</v>
      </c>
      <c r="E67" s="34">
        <f>VOC!F88</f>
        <v>0</v>
      </c>
      <c r="F67" s="34">
        <f>Emissions!F84</f>
        <v>0</v>
      </c>
      <c r="G67" s="34">
        <f>Health!F88</f>
        <v>0</v>
      </c>
      <c r="H67" s="34">
        <f>Noise!F78</f>
        <v>0</v>
      </c>
      <c r="I67" s="34">
        <f t="shared" si="4"/>
        <v>0</v>
      </c>
      <c r="J67" s="34">
        <f>I67*Baseline!F80</f>
        <v>0</v>
      </c>
      <c r="K67" s="34">
        <f t="shared" si="5"/>
        <v>0</v>
      </c>
      <c r="L67" s="34">
        <f t="shared" si="6"/>
        <v>0</v>
      </c>
    </row>
    <row r="68" spans="1:12">
      <c r="A68" s="56">
        <f>Baseline!A81</f>
        <v>2077</v>
      </c>
      <c r="B68" s="56">
        <f>Baseline!B81</f>
        <v>50</v>
      </c>
      <c r="C68" s="34">
        <f>'Travel Time Savings'!F88</f>
        <v>0</v>
      </c>
      <c r="D68" s="34">
        <f>Safety!F85</f>
        <v>0</v>
      </c>
      <c r="E68" s="34">
        <f>VOC!F89</f>
        <v>0</v>
      </c>
      <c r="F68" s="34">
        <f>Emissions!F85</f>
        <v>0</v>
      </c>
      <c r="G68" s="34">
        <f>Health!F89</f>
        <v>0</v>
      </c>
      <c r="H68" s="34">
        <f>Noise!F79</f>
        <v>0</v>
      </c>
      <c r="I68" s="34">
        <f t="shared" si="4"/>
        <v>0</v>
      </c>
      <c r="J68" s="34">
        <f>I68*Baseline!F81</f>
        <v>0</v>
      </c>
      <c r="K68" s="34">
        <f t="shared" si="5"/>
        <v>0</v>
      </c>
      <c r="L68" s="34">
        <f t="shared" si="6"/>
        <v>0</v>
      </c>
    </row>
  </sheetData>
  <sheetProtection algorithmName="SHA-512" hashValue="nBSE/oP19uIHUz0b9lcleV7vXGDZXTQSRxtuzGHO4ivKbx7i0MMrOAv2YBjod4qQV+cpesfe4rj0PwrffzD2LQ==" saltValue="LmjJU0p0FZp5voUfZ1QCMA==" spinCount="100000" sheet="1" objects="1" scenarios="1"/>
  <mergeCells count="3">
    <mergeCell ref="A9:K9"/>
    <mergeCell ref="A16:K16"/>
    <mergeCell ref="A1:K1"/>
  </mergeCells>
  <phoneticPr fontId="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OregonPublishingPageV4_5" ma:contentTypeID="0x010100C568DB52D9D0A14D9B2FDCC96666E9F2007948130EC3DB064584E219954237AF3900B671B8A31958482299B179759BB6DFD8001216446D945D2943A6E78242FB067E7F" ma:contentTypeVersion="12" ma:contentTypeDescription="ContentType used by publishing pages in Oregon's V4.5 Web Template" ma:contentTypeScope="" ma:versionID="2835474c936c7afa3f56b59dc0e1df0c">
  <xsd:schema xmlns:xsd="http://www.w3.org/2001/XMLSchema" xmlns:xs="http://www.w3.org/2001/XMLSchema" xmlns:p="http://schemas.microsoft.com/office/2006/metadata/properties" xmlns:ns1="http://schemas.microsoft.com/sharepoint/v3" xmlns:ns2="3929d661-0d87-4c6f-83f6-ecca9d4cacd7" targetNamespace="http://schemas.microsoft.com/office/2006/metadata/properties" ma:root="true" ma:fieldsID="9b22f87ab8b5451e91ac7a9e7f5c3441" ns1:_="" ns2:_="">
    <xsd:import namespace="http://schemas.microsoft.com/sharepoint/v3"/>
    <xsd:import namespace="3929d661-0d87-4c6f-83f6-ecca9d4cacd7"/>
    <xsd:element name="properties">
      <xsd:complexType>
        <xsd:sequence>
          <xsd:element name="documentManagement">
            <xsd:complexType>
              <xsd:all>
                <xsd:element ref="ns1:Comments" minOccurs="0"/>
                <xsd:element ref="ns1:PublishingStartDate" minOccurs="0"/>
                <xsd:element ref="ns1:PublishingExpirationDate" minOccurs="0"/>
                <xsd:element ref="ns1:PublishingContact" minOccurs="0"/>
                <xsd:element ref="ns1:PublishingContactEmail" minOccurs="0"/>
                <xsd:element ref="ns1:PublishingContactName" minOccurs="0"/>
                <xsd:element ref="ns1:PublishingContactPicture" minOccurs="0"/>
                <xsd:element ref="ns1:PublishingRollupImage" minOccurs="0"/>
                <xsd:element ref="ns1:Audience" minOccurs="0"/>
                <xsd:element ref="ns2:Meta_x0020_Description" minOccurs="0"/>
                <xsd:element ref="ns2:Meta_x0020_Keywords" minOccurs="0"/>
                <xsd:element ref="ns1:RoutingRuleDescription" minOccurs="0"/>
                <xsd:element ref="ns2:Scripts" minOccurs="0"/>
                <xsd:element ref="ns2:Styles" minOccurs="0"/>
                <xsd:element ref="ns2:Full_x0020_Width_x0020_Column_x0020_1" minOccurs="0"/>
                <xsd:element ref="ns2:Full_x0020_Width_x0020_Column_x0020_2" minOccurs="0"/>
                <xsd:element ref="ns2:Full_x0020_Width_x0020_Column_x0020_3" minOccurs="0"/>
                <xsd:element ref="ns2:Full_x0020_Width_x0020_Column_x0020_4" minOccurs="0"/>
                <xsd:element ref="ns2:Full_x0020_Width_x0020_Column_x0020_5" minOccurs="0"/>
                <xsd:element ref="ns2:Aside_x0020_Column_x0020_1" minOccurs="0"/>
                <xsd:element ref="ns2:Aside_x0020_Column_x0020_2" minOccurs="0"/>
                <xsd:element ref="ns2:Aside_x0020_Column_x0020_3" minOccurs="0"/>
                <xsd:element ref="ns2:Half_x0020_Column_x0020_1" minOccurs="0"/>
                <xsd:element ref="ns2:Half_x0020_Column_x0020_2" minOccurs="0"/>
                <xsd:element ref="ns2:Half_x0020_Column_x0020_3" minOccurs="0"/>
                <xsd:element ref="ns2:Half_x0020_Column_x0020_4" minOccurs="0"/>
                <xsd:element ref="ns2:Quarter_x0020_Column_x0020_1" minOccurs="0"/>
                <xsd:element ref="ns2:Quarter_x0020_Column_x0020_2" minOccurs="0"/>
                <xsd:element ref="ns2:Quarter_x0020_Column_x0020_3" minOccurs="0"/>
                <xsd:element ref="ns2:Quarter_x0020_Column_x0020_4" minOccurs="0"/>
                <xsd:element ref="ns2:Thirds_x0020_Column_x0020_1" minOccurs="0"/>
                <xsd:element ref="ns2:Thirds_x0020_Column_x0020_2" minOccurs="0"/>
                <xsd:element ref="ns2:Thirds_x0020_Column_x0020_3" minOccurs="0"/>
                <xsd:element ref="ns2:Thirds_x0020_Column_x0020_4" minOccurs="0"/>
                <xsd:element ref="ns2:Thirds_x0020_Column_x0020_5" minOccurs="0"/>
                <xsd:element ref="ns2:Thirds_x0020_Column_x0020_6" minOccurs="0"/>
                <xsd:element ref="ns2:One_x0020_Third_x0020_Two_x0020_Thirds_x0020_Column_x0020_1" minOccurs="0"/>
                <xsd:element ref="ns2:One_x0020_Third_x0020_Two_x0020_Thirds_x0020_Column_x0020_2" minOccurs="0"/>
                <xsd:element ref="ns2:Two_x0020_Thirds_x0020_One_x0020_Third_x0020_Column_x0020_1" minOccurs="0"/>
                <xsd:element ref="ns2:Two_x0020_Thirds_x0020_One_x0020_Third_x0020_Column_x0020_2" minOccurs="0"/>
                <xsd:element ref="ns1:PublishingIsFurlPage" minOccurs="0"/>
                <xsd:element ref="ns1:SeoBrowserTitle" minOccurs="0"/>
                <xsd:element ref="ns1:SeoMetaDescription" minOccurs="0"/>
                <xsd:element ref="ns1:SeoKeywords" minOccurs="0"/>
                <xsd:element ref="ns1:SeoRobotsNoIndex" minOccurs="0"/>
                <xsd:element ref="ns1:PublishingPageLayout" minOccurs="0"/>
                <xsd:element ref="ns1:PublishingVariationGroupID" minOccurs="0"/>
                <xsd:element ref="ns1:PublishingVariationRelationshipLinkField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ments" ma:index="2" nillable="true" ma:displayName="Comments" ma:internalName="Comments">
      <xsd:simpleType>
        <xsd:restriction base="dms:Note">
          <xsd:maxLength value="255"/>
        </xsd:restriction>
      </xsd:simpleType>
    </xsd:element>
    <xsd:element name="PublishingStartDate" ma:index="3"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4"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element name="PublishingContact" ma:index="5" nillable="true" ma:displayName="Contact" ma:description="Contact is a site column created by the Publishing feature. It is used on the Page Content Type as the person or group who is the contact person for the page." ma:list="UserInfo" ma:internalName="PublishingContac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ublishingContactEmail" ma:index="6" nillable="true" ma:displayName="Contact E-Mail Address" ma:description="Contact E-mail Address is a site column created by the Publishing feature. It is used on the Page Content Type as the e-mail address of the person or group who is the contact person for the page." ma:internalName="PublishingContactEmail">
      <xsd:simpleType>
        <xsd:restriction base="dms:Text">
          <xsd:maxLength value="255"/>
        </xsd:restriction>
      </xsd:simpleType>
    </xsd:element>
    <xsd:element name="PublishingContactName" ma:index="7" nillable="true" ma:displayName="Contact Name" ma:description="Contact Name is a site column created by the Publishing feature. It is used on the Page Content Type as the name of the person or group who is the contact person for the page." ma:internalName="PublishingContactName">
      <xsd:simpleType>
        <xsd:restriction base="dms:Text">
          <xsd:maxLength value="255"/>
        </xsd:restriction>
      </xsd:simpleType>
    </xsd:element>
    <xsd:element name="PublishingContactPicture" ma:index="8" nillable="true" ma:displayName="Contact Picture" ma:description="Contact Picture is a site column created by the Publishing feature. It is used on the Page Content Type as the picture of the user or group who is the contact person for the page." ma:format="Image" ma:internalName="PublishingContactPicture">
      <xsd:complexType>
        <xsd:complexContent>
          <xsd:extension base="dms:URL">
            <xsd:sequence>
              <xsd:element name="Url" type="dms:ValidUrl" minOccurs="0" nillable="true"/>
              <xsd:element name="Description" type="xsd:string" nillable="true"/>
            </xsd:sequence>
          </xsd:extension>
        </xsd:complexContent>
      </xsd:complexType>
    </xsd:element>
    <xsd:element name="PublishingRollupImage" ma:index="9" nillable="true" ma:displayName="Rollup Image" ma:description="Rollup Image is a site column created by the Publishing feature. It is used on the Page Content Type as the image for the page shown in content roll-ups such as the Content By Search web part." ma:internalName="PublishingRollupImage">
      <xsd:simpleType>
        <xsd:restriction base="dms:Unknown"/>
      </xsd:simpleType>
    </xsd:element>
    <xsd:element name="Audience" ma:index="10" nillable="true" ma:displayName="Target Audiences" ma:description="Target Audiences is a site column created by the Publishing feature. It is used to specify audiences to which this page will be targeted." ma:internalName="Audience">
      <xsd:simpleType>
        <xsd:restriction base="dms:Unknown"/>
      </xsd:simpleType>
    </xsd:element>
    <xsd:element name="RoutingRuleDescription" ma:index="13" nillable="true" ma:displayName="Description" ma:internalName="RoutingRuleDescription">
      <xsd:simpleType>
        <xsd:restriction base="dms:Text">
          <xsd:maxLength value="255"/>
        </xsd:restriction>
      </xsd:simpleType>
    </xsd:element>
    <xsd:element name="PublishingIsFurlPage" ma:index="42" nillable="true" ma:displayName="Hide physical URLs from search" ma:description="If checked, the physical URL of this page will not appear in search results. Friendly URLs assigned to this page will always appear." ma:internalName="PublishingIsFurlPage">
      <xsd:simpleType>
        <xsd:restriction base="dms:Boolean"/>
      </xsd:simpleType>
    </xsd:element>
    <xsd:element name="SeoBrowserTitle" ma:index="43" nillable="true" ma:displayName="Browser Title" ma:description="Browser Title is a site column created by the Publishing feature. It is used as the title that appears at the top of a browser window and may appear in Internet search results." ma:hidden="true" ma:internalName="SeoBrowserTitle">
      <xsd:simpleType>
        <xsd:restriction base="dms:Text"/>
      </xsd:simpleType>
    </xsd:element>
    <xsd:element name="SeoMetaDescription" ma:index="44" nillable="true" ma:displayName="Meta Description" ma:description="Meta Description is a site column created by the Publishing feature. Internet search engines may display this description in search results pages." ma:hidden="true" ma:internalName="SeoMetaDescription">
      <xsd:simpleType>
        <xsd:restriction base="dms:Text"/>
      </xsd:simpleType>
    </xsd:element>
    <xsd:element name="SeoKeywords" ma:index="45" nillable="true" ma:displayName="Meta Keywords" ma:description="Meta Keywords" ma:hidden="true" ma:internalName="SeoKeywords">
      <xsd:simpleType>
        <xsd:restriction base="dms:Text"/>
      </xsd:simpleType>
    </xsd:element>
    <xsd:element name="SeoRobotsNoIndex" ma:index="46" nillable="true" ma:displayName="Hide from Internet Search Engines" ma:description="Hide from Internet Search Engines is a site column created by the Publishing feature. It is used to indicate to search engine crawlers that a particular page should not be indexed." ma:hidden="true" ma:internalName="RobotsNoIndex">
      <xsd:simpleType>
        <xsd:restriction base="dms:Boolean"/>
      </xsd:simpleType>
    </xsd:element>
    <xsd:element name="PublishingPageLayout" ma:index="49" nillable="true" ma:displayName="Page Layout" ma:internalName="PublishingPageLayout"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PublishingVariationGroupID" ma:index="50" nillable="true" ma:displayName="Variation Group ID" ma:hidden="true" ma:internalName="PublishingVariationGroupID">
      <xsd:simpleType>
        <xsd:restriction base="dms:Text">
          <xsd:maxLength value="255"/>
        </xsd:restriction>
      </xsd:simpleType>
    </xsd:element>
    <xsd:element name="PublishingVariationRelationshipLinkFieldID" ma:index="51" nillable="true" ma:displayName="Variation Relationship Link" ma:hidden="true" ma:internalName="PublishingVariationRelationshipLinkFieldID">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929d661-0d87-4c6f-83f6-ecca9d4cacd7" elementFormDefault="qualified">
    <xsd:import namespace="http://schemas.microsoft.com/office/2006/documentManagement/types"/>
    <xsd:import namespace="http://schemas.microsoft.com/office/infopath/2007/PartnerControls"/>
    <xsd:element name="Meta_x0020_Description" ma:index="11" nillable="true" ma:displayName="Meta Description" ma:internalName="Meta_x0020_Description">
      <xsd:simpleType>
        <xsd:restriction base="dms:Text"/>
      </xsd:simpleType>
    </xsd:element>
    <xsd:element name="Meta_x0020_Keywords" ma:index="12" nillable="true" ma:displayName="Meta Keywords" ma:internalName="Meta_x0020_Keywords">
      <xsd:simpleType>
        <xsd:restriction base="dms:Text"/>
      </xsd:simpleType>
    </xsd:element>
    <xsd:element name="Scripts" ma:index="14" nillable="true" ma:displayName="Scripts" ma:internalName="Scripts">
      <xsd:simpleType>
        <xsd:restriction base="dms:Note">
          <xsd:maxLength value="255"/>
        </xsd:restriction>
      </xsd:simpleType>
    </xsd:element>
    <xsd:element name="Styles" ma:index="15" nillable="true" ma:displayName="Styles" ma:internalName="Styles">
      <xsd:simpleType>
        <xsd:restriction base="dms:Note">
          <xsd:maxLength value="255"/>
        </xsd:restriction>
      </xsd:simpleType>
    </xsd:element>
    <xsd:element name="Full_x0020_Width_x0020_Column_x0020_1" ma:index="16" nillable="true" ma:displayName="Full Width Column 1" ma:internalName="Full_x0020_Width_x0020_Column_x0020_1">
      <xsd:simpleType>
        <xsd:restriction base="dms:Unknown"/>
      </xsd:simpleType>
    </xsd:element>
    <xsd:element name="Full_x0020_Width_x0020_Column_x0020_2" ma:index="17" nillable="true" ma:displayName="Full Width Column 2" ma:internalName="Full_x0020_Width_x0020_Column_x0020_2">
      <xsd:simpleType>
        <xsd:restriction base="dms:Unknown"/>
      </xsd:simpleType>
    </xsd:element>
    <xsd:element name="Full_x0020_Width_x0020_Column_x0020_3" ma:index="18" nillable="true" ma:displayName="Full Width Column 3" ma:internalName="Full_x0020_Width_x0020_Column_x0020_3">
      <xsd:simpleType>
        <xsd:restriction base="dms:Unknown"/>
      </xsd:simpleType>
    </xsd:element>
    <xsd:element name="Full_x0020_Width_x0020_Column_x0020_4" ma:index="19" nillable="true" ma:displayName="Full Width Column 4" ma:internalName="Full_x0020_Width_x0020_Column_x0020_4">
      <xsd:simpleType>
        <xsd:restriction base="dms:Unknown"/>
      </xsd:simpleType>
    </xsd:element>
    <xsd:element name="Full_x0020_Width_x0020_Column_x0020_5" ma:index="20" nillable="true" ma:displayName="Full Width Column 5" ma:internalName="Full_x0020_Width_x0020_Column_x0020_5">
      <xsd:simpleType>
        <xsd:restriction base="dms:Unknown"/>
      </xsd:simpleType>
    </xsd:element>
    <xsd:element name="Aside_x0020_Column_x0020_1" ma:index="21" nillable="true" ma:displayName="Aside Column 1" ma:internalName="Aside_x0020_Column_x0020_1">
      <xsd:simpleType>
        <xsd:restriction base="dms:Unknown"/>
      </xsd:simpleType>
    </xsd:element>
    <xsd:element name="Aside_x0020_Column_x0020_2" ma:index="22" nillable="true" ma:displayName="Aside Column 2" ma:internalName="Aside_x0020_Column_x0020_2">
      <xsd:simpleType>
        <xsd:restriction base="dms:Unknown"/>
      </xsd:simpleType>
    </xsd:element>
    <xsd:element name="Aside_x0020_Column_x0020_3" ma:index="23" nillable="true" ma:displayName="Aside Column 3" ma:internalName="Aside_x0020_Column_x0020_3">
      <xsd:simpleType>
        <xsd:restriction base="dms:Unknown"/>
      </xsd:simpleType>
    </xsd:element>
    <xsd:element name="Half_x0020_Column_x0020_1" ma:index="24" nillable="true" ma:displayName="Half Column 1" ma:internalName="Half_x0020_Column_x0020_1">
      <xsd:simpleType>
        <xsd:restriction base="dms:Unknown"/>
      </xsd:simpleType>
    </xsd:element>
    <xsd:element name="Half_x0020_Column_x0020_2" ma:index="25" nillable="true" ma:displayName="Half Column 2" ma:internalName="Half_x0020_Column_x0020_2">
      <xsd:simpleType>
        <xsd:restriction base="dms:Unknown"/>
      </xsd:simpleType>
    </xsd:element>
    <xsd:element name="Half_x0020_Column_x0020_3" ma:index="26" nillable="true" ma:displayName="Half Column 3" ma:internalName="Half_x0020_Column_x0020_3">
      <xsd:simpleType>
        <xsd:restriction base="dms:Unknown"/>
      </xsd:simpleType>
    </xsd:element>
    <xsd:element name="Half_x0020_Column_x0020_4" ma:index="27" nillable="true" ma:displayName="Half Column 4" ma:internalName="Half_x0020_Column_x0020_4">
      <xsd:simpleType>
        <xsd:restriction base="dms:Unknown"/>
      </xsd:simpleType>
    </xsd:element>
    <xsd:element name="Quarter_x0020_Column_x0020_1" ma:index="28" nillable="true" ma:displayName="Quarter Column 1" ma:internalName="Quarter_x0020_Column_x0020_1">
      <xsd:simpleType>
        <xsd:restriction base="dms:Unknown"/>
      </xsd:simpleType>
    </xsd:element>
    <xsd:element name="Quarter_x0020_Column_x0020_2" ma:index="29" nillable="true" ma:displayName="Quarter Column 2" ma:internalName="Quarter_x0020_Column_x0020_2">
      <xsd:simpleType>
        <xsd:restriction base="dms:Unknown"/>
      </xsd:simpleType>
    </xsd:element>
    <xsd:element name="Quarter_x0020_Column_x0020_3" ma:index="30" nillable="true" ma:displayName="Quarter Column 3" ma:internalName="Quarter_x0020_Column_x0020_3">
      <xsd:simpleType>
        <xsd:restriction base="dms:Unknown"/>
      </xsd:simpleType>
    </xsd:element>
    <xsd:element name="Quarter_x0020_Column_x0020_4" ma:index="31" nillable="true" ma:displayName="Quarter Column 4" ma:internalName="Quarter_x0020_Column_x0020_4">
      <xsd:simpleType>
        <xsd:restriction base="dms:Unknown"/>
      </xsd:simpleType>
    </xsd:element>
    <xsd:element name="Thirds_x0020_Column_x0020_1" ma:index="32" nillable="true" ma:displayName="Thirds Column 1" ma:internalName="Thirds_x0020_Column_x0020_1">
      <xsd:simpleType>
        <xsd:restriction base="dms:Unknown"/>
      </xsd:simpleType>
    </xsd:element>
    <xsd:element name="Thirds_x0020_Column_x0020_2" ma:index="33" nillable="true" ma:displayName="Thirds Column 2" ma:internalName="Thirds_x0020_Column_x0020_2">
      <xsd:simpleType>
        <xsd:restriction base="dms:Unknown"/>
      </xsd:simpleType>
    </xsd:element>
    <xsd:element name="Thirds_x0020_Column_x0020_3" ma:index="34" nillable="true" ma:displayName="Thirds Column 3" ma:internalName="Thirds_x0020_Column_x0020_3">
      <xsd:simpleType>
        <xsd:restriction base="dms:Unknown"/>
      </xsd:simpleType>
    </xsd:element>
    <xsd:element name="Thirds_x0020_Column_x0020_4" ma:index="35" nillable="true" ma:displayName="Thirds Column 4" ma:internalName="Thirds_x0020_Column_x0020_4">
      <xsd:simpleType>
        <xsd:restriction base="dms:Unknown"/>
      </xsd:simpleType>
    </xsd:element>
    <xsd:element name="Thirds_x0020_Column_x0020_5" ma:index="36" nillable="true" ma:displayName="Thirds Column 5" ma:internalName="Thirds_x0020_Column_x0020_5">
      <xsd:simpleType>
        <xsd:restriction base="dms:Unknown"/>
      </xsd:simpleType>
    </xsd:element>
    <xsd:element name="Thirds_x0020_Column_x0020_6" ma:index="37" nillable="true" ma:displayName="Thirds Column 6" ma:internalName="Thirds_x0020_Column_x0020_6">
      <xsd:simpleType>
        <xsd:restriction base="dms:Unknown"/>
      </xsd:simpleType>
    </xsd:element>
    <xsd:element name="One_x0020_Third_x0020_Two_x0020_Thirds_x0020_Column_x0020_1" ma:index="38" nillable="true" ma:displayName="One Third Two Thirds Column 1" ma:internalName="One_x0020_Third_x0020_Two_x0020_Thirds_x0020_Column_x0020_1">
      <xsd:simpleType>
        <xsd:restriction base="dms:Unknown"/>
      </xsd:simpleType>
    </xsd:element>
    <xsd:element name="One_x0020_Third_x0020_Two_x0020_Thirds_x0020_Column_x0020_2" ma:index="39" nillable="true" ma:displayName="One Third Two Thirds Column 2" ma:internalName="One_x0020_Third_x0020_Two_x0020_Thirds_x0020_Column_x0020_2">
      <xsd:simpleType>
        <xsd:restriction base="dms:Unknown"/>
      </xsd:simpleType>
    </xsd:element>
    <xsd:element name="Two_x0020_Thirds_x0020_One_x0020_Third_x0020_Column_x0020_1" ma:index="40" nillable="true" ma:displayName="Two Thirds One Third Column 1" ma:internalName="Two_x0020_Thirds_x0020_One_x0020_Third_x0020_Column_x0020_1">
      <xsd:simpleType>
        <xsd:restriction base="dms:Unknown"/>
      </xsd:simpleType>
    </xsd:element>
    <xsd:element name="Two_x0020_Thirds_x0020_One_x0020_Third_x0020_Column_x0020_2" ma:index="41" nillable="true" ma:displayName="Two Thirds One Third Column 2" ma:internalName="Two_x0020_Thirds_x0020_One_x0020_Third_x0020_Column_x0020_2">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Half_x0020_Column_x0020_3 xmlns="3929d661-0d87-4c6f-83f6-ecca9d4cacd7" xsi:nil="true"/>
    <Half_x0020_Column_x0020_2 xmlns="3929d661-0d87-4c6f-83f6-ecca9d4cacd7" xsi:nil="true"/>
    <Styles xmlns="3929d661-0d87-4c6f-83f6-ecca9d4cacd7" xsi:nil="true"/>
    <Half_x0020_Column_x0020_1 xmlns="3929d661-0d87-4c6f-83f6-ecca9d4cacd7" xsi:nil="true"/>
    <PublishingRollupImage xmlns="http://schemas.microsoft.com/sharepoint/v3" xsi:nil="true"/>
    <Quarter_x0020_Column_x0020_4 xmlns="3929d661-0d87-4c6f-83f6-ecca9d4cacd7" xsi:nil="true"/>
    <Aside_x0020_Column_x0020_1 xmlns="3929d661-0d87-4c6f-83f6-ecca9d4cacd7" xsi:nil="true"/>
    <Thirds_x0020_Column_x0020_2 xmlns="3929d661-0d87-4c6f-83f6-ecca9d4cacd7" xsi:nil="true"/>
    <One_x0020_Third_x0020_Two_x0020_Thirds_x0020_Column_x0020_2 xmlns="3929d661-0d87-4c6f-83f6-ecca9d4cacd7" xsi:nil="true"/>
    <Two_x0020_Thirds_x0020_One_x0020_Third_x0020_Column_x0020_1 xmlns="3929d661-0d87-4c6f-83f6-ecca9d4cacd7" xsi:nil="true"/>
    <PublishingContactEmail xmlns="http://schemas.microsoft.com/sharepoint/v3" xsi:nil="true"/>
    <Thirds_x0020_Column_x0020_3 xmlns="3929d661-0d87-4c6f-83f6-ecca9d4cacd7" xsi:nil="true"/>
    <PublishingVariationRelationshipLinkFieldID xmlns="http://schemas.microsoft.com/sharepoint/v3">
      <Url xsi:nil="true"/>
      <Description xsi:nil="true"/>
    </PublishingVariationRelationshipLinkFieldID>
    <Thirds_x0020_Column_x0020_1 xmlns="3929d661-0d87-4c6f-83f6-ecca9d4cacd7" xsi:nil="true"/>
    <One_x0020_Third_x0020_Two_x0020_Thirds_x0020_Column_x0020_1 xmlns="3929d661-0d87-4c6f-83f6-ecca9d4cacd7" xsi:nil="true"/>
    <Two_x0020_Thirds_x0020_One_x0020_Third_x0020_Column_x0020_2 xmlns="3929d661-0d87-4c6f-83f6-ecca9d4cacd7" xsi:nil="true"/>
    <SeoKeywords xmlns="http://schemas.microsoft.com/sharepoint/v3" xsi:nil="true"/>
    <Thirds_x0020_Column_x0020_6 xmlns="3929d661-0d87-4c6f-83f6-ecca9d4cacd7" xsi:nil="true"/>
    <PublishingVariationGroupID xmlns="http://schemas.microsoft.com/sharepoint/v3" xsi:nil="true"/>
    <Thirds_x0020_Column_x0020_4 xmlns="3929d661-0d87-4c6f-83f6-ecca9d4cacd7" xsi:nil="true"/>
    <Audience xmlns="http://schemas.microsoft.com/sharepoint/v3" xsi:nil="true"/>
    <Scripts xmlns="3929d661-0d87-4c6f-83f6-ecca9d4cacd7" xsi:nil="true"/>
    <Quarter_x0020_Column_x0020_1 xmlns="3929d661-0d87-4c6f-83f6-ecca9d4cacd7" xsi:nil="true"/>
    <Thirds_x0020_Column_x0020_5 xmlns="3929d661-0d87-4c6f-83f6-ecca9d4cacd7" xsi:nil="true"/>
    <PublishingIsFurlPage xmlns="http://schemas.microsoft.com/sharepoint/v3" xsi:nil="true"/>
    <Aside_x0020_Column_x0020_3 xmlns="3929d661-0d87-4c6f-83f6-ecca9d4cacd7" xsi:nil="true"/>
    <PublishingExpirationDate xmlns="http://schemas.microsoft.com/sharepoint/v3" xsi:nil="true"/>
    <Meta_x0020_Keywords xmlns="3929d661-0d87-4c6f-83f6-ecca9d4cacd7" xsi:nil="true"/>
    <RoutingRuleDescription xmlns="http://schemas.microsoft.com/sharepoint/v3" xsi:nil="true"/>
    <SeoBrowserTitle xmlns="http://schemas.microsoft.com/sharepoint/v3" xsi:nil="true"/>
    <PublishingContactPicture xmlns="http://schemas.microsoft.com/sharepoint/v3">
      <Url xsi:nil="true"/>
      <Description xsi:nil="true"/>
    </PublishingContactPicture>
    <Meta_x0020_Description xmlns="3929d661-0d87-4c6f-83f6-ecca9d4cacd7" xsi:nil="true"/>
    <Full_x0020_Width_x0020_Column_x0020_4 xmlns="3929d661-0d87-4c6f-83f6-ecca9d4cacd7" xsi:nil="true"/>
    <PublishingStartDate xmlns="http://schemas.microsoft.com/sharepoint/v3" xsi:nil="true"/>
    <Full_x0020_Width_x0020_Column_x0020_5 xmlns="3929d661-0d87-4c6f-83f6-ecca9d4cacd7" xsi:nil="true"/>
    <Quarter_x0020_Column_x0020_2 xmlns="3929d661-0d87-4c6f-83f6-ecca9d4cacd7" xsi:nil="true"/>
    <SeoRobotsNoIndex xmlns="http://schemas.microsoft.com/sharepoint/v3" xsi:nil="true"/>
    <Full_x0020_Width_x0020_Column_x0020_2 xmlns="3929d661-0d87-4c6f-83f6-ecca9d4cacd7" xsi:nil="true"/>
    <Aside_x0020_Column_x0020_2 xmlns="3929d661-0d87-4c6f-83f6-ecca9d4cacd7" xsi:nil="true"/>
    <SeoMetaDescription xmlns="http://schemas.microsoft.com/sharepoint/v3" xsi:nil="true"/>
    <PublishingContact xmlns="http://schemas.microsoft.com/sharepoint/v3">
      <UserInfo>
        <DisplayName/>
        <AccountId xsi:nil="true"/>
        <AccountType/>
      </UserInfo>
    </PublishingContact>
    <PublishingContactName xmlns="http://schemas.microsoft.com/sharepoint/v3" xsi:nil="true"/>
    <Full_x0020_Width_x0020_Column_x0020_3 xmlns="3929d661-0d87-4c6f-83f6-ecca9d4cacd7" xsi:nil="true"/>
    <Comments xmlns="http://schemas.microsoft.com/sharepoint/v3" xsi:nil="true"/>
    <Full_x0020_Width_x0020_Column_x0020_1 xmlns="3929d661-0d87-4c6f-83f6-ecca9d4cacd7" xsi:nil="true"/>
    <Half_x0020_Column_x0020_4 xmlns="3929d661-0d87-4c6f-83f6-ecca9d4cacd7" xsi:nil="true"/>
    <Quarter_x0020_Column_x0020_3 xmlns="3929d661-0d87-4c6f-83f6-ecca9d4cacd7" xsi:nil="true"/>
  </documentManagement>
</p:properties>
</file>

<file path=customXml/itemProps1.xml><?xml version="1.0" encoding="utf-8"?>
<ds:datastoreItem xmlns:ds="http://schemas.openxmlformats.org/officeDocument/2006/customXml" ds:itemID="{269DA628-01EC-4C71-ABC1-41F0179D38BC}"/>
</file>

<file path=customXml/itemProps2.xml><?xml version="1.0" encoding="utf-8"?>
<ds:datastoreItem xmlns:ds="http://schemas.openxmlformats.org/officeDocument/2006/customXml" ds:itemID="{C84A49FB-BBCE-471E-8797-91E556EDCA48}">
  <ds:schemaRefs>
    <ds:schemaRef ds:uri="http://schemas.microsoft.com/sharepoint/v3/contenttype/forms"/>
  </ds:schemaRefs>
</ds:datastoreItem>
</file>

<file path=customXml/itemProps3.xml><?xml version="1.0" encoding="utf-8"?>
<ds:datastoreItem xmlns:ds="http://schemas.openxmlformats.org/officeDocument/2006/customXml" ds:itemID="{73C45AFC-A51E-429F-ADD7-2DF02AA653E3}">
  <ds:schemaRefs>
    <ds:schemaRef ds:uri="http://schemas.microsoft.com/office/2006/metadata/properties"/>
    <ds:schemaRef ds:uri="http://schemas.microsoft.com/office/infopath/2007/PartnerControls"/>
    <ds:schemaRef ds:uri="034eba93-94c0-4571-b348-ea65b3a10507"/>
    <ds:schemaRef ds:uri="d745e001-0732-4725-a05b-3d7974e15586"/>
  </ds:schemaRefs>
</ds:datastoreItem>
</file>

<file path=docMetadata/LabelInfo.xml><?xml version="1.0" encoding="utf-8"?>
<clbl:labelList xmlns:clbl="http://schemas.microsoft.com/office/2020/mipLabelMetadata">
  <clbl:label id="{e4870107-094d-417a-be4e-221e87afbec1}" enabled="1" method="Privileged" siteId="{28b0d013-46bc-4a64-8d86-1c8a31cf590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Read Me</vt:lpstr>
      <vt:lpstr>START</vt:lpstr>
      <vt:lpstr>Scenario Inputs</vt:lpstr>
      <vt:lpstr>Output Summary</vt:lpstr>
      <vt:lpstr>Baseline</vt:lpstr>
      <vt:lpstr>Parameter Library</vt:lpstr>
      <vt:lpstr>Travel Time Savings</vt:lpstr>
      <vt:lpstr>Safety</vt:lpstr>
      <vt:lpstr>VOC</vt:lpstr>
      <vt:lpstr>Emissions</vt:lpstr>
      <vt:lpstr>Health</vt:lpstr>
      <vt:lpstr>Noise</vt:lpstr>
      <vt:lpstr>Equity Welfare</vt:lpstr>
      <vt:lpstr>Sensitivity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 Transportation BCA</dc:title>
  <dc:subject/>
  <dc:creator>Jenny Liu;Hyeoncheol Kim</dc:creator>
  <cp:keywords/>
  <dc:description/>
  <cp:lastModifiedBy>HOOVER Sylvan</cp:lastModifiedBy>
  <cp:revision/>
  <dcterms:created xsi:type="dcterms:W3CDTF">2026-07-20T04:13:58Z</dcterms:created>
  <dcterms:modified xsi:type="dcterms:W3CDTF">2026-11-04T22:34:54Z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0x010100C568DB52D9D0A14D9B2FDCC96666E9F2007948130EC3DB064584E219954237AF3900B671B8A31958482299B179759BB6DFD8001216446D945D2943A6E78242FB067E7F</vt:lpwstr>
  </property>
  <property fmtid="{D5CDD505-2E9C-101B-9397-08002B2CF9AE}" pid="3" name="MediaServiceImageTags">
    <vt:lpwstr/>
  </property>
</Properties>
</file>