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bridget_good_oem_oregon_gov/Documents/"/>
    </mc:Choice>
  </mc:AlternateContent>
  <xr:revisionPtr revIDLastSave="0" documentId="8_{919E6BCC-87D6-470C-9054-1D37E47A217B}" xr6:coauthVersionLast="47" xr6:coauthVersionMax="47" xr10:uidLastSave="{00000000-0000-0000-0000-000000000000}"/>
  <bookViews>
    <workbookView xWindow="-108" yWindow="-108" windowWidth="23256" windowHeight="12576" firstSheet="3" activeTab="7" xr2:uid="{2F9F89F8-AF86-4AF6-8406-4DD1B85A73D4}"/>
  </bookViews>
  <sheets>
    <sheet name="EMPG 2013 original" sheetId="1" r:id="rId1"/>
    <sheet name="A - 50 50 split" sheetId="6" r:id="rId2"/>
    <sheet name="B - County Only" sheetId="7" r:id="rId3"/>
    <sheet name="B - County w Tribal" sheetId="8" r:id="rId4"/>
    <sheet name="B - County w Tribal lg Cities" sheetId="9" r:id="rId5"/>
    <sheet name="B - County w Tribal All Cities" sheetId="10" r:id="rId6"/>
    <sheet name="C - Tiered Activity" sheetId="11" r:id="rId7"/>
    <sheet name="D-EM salary" sheetId="5" r:id="rId8"/>
    <sheet name="Sheet4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5" l="1"/>
  <c r="E39" i="11"/>
  <c r="E63" i="11" s="1"/>
  <c r="E65" i="11" s="1"/>
  <c r="E66" i="11" s="1"/>
  <c r="E50" i="11"/>
  <c r="B61" i="11"/>
  <c r="E61" i="11"/>
  <c r="E64" i="11"/>
  <c r="B3" i="10"/>
  <c r="C2" i="10" s="1"/>
  <c r="B3" i="9"/>
  <c r="B4" i="9" s="1"/>
  <c r="B3" i="8"/>
  <c r="C2" i="8" s="1"/>
  <c r="B3" i="7"/>
  <c r="B4" i="7" s="1"/>
  <c r="B5" i="10" l="1"/>
  <c r="B15" i="9"/>
  <c r="B20" i="9"/>
  <c r="B36" i="9"/>
  <c r="B55" i="9"/>
  <c r="B21" i="9"/>
  <c r="B37" i="9"/>
  <c r="B60" i="9"/>
  <c r="B24" i="9"/>
  <c r="B40" i="9"/>
  <c r="B62" i="9"/>
  <c r="B26" i="9"/>
  <c r="B42" i="9"/>
  <c r="B64" i="9"/>
  <c r="B28" i="9"/>
  <c r="B65" i="9"/>
  <c r="B32" i="9"/>
  <c r="B34" i="9"/>
  <c r="B18" i="9"/>
  <c r="B47" i="9"/>
  <c r="B16" i="9"/>
  <c r="B10" i="9"/>
  <c r="B12" i="9"/>
  <c r="B13" i="9"/>
  <c r="B29" i="9"/>
  <c r="B50" i="9"/>
  <c r="B52" i="9"/>
  <c r="B54" i="9"/>
  <c r="B5" i="9"/>
  <c r="C10" i="9" s="1"/>
  <c r="D10" i="9" s="1"/>
  <c r="C2" i="9"/>
  <c r="C2" i="7"/>
  <c r="B4" i="10"/>
  <c r="C42" i="9"/>
  <c r="D42" i="9" s="1"/>
  <c r="C49" i="9"/>
  <c r="C20" i="9"/>
  <c r="D20" i="9" s="1"/>
  <c r="C28" i="9"/>
  <c r="C64" i="9"/>
  <c r="D64" i="9" s="1"/>
  <c r="C8" i="9"/>
  <c r="C16" i="9"/>
  <c r="D16" i="9" s="1"/>
  <c r="C9" i="9"/>
  <c r="C17" i="9"/>
  <c r="C25" i="9"/>
  <c r="C41" i="9"/>
  <c r="C51" i="9"/>
  <c r="C43" i="9"/>
  <c r="C24" i="9"/>
  <c r="C60" i="9"/>
  <c r="D60" i="9" s="1"/>
  <c r="C47" i="9"/>
  <c r="C65" i="9"/>
  <c r="D65" i="9" s="1"/>
  <c r="C14" i="9"/>
  <c r="C22" i="9"/>
  <c r="C30" i="9"/>
  <c r="C38" i="9"/>
  <c r="C48" i="9"/>
  <c r="C66" i="9"/>
  <c r="C35" i="9"/>
  <c r="C53" i="9"/>
  <c r="C63" i="9"/>
  <c r="C32" i="9"/>
  <c r="C50" i="9"/>
  <c r="D50" i="9" s="1"/>
  <c r="C55" i="9"/>
  <c r="D55" i="9" s="1"/>
  <c r="B8" i="9"/>
  <c r="B63" i="9"/>
  <c r="D63" i="9" s="1"/>
  <c r="B53" i="9"/>
  <c r="B43" i="9"/>
  <c r="B35" i="9"/>
  <c r="B27" i="9"/>
  <c r="B19" i="9"/>
  <c r="B11" i="9"/>
  <c r="B66" i="9"/>
  <c r="B48" i="9"/>
  <c r="B38" i="9"/>
  <c r="B30" i="9"/>
  <c r="D30" i="9" s="1"/>
  <c r="B22" i="9"/>
  <c r="B14" i="9"/>
  <c r="D14" i="9" s="1"/>
  <c r="B61" i="9"/>
  <c r="B51" i="9"/>
  <c r="B41" i="9"/>
  <c r="B33" i="9"/>
  <c r="B25" i="9"/>
  <c r="B17" i="9"/>
  <c r="D17" i="9" s="1"/>
  <c r="B9" i="9"/>
  <c r="D9" i="9" s="1"/>
  <c r="C4" i="9"/>
  <c r="B59" i="9"/>
  <c r="B49" i="9"/>
  <c r="B39" i="9"/>
  <c r="B31" i="9"/>
  <c r="B23" i="9"/>
  <c r="B5" i="8"/>
  <c r="B4" i="8"/>
  <c r="B15" i="7"/>
  <c r="B23" i="7"/>
  <c r="B31" i="7"/>
  <c r="B39" i="7"/>
  <c r="B19" i="7"/>
  <c r="B10" i="7"/>
  <c r="B12" i="7"/>
  <c r="B20" i="7"/>
  <c r="B28" i="7"/>
  <c r="B36" i="7"/>
  <c r="B35" i="7"/>
  <c r="B32" i="7"/>
  <c r="C4" i="7"/>
  <c r="B9" i="7"/>
  <c r="B17" i="7"/>
  <c r="B25" i="7"/>
  <c r="B33" i="7"/>
  <c r="B41" i="7"/>
  <c r="B11" i="7"/>
  <c r="B43" i="7"/>
  <c r="B16" i="7"/>
  <c r="B24" i="7"/>
  <c r="B40" i="7"/>
  <c r="B42" i="7"/>
  <c r="B14" i="7"/>
  <c r="B22" i="7"/>
  <c r="B30" i="7"/>
  <c r="B38" i="7"/>
  <c r="B27" i="7"/>
  <c r="B18" i="7"/>
  <c r="B26" i="7"/>
  <c r="B34" i="7"/>
  <c r="B8" i="7"/>
  <c r="B13" i="7"/>
  <c r="B21" i="7"/>
  <c r="B29" i="7"/>
  <c r="B37" i="7"/>
  <c r="B5" i="7"/>
  <c r="C12" i="10" l="1"/>
  <c r="C5" i="10"/>
  <c r="C16" i="10"/>
  <c r="C24" i="10"/>
  <c r="C32" i="10"/>
  <c r="C40" i="10"/>
  <c r="C51" i="10"/>
  <c r="C27" i="10"/>
  <c r="C60" i="10"/>
  <c r="C31" i="10"/>
  <c r="C50" i="10"/>
  <c r="C56" i="10" s="1"/>
  <c r="C8" i="10"/>
  <c r="C17" i="10"/>
  <c r="C25" i="10"/>
  <c r="C33" i="10"/>
  <c r="C41" i="10"/>
  <c r="C52" i="10"/>
  <c r="C10" i="10"/>
  <c r="C43" i="10"/>
  <c r="C49" i="10"/>
  <c r="C9" i="10"/>
  <c r="C18" i="10"/>
  <c r="C26" i="10"/>
  <c r="C34" i="10"/>
  <c r="C42" i="10"/>
  <c r="C53" i="10"/>
  <c r="C19" i="10"/>
  <c r="C35" i="10"/>
  <c r="C54" i="10"/>
  <c r="C15" i="10"/>
  <c r="C39" i="10"/>
  <c r="C61" i="10"/>
  <c r="C11" i="10"/>
  <c r="C20" i="10"/>
  <c r="C28" i="10"/>
  <c r="C36" i="10"/>
  <c r="C47" i="10"/>
  <c r="C55" i="10"/>
  <c r="C14" i="10"/>
  <c r="C22" i="10"/>
  <c r="C30" i="10"/>
  <c r="C38" i="10"/>
  <c r="C23" i="10"/>
  <c r="C13" i="10"/>
  <c r="C21" i="10"/>
  <c r="C29" i="10"/>
  <c r="C37" i="10"/>
  <c r="C48" i="10"/>
  <c r="C59" i="10"/>
  <c r="C62" i="10" s="1"/>
  <c r="D22" i="9"/>
  <c r="D43" i="9"/>
  <c r="C62" i="9"/>
  <c r="D62" i="9" s="1"/>
  <c r="C52" i="9"/>
  <c r="D52" i="9" s="1"/>
  <c r="C39" i="9"/>
  <c r="C13" i="9"/>
  <c r="D13" i="9" s="1"/>
  <c r="C33" i="9"/>
  <c r="C11" i="9"/>
  <c r="D11" i="9" s="1"/>
  <c r="E11" i="9" s="1"/>
  <c r="F11" i="9" s="1"/>
  <c r="C15" i="9"/>
  <c r="D15" i="9" s="1"/>
  <c r="D35" i="9"/>
  <c r="D39" i="9"/>
  <c r="C27" i="9"/>
  <c r="D27" i="9" s="1"/>
  <c r="E27" i="9" s="1"/>
  <c r="F27" i="9" s="1"/>
  <c r="C21" i="9"/>
  <c r="C12" i="9"/>
  <c r="D12" i="9" s="1"/>
  <c r="C34" i="9"/>
  <c r="D34" i="9" s="1"/>
  <c r="E34" i="9" s="1"/>
  <c r="F34" i="9" s="1"/>
  <c r="C5" i="9"/>
  <c r="C61" i="9"/>
  <c r="D61" i="9" s="1"/>
  <c r="C40" i="9"/>
  <c r="D40" i="9" s="1"/>
  <c r="C59" i="9"/>
  <c r="D59" i="9" s="1"/>
  <c r="C26" i="9"/>
  <c r="D26" i="9" s="1"/>
  <c r="D24" i="9"/>
  <c r="F24" i="9" s="1"/>
  <c r="D25" i="9"/>
  <c r="D33" i="9"/>
  <c r="E33" i="9" s="1"/>
  <c r="F33" i="9" s="1"/>
  <c r="D48" i="9"/>
  <c r="D38" i="9"/>
  <c r="E38" i="9" s="1"/>
  <c r="F38" i="9" s="1"/>
  <c r="D41" i="9"/>
  <c r="E41" i="9" s="1"/>
  <c r="F41" i="9" s="1"/>
  <c r="C19" i="9"/>
  <c r="D19" i="9" s="1"/>
  <c r="C37" i="9"/>
  <c r="D37" i="9" s="1"/>
  <c r="C54" i="9"/>
  <c r="D54" i="9" s="1"/>
  <c r="E54" i="9" s="1"/>
  <c r="F54" i="9" s="1"/>
  <c r="C31" i="9"/>
  <c r="C18" i="9"/>
  <c r="D18" i="9" s="1"/>
  <c r="E18" i="9" s="1"/>
  <c r="F18" i="9" s="1"/>
  <c r="D49" i="9"/>
  <c r="E49" i="9" s="1"/>
  <c r="C29" i="9"/>
  <c r="D29" i="9" s="1"/>
  <c r="E29" i="9" s="1"/>
  <c r="C36" i="9"/>
  <c r="D36" i="9" s="1"/>
  <c r="E36" i="9" s="1"/>
  <c r="F36" i="9" s="1"/>
  <c r="C23" i="9"/>
  <c r="D23" i="9" s="1"/>
  <c r="E23" i="9" s="1"/>
  <c r="F23" i="9" s="1"/>
  <c r="D32" i="9"/>
  <c r="D21" i="9"/>
  <c r="E21" i="9" s="1"/>
  <c r="F21" i="9" s="1"/>
  <c r="D28" i="9"/>
  <c r="E28" i="9" s="1"/>
  <c r="F28" i="9" s="1"/>
  <c r="B10" i="10"/>
  <c r="D10" i="10" s="1"/>
  <c r="B18" i="10"/>
  <c r="B26" i="10"/>
  <c r="B34" i="10"/>
  <c r="B42" i="10"/>
  <c r="D42" i="10" s="1"/>
  <c r="B52" i="10"/>
  <c r="D52" i="10" s="1"/>
  <c r="B24" i="10"/>
  <c r="D24" i="10" s="1"/>
  <c r="B55" i="10"/>
  <c r="D55" i="10" s="1"/>
  <c r="B15" i="10"/>
  <c r="D15" i="10" s="1"/>
  <c r="B23" i="10"/>
  <c r="B31" i="10"/>
  <c r="D31" i="10" s="1"/>
  <c r="B39" i="10"/>
  <c r="D39" i="10" s="1"/>
  <c r="B49" i="10"/>
  <c r="D49" i="10" s="1"/>
  <c r="B59" i="10"/>
  <c r="B35" i="10"/>
  <c r="D35" i="10" s="1"/>
  <c r="B29" i="10"/>
  <c r="D29" i="10" s="1"/>
  <c r="B12" i="10"/>
  <c r="D12" i="10" s="1"/>
  <c r="B20" i="10"/>
  <c r="D20" i="10" s="1"/>
  <c r="B28" i="10"/>
  <c r="B36" i="10"/>
  <c r="D36" i="10" s="1"/>
  <c r="B54" i="10"/>
  <c r="D54" i="10" s="1"/>
  <c r="B11" i="10"/>
  <c r="D11" i="10" s="1"/>
  <c r="B60" i="10"/>
  <c r="D60" i="10" s="1"/>
  <c r="B13" i="10"/>
  <c r="D13" i="10" s="1"/>
  <c r="C4" i="10"/>
  <c r="B9" i="10"/>
  <c r="D9" i="10" s="1"/>
  <c r="B17" i="10"/>
  <c r="D17" i="10" s="1"/>
  <c r="B25" i="10"/>
  <c r="D25" i="10" s="1"/>
  <c r="B33" i="10"/>
  <c r="B41" i="10"/>
  <c r="B51" i="10"/>
  <c r="B61" i="10"/>
  <c r="B19" i="10"/>
  <c r="D19" i="10" s="1"/>
  <c r="B27" i="10"/>
  <c r="B43" i="10"/>
  <c r="B53" i="10"/>
  <c r="D53" i="10" s="1"/>
  <c r="B32" i="10"/>
  <c r="D32" i="10" s="1"/>
  <c r="B40" i="10"/>
  <c r="B50" i="10"/>
  <c r="D50" i="10" s="1"/>
  <c r="B37" i="10"/>
  <c r="D37" i="10" s="1"/>
  <c r="B14" i="10"/>
  <c r="D14" i="10" s="1"/>
  <c r="B22" i="10"/>
  <c r="B30" i="10"/>
  <c r="D30" i="10" s="1"/>
  <c r="B38" i="10"/>
  <c r="D38" i="10" s="1"/>
  <c r="B48" i="10"/>
  <c r="B8" i="10"/>
  <c r="B16" i="10"/>
  <c r="D16" i="10" s="1"/>
  <c r="B21" i="10"/>
  <c r="D21" i="10" s="1"/>
  <c r="B47" i="10"/>
  <c r="E37" i="9"/>
  <c r="E55" i="9"/>
  <c r="F55" i="9" s="1"/>
  <c r="E65" i="9"/>
  <c r="F65" i="9" s="1"/>
  <c r="E10" i="9"/>
  <c r="F10" i="9" s="1"/>
  <c r="E52" i="9"/>
  <c r="F52" i="9" s="1"/>
  <c r="E15" i="9"/>
  <c r="F15" i="9" s="1"/>
  <c r="E42" i="9"/>
  <c r="F42" i="9" s="1"/>
  <c r="E20" i="9"/>
  <c r="F20" i="9" s="1"/>
  <c r="E17" i="9"/>
  <c r="F17" i="9" s="1"/>
  <c r="E12" i="9"/>
  <c r="F12" i="9" s="1"/>
  <c r="E62" i="9"/>
  <c r="F62" i="9"/>
  <c r="E64" i="9"/>
  <c r="F64" i="9" s="1"/>
  <c r="E16" i="9"/>
  <c r="F16" i="9" s="1"/>
  <c r="E35" i="9"/>
  <c r="F35" i="9" s="1"/>
  <c r="E43" i="9"/>
  <c r="F43" i="9" s="1"/>
  <c r="D53" i="9"/>
  <c r="E63" i="9"/>
  <c r="F63" i="9" s="1"/>
  <c r="B44" i="9"/>
  <c r="D8" i="9"/>
  <c r="B67" i="9"/>
  <c r="E50" i="9"/>
  <c r="F50" i="9" s="1"/>
  <c r="E24" i="9"/>
  <c r="C67" i="9"/>
  <c r="E30" i="9"/>
  <c r="F30" i="9" s="1"/>
  <c r="D31" i="9"/>
  <c r="E48" i="9"/>
  <c r="F48" i="9" s="1"/>
  <c r="E39" i="9"/>
  <c r="F39" i="9" s="1"/>
  <c r="B56" i="9"/>
  <c r="D51" i="9"/>
  <c r="E60" i="9"/>
  <c r="F60" i="9" s="1"/>
  <c r="E14" i="9"/>
  <c r="F14" i="9" s="1"/>
  <c r="E32" i="9"/>
  <c r="F32" i="9" s="1"/>
  <c r="E25" i="9"/>
  <c r="F25" i="9" s="1"/>
  <c r="E26" i="9"/>
  <c r="F26" i="9" s="1"/>
  <c r="C56" i="9"/>
  <c r="E40" i="9"/>
  <c r="F40" i="9" s="1"/>
  <c r="D47" i="9"/>
  <c r="D66" i="9"/>
  <c r="E9" i="9"/>
  <c r="F9" i="9" s="1"/>
  <c r="E22" i="9"/>
  <c r="F22" i="9" s="1"/>
  <c r="B10" i="8"/>
  <c r="B18" i="8"/>
  <c r="B26" i="8"/>
  <c r="B34" i="8"/>
  <c r="B42" i="8"/>
  <c r="B52" i="8"/>
  <c r="B15" i="8"/>
  <c r="B23" i="8"/>
  <c r="D23" i="8" s="1"/>
  <c r="B31" i="8"/>
  <c r="B39" i="8"/>
  <c r="B49" i="8"/>
  <c r="B19" i="8"/>
  <c r="B12" i="8"/>
  <c r="B20" i="8"/>
  <c r="B28" i="8"/>
  <c r="B36" i="8"/>
  <c r="D36" i="8" s="1"/>
  <c r="B54" i="8"/>
  <c r="B27" i="8"/>
  <c r="B35" i="8"/>
  <c r="B43" i="8"/>
  <c r="B53" i="8"/>
  <c r="D53" i="8" s="1"/>
  <c r="B29" i="8"/>
  <c r="D29" i="8" s="1"/>
  <c r="C4" i="8"/>
  <c r="B9" i="8"/>
  <c r="D9" i="8" s="1"/>
  <c r="B17" i="8"/>
  <c r="B25" i="8"/>
  <c r="B33" i="8"/>
  <c r="B41" i="8"/>
  <c r="B51" i="8"/>
  <c r="B11" i="8"/>
  <c r="D11" i="8" s="1"/>
  <c r="B37" i="8"/>
  <c r="D37" i="8" s="1"/>
  <c r="B14" i="8"/>
  <c r="D14" i="8" s="1"/>
  <c r="B22" i="8"/>
  <c r="B30" i="8"/>
  <c r="B38" i="8"/>
  <c r="B48" i="8"/>
  <c r="B8" i="8"/>
  <c r="B16" i="8"/>
  <c r="D16" i="8" s="1"/>
  <c r="B24" i="8"/>
  <c r="D24" i="8" s="1"/>
  <c r="B32" i="8"/>
  <c r="D32" i="8" s="1"/>
  <c r="B40" i="8"/>
  <c r="B50" i="8"/>
  <c r="B13" i="8"/>
  <c r="B21" i="8"/>
  <c r="B47" i="8"/>
  <c r="B55" i="8"/>
  <c r="D55" i="8" s="1"/>
  <c r="C13" i="8"/>
  <c r="C21" i="8"/>
  <c r="C29" i="8"/>
  <c r="C37" i="8"/>
  <c r="C47" i="8"/>
  <c r="C55" i="8"/>
  <c r="C38" i="8"/>
  <c r="C48" i="8"/>
  <c r="C32" i="8"/>
  <c r="C50" i="8"/>
  <c r="C10" i="8"/>
  <c r="C18" i="8"/>
  <c r="C26" i="8"/>
  <c r="C34" i="8"/>
  <c r="C42" i="8"/>
  <c r="C52" i="8"/>
  <c r="C14" i="8"/>
  <c r="C15" i="8"/>
  <c r="C23" i="8"/>
  <c r="C31" i="8"/>
  <c r="C39" i="8"/>
  <c r="C49" i="8"/>
  <c r="C40" i="8"/>
  <c r="C12" i="8"/>
  <c r="C20" i="8"/>
  <c r="C28" i="8"/>
  <c r="C36" i="8"/>
  <c r="C54" i="8"/>
  <c r="C9" i="8"/>
  <c r="C17" i="8"/>
  <c r="C25" i="8"/>
  <c r="C33" i="8"/>
  <c r="C41" i="8"/>
  <c r="C51" i="8"/>
  <c r="C5" i="8"/>
  <c r="C22" i="8"/>
  <c r="C30" i="8"/>
  <c r="C11" i="8"/>
  <c r="C19" i="8"/>
  <c r="C27" i="8"/>
  <c r="C35" i="8"/>
  <c r="C43" i="8"/>
  <c r="C53" i="8"/>
  <c r="C8" i="8"/>
  <c r="C16" i="8"/>
  <c r="C24" i="8"/>
  <c r="B44" i="7"/>
  <c r="D17" i="7"/>
  <c r="D12" i="7"/>
  <c r="D15" i="7"/>
  <c r="C10" i="7"/>
  <c r="C18" i="7"/>
  <c r="C26" i="7"/>
  <c r="D26" i="7" s="1"/>
  <c r="C34" i="7"/>
  <c r="C42" i="7"/>
  <c r="D42" i="7" s="1"/>
  <c r="C14" i="7"/>
  <c r="D14" i="7" s="1"/>
  <c r="C30" i="7"/>
  <c r="D30" i="7" s="1"/>
  <c r="C19" i="7"/>
  <c r="D19" i="7" s="1"/>
  <c r="C29" i="7"/>
  <c r="C37" i="7"/>
  <c r="C15" i="7"/>
  <c r="C23" i="7"/>
  <c r="C31" i="7"/>
  <c r="D31" i="7" s="1"/>
  <c r="C39" i="7"/>
  <c r="D39" i="7" s="1"/>
  <c r="C5" i="7"/>
  <c r="C27" i="7"/>
  <c r="D27" i="7" s="1"/>
  <c r="C21" i="7"/>
  <c r="C12" i="7"/>
  <c r="C20" i="7"/>
  <c r="D20" i="7" s="1"/>
  <c r="C28" i="7"/>
  <c r="D28" i="7" s="1"/>
  <c r="C36" i="7"/>
  <c r="C22" i="7"/>
  <c r="D22" i="7" s="1"/>
  <c r="C9" i="7"/>
  <c r="D9" i="7" s="1"/>
  <c r="C17" i="7"/>
  <c r="C25" i="7"/>
  <c r="C33" i="7"/>
  <c r="C41" i="7"/>
  <c r="C38" i="7"/>
  <c r="C35" i="7"/>
  <c r="D35" i="7" s="1"/>
  <c r="C43" i="7"/>
  <c r="D43" i="7" s="1"/>
  <c r="C13" i="7"/>
  <c r="D13" i="7" s="1"/>
  <c r="C11" i="7"/>
  <c r="D11" i="7" s="1"/>
  <c r="C8" i="7"/>
  <c r="C16" i="7"/>
  <c r="C24" i="7"/>
  <c r="C32" i="7"/>
  <c r="C40" i="7"/>
  <c r="D40" i="7" s="1"/>
  <c r="D18" i="7"/>
  <c r="D24" i="7"/>
  <c r="D10" i="7"/>
  <c r="D33" i="7"/>
  <c r="D34" i="7"/>
  <c r="D25" i="7"/>
  <c r="D37" i="7"/>
  <c r="D16" i="7"/>
  <c r="D38" i="7"/>
  <c r="D21" i="7"/>
  <c r="D29" i="7"/>
  <c r="D32" i="7"/>
  <c r="D41" i="7"/>
  <c r="D36" i="7"/>
  <c r="D23" i="7"/>
  <c r="D51" i="10" l="1"/>
  <c r="D61" i="10"/>
  <c r="D40" i="10"/>
  <c r="D41" i="10"/>
  <c r="E41" i="10" s="1"/>
  <c r="F41" i="10" s="1"/>
  <c r="D48" i="10"/>
  <c r="D33" i="10"/>
  <c r="C44" i="10"/>
  <c r="C64" i="10" s="1"/>
  <c r="D43" i="10"/>
  <c r="E43" i="10" s="1"/>
  <c r="D28" i="10"/>
  <c r="D26" i="10"/>
  <c r="D34" i="10"/>
  <c r="E34" i="10" s="1"/>
  <c r="F34" i="10" s="1"/>
  <c r="D22" i="10"/>
  <c r="D27" i="10"/>
  <c r="D23" i="10"/>
  <c r="D18" i="10"/>
  <c r="E18" i="10" s="1"/>
  <c r="F18" i="10" s="1"/>
  <c r="E13" i="9"/>
  <c r="F13" i="9" s="1"/>
  <c r="C44" i="9"/>
  <c r="C69" i="9" s="1"/>
  <c r="F29" i="9"/>
  <c r="F37" i="9"/>
  <c r="B69" i="9"/>
  <c r="F49" i="9"/>
  <c r="E37" i="10"/>
  <c r="F37" i="10"/>
  <c r="E48" i="10"/>
  <c r="F48" i="10" s="1"/>
  <c r="E32" i="10"/>
  <c r="F32" i="10" s="1"/>
  <c r="E33" i="10"/>
  <c r="F33" i="10" s="1"/>
  <c r="E54" i="10"/>
  <c r="F54" i="10" s="1"/>
  <c r="E49" i="10"/>
  <c r="F49" i="10"/>
  <c r="E42" i="10"/>
  <c r="F42" i="10" s="1"/>
  <c r="E61" i="10"/>
  <c r="F61" i="10"/>
  <c r="E35" i="10"/>
  <c r="F35" i="10" s="1"/>
  <c r="E38" i="10"/>
  <c r="F38" i="10" s="1"/>
  <c r="E53" i="10"/>
  <c r="F53" i="10"/>
  <c r="E25" i="10"/>
  <c r="F25" i="10" s="1"/>
  <c r="E36" i="10"/>
  <c r="F36" i="10" s="1"/>
  <c r="E39" i="10"/>
  <c r="F39" i="10" s="1"/>
  <c r="E21" i="10"/>
  <c r="F21" i="10" s="1"/>
  <c r="E13" i="10"/>
  <c r="F13" i="10"/>
  <c r="E50" i="10"/>
  <c r="F50" i="10" s="1"/>
  <c r="E60" i="10"/>
  <c r="F60" i="10"/>
  <c r="E40" i="10"/>
  <c r="F40" i="10" s="1"/>
  <c r="B62" i="10"/>
  <c r="D59" i="10"/>
  <c r="E30" i="10"/>
  <c r="F30" i="10" s="1"/>
  <c r="E17" i="10"/>
  <c r="F17" i="10" s="1"/>
  <c r="E28" i="10"/>
  <c r="F28" i="10"/>
  <c r="E31" i="10"/>
  <c r="F31" i="10" s="1"/>
  <c r="E26" i="10"/>
  <c r="F26" i="10"/>
  <c r="E29" i="10"/>
  <c r="F29" i="10" s="1"/>
  <c r="E16" i="10"/>
  <c r="F16" i="10"/>
  <c r="E24" i="10"/>
  <c r="F24" i="10"/>
  <c r="D8" i="10"/>
  <c r="B44" i="10"/>
  <c r="E11" i="10"/>
  <c r="F11" i="10" s="1"/>
  <c r="E22" i="10"/>
  <c r="F22" i="10" s="1"/>
  <c r="E27" i="10"/>
  <c r="F27" i="10"/>
  <c r="E9" i="10"/>
  <c r="F9" i="10" s="1"/>
  <c r="E20" i="10"/>
  <c r="F20" i="10" s="1"/>
  <c r="E23" i="10"/>
  <c r="F23" i="10" s="1"/>
  <c r="E55" i="10"/>
  <c r="F55" i="10" s="1"/>
  <c r="E51" i="10"/>
  <c r="F51" i="10" s="1"/>
  <c r="E52" i="10"/>
  <c r="F52" i="10"/>
  <c r="D47" i="10"/>
  <c r="B56" i="10"/>
  <c r="E14" i="10"/>
  <c r="F14" i="10" s="1"/>
  <c r="E19" i="10"/>
  <c r="F19" i="10" s="1"/>
  <c r="E12" i="10"/>
  <c r="F12" i="10"/>
  <c r="E15" i="10"/>
  <c r="F15" i="10" s="1"/>
  <c r="E10" i="10"/>
  <c r="F10" i="10" s="1"/>
  <c r="E47" i="9"/>
  <c r="F47" i="9" s="1"/>
  <c r="D56" i="9"/>
  <c r="E51" i="9"/>
  <c r="F51" i="9" s="1"/>
  <c r="E19" i="9"/>
  <c r="F19" i="9" s="1"/>
  <c r="E61" i="9"/>
  <c r="F61" i="9" s="1"/>
  <c r="D67" i="9"/>
  <c r="E59" i="9"/>
  <c r="F59" i="9" s="1"/>
  <c r="E53" i="9"/>
  <c r="F53" i="9" s="1"/>
  <c r="E66" i="9"/>
  <c r="F66" i="9" s="1"/>
  <c r="E31" i="9"/>
  <c r="F31" i="9" s="1"/>
  <c r="E8" i="9"/>
  <c r="F8" i="9" s="1"/>
  <c r="D44" i="9"/>
  <c r="E9" i="8"/>
  <c r="F9" i="8" s="1"/>
  <c r="E55" i="8"/>
  <c r="F55" i="8" s="1"/>
  <c r="E11" i="8"/>
  <c r="F11" i="8"/>
  <c r="D47" i="8"/>
  <c r="B56" i="8"/>
  <c r="D8" i="8"/>
  <c r="B44" i="8"/>
  <c r="D51" i="8"/>
  <c r="E53" i="8"/>
  <c r="F53" i="8" s="1"/>
  <c r="D12" i="8"/>
  <c r="D42" i="8"/>
  <c r="E36" i="8"/>
  <c r="F36" i="8" s="1"/>
  <c r="D28" i="8"/>
  <c r="D20" i="8"/>
  <c r="D21" i="8"/>
  <c r="D48" i="8"/>
  <c r="D41" i="8"/>
  <c r="D43" i="8"/>
  <c r="D19" i="8"/>
  <c r="D34" i="8"/>
  <c r="E32" i="8"/>
  <c r="F32" i="8"/>
  <c r="E24" i="8"/>
  <c r="F24" i="8" s="1"/>
  <c r="D52" i="8"/>
  <c r="C56" i="8"/>
  <c r="D13" i="8"/>
  <c r="D38" i="8"/>
  <c r="D33" i="8"/>
  <c r="D35" i="8"/>
  <c r="D49" i="8"/>
  <c r="D26" i="8"/>
  <c r="E14" i="8"/>
  <c r="F14" i="8" s="1"/>
  <c r="E37" i="8"/>
  <c r="F37" i="8"/>
  <c r="E16" i="8"/>
  <c r="F16" i="8" s="1"/>
  <c r="C44" i="8"/>
  <c r="C58" i="8" s="1"/>
  <c r="D50" i="8"/>
  <c r="D30" i="8"/>
  <c r="D25" i="8"/>
  <c r="D27" i="8"/>
  <c r="D39" i="8"/>
  <c r="D18" i="8"/>
  <c r="F23" i="8"/>
  <c r="E23" i="8"/>
  <c r="D15" i="8"/>
  <c r="E29" i="8"/>
  <c r="F29" i="8" s="1"/>
  <c r="D40" i="8"/>
  <c r="D22" i="8"/>
  <c r="D17" i="8"/>
  <c r="D54" i="8"/>
  <c r="D31" i="8"/>
  <c r="D10" i="8"/>
  <c r="E40" i="7"/>
  <c r="F40" i="7" s="1"/>
  <c r="E42" i="7"/>
  <c r="F42" i="7" s="1"/>
  <c r="E20" i="7"/>
  <c r="F20" i="7" s="1"/>
  <c r="E26" i="7"/>
  <c r="F26" i="7" s="1"/>
  <c r="E31" i="7"/>
  <c r="F31" i="7" s="1"/>
  <c r="E28" i="7"/>
  <c r="F28" i="7"/>
  <c r="E13" i="7"/>
  <c r="F13" i="7" s="1"/>
  <c r="E9" i="7"/>
  <c r="F9" i="7"/>
  <c r="F30" i="7"/>
  <c r="E30" i="7"/>
  <c r="E43" i="7"/>
  <c r="F43" i="7" s="1"/>
  <c r="E22" i="7"/>
  <c r="F22" i="7" s="1"/>
  <c r="E14" i="7"/>
  <c r="F14" i="7" s="1"/>
  <c r="E41" i="7"/>
  <c r="F41" i="7" s="1"/>
  <c r="E27" i="7"/>
  <c r="F27" i="7" s="1"/>
  <c r="E12" i="7"/>
  <c r="F12" i="7" s="1"/>
  <c r="E37" i="7"/>
  <c r="F37" i="7"/>
  <c r="E17" i="7"/>
  <c r="F17" i="7" s="1"/>
  <c r="E11" i="7"/>
  <c r="F11" i="7" s="1"/>
  <c r="E18" i="7"/>
  <c r="F18" i="7" s="1"/>
  <c r="E21" i="7"/>
  <c r="F21" i="7"/>
  <c r="E25" i="7"/>
  <c r="F25" i="7" s="1"/>
  <c r="E34" i="7"/>
  <c r="F34" i="7"/>
  <c r="E24" i="7"/>
  <c r="F24" i="7" s="1"/>
  <c r="E38" i="7"/>
  <c r="F38" i="7" s="1"/>
  <c r="E33" i="7"/>
  <c r="F33" i="7" s="1"/>
  <c r="E16" i="7"/>
  <c r="F16" i="7"/>
  <c r="E32" i="7"/>
  <c r="F32" i="7" s="1"/>
  <c r="E29" i="7"/>
  <c r="F29" i="7"/>
  <c r="E10" i="7"/>
  <c r="F10" i="7" s="1"/>
  <c r="C44" i="7"/>
  <c r="E35" i="7"/>
  <c r="F35" i="7" s="1"/>
  <c r="E39" i="7"/>
  <c r="F39" i="7" s="1"/>
  <c r="E23" i="7"/>
  <c r="F23" i="7" s="1"/>
  <c r="E19" i="7"/>
  <c r="F19" i="7" s="1"/>
  <c r="D8" i="7"/>
  <c r="E36" i="7"/>
  <c r="F36" i="7" s="1"/>
  <c r="E15" i="7"/>
  <c r="F15" i="7" s="1"/>
  <c r="F43" i="10" l="1"/>
  <c r="B64" i="10"/>
  <c r="F44" i="9"/>
  <c r="D69" i="9"/>
  <c r="E47" i="10"/>
  <c r="E56" i="10" s="1"/>
  <c r="F47" i="10"/>
  <c r="F56" i="10" s="1"/>
  <c r="D56" i="10"/>
  <c r="D62" i="10"/>
  <c r="E59" i="10"/>
  <c r="E62" i="10" s="1"/>
  <c r="E8" i="10"/>
  <c r="E44" i="10" s="1"/>
  <c r="F8" i="10"/>
  <c r="F44" i="10" s="1"/>
  <c r="D44" i="10"/>
  <c r="F67" i="9"/>
  <c r="E44" i="9"/>
  <c r="E67" i="9"/>
  <c r="F56" i="9"/>
  <c r="F69" i="9" s="1"/>
  <c r="E56" i="9"/>
  <c r="E38" i="8"/>
  <c r="F38" i="8" s="1"/>
  <c r="E34" i="8"/>
  <c r="F34" i="8" s="1"/>
  <c r="E8" i="8"/>
  <c r="F8" i="8" s="1"/>
  <c r="D44" i="8"/>
  <c r="E40" i="8"/>
  <c r="F40" i="8" s="1"/>
  <c r="E27" i="8"/>
  <c r="F27" i="8" s="1"/>
  <c r="E13" i="8"/>
  <c r="F13" i="8"/>
  <c r="E19" i="8"/>
  <c r="F19" i="8" s="1"/>
  <c r="F25" i="8"/>
  <c r="E25" i="8"/>
  <c r="E43" i="8"/>
  <c r="F43" i="8" s="1"/>
  <c r="E42" i="8"/>
  <c r="F42" i="8"/>
  <c r="E47" i="8"/>
  <c r="D56" i="8"/>
  <c r="E10" i="8"/>
  <c r="F10" i="8" s="1"/>
  <c r="E15" i="8"/>
  <c r="F15" i="8" s="1"/>
  <c r="E50" i="8"/>
  <c r="F50" i="8"/>
  <c r="E26" i="8"/>
  <c r="F26" i="8"/>
  <c r="E48" i="8"/>
  <c r="F48" i="8" s="1"/>
  <c r="E39" i="8"/>
  <c r="F39" i="8"/>
  <c r="E30" i="8"/>
  <c r="F30" i="8" s="1"/>
  <c r="E52" i="8"/>
  <c r="F52" i="8"/>
  <c r="E12" i="8"/>
  <c r="F12" i="8"/>
  <c r="E31" i="8"/>
  <c r="F31" i="8" s="1"/>
  <c r="E49" i="8"/>
  <c r="F49" i="8" s="1"/>
  <c r="E21" i="8"/>
  <c r="F21" i="8"/>
  <c r="E22" i="8"/>
  <c r="F22" i="8" s="1"/>
  <c r="E41" i="8"/>
  <c r="F41" i="8" s="1"/>
  <c r="E54" i="8"/>
  <c r="F54" i="8"/>
  <c r="E35" i="8"/>
  <c r="F35" i="8"/>
  <c r="E20" i="8"/>
  <c r="F20" i="8"/>
  <c r="E51" i="8"/>
  <c r="F51" i="8" s="1"/>
  <c r="E17" i="8"/>
  <c r="F17" i="8" s="1"/>
  <c r="E18" i="8"/>
  <c r="F18" i="8" s="1"/>
  <c r="E33" i="8"/>
  <c r="F33" i="8" s="1"/>
  <c r="E28" i="8"/>
  <c r="F28" i="8"/>
  <c r="B58" i="8"/>
  <c r="E8" i="7"/>
  <c r="E44" i="7" s="1"/>
  <c r="D44" i="7"/>
  <c r="E64" i="10" l="1"/>
  <c r="E56" i="8"/>
  <c r="F59" i="10"/>
  <c r="F62" i="10" s="1"/>
  <c r="F64" i="10" s="1"/>
  <c r="D64" i="10"/>
  <c r="E69" i="9"/>
  <c r="F47" i="8"/>
  <c r="F56" i="8" s="1"/>
  <c r="D58" i="8"/>
  <c r="E44" i="8"/>
  <c r="E58" i="8" s="1"/>
  <c r="F44" i="8"/>
  <c r="F58" i="8" s="1"/>
  <c r="F8" i="7"/>
  <c r="F44" i="7" s="1"/>
  <c r="D43" i="5"/>
  <c r="F5" i="5"/>
  <c r="C5" i="5"/>
  <c r="G62" i="5"/>
  <c r="H62" i="5" s="1"/>
  <c r="G59" i="5"/>
  <c r="K65" i="5"/>
  <c r="J65" i="5"/>
  <c r="G52" i="5"/>
  <c r="H52" i="5" s="1"/>
  <c r="G46" i="5"/>
  <c r="K55" i="5"/>
  <c r="G54" i="5" s="1"/>
  <c r="H54" i="5" s="1"/>
  <c r="H53" i="5"/>
  <c r="H51" i="5"/>
  <c r="H50" i="5"/>
  <c r="H48" i="5"/>
  <c r="H47" i="5"/>
  <c r="H65" i="5"/>
  <c r="H64" i="5"/>
  <c r="H63" i="5"/>
  <c r="H61" i="5"/>
  <c r="H60" i="5"/>
  <c r="H59" i="5"/>
  <c r="H58" i="5"/>
  <c r="G53" i="5"/>
  <c r="G51" i="5"/>
  <c r="G50" i="5"/>
  <c r="G48" i="5"/>
  <c r="G47" i="5"/>
  <c r="D66" i="5"/>
  <c r="G65" i="5"/>
  <c r="G64" i="5"/>
  <c r="G63" i="5"/>
  <c r="G61" i="5"/>
  <c r="G60" i="5"/>
  <c r="G58" i="5"/>
  <c r="G49" i="5" l="1"/>
  <c r="H49" i="5" s="1"/>
  <c r="H35" i="5"/>
  <c r="H29" i="5"/>
  <c r="H22" i="5"/>
  <c r="H21" i="5"/>
  <c r="H16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G34" i="5"/>
  <c r="H34" i="5" s="1"/>
  <c r="G33" i="5"/>
  <c r="H33" i="5" s="1"/>
  <c r="G32" i="5"/>
  <c r="H32" i="5" s="1"/>
  <c r="G31" i="5"/>
  <c r="H31" i="5" s="1"/>
  <c r="G30" i="5"/>
  <c r="H30" i="5" s="1"/>
  <c r="G29" i="5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G21" i="5"/>
  <c r="G20" i="5"/>
  <c r="H20" i="5" s="1"/>
  <c r="G19" i="5"/>
  <c r="H19" i="5" s="1"/>
  <c r="G18" i="5"/>
  <c r="H18" i="5" s="1"/>
  <c r="G17" i="5"/>
  <c r="H17" i="5" s="1"/>
  <c r="G16" i="5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F84" i="6"/>
  <c r="C80" i="6"/>
  <c r="F79" i="6"/>
  <c r="F78" i="6"/>
  <c r="F77" i="6"/>
  <c r="F76" i="6"/>
  <c r="F75" i="6"/>
  <c r="F74" i="6"/>
  <c r="F73" i="6"/>
  <c r="F72" i="6"/>
  <c r="F68" i="6"/>
  <c r="K68" i="6" s="1"/>
  <c r="M68" i="6" s="1"/>
  <c r="F67" i="6"/>
  <c r="K67" i="6" s="1"/>
  <c r="M67" i="6" s="1"/>
  <c r="M66" i="6"/>
  <c r="K66" i="6"/>
  <c r="F66" i="6"/>
  <c r="F65" i="6"/>
  <c r="K65" i="6" s="1"/>
  <c r="M65" i="6" s="1"/>
  <c r="F64" i="6"/>
  <c r="K64" i="6" s="1"/>
  <c r="M64" i="6" s="1"/>
  <c r="F63" i="6"/>
  <c r="K63" i="6" s="1"/>
  <c r="M63" i="6" s="1"/>
  <c r="F62" i="6"/>
  <c r="K62" i="6" s="1"/>
  <c r="M62" i="6" s="1"/>
  <c r="K61" i="6"/>
  <c r="M61" i="6" s="1"/>
  <c r="F61" i="6"/>
  <c r="F60" i="6"/>
  <c r="C57" i="6"/>
  <c r="F56" i="6"/>
  <c r="D56" i="6"/>
  <c r="F55" i="6"/>
  <c r="D55" i="6"/>
  <c r="G54" i="6"/>
  <c r="B52" i="6" s="1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G44" i="6"/>
  <c r="B44" i="6"/>
  <c r="F43" i="6"/>
  <c r="D43" i="6"/>
  <c r="G42" i="6"/>
  <c r="B41" i="6" s="1"/>
  <c r="F40" i="6"/>
  <c r="D40" i="6"/>
  <c r="F39" i="6"/>
  <c r="D39" i="6"/>
  <c r="G38" i="6"/>
  <c r="B38" i="6"/>
  <c r="F37" i="6"/>
  <c r="D37" i="6"/>
  <c r="F36" i="6"/>
  <c r="D36" i="6"/>
  <c r="F35" i="6"/>
  <c r="D35" i="6"/>
  <c r="F34" i="6"/>
  <c r="D34" i="6"/>
  <c r="G33" i="6"/>
  <c r="B33" i="6"/>
  <c r="F32" i="6"/>
  <c r="D32" i="6"/>
  <c r="F31" i="6"/>
  <c r="D31" i="6"/>
  <c r="F30" i="6"/>
  <c r="D30" i="6"/>
  <c r="F29" i="6"/>
  <c r="D29" i="6"/>
  <c r="F28" i="6"/>
  <c r="D28" i="6"/>
  <c r="G27" i="6"/>
  <c r="B27" i="6" s="1"/>
  <c r="F26" i="6"/>
  <c r="D26" i="6"/>
  <c r="F25" i="6"/>
  <c r="D25" i="6"/>
  <c r="F24" i="6"/>
  <c r="D24" i="6"/>
  <c r="F23" i="6"/>
  <c r="D23" i="6"/>
  <c r="F22" i="6"/>
  <c r="D22" i="6"/>
  <c r="F21" i="6"/>
  <c r="D21" i="6"/>
  <c r="G20" i="6"/>
  <c r="B20" i="6" s="1"/>
  <c r="F19" i="6"/>
  <c r="D19" i="6"/>
  <c r="F18" i="6"/>
  <c r="D18" i="6"/>
  <c r="F17" i="6"/>
  <c r="D17" i="6"/>
  <c r="F16" i="6"/>
  <c r="D16" i="6"/>
  <c r="F15" i="6"/>
  <c r="D15" i="6"/>
  <c r="F14" i="6"/>
  <c r="D14" i="6"/>
  <c r="G13" i="6"/>
  <c r="B13" i="6"/>
  <c r="F12" i="6"/>
  <c r="D12" i="6"/>
  <c r="F11" i="6"/>
  <c r="D11" i="6"/>
  <c r="F10" i="6"/>
  <c r="D10" i="6"/>
  <c r="F57" i="6" l="1"/>
  <c r="F69" i="6"/>
  <c r="F85" i="6"/>
  <c r="G84" i="6"/>
  <c r="F88" i="6"/>
  <c r="B7" i="6" s="1"/>
  <c r="F80" i="6"/>
  <c r="K60" i="6"/>
  <c r="D73" i="6" l="1"/>
  <c r="D79" i="6"/>
  <c r="D76" i="6"/>
  <c r="D74" i="6"/>
  <c r="D77" i="6"/>
  <c r="D72" i="6"/>
  <c r="D78" i="6"/>
  <c r="D75" i="6"/>
  <c r="M60" i="6"/>
  <c r="K69" i="6"/>
  <c r="F5" i="6"/>
  <c r="F82" i="6"/>
  <c r="F86" i="6" s="1"/>
  <c r="F87" i="6" s="1"/>
  <c r="G87" i="6" l="1"/>
  <c r="F7" i="6"/>
  <c r="D80" i="6"/>
  <c r="I9" i="6" l="1"/>
  <c r="G71" i="6"/>
  <c r="G79" i="6" l="1"/>
  <c r="K79" i="6" s="1"/>
  <c r="M79" i="6" s="1"/>
  <c r="G72" i="6"/>
  <c r="G75" i="6"/>
  <c r="K75" i="6" s="1"/>
  <c r="M75" i="6" s="1"/>
  <c r="G74" i="6"/>
  <c r="K74" i="6" s="1"/>
  <c r="M74" i="6" s="1"/>
  <c r="G77" i="6"/>
  <c r="K77" i="6" s="1"/>
  <c r="M77" i="6" s="1"/>
  <c r="G78" i="6"/>
  <c r="K78" i="6" s="1"/>
  <c r="M78" i="6" s="1"/>
  <c r="G73" i="6"/>
  <c r="K73" i="6" s="1"/>
  <c r="M73" i="6" s="1"/>
  <c r="G76" i="6"/>
  <c r="K76" i="6" s="1"/>
  <c r="M76" i="6" s="1"/>
  <c r="I55" i="6"/>
  <c r="K55" i="6" s="1"/>
  <c r="M55" i="6" s="1"/>
  <c r="J52" i="6"/>
  <c r="I45" i="6"/>
  <c r="K45" i="6" s="1"/>
  <c r="M45" i="6" s="1"/>
  <c r="J43" i="6"/>
  <c r="I35" i="6"/>
  <c r="K35" i="6" s="1"/>
  <c r="M35" i="6" s="1"/>
  <c r="I23" i="6"/>
  <c r="K23" i="6" s="1"/>
  <c r="M23" i="6" s="1"/>
  <c r="I13" i="6"/>
  <c r="K13" i="6" s="1"/>
  <c r="M13" i="6" s="1"/>
  <c r="I11" i="6"/>
  <c r="K11" i="6" s="1"/>
  <c r="M11" i="6" s="1"/>
  <c r="I56" i="6"/>
  <c r="K56" i="6" s="1"/>
  <c r="M56" i="6" s="1"/>
  <c r="J12" i="6"/>
  <c r="I49" i="6"/>
  <c r="K49" i="6" s="1"/>
  <c r="M49" i="6" s="1"/>
  <c r="I29" i="6"/>
  <c r="K29" i="6" s="1"/>
  <c r="M29" i="6" s="1"/>
  <c r="I17" i="6"/>
  <c r="K17" i="6" s="1"/>
  <c r="M17" i="6" s="1"/>
  <c r="I48" i="6"/>
  <c r="K48" i="6" s="1"/>
  <c r="M48" i="6" s="1"/>
  <c r="J40" i="6"/>
  <c r="I28" i="6"/>
  <c r="K28" i="6" s="1"/>
  <c r="M28" i="6" s="1"/>
  <c r="J26" i="6"/>
  <c r="I16" i="6"/>
  <c r="K16" i="6" s="1"/>
  <c r="M16" i="6" s="1"/>
  <c r="J51" i="6"/>
  <c r="I33" i="6"/>
  <c r="I31" i="6"/>
  <c r="K31" i="6" s="1"/>
  <c r="M31" i="6" s="1"/>
  <c r="I21" i="6"/>
  <c r="K21" i="6" s="1"/>
  <c r="M21" i="6" s="1"/>
  <c r="J19" i="6"/>
  <c r="I46" i="6"/>
  <c r="K46" i="6" s="1"/>
  <c r="M46" i="6" s="1"/>
  <c r="I38" i="6"/>
  <c r="I36" i="6"/>
  <c r="K36" i="6" s="1"/>
  <c r="M36" i="6" s="1"/>
  <c r="I24" i="6"/>
  <c r="K24" i="6" s="1"/>
  <c r="M24" i="6" s="1"/>
  <c r="I14" i="6"/>
  <c r="K14" i="6" s="1"/>
  <c r="M14" i="6" s="1"/>
  <c r="I54" i="6"/>
  <c r="I44" i="6"/>
  <c r="K44" i="6" s="1"/>
  <c r="M44" i="6" s="1"/>
  <c r="I42" i="6"/>
  <c r="K42" i="6" s="1"/>
  <c r="M42" i="6" s="1"/>
  <c r="I34" i="6"/>
  <c r="K34" i="6" s="1"/>
  <c r="M34" i="6" s="1"/>
  <c r="J32" i="6"/>
  <c r="I22" i="6"/>
  <c r="K22" i="6" s="1"/>
  <c r="M22" i="6" s="1"/>
  <c r="J41" i="6"/>
  <c r="J37" i="6"/>
  <c r="I18" i="6"/>
  <c r="K18" i="6" s="1"/>
  <c r="M18" i="6" s="1"/>
  <c r="I10" i="6"/>
  <c r="I50" i="6"/>
  <c r="K50" i="6" s="1"/>
  <c r="M50" i="6" s="1"/>
  <c r="I47" i="6"/>
  <c r="K47" i="6" s="1"/>
  <c r="M47" i="6" s="1"/>
  <c r="I30" i="6"/>
  <c r="K30" i="6" s="1"/>
  <c r="M30" i="6" s="1"/>
  <c r="I27" i="6"/>
  <c r="K27" i="6" s="1"/>
  <c r="M27" i="6" s="1"/>
  <c r="I15" i="6"/>
  <c r="K15" i="6" s="1"/>
  <c r="M15" i="6" s="1"/>
  <c r="I39" i="6"/>
  <c r="K39" i="6" s="1"/>
  <c r="M39" i="6" s="1"/>
  <c r="J53" i="6"/>
  <c r="I25" i="6"/>
  <c r="K25" i="6" s="1"/>
  <c r="M25" i="6" s="1"/>
  <c r="I20" i="6"/>
  <c r="K20" i="6" s="1"/>
  <c r="M20" i="6" s="1"/>
  <c r="K54" i="6" l="1"/>
  <c r="M54" i="6" s="1"/>
  <c r="I57" i="6"/>
  <c r="K10" i="6"/>
  <c r="K33" i="6"/>
  <c r="M33" i="6" s="1"/>
  <c r="J57" i="6"/>
  <c r="G80" i="6"/>
  <c r="K72" i="6"/>
  <c r="K38" i="6"/>
  <c r="M38" i="6" s="1"/>
  <c r="K80" i="6" l="1"/>
  <c r="M72" i="6"/>
  <c r="K57" i="6"/>
  <c r="K82" i="6" s="1"/>
  <c r="G85" i="6" s="1"/>
  <c r="H85" i="6" s="1"/>
  <c r="M10" i="6"/>
  <c r="H81" i="5" l="1"/>
  <c r="D81" i="5"/>
  <c r="D80" i="5"/>
  <c r="H76" i="5"/>
  <c r="C66" i="5"/>
  <c r="G43" i="5"/>
  <c r="F66" i="1" l="1"/>
  <c r="H43" i="5" l="1"/>
  <c r="F43" i="5"/>
  <c r="H81" i="1" l="1"/>
  <c r="D81" i="1"/>
  <c r="D80" i="1"/>
  <c r="H76" i="1"/>
  <c r="G66" i="1"/>
  <c r="G68" i="1" s="1"/>
  <c r="H77" i="1" s="1"/>
  <c r="C66" i="1"/>
  <c r="D65" i="1"/>
  <c r="D64" i="1"/>
  <c r="D63" i="1"/>
  <c r="D62" i="1"/>
  <c r="D61" i="1"/>
  <c r="D60" i="1"/>
  <c r="D59" i="1"/>
  <c r="D58" i="1"/>
  <c r="D66" i="1" s="1"/>
  <c r="G55" i="1"/>
  <c r="H54" i="1"/>
  <c r="H53" i="1"/>
  <c r="H52" i="1"/>
  <c r="H51" i="1"/>
  <c r="H50" i="1"/>
  <c r="H49" i="1"/>
  <c r="H48" i="1"/>
  <c r="H47" i="1"/>
  <c r="H46" i="1"/>
  <c r="H55" i="1" s="1"/>
  <c r="G43" i="1"/>
  <c r="C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H78" i="1" l="1"/>
  <c r="F3" i="1"/>
  <c r="H80" i="1" l="1"/>
  <c r="H79" i="1"/>
  <c r="F5" i="1"/>
  <c r="F62" i="1" l="1"/>
  <c r="H62" i="1" s="1"/>
  <c r="F39" i="1"/>
  <c r="H39" i="1" s="1"/>
  <c r="F31" i="1"/>
  <c r="H31" i="1" s="1"/>
  <c r="F7" i="1"/>
  <c r="F41" i="1"/>
  <c r="H41" i="1" s="1"/>
  <c r="F33" i="1"/>
  <c r="H33" i="1" s="1"/>
  <c r="F35" i="1"/>
  <c r="H35" i="1" s="1"/>
  <c r="F27" i="1"/>
  <c r="H27" i="1" s="1"/>
  <c r="F19" i="1"/>
  <c r="H19" i="1" s="1"/>
  <c r="F11" i="1"/>
  <c r="H11" i="1" s="1"/>
  <c r="F60" i="1"/>
  <c r="H60" i="1" s="1"/>
  <c r="F37" i="1"/>
  <c r="H37" i="1" s="1"/>
  <c r="F29" i="1"/>
  <c r="H29" i="1" s="1"/>
  <c r="F13" i="1"/>
  <c r="H13" i="1" s="1"/>
  <c r="F65" i="1"/>
  <c r="H65" i="1" s="1"/>
  <c r="F42" i="1"/>
  <c r="H42" i="1" s="1"/>
  <c r="F18" i="1"/>
  <c r="H18" i="1" s="1"/>
  <c r="F23" i="1"/>
  <c r="H23" i="1" s="1"/>
  <c r="F59" i="1"/>
  <c r="H59" i="1" s="1"/>
  <c r="F36" i="1"/>
  <c r="H36" i="1" s="1"/>
  <c r="F28" i="1"/>
  <c r="H28" i="1" s="1"/>
  <c r="F20" i="1"/>
  <c r="H20" i="1" s="1"/>
  <c r="F9" i="1"/>
  <c r="H9" i="1" s="1"/>
  <c r="F30" i="1"/>
  <c r="H30" i="1" s="1"/>
  <c r="F63" i="1"/>
  <c r="H63" i="1" s="1"/>
  <c r="F58" i="1"/>
  <c r="F40" i="1"/>
  <c r="H40" i="1" s="1"/>
  <c r="F32" i="1"/>
  <c r="H32" i="1" s="1"/>
  <c r="F24" i="1"/>
  <c r="H24" i="1" s="1"/>
  <c r="F16" i="1"/>
  <c r="H16" i="1" s="1"/>
  <c r="F8" i="1"/>
  <c r="H8" i="1" s="1"/>
  <c r="F21" i="1"/>
  <c r="H21" i="1" s="1"/>
  <c r="F34" i="1"/>
  <c r="H34" i="1" s="1"/>
  <c r="F26" i="1"/>
  <c r="H26" i="1" s="1"/>
  <c r="F10" i="1"/>
  <c r="H10" i="1" s="1"/>
  <c r="F15" i="1"/>
  <c r="H15" i="1" s="1"/>
  <c r="F12" i="1"/>
  <c r="H12" i="1" s="1"/>
  <c r="F64" i="1"/>
  <c r="H64" i="1" s="1"/>
  <c r="F25" i="1"/>
  <c r="H25" i="1" s="1"/>
  <c r="F17" i="1"/>
  <c r="H17" i="1" s="1"/>
  <c r="F61" i="1"/>
  <c r="H61" i="1" s="1"/>
  <c r="F38" i="1"/>
  <c r="H38" i="1" s="1"/>
  <c r="F22" i="1"/>
  <c r="H22" i="1" s="1"/>
  <c r="F14" i="1"/>
  <c r="H14" i="1" s="1"/>
  <c r="F43" i="1" l="1"/>
  <c r="H7" i="1"/>
  <c r="H43" i="1" s="1"/>
  <c r="F68" i="1"/>
  <c r="H58" i="1"/>
  <c r="H66" i="1" s="1"/>
  <c r="H68" i="1" s="1"/>
  <c r="F66" i="5" l="1"/>
  <c r="F68" i="5" s="1"/>
  <c r="G66" i="5"/>
  <c r="H66" i="5" l="1"/>
  <c r="H46" i="5"/>
  <c r="H55" i="5" s="1"/>
  <c r="G55" i="5"/>
  <c r="H68" i="5" l="1"/>
  <c r="G68" i="5"/>
</calcChain>
</file>

<file path=xl/sharedStrings.xml><?xml version="1.0" encoding="utf-8"?>
<sst xmlns="http://schemas.openxmlformats.org/spreadsheetml/2006/main" count="799" uniqueCount="249">
  <si>
    <t>Geographic Area</t>
  </si>
  <si>
    <t>PSU-2023 Certified Population Estimates</t>
  </si>
  <si>
    <t xml:space="preserve">Total FY2024 Baseline Distribution </t>
  </si>
  <si>
    <t>Total Population</t>
  </si>
  <si>
    <t>Total FY2024 Population Distribution Award</t>
  </si>
  <si>
    <t>County</t>
  </si>
  <si>
    <t>Population</t>
  </si>
  <si>
    <t>% of State Population</t>
  </si>
  <si>
    <t>Population Wt. Award</t>
  </si>
  <si>
    <t>Base Award</t>
  </si>
  <si>
    <t>Total Award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</si>
  <si>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</si>
  <si>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</si>
  <si>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</si>
  <si>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</si>
  <si>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</si>
  <si>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</si>
  <si>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</si>
  <si>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</si>
  <si>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</si>
  <si>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</si>
  <si>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</si>
  <si>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</si>
  <si>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</si>
  <si>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</si>
  <si>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</si>
  <si>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</si>
  <si>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</si>
  <si>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</si>
  <si>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</si>
  <si>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</si>
  <si>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</si>
  <si>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</si>
  <si>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</si>
  <si>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</si>
  <si>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</si>
  <si>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</si>
  <si>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</si>
  <si>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</si>
  <si>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</si>
  <si>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</si>
  <si>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</si>
  <si>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</si>
  <si>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</si>
  <si>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</si>
  <si>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</si>
  <si>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</si>
  <si>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Tribes</t>
  </si>
  <si>
    <t>Population Base Award</t>
  </si>
  <si>
    <t xml:space="preserve"> Base Award</t>
  </si>
  <si>
    <t>Burns Paiute</t>
  </si>
  <si>
    <t>N/A</t>
  </si>
  <si>
    <t>Grand Ronde</t>
  </si>
  <si>
    <t>Siletz</t>
  </si>
  <si>
    <t>Coos, lower Umpqua</t>
  </si>
  <si>
    <t>Cow Creek</t>
  </si>
  <si>
    <t>Umpqua</t>
  </si>
  <si>
    <t>Warm Springs</t>
  </si>
  <si>
    <t xml:space="preserve">Umatilla </t>
  </si>
  <si>
    <t>Cities over 85,000</t>
  </si>
  <si>
    <t>% of 85K City population</t>
  </si>
  <si>
    <t>Beaverton, City of</t>
  </si>
  <si>
    <t>Bend, City of</t>
  </si>
  <si>
    <t>Eugene, City of</t>
  </si>
  <si>
    <t>Gresham, City of</t>
  </si>
  <si>
    <t>Hillsboro, City of</t>
  </si>
  <si>
    <t>Medford, City of</t>
  </si>
  <si>
    <t>Portland, City of</t>
  </si>
  <si>
    <t>Salem, City of</t>
  </si>
  <si>
    <t>Totals</t>
  </si>
  <si>
    <t>Population Count</t>
  </si>
  <si>
    <t>a</t>
  </si>
  <si>
    <t>b+g=a</t>
  </si>
  <si>
    <t>Counties</t>
  </si>
  <si>
    <t xml:space="preserve">80% local </t>
  </si>
  <si>
    <t>b</t>
  </si>
  <si>
    <t>Cities</t>
  </si>
  <si>
    <t>$62,500 for base</t>
  </si>
  <si>
    <t>c</t>
  </si>
  <si>
    <t>c+d=b</t>
  </si>
  <si>
    <t>Pop. Remainder</t>
  </si>
  <si>
    <t>d</t>
  </si>
  <si>
    <t>County (73.66%)</t>
  </si>
  <si>
    <t>e</t>
  </si>
  <si>
    <t>e+f=d</t>
  </si>
  <si>
    <t>OEM-Program</t>
  </si>
  <si>
    <t>City (26.34%)</t>
  </si>
  <si>
    <t>f</t>
  </si>
  <si>
    <t>OEM-M&amp;A</t>
  </si>
  <si>
    <t>20% OEM</t>
  </si>
  <si>
    <t>g</t>
  </si>
  <si>
    <t>EMPG 2013 Original Formula</t>
  </si>
  <si>
    <t>Salary</t>
  </si>
  <si>
    <t>Fringe</t>
  </si>
  <si>
    <t>Director</t>
  </si>
  <si>
    <t>Emergency Manager</t>
  </si>
  <si>
    <t>Emergency Management Director</t>
  </si>
  <si>
    <t>Past Emergency Manager</t>
  </si>
  <si>
    <t xml:space="preserve">Emergency Manager </t>
  </si>
  <si>
    <t>Emergency Services Manager</t>
  </si>
  <si>
    <t>Emergency Program Manager</t>
  </si>
  <si>
    <t>Emergency Services Coordinator</t>
  </si>
  <si>
    <t>EM Coordinator</t>
  </si>
  <si>
    <t>Total</t>
  </si>
  <si>
    <t>Tribe</t>
  </si>
  <si>
    <t>Emergency Preparedness Specialist</t>
  </si>
  <si>
    <t>Operations Manager</t>
  </si>
  <si>
    <t>Federal Award Amount</t>
  </si>
  <si>
    <t>Base Allocation</t>
  </si>
  <si>
    <t>EMPG City Population</t>
  </si>
  <si>
    <t>EMPG City</t>
  </si>
  <si>
    <t>Pop Calculation</t>
  </si>
  <si>
    <t>50/50 Split with County/City</t>
  </si>
  <si>
    <t>2024 Award</t>
  </si>
  <si>
    <t>Portland</t>
  </si>
  <si>
    <t>Bend</t>
  </si>
  <si>
    <t>Medford</t>
  </si>
  <si>
    <t>Eugene</t>
  </si>
  <si>
    <t>Salem</t>
  </si>
  <si>
    <t>Gresham</t>
  </si>
  <si>
    <t>Beaverton</t>
  </si>
  <si>
    <t>Hillsboro</t>
  </si>
  <si>
    <t>% of 85K City</t>
  </si>
  <si>
    <t>Total Amount</t>
  </si>
  <si>
    <t>50/50 population split with county</t>
  </si>
  <si>
    <t>Base</t>
  </si>
  <si>
    <t>Position Title</t>
  </si>
  <si>
    <t>Half of Salary and Fringe - Total Award</t>
  </si>
  <si>
    <t>County Allocation</t>
  </si>
  <si>
    <t>Tribal Base</t>
  </si>
  <si>
    <t>City Base</t>
  </si>
  <si>
    <t xml:space="preserve">Total FY2024 Baseline Distro </t>
  </si>
  <si>
    <t xml:space="preserve">OEM Distribution </t>
  </si>
  <si>
    <t>2025
Total Award</t>
  </si>
  <si>
    <t>Difference From 2024</t>
  </si>
  <si>
    <t>Coquille</t>
  </si>
  <si>
    <t>Emergency Preparedness Coordinator</t>
  </si>
  <si>
    <t>Cities over 85,000 Population</t>
  </si>
  <si>
    <t>OEM 20%</t>
  </si>
  <si>
    <t>Total FY2024 EMPG Allocation</t>
  </si>
  <si>
    <t>Total Available for Local Distribution</t>
  </si>
  <si>
    <t>At least three (3) must be in collaboration with municipal and tribal partners</t>
  </si>
  <si>
    <t>Optional Activity Requirement(s)</t>
  </si>
  <si>
    <t>Update Organization Profile</t>
  </si>
  <si>
    <t>Update Statwide Mutual Aid Agreement Authorized Agent Page</t>
  </si>
  <si>
    <t>Attend one (1) statewide EM conference</t>
  </si>
  <si>
    <t>Conduct or Participate in three (3) exercises</t>
  </si>
  <si>
    <t>NIMS &amp; NQS Compliance</t>
  </si>
  <si>
    <t>EM Training</t>
  </si>
  <si>
    <t>Annual EOP Review</t>
  </si>
  <si>
    <t>Grand Total</t>
  </si>
  <si>
    <t>State Match Amount</t>
  </si>
  <si>
    <t>Federal Total</t>
  </si>
  <si>
    <t>Optional</t>
  </si>
  <si>
    <t>Universal</t>
  </si>
  <si>
    <t>Universal Activities</t>
  </si>
  <si>
    <t># Activities</t>
  </si>
  <si>
    <t>Per Activity</t>
  </si>
  <si>
    <t>Local</t>
  </si>
  <si>
    <t>Oregon Appropriation (2024)</t>
  </si>
  <si>
    <t>Grand Totals</t>
  </si>
  <si>
    <t>Tribal Totals</t>
  </si>
  <si>
    <t>Klamath Tribes</t>
  </si>
  <si>
    <t>Cow Creek Band of Umpqua</t>
  </si>
  <si>
    <t>Siletz Indians</t>
  </si>
  <si>
    <t>Coos, Lower Umpqua &amp; Siuslaw</t>
  </si>
  <si>
    <t>County Totals</t>
  </si>
  <si>
    <t>At least three (3) must be in collaboration with municipal partners</t>
  </si>
  <si>
    <t># Activites</t>
  </si>
  <si>
    <t>Municipal Totals</t>
  </si>
  <si>
    <t>Large City</t>
  </si>
  <si>
    <t>At least three (3) must be in collaboration with small municipal partners</t>
  </si>
  <si>
    <t>Most Distressed (73)</t>
  </si>
  <si>
    <t>Distressed (144)</t>
  </si>
  <si>
    <t>Non-distressed (24)</t>
  </si>
  <si>
    <t># Cities = 241</t>
  </si>
  <si>
    <t>Incoporated Cities</t>
  </si>
  <si>
    <t>Yamhill (10)</t>
  </si>
  <si>
    <t>Wheeler (3)</t>
  </si>
  <si>
    <t>Washington (12)</t>
  </si>
  <si>
    <t>Wasco (6)</t>
  </si>
  <si>
    <t>Wallowa (4)</t>
  </si>
  <si>
    <t>Union (8)</t>
  </si>
  <si>
    <t>Umatilla (12)</t>
  </si>
  <si>
    <t>Tillamook (7)</t>
  </si>
  <si>
    <t>Sherman (4)</t>
  </si>
  <si>
    <t>Polk (4)</t>
  </si>
  <si>
    <t>Multnomah (6)</t>
  </si>
  <si>
    <t>Morrow (5)</t>
  </si>
  <si>
    <t>Marion (17)</t>
  </si>
  <si>
    <t>Malheur (5)</t>
  </si>
  <si>
    <t>Linn (12)</t>
  </si>
  <si>
    <t>Lincoln (7)</t>
  </si>
  <si>
    <t>Lane (12)</t>
  </si>
  <si>
    <t>Lake (2)</t>
  </si>
  <si>
    <t>Klamath (5)</t>
  </si>
  <si>
    <t>Josephine (2)</t>
  </si>
  <si>
    <t>Jefferson (3)</t>
  </si>
  <si>
    <t>Jackson (11)</t>
  </si>
  <si>
    <t>Hood River (2)</t>
  </si>
  <si>
    <t>Harney (2)</t>
  </si>
  <si>
    <t>Grant (10)</t>
  </si>
  <si>
    <t>Gilliam (3)</t>
  </si>
  <si>
    <t>Douglas (12)</t>
  </si>
  <si>
    <t>Deschutes (4)</t>
  </si>
  <si>
    <t>Curry (3)</t>
  </si>
  <si>
    <t>Crook (1)</t>
  </si>
  <si>
    <t>Coos (7)</t>
  </si>
  <si>
    <t>Columbia (7)</t>
  </si>
  <si>
    <t>Clatsop (5)</t>
  </si>
  <si>
    <t>Clackamas (16)</t>
  </si>
  <si>
    <t>Benton (4)</t>
  </si>
  <si>
    <t>Baker (8)</t>
  </si>
  <si>
    <t>Balance</t>
  </si>
  <si>
    <t>GRANT TOTAL</t>
  </si>
  <si>
    <t>COMBINED TOTAL</t>
  </si>
  <si>
    <t>TOTAL</t>
  </si>
  <si>
    <t>Federal Award</t>
  </si>
  <si>
    <t>Pop. Tier</t>
  </si>
  <si>
    <t>EM Salary (B2B)</t>
  </si>
  <si>
    <t>Jurisdiction</t>
  </si>
  <si>
    <t>Option A - EMPG Base plus per capita - 50/50 split</t>
  </si>
  <si>
    <t>Note: Some salaries were estimated based on average to provide comparable numbers to other options.</t>
  </si>
  <si>
    <t>Tribles</t>
  </si>
  <si>
    <t>Option B - Activity Based Formula, County with Tribal and All Cities Distribution</t>
  </si>
  <si>
    <t>Option C - Tiered Activity Based</t>
  </si>
  <si>
    <t>Option D - Emergency Manager Salary Based</t>
  </si>
  <si>
    <t>Option B - Activity Based Formula, County with Tribal and Large City Distribution</t>
  </si>
  <si>
    <t>Option B - Activity Based Formula, County Only Distribution</t>
  </si>
  <si>
    <t>Option B - Activity Based Formula, County with Tribal Distribution</t>
  </si>
  <si>
    <t>EM Director</t>
  </si>
  <si>
    <t>Emergency Manager Manager</t>
  </si>
  <si>
    <t>148,100</t>
  </si>
  <si>
    <t xml:space="preserve">EM Salary- $110,000
EM Fringe-  $70,000
EM Coordinator Salary-  $82,000
EM Coordinator Fringe - $60,000
This is a close approximation, and we can refine the specifics if needed. </t>
  </si>
  <si>
    <t>Emergency Management Director: $135,957 (Salary) + $51,464 (Fringe) = $187,421
Readiness Coordinator: $97,214 (Salary) + $39,118 (Fringe) = $136,332
Planning Coordinator: $97,214 (Salary) + $39,118 (Fringe) = $136,332
Community Engagement Coordinator: $88,376 (Salary) + $36,354 (Fringe) = $124,730</t>
  </si>
  <si>
    <t>Emergency Manager / Director, 1FTE, Salary: 121,568 / Fringe: 75,072 / Loaded Salary: 196,640 (with Indirect of 10% = $216,304. total EMD position expense).
EM Coordinator, 1FTE, Salary: $69,892 / Fringe: 29,892 / Loaded Salary: 99,784 (with Indirect of 10% = $109,762. total EMC position expense).  $326,066 total Dept Pers. Expense.</t>
  </si>
  <si>
    <t>Emergency manager, $48,500, fringe: $28,000, only staff member, 100% of time spent on emergency management</t>
  </si>
  <si>
    <t>Emergency Manager, $82,800 salary, $44,700 fringe; Total - $127,500</t>
  </si>
  <si>
    <t>$450,000</t>
  </si>
  <si>
    <t>Emergency Manager 
Salary (No OT included): $96,957
Fringe: $25,000
Payroll: $40,000
Total: $161,957
Assistant EM
Salary (No OT included): $74,652
Fringe: $25,000
Payroll: $40,000
Total: $139,652</t>
  </si>
  <si>
    <t xml:space="preserve">Director Starting July 1, 2024
$385,483 total
$255,638 - Salary	
$129,845 - Fringe (Insurance, Pension, etc.)	
</t>
  </si>
  <si>
    <t>Salary $131,000   Fringe $76,300  Total = $207,300</t>
  </si>
  <si>
    <t>Emergency Management Director - $156,000
Emergency Properness Coordinator - $26,000</t>
  </si>
  <si>
    <t>Title: Emergency Management Manager
Salary: $155,300
Fringe: $69,006
Total: $224,306
% EM Time: 100%</t>
  </si>
  <si>
    <t>Emergency Manager-$85000</t>
  </si>
  <si>
    <t>91,000.00</t>
  </si>
  <si>
    <t>Emergency Manager: current salary: $124,010; current fringe $52,399; total $176,409.
Emergency Manager: expected salary July 2025; $134,117; plus fringe est $55,000; total $189,117.
New Deputy Emergency Manager position posting soon: salary range $77,987,64-$104,496.
100% of both salaries are spent on emergency management.</t>
  </si>
  <si>
    <t>Director: Salary - $136,281; Fringe - $69,016; Total: $205,297
Emergency Management Analyst: Salary - $110,163; Fringe - $55,789; Total $165,952
Total (Salary + Fringe for both) = $371,249</t>
  </si>
  <si>
    <t>Emergency Program Manager - S: 133,353 F: 69,826 T: 203,174
Emergency Management Officer - S: 97,440 F: 51,020 T: 148,460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</si>
</sst>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00000000"/>
    <numFmt numFmtId="166" formatCode="&quot;$&quot;#,##0.00"/>
    <numFmt numFmtId="167" formatCode="_(&quot;$&quot;* #,##0_);_(&quot;$&quot;* \(#,##0\);_(&quot;$&quot;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6" fillId="0" borderId="0"/>
    <xf numFmtId="0" fontId="12" fillId="0" borderId="0"/>
    <xf numFmtId="0" fontId="13" fillId="0" borderId="0"/>
    <xf numFmtId="0" fontId="15" fillId="0" borderId="0"/>
  </cellStyleXfs>
  <cellXfs count="258">
    <xf numFmtId="0" fontId="0" fillId="0" borderId="0" xfId="0"/>
    <xf numFmtId="0" fontId="4" fillId="0" borderId="3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4" xfId="0" applyFont="1" applyBorder="1"/>
    <xf numFmtId="3" fontId="7" fillId="0" borderId="4" xfId="6" applyNumberFormat="1" applyFont="1" applyBorder="1" applyAlignment="1">
      <alignment horizontal="center"/>
    </xf>
    <xf numFmtId="10" fontId="0" fillId="0" borderId="4" xfId="0" applyNumberFormat="1" applyBorder="1"/>
    <xf numFmtId="10" fontId="0" fillId="4" borderId="7" xfId="0" applyNumberFormat="1" applyFill="1" applyBorder="1"/>
    <xf numFmtId="164" fontId="0" fillId="0" borderId="4" xfId="0" applyNumberFormat="1" applyBorder="1"/>
    <xf numFmtId="164" fontId="0" fillId="5" borderId="4" xfId="0" applyNumberFormat="1" applyFill="1" applyBorder="1"/>
    <xf numFmtId="165" fontId="0" fillId="0" borderId="0" xfId="0" applyNumberFormat="1"/>
    <xf numFmtId="0" fontId="5" fillId="0" borderId="2" xfId="0" applyFont="1" applyBorder="1"/>
    <xf numFmtId="3" fontId="7" fillId="0" borderId="2" xfId="6" applyNumberFormat="1" applyFont="1" applyBorder="1" applyAlignment="1">
      <alignment horizontal="center"/>
    </xf>
    <xf numFmtId="10" fontId="0" fillId="0" borderId="2" xfId="0" applyNumberFormat="1" applyBorder="1"/>
    <xf numFmtId="0" fontId="0" fillId="0" borderId="0" xfId="0" applyAlignment="1">
      <alignment horizontal="center"/>
    </xf>
    <xf numFmtId="0" fontId="5" fillId="0" borderId="6" xfId="0" applyFont="1" applyBorder="1"/>
    <xf numFmtId="3" fontId="7" fillId="0" borderId="6" xfId="6" applyNumberFormat="1" applyFont="1" applyBorder="1" applyAlignment="1">
      <alignment horizontal="center"/>
    </xf>
    <xf numFmtId="10" fontId="0" fillId="0" borderId="6" xfId="0" applyNumberFormat="1" applyBorder="1"/>
    <xf numFmtId="10" fontId="0" fillId="4" borderId="8" xfId="0" applyNumberFormat="1" applyFill="1" applyBorder="1"/>
    <xf numFmtId="164" fontId="0" fillId="5" borderId="6" xfId="0" applyNumberFormat="1" applyFill="1" applyBorder="1"/>
    <xf numFmtId="0" fontId="0" fillId="0" borderId="4" xfId="0" applyBorder="1"/>
    <xf numFmtId="3" fontId="0" fillId="0" borderId="4" xfId="0" applyNumberFormat="1" applyBorder="1"/>
    <xf numFmtId="9" fontId="0" fillId="0" borderId="4" xfId="0" applyNumberFormat="1" applyBorder="1"/>
    <xf numFmtId="9" fontId="0" fillId="4" borderId="4" xfId="0" applyNumberFormat="1" applyFill="1" applyBorder="1"/>
    <xf numFmtId="164" fontId="8" fillId="0" borderId="4" xfId="4" applyNumberFormat="1" applyFont="1" applyFill="1" applyBorder="1" applyAlignment="1"/>
    <xf numFmtId="164" fontId="4" fillId="0" borderId="9" xfId="0" applyNumberFormat="1" applyFont="1" applyBorder="1"/>
    <xf numFmtId="164" fontId="4" fillId="0" borderId="4" xfId="0" applyNumberFormat="1" applyFont="1" applyBorder="1"/>
    <xf numFmtId="6" fontId="0" fillId="0" borderId="0" xfId="0" applyNumberFormat="1"/>
    <xf numFmtId="0" fontId="4" fillId="0" borderId="2" xfId="0" applyFont="1" applyBorder="1"/>
    <xf numFmtId="0" fontId="4" fillId="0" borderId="6" xfId="0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0" fillId="0" borderId="2" xfId="0" applyBorder="1"/>
    <xf numFmtId="0" fontId="0" fillId="4" borderId="2" xfId="0" applyFill="1" applyBorder="1"/>
    <xf numFmtId="0" fontId="0" fillId="0" borderId="6" xfId="0" applyBorder="1"/>
    <xf numFmtId="0" fontId="0" fillId="4" borderId="6" xfId="0" applyFill="1" applyBorder="1"/>
    <xf numFmtId="0" fontId="4" fillId="0" borderId="4" xfId="0" applyFont="1" applyBorder="1"/>
    <xf numFmtId="3" fontId="0" fillId="0" borderId="2" xfId="1" applyNumberFormat="1" applyFont="1" applyBorder="1" applyAlignment="1">
      <alignment horizontal="center"/>
    </xf>
    <xf numFmtId="10" fontId="0" fillId="0" borderId="2" xfId="3" applyNumberFormat="1" applyFont="1" applyBorder="1"/>
    <xf numFmtId="3" fontId="0" fillId="0" borderId="0" xfId="0" applyNumberFormat="1" applyAlignment="1">
      <alignment horizontal="center"/>
    </xf>
    <xf numFmtId="10" fontId="0" fillId="0" borderId="0" xfId="0" applyNumberFormat="1"/>
    <xf numFmtId="0" fontId="5" fillId="0" borderId="0" xfId="0" applyFont="1"/>
    <xf numFmtId="164" fontId="0" fillId="0" borderId="0" xfId="0" applyNumberFormat="1"/>
    <xf numFmtId="0" fontId="4" fillId="0" borderId="0" xfId="0" applyFont="1"/>
    <xf numFmtId="0" fontId="4" fillId="0" borderId="14" xfId="0" applyFont="1" applyBorder="1" applyAlignment="1">
      <alignment horizontal="center"/>
    </xf>
    <xf numFmtId="164" fontId="9" fillId="3" borderId="15" xfId="5" applyNumberFormat="1" applyFont="1" applyBorder="1"/>
    <xf numFmtId="3" fontId="0" fillId="0" borderId="0" xfId="0" applyNumberFormat="1"/>
    <xf numFmtId="0" fontId="0" fillId="6" borderId="2" xfId="0" applyFill="1" applyBorder="1" applyAlignment="1">
      <alignment horizontal="left"/>
    </xf>
    <xf numFmtId="164" fontId="0" fillId="6" borderId="4" xfId="0" applyNumberFormat="1" applyFill="1" applyBorder="1"/>
    <xf numFmtId="3" fontId="10" fillId="0" borderId="0" xfId="0" applyNumberFormat="1" applyFont="1"/>
    <xf numFmtId="0" fontId="2" fillId="2" borderId="2" xfId="4" applyBorder="1" applyAlignment="1">
      <alignment horizontal="left"/>
    </xf>
    <xf numFmtId="164" fontId="2" fillId="2" borderId="2" xfId="4" applyNumberFormat="1" applyBorder="1"/>
    <xf numFmtId="0" fontId="0" fillId="7" borderId="2" xfId="0" applyFill="1" applyBorder="1"/>
    <xf numFmtId="166" fontId="0" fillId="7" borderId="2" xfId="0" applyNumberFormat="1" applyFill="1" applyBorder="1"/>
    <xf numFmtId="0" fontId="0" fillId="8" borderId="16" xfId="0" applyFill="1" applyBorder="1"/>
    <xf numFmtId="9" fontId="0" fillId="8" borderId="17" xfId="0" applyNumberFormat="1" applyFill="1" applyBorder="1"/>
    <xf numFmtId="166" fontId="0" fillId="8" borderId="18" xfId="0" applyNumberFormat="1" applyFill="1" applyBorder="1"/>
    <xf numFmtId="0" fontId="0" fillId="7" borderId="2" xfId="0" applyFill="1" applyBorder="1" applyAlignment="1">
      <alignment horizontal="left"/>
    </xf>
    <xf numFmtId="164" fontId="0" fillId="7" borderId="2" xfId="0" applyNumberFormat="1" applyFill="1" applyBorder="1"/>
    <xf numFmtId="0" fontId="0" fillId="8" borderId="19" xfId="0" applyFill="1" applyBorder="1"/>
    <xf numFmtId="9" fontId="0" fillId="8" borderId="20" xfId="0" applyNumberFormat="1" applyFill="1" applyBorder="1"/>
    <xf numFmtId="166" fontId="0" fillId="8" borderId="21" xfId="0" applyNumberFormat="1" applyFill="1" applyBorder="1"/>
    <xf numFmtId="0" fontId="0" fillId="8" borderId="2" xfId="0" applyFill="1" applyBorder="1" applyAlignment="1">
      <alignment horizontal="left"/>
    </xf>
    <xf numFmtId="164" fontId="0" fillId="8" borderId="2" xfId="0" applyNumberFormat="1" applyFill="1" applyBorder="1"/>
    <xf numFmtId="0" fontId="0" fillId="0" borderId="0" xfId="0" applyAlignment="1">
      <alignment horizontal="left"/>
    </xf>
    <xf numFmtId="0" fontId="0" fillId="9" borderId="0" xfId="0" applyFill="1"/>
    <xf numFmtId="9" fontId="0" fillId="9" borderId="0" xfId="0" applyNumberFormat="1" applyFill="1"/>
    <xf numFmtId="6" fontId="0" fillId="9" borderId="0" xfId="0" applyNumberFormat="1" applyFill="1"/>
    <xf numFmtId="9" fontId="0" fillId="9" borderId="0" xfId="0" applyNumberFormat="1" applyFill="1" applyAlignment="1">
      <alignment horizontal="right"/>
    </xf>
    <xf numFmtId="164" fontId="0" fillId="9" borderId="2" xfId="0" applyNumberFormat="1" applyFill="1" applyBorder="1"/>
    <xf numFmtId="164" fontId="0" fillId="9" borderId="6" xfId="0" applyNumberFormat="1" applyFill="1" applyBorder="1"/>
    <xf numFmtId="0" fontId="0" fillId="9" borderId="2" xfId="0" applyFill="1" applyBorder="1"/>
    <xf numFmtId="3" fontId="0" fillId="9" borderId="7" xfId="0" applyNumberFormat="1" applyFill="1" applyBorder="1"/>
    <xf numFmtId="9" fontId="0" fillId="9" borderId="10" xfId="0" applyNumberFormat="1" applyFill="1" applyBorder="1"/>
    <xf numFmtId="9" fontId="0" fillId="9" borderId="11" xfId="0" applyNumberFormat="1" applyFill="1" applyBorder="1"/>
    <xf numFmtId="164" fontId="2" fillId="9" borderId="10" xfId="4" applyNumberFormat="1" applyFill="1" applyBorder="1" applyAlignment="1"/>
    <xf numFmtId="164" fontId="4" fillId="9" borderId="11" xfId="0" applyNumberFormat="1" applyFont="1" applyFill="1" applyBorder="1"/>
    <xf numFmtId="164" fontId="4" fillId="9" borderId="7" xfId="0" applyNumberFormat="1" applyFont="1" applyFill="1" applyBorder="1"/>
    <xf numFmtId="0" fontId="11" fillId="9" borderId="0" xfId="7" applyFont="1" applyFill="1"/>
    <xf numFmtId="0" fontId="13" fillId="9" borderId="0" xfId="8" applyFill="1"/>
    <xf numFmtId="0" fontId="13" fillId="9" borderId="0" xfId="8" applyFill="1" applyAlignment="1">
      <alignment wrapText="1"/>
    </xf>
    <xf numFmtId="0" fontId="11" fillId="9" borderId="0" xfId="9" applyFont="1" applyFill="1"/>
    <xf numFmtId="0" fontId="11" fillId="9" borderId="0" xfId="0" applyFont="1" applyFill="1"/>
    <xf numFmtId="0" fontId="16" fillId="0" borderId="0" xfId="0" applyFont="1"/>
    <xf numFmtId="166" fontId="16" fillId="0" borderId="0" xfId="0" applyNumberFormat="1" applyFont="1"/>
    <xf numFmtId="166" fontId="18" fillId="0" borderId="3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4" xfId="0" applyNumberFormat="1" applyBorder="1"/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0" fillId="11" borderId="30" xfId="0" applyNumberFormat="1" applyFill="1" applyBorder="1"/>
    <xf numFmtId="166" fontId="0" fillId="11" borderId="2" xfId="0" applyNumberFormat="1" applyFill="1" applyBorder="1"/>
    <xf numFmtId="3" fontId="5" fillId="0" borderId="2" xfId="0" applyNumberFormat="1" applyFont="1" applyBorder="1"/>
    <xf numFmtId="166" fontId="0" fillId="12" borderId="0" xfId="0" applyNumberFormat="1" applyFill="1" applyAlignment="1">
      <alignment horizontal="center"/>
    </xf>
    <xf numFmtId="166" fontId="19" fillId="0" borderId="4" xfId="4" applyNumberFormat="1" applyFont="1" applyFill="1" applyBorder="1" applyAlignment="1"/>
    <xf numFmtId="164" fontId="0" fillId="0" borderId="0" xfId="0" applyNumberFormat="1" applyAlignment="1">
      <alignment horizontal="center" vertical="center"/>
    </xf>
    <xf numFmtId="166" fontId="20" fillId="0" borderId="0" xfId="0" applyNumberFormat="1" applyFont="1" applyAlignment="1">
      <alignment horizontal="center"/>
    </xf>
    <xf numFmtId="166" fontId="20" fillId="0" borderId="2" xfId="0" applyNumberFormat="1" applyFont="1" applyBorder="1"/>
    <xf numFmtId="0" fontId="0" fillId="9" borderId="22" xfId="0" applyFill="1" applyBorder="1"/>
    <xf numFmtId="3" fontId="0" fillId="9" borderId="22" xfId="0" applyNumberFormat="1" applyFill="1" applyBorder="1"/>
    <xf numFmtId="9" fontId="0" fillId="9" borderId="22" xfId="0" applyNumberFormat="1" applyFill="1" applyBorder="1"/>
    <xf numFmtId="164" fontId="2" fillId="9" borderId="22" xfId="4" applyNumberFormat="1" applyFill="1" applyBorder="1" applyAlignment="1"/>
    <xf numFmtId="164" fontId="2" fillId="9" borderId="0" xfId="4" applyNumberFormat="1" applyFill="1" applyBorder="1" applyAlignment="1"/>
    <xf numFmtId="164" fontId="4" fillId="9" borderId="0" xfId="0" applyNumberFormat="1" applyFont="1" applyFill="1"/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164" fontId="20" fillId="9" borderId="0" xfId="0" applyNumberFormat="1" applyFont="1" applyFill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166" fontId="0" fillId="11" borderId="4" xfId="0" applyNumberFormat="1" applyFill="1" applyBorder="1"/>
    <xf numFmtId="164" fontId="0" fillId="9" borderId="10" xfId="0" applyNumberFormat="1" applyFill="1" applyBorder="1"/>
    <xf numFmtId="164" fontId="0" fillId="9" borderId="0" xfId="0" applyNumberFormat="1" applyFill="1"/>
    <xf numFmtId="166" fontId="20" fillId="0" borderId="4" xfId="0" applyNumberFormat="1" applyFont="1" applyBorder="1"/>
    <xf numFmtId="164" fontId="20" fillId="9" borderId="10" xfId="0" applyNumberFormat="1" applyFont="1" applyFill="1" applyBorder="1"/>
    <xf numFmtId="164" fontId="19" fillId="9" borderId="0" xfId="4" applyNumberFormat="1" applyFont="1" applyFill="1" applyBorder="1" applyAlignment="1"/>
    <xf numFmtId="164" fontId="20" fillId="0" borderId="0" xfId="0" applyNumberFormat="1" applyFont="1"/>
    <xf numFmtId="0" fontId="20" fillId="0" borderId="2" xfId="0" applyFont="1" applyBorder="1"/>
    <xf numFmtId="0" fontId="20" fillId="0" borderId="6" xfId="0" applyFont="1" applyBorder="1"/>
    <xf numFmtId="0" fontId="20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22" fillId="0" borderId="0" xfId="0" applyFont="1"/>
    <xf numFmtId="164" fontId="9" fillId="0" borderId="0" xfId="0" applyNumberFormat="1" applyFont="1"/>
    <xf numFmtId="164" fontId="23" fillId="0" borderId="0" xfId="0" applyNumberFormat="1" applyFont="1" applyAlignment="1">
      <alignment horizontal="center" vertical="center"/>
    </xf>
    <xf numFmtId="166" fontId="9" fillId="0" borderId="0" xfId="0" applyNumberFormat="1" applyFont="1"/>
    <xf numFmtId="0" fontId="0" fillId="9" borderId="7" xfId="0" applyFill="1" applyBorder="1"/>
    <xf numFmtId="166" fontId="20" fillId="13" borderId="2" xfId="5" applyNumberFormat="1" applyFont="1" applyFill="1" applyBorder="1"/>
    <xf numFmtId="164" fontId="9" fillId="9" borderId="0" xfId="5" applyNumberFormat="1" applyFont="1" applyFill="1" applyBorder="1"/>
    <xf numFmtId="166" fontId="21" fillId="9" borderId="2" xfId="0" applyNumberFormat="1" applyFont="1" applyFill="1" applyBorder="1"/>
    <xf numFmtId="166" fontId="21" fillId="9" borderId="0" xfId="0" applyNumberFormat="1" applyFont="1" applyFill="1"/>
    <xf numFmtId="4" fontId="0" fillId="0" borderId="0" xfId="0" applyNumberFormat="1" applyAlignment="1">
      <alignment horizontal="center"/>
    </xf>
    <xf numFmtId="0" fontId="1" fillId="9" borderId="7" xfId="0" applyFont="1" applyFill="1" applyBorder="1"/>
    <xf numFmtId="166" fontId="21" fillId="9" borderId="2" xfId="4" applyNumberFormat="1" applyFont="1" applyFill="1" applyBorder="1"/>
    <xf numFmtId="164" fontId="24" fillId="9" borderId="0" xfId="4" applyNumberFormat="1" applyFont="1" applyFill="1" applyBorder="1"/>
    <xf numFmtId="0" fontId="24" fillId="9" borderId="0" xfId="4" applyNumberFormat="1" applyFont="1" applyFill="1" applyBorder="1"/>
    <xf numFmtId="164" fontId="21" fillId="9" borderId="0" xfId="0" applyNumberFormat="1" applyFont="1" applyFill="1"/>
    <xf numFmtId="0" fontId="0" fillId="9" borderId="0" xfId="0" applyFill="1" applyAlignment="1">
      <alignment horizontal="left"/>
    </xf>
    <xf numFmtId="0" fontId="20" fillId="0" borderId="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3" fontId="7" fillId="4" borderId="2" xfId="6" applyNumberFormat="1" applyFont="1" applyFill="1" applyBorder="1" applyAlignment="1">
      <alignment horizontal="center"/>
    </xf>
    <xf numFmtId="10" fontId="0" fillId="4" borderId="2" xfId="0" applyNumberFormat="1" applyFill="1" applyBorder="1"/>
    <xf numFmtId="166" fontId="0" fillId="4" borderId="4" xfId="0" applyNumberFormat="1" applyFill="1" applyBorder="1"/>
    <xf numFmtId="3" fontId="0" fillId="4" borderId="0" xfId="0" applyNumberFormat="1" applyFill="1"/>
    <xf numFmtId="166" fontId="3" fillId="0" borderId="0" xfId="0" applyNumberFormat="1" applyFont="1"/>
    <xf numFmtId="166" fontId="0" fillId="9" borderId="4" xfId="0" applyNumberFormat="1" applyFill="1" applyBorder="1"/>
    <xf numFmtId="164" fontId="0" fillId="0" borderId="2" xfId="3" applyNumberFormat="1" applyFont="1" applyBorder="1"/>
    <xf numFmtId="0" fontId="4" fillId="0" borderId="5" xfId="0" applyFont="1" applyBorder="1" applyAlignment="1">
      <alignment wrapText="1"/>
    </xf>
    <xf numFmtId="3" fontId="0" fillId="9" borderId="10" xfId="0" applyNumberFormat="1" applyFill="1" applyBorder="1"/>
    <xf numFmtId="3" fontId="0" fillId="9" borderId="11" xfId="0" applyNumberFormat="1" applyFill="1" applyBorder="1"/>
    <xf numFmtId="3" fontId="2" fillId="9" borderId="10" xfId="4" applyNumberFormat="1" applyFill="1" applyBorder="1" applyAlignment="1"/>
    <xf numFmtId="3" fontId="4" fillId="0" borderId="5" xfId="0" applyNumberFormat="1" applyFont="1" applyBorder="1" applyAlignment="1">
      <alignment horizontal="center" wrapText="1"/>
    </xf>
    <xf numFmtId="3" fontId="0" fillId="0" borderId="2" xfId="0" applyNumberFormat="1" applyBorder="1"/>
    <xf numFmtId="3" fontId="0" fillId="4" borderId="2" xfId="0" applyNumberFormat="1" applyFill="1" applyBorder="1"/>
    <xf numFmtId="3" fontId="0" fillId="0" borderId="6" xfId="0" applyNumberFormat="1" applyBorder="1"/>
    <xf numFmtId="3" fontId="0" fillId="4" borderId="6" xfId="0" applyNumberFormat="1" applyFill="1" applyBorder="1"/>
    <xf numFmtId="164" fontId="11" fillId="9" borderId="0" xfId="7" applyNumberFormat="1" applyFont="1" applyFill="1" applyAlignment="1">
      <alignment horizontal="right"/>
    </xf>
    <xf numFmtId="164" fontId="0" fillId="4" borderId="7" xfId="0" applyNumberFormat="1" applyFill="1" applyBorder="1"/>
    <xf numFmtId="164" fontId="13" fillId="9" borderId="0" xfId="8" applyNumberFormat="1" applyFill="1" applyAlignment="1">
      <alignment horizontal="right"/>
    </xf>
    <xf numFmtId="164" fontId="14" fillId="9" borderId="0" xfId="0" applyNumberFormat="1" applyFont="1" applyFill="1" applyAlignment="1">
      <alignment horizontal="right"/>
    </xf>
    <xf numFmtId="164" fontId="11" fillId="9" borderId="0" xfId="9" applyNumberFormat="1" applyFont="1" applyFill="1" applyAlignment="1">
      <alignment horizontal="right"/>
    </xf>
    <xf numFmtId="164" fontId="11" fillId="9" borderId="0" xfId="0" applyNumberFormat="1" applyFont="1" applyFill="1" applyAlignment="1">
      <alignment horizontal="right"/>
    </xf>
    <xf numFmtId="164" fontId="0" fillId="4" borderId="8" xfId="0" applyNumberFormat="1" applyFill="1" applyBorder="1"/>
    <xf numFmtId="164" fontId="0" fillId="4" borderId="4" xfId="0" applyNumberFormat="1" applyFill="1" applyBorder="1"/>
    <xf numFmtId="0" fontId="6" fillId="0" borderId="0" xfId="6"/>
    <xf numFmtId="44" fontId="26" fillId="0" borderId="0" xfId="6" applyNumberFormat="1" applyFont="1"/>
    <xf numFmtId="44" fontId="27" fillId="0" borderId="0" xfId="6" applyNumberFormat="1" applyFont="1"/>
    <xf numFmtId="0" fontId="27" fillId="0" borderId="0" xfId="6" applyFont="1" applyAlignment="1">
      <alignment horizontal="right"/>
    </xf>
    <xf numFmtId="44" fontId="6" fillId="0" borderId="0" xfId="6" applyNumberFormat="1"/>
    <xf numFmtId="44" fontId="28" fillId="0" borderId="0" xfId="6" applyNumberFormat="1" applyFont="1"/>
    <xf numFmtId="0" fontId="28" fillId="0" borderId="0" xfId="6" applyFont="1"/>
    <xf numFmtId="0" fontId="27" fillId="0" borderId="0" xfId="6" applyFont="1"/>
    <xf numFmtId="0" fontId="27" fillId="0" borderId="0" xfId="6" applyFont="1" applyAlignment="1">
      <alignment horizontal="center"/>
    </xf>
    <xf numFmtId="44" fontId="29" fillId="0" borderId="0" xfId="6" applyNumberFormat="1" applyFont="1"/>
    <xf numFmtId="0" fontId="29" fillId="0" borderId="0" xfId="6" applyFont="1" applyAlignment="1">
      <alignment horizontal="right"/>
    </xf>
    <xf numFmtId="0" fontId="27" fillId="14" borderId="0" xfId="6" applyFont="1" applyFill="1"/>
    <xf numFmtId="44" fontId="6" fillId="15" borderId="0" xfId="6" applyNumberFormat="1" applyFill="1"/>
    <xf numFmtId="44" fontId="28" fillId="15" borderId="0" xfId="6" applyNumberFormat="1" applyFont="1" applyFill="1"/>
    <xf numFmtId="0" fontId="28" fillId="15" borderId="0" xfId="6" applyFont="1" applyFill="1"/>
    <xf numFmtId="44" fontId="6" fillId="16" borderId="0" xfId="6" applyNumberFormat="1" applyFill="1"/>
    <xf numFmtId="44" fontId="28" fillId="16" borderId="0" xfId="6" applyNumberFormat="1" applyFont="1" applyFill="1"/>
    <xf numFmtId="0" fontId="28" fillId="16" borderId="0" xfId="6" applyFont="1" applyFill="1"/>
    <xf numFmtId="44" fontId="6" fillId="17" borderId="0" xfId="6" applyNumberFormat="1" applyFill="1"/>
    <xf numFmtId="44" fontId="28" fillId="17" borderId="0" xfId="6" applyNumberFormat="1" applyFont="1" applyFill="1"/>
    <xf numFmtId="0" fontId="28" fillId="17" borderId="0" xfId="6" applyFont="1" applyFill="1"/>
    <xf numFmtId="167" fontId="0" fillId="0" borderId="0" xfId="2" applyNumberFormat="1" applyFont="1"/>
    <xf numFmtId="1" fontId="0" fillId="0" borderId="0" xfId="0" applyNumberFormat="1"/>
    <xf numFmtId="167" fontId="4" fillId="0" borderId="0" xfId="2" applyNumberFormat="1" applyFont="1"/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7" xfId="0" applyFont="1" applyBorder="1"/>
    <xf numFmtId="44" fontId="0" fillId="0" borderId="0" xfId="0" applyNumberFormat="1"/>
    <xf numFmtId="44" fontId="4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44" fontId="28" fillId="0" borderId="0" xfId="0" applyNumberFormat="1" applyFont="1"/>
    <xf numFmtId="3" fontId="13" fillId="9" borderId="0" xfId="8" applyNumberFormat="1" applyFill="1" applyAlignment="1">
      <alignment horizontal="right"/>
    </xf>
    <xf numFmtId="3" fontId="11" fillId="9" borderId="0" xfId="7" applyNumberFormat="1" applyFont="1" applyFill="1" applyAlignment="1">
      <alignment horizontal="right"/>
    </xf>
    <xf numFmtId="3" fontId="11" fillId="9" borderId="0" xfId="0" applyNumberFormat="1" applyFont="1" applyFill="1" applyAlignment="1">
      <alignment horizontal="right"/>
    </xf>
    <xf numFmtId="0" fontId="0" fillId="18" borderId="31" xfId="0" applyFill="1" applyBorder="1"/>
    <xf numFmtId="0" fontId="0" fillId="0" borderId="31" xfId="0" applyBorder="1"/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21" fillId="9" borderId="2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9" fillId="13" borderId="2" xfId="0" applyFont="1" applyFill="1" applyBorder="1" applyAlignment="1">
      <alignment horizontal="center"/>
    </xf>
    <xf numFmtId="0" fontId="21" fillId="9" borderId="2" xfId="4" applyFont="1" applyFill="1" applyBorder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66" fontId="23" fillId="0" borderId="2" xfId="0" applyNumberFormat="1" applyFont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/>
    </xf>
    <xf numFmtId="3" fontId="23" fillId="0" borderId="2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/>
    </xf>
    <xf numFmtId="3" fontId="17" fillId="0" borderId="29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29" xfId="0" applyNumberFormat="1" applyFont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6" fontId="23" fillId="10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6" fontId="23" fillId="10" borderId="2" xfId="0" applyNumberFormat="1" applyFont="1" applyFill="1" applyBorder="1" applyAlignment="1" applyProtection="1">
      <alignment horizontal="center" vertical="center"/>
      <protection locked="0"/>
    </xf>
    <xf numFmtId="166" fontId="23" fillId="1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wrapText="1"/>
    </xf>
  </cellXfs>
  <cellStyles count="10">
    <cellStyle name="Comma" xfId="1" builtinId="3"/>
    <cellStyle name="Currency" xfId="2" builtinId="4"/>
    <cellStyle name="Good" xfId="4" builtinId="26"/>
    <cellStyle name="Normal" xfId="0" builtinId="0"/>
    <cellStyle name="Normal 2" xfId="6" xr:uid="{9BC82ABE-8F64-48D8-8A41-A7EE573285B1}"/>
    <cellStyle name="Normal 2 2" xfId="7" xr:uid="{651F50C8-A86E-4BE6-A0C3-363F48234862}"/>
    <cellStyle name="Normal 3" xfId="8" xr:uid="{92EDE57D-0AC6-4E6F-9CB2-96EF0D5065F1}"/>
    <cellStyle name="Normal 4" xfId="9" xr:uid="{C8B74823-EBE8-468A-A983-0A17993666E5}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1279071</xdr:colOff>
      <xdr:row>5</xdr:row>
      <xdr:rowOff>40821</xdr:rowOff>
    </xdr:from>
    <xdr:to>
      <xdr:col>9</xdr:col>
      <xdr:colOff>258536</xdr:colOff>
      <xdr:row>50</xdr:row>
      <xdr:rowOff>13608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6F962C-D83B-4A78-A162-CD89D293DC36}"/>
            </a:ext>
          </a:extLst>
        </xdr:cNvPr>
        <xdr:cNvSpPr txBox="1"/>
      </xdr:nvSpPr>
      <xdr:spPr>
        <a:xfrm>
          <a:off x="3660321" y="802821"/>
          <a:ext cx="2084615" cy="8545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Assumptions:</a:t>
          </a:r>
        </a:p>
        <a:p>
          <a:r>
            <a:rPr lang="en-US" sz="1600" b="1"/>
            <a:t>* </a:t>
          </a:r>
          <a:r>
            <a:rPr lang="en-US" sz="1600" b="0"/>
            <a:t>Fund 50% of 1 EM</a:t>
          </a:r>
          <a:r>
            <a:rPr lang="en-US" sz="1600" b="0" baseline="0"/>
            <a:t> position (normalizes back-to-basics formula)</a:t>
          </a:r>
        </a:p>
        <a:p>
          <a:r>
            <a:rPr lang="en-US" sz="1600" b="1" baseline="0"/>
            <a:t>* </a:t>
          </a:r>
          <a:r>
            <a:rPr lang="en-US" sz="1600" b="0" baseline="0"/>
            <a:t>Performance based but accomodates population-based considerations (note: does not double-count large city populations in county or city allocations)</a:t>
          </a:r>
        </a:p>
        <a:p>
          <a:r>
            <a:rPr lang="en-US" sz="1600" b="0" baseline="0"/>
            <a:t>* Enables participation of low population counties</a:t>
          </a:r>
          <a:endParaRPr lang="en-US" sz="1600" b="0"/>
        </a:p>
        <a:p>
          <a:endParaRPr lang="en-US" sz="1600" b="1"/>
        </a:p>
        <a:p>
          <a:endParaRPr lang="en-US" sz="1600" b="1"/>
        </a:p>
        <a:p>
          <a:r>
            <a:rPr lang="en-US" sz="1600" b="1"/>
            <a:t>Policies:</a:t>
          </a:r>
        </a:p>
        <a:p>
          <a:r>
            <a:rPr lang="en-US" sz="1600" b="0"/>
            <a:t>* Federal</a:t>
          </a:r>
          <a:r>
            <a:rPr lang="en-US" sz="1600" b="0" baseline="0"/>
            <a:t> award funds personnel only</a:t>
          </a:r>
        </a:p>
        <a:p>
          <a:r>
            <a:rPr lang="en-US" sz="1600" b="0" baseline="0"/>
            <a:t>* Tier 1 eligible for state match assistance</a:t>
          </a:r>
        </a:p>
        <a:p>
          <a:r>
            <a:rPr lang="en-US" sz="1600" b="0" baseline="0"/>
            <a:t>* OEM limited to 20% or less retention</a:t>
          </a:r>
        </a:p>
        <a:p>
          <a:r>
            <a:rPr lang="en-US" sz="1600" b="0" baseline="0"/>
            <a:t>* Based on performance; can apply the performance-based model, with accountability (e.g., documentation fo deliverables)</a:t>
          </a:r>
        </a:p>
        <a:p>
          <a:r>
            <a:rPr lang="en-US" sz="1600" b="0" baseline="0"/>
            <a:t>* Every three years, adjust allocations based on salary analysis.</a:t>
          </a:r>
        </a:p>
        <a:p>
          <a:endParaRPr lang="en-US" sz="1600" b="0" baseline="0"/>
        </a:p>
        <a:p>
          <a:r>
            <a:rPr lang="en-US" sz="1600" b="1" baseline="0"/>
            <a:t>Contingency:</a:t>
          </a:r>
        </a:p>
        <a:p>
          <a:r>
            <a:rPr lang="en-US" sz="1600" b="0" u="sng" baseline="0"/>
            <a:t>Increase in award</a:t>
          </a:r>
          <a:r>
            <a:rPr lang="en-US" sz="1600" b="0" baseline="0"/>
            <a:t>: Distribute evenly or on per capita basis. LGEMAC can approve funding projects of statewide benefit</a:t>
          </a:r>
        </a:p>
        <a:p>
          <a:endParaRPr lang="en-US" sz="1600" b="0" baseline="0"/>
        </a:p>
        <a:p>
          <a:r>
            <a:rPr lang="en-US" sz="1600" b="0" u="sng" baseline="0"/>
            <a:t>Decrease in award</a:t>
          </a:r>
          <a:r>
            <a:rPr lang="en-US" sz="1600" b="0" baseline="0"/>
            <a:t>: Distribute decrease evenly, e.g., 10% reduction in state allocation results in 10% reduction in local allocations).</a:t>
          </a:r>
        </a:p>
        <a:p>
          <a:endParaRPr lang="en-US" sz="1600" b="0" baseline="0"/>
        </a:p>
        <a:p>
          <a:r>
            <a:rPr lang="en-US" sz="1600" b="0" baseline="0"/>
            <a:t>Unallocated funds (non-participating jurisdictions): ?</a:t>
          </a:r>
        </a:p>
        <a:p>
          <a:endParaRPr lang="en-US" sz="1600" b="0" baseline="0"/>
        </a:p>
        <a:p>
          <a:r>
            <a:rPr lang="en-US" sz="1600" b="0" baseline="0"/>
            <a:t>Unexpended Funds: ? </a:t>
          </a:r>
        </a:p>
        <a:p>
          <a:endParaRPr lang="en-US" sz="1600" b="0" baseline="0"/>
        </a:p>
        <a:p>
          <a:endParaRPr lang="en-US" sz="1600" b="0" baseline="0"/>
        </a:p>
        <a:p>
          <a:endParaRPr lang="en-US" sz="1600" b="1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D32A-2945-450E-AC58-2D49FB743F06}">
  <sheetPr codeName="Sheet1"/>
  <dimension ref="B1:L85"/>
  <sheetViews>
    <sheetView zoomScaleNormal="100" workbookViewId="0">
      <pane xSplit="5" ySplit="6" topLeftCell="F58" activePane="bottomRight" state="frozen"/>
      <selection pane="topRight" activeCell="F1" sqref="F1"/>
      <selection pane="bottomLeft" activeCell="A7" sqref="A7"/>
      <selection pane="bottomRight" activeCell="J58" sqref="J58"/>
    </sheetView>
  </sheetViews>
  <sheetFormatPr defaultRowHeight="14.4" x14ac:dyDescent="0.3"/>
  <cols>
    <col min="1" max="1" width="3.6640625" customWidth="1"/>
    <col min="2" max="2" width="19.33203125" bestFit="1" customWidth="1"/>
    <col min="3" max="3" width="12.5546875" bestFit="1" customWidth="1"/>
    <col min="4" max="4" width="13" customWidth="1"/>
    <col min="5" max="5" width="1.6640625" customWidth="1"/>
    <col min="6" max="6" width="14.6640625" customWidth="1"/>
    <col min="7" max="7" width="19" customWidth="1"/>
    <col min="8" max="8" width="19.44140625" customWidth="1"/>
    <col min="10" max="10" width="18" customWidth="1"/>
    <col min="11" max="11" width="13.5546875" customWidth="1"/>
    <col min="12" max="12" width="12.33203125" style="16" customWidth="1"/>
  </cols>
  <sheetData>
    <row r="1" spans="2:10" ht="21" x14ac:dyDescent="0.4">
      <c r="B1" s="211" t="s">
        <v>91</v>
      </c>
      <c r="C1" s="211"/>
      <c r="D1" s="211"/>
      <c r="E1" s="211"/>
      <c r="F1" s="211"/>
      <c r="G1" s="211"/>
      <c r="H1" s="211"/>
    </row>
    <row r="2" spans="2:10" ht="23.4" customHeight="1" x14ac:dyDescent="0.3">
      <c r="B2" s="212" t="s">
        <v>0</v>
      </c>
      <c r="C2" s="213" t="s">
        <v>1</v>
      </c>
      <c r="D2" s="214"/>
      <c r="E2" s="214"/>
      <c r="F2" s="215" t="s">
        <v>2</v>
      </c>
      <c r="G2" s="215"/>
      <c r="H2" s="215"/>
    </row>
    <row r="3" spans="2:10" ht="23.4" customHeight="1" x14ac:dyDescent="0.3">
      <c r="B3" s="212"/>
      <c r="C3" s="214"/>
      <c r="D3" s="214"/>
      <c r="E3" s="214"/>
      <c r="F3" s="216">
        <f>H77</f>
        <v>3312500</v>
      </c>
      <c r="G3" s="216"/>
      <c r="H3" s="216"/>
    </row>
    <row r="4" spans="2:10" x14ac:dyDescent="0.3">
      <c r="B4" s="212"/>
      <c r="C4" s="215" t="s">
        <v>3</v>
      </c>
      <c r="D4" s="215"/>
      <c r="E4" s="215"/>
      <c r="F4" s="215" t="s">
        <v>4</v>
      </c>
      <c r="G4" s="215"/>
      <c r="H4" s="215"/>
    </row>
    <row r="5" spans="2:10" x14ac:dyDescent="0.3">
      <c r="B5" s="212"/>
      <c r="C5" s="217">
        <v>4291525</v>
      </c>
      <c r="D5" s="217"/>
      <c r="E5" s="217"/>
      <c r="F5" s="216">
        <f>H78</f>
        <v>522689.60000000009</v>
      </c>
      <c r="G5" s="216"/>
      <c r="H5" s="216"/>
    </row>
    <row r="6" spans="2:10" ht="33.6" customHeight="1" thickBot="1" x14ac:dyDescent="0.35">
      <c r="B6" s="2" t="s">
        <v>5</v>
      </c>
      <c r="C6" s="3" t="s">
        <v>6</v>
      </c>
      <c r="D6" s="208" t="s">
        <v>7</v>
      </c>
      <c r="E6" s="208"/>
      <c r="F6" s="4" t="s">
        <v>8</v>
      </c>
      <c r="G6" s="4" t="s">
        <v>9</v>
      </c>
      <c r="H6" s="5" t="s">
        <v>10</v>
      </c>
    </row>
    <row r="7" spans="2:10" ht="15" thickTop="1" x14ac:dyDescent="0.3">
      <c r="B7" s="6" t="s">
        <v>11</v>
      </c>
      <c r="C7" s="7">
        <v>16927</v>
      </c>
      <c r="D7" s="8">
        <f>SUM(C7/C43)</f>
        <v>3.944285539522664E-3</v>
      </c>
      <c r="E7" s="9"/>
      <c r="F7" s="10">
        <f>SUM($H$79*D7)</f>
        <v>1518.6361916204874</v>
      </c>
      <c r="G7" s="10">
        <v>62500</v>
      </c>
      <c r="H7" s="11">
        <f t="shared" ref="H7:H42" si="0">SUM(F7:G7)</f>
        <v>64018.636191620484</v>
      </c>
      <c r="J7" s="12"/>
    </row>
    <row r="8" spans="2:10" x14ac:dyDescent="0.3">
      <c r="B8" s="13" t="s">
        <v>12</v>
      </c>
      <c r="C8" s="14">
        <v>99355</v>
      </c>
      <c r="D8" s="15">
        <f>SUM(C8/C43)</f>
        <v>2.3151443834068308E-2</v>
      </c>
      <c r="E8" s="9"/>
      <c r="F8" s="10">
        <f t="shared" ref="F8:F42" si="1">SUM($H$79*D8)</f>
        <v>8913.8121828116928</v>
      </c>
      <c r="G8" s="10">
        <v>62500</v>
      </c>
      <c r="H8" s="11">
        <f t="shared" si="0"/>
        <v>71413.8121828117</v>
      </c>
    </row>
    <row r="9" spans="2:10" x14ac:dyDescent="0.3">
      <c r="B9" s="13" t="s">
        <v>13</v>
      </c>
      <c r="C9" s="14">
        <v>424043</v>
      </c>
      <c r="D9" s="15">
        <f>SUM(C9/C43)</f>
        <v>9.8809397591765172E-2</v>
      </c>
      <c r="E9" s="9"/>
      <c r="F9" s="10">
        <f t="shared" si="1"/>
        <v>38043.778968708357</v>
      </c>
      <c r="G9" s="10">
        <v>62500</v>
      </c>
      <c r="H9" s="11">
        <f t="shared" si="0"/>
        <v>100543.77896870836</v>
      </c>
    </row>
    <row r="10" spans="2:10" x14ac:dyDescent="0.3">
      <c r="B10" s="13" t="s">
        <v>14</v>
      </c>
      <c r="C10" s="14">
        <v>42095</v>
      </c>
      <c r="D10" s="15">
        <f>SUM(C10/C43)</f>
        <v>9.8088674771788578E-3</v>
      </c>
      <c r="E10" s="9"/>
      <c r="F10" s="10">
        <f t="shared" si="1"/>
        <v>3776.6284921288129</v>
      </c>
      <c r="G10" s="10">
        <v>62500</v>
      </c>
      <c r="H10" s="11">
        <f t="shared" si="0"/>
        <v>66276.628492128817</v>
      </c>
    </row>
    <row r="11" spans="2:10" x14ac:dyDescent="0.3">
      <c r="B11" s="13" t="s">
        <v>15</v>
      </c>
      <c r="C11" s="14">
        <v>53143</v>
      </c>
      <c r="D11" s="15">
        <f>SUM(C11/C43)</f>
        <v>1.2383243718724696E-2</v>
      </c>
      <c r="E11" s="9"/>
      <c r="F11" s="10">
        <f t="shared" si="1"/>
        <v>4767.8196450220103</v>
      </c>
      <c r="G11" s="10">
        <v>62500</v>
      </c>
      <c r="H11" s="11">
        <f t="shared" si="0"/>
        <v>67267.819645022013</v>
      </c>
    </row>
    <row r="12" spans="2:10" x14ac:dyDescent="0.3">
      <c r="B12" s="13" t="s">
        <v>16</v>
      </c>
      <c r="C12" s="14">
        <v>66945</v>
      </c>
      <c r="D12" s="15">
        <f>SUM(C12/C43)</f>
        <v>1.5599349881452397E-2</v>
      </c>
      <c r="E12" s="9"/>
      <c r="F12" s="10">
        <f t="shared" si="1"/>
        <v>6006.0908517772514</v>
      </c>
      <c r="G12" s="10">
        <v>62500</v>
      </c>
      <c r="H12" s="11">
        <f t="shared" si="0"/>
        <v>68506.090851777248</v>
      </c>
    </row>
    <row r="13" spans="2:10" x14ac:dyDescent="0.3">
      <c r="B13" s="13" t="s">
        <v>17</v>
      </c>
      <c r="C13" s="14">
        <v>26583</v>
      </c>
      <c r="D13" s="15">
        <f>SUM(C13/C43)</f>
        <v>6.1943015594689531E-3</v>
      </c>
      <c r="E13" s="9"/>
      <c r="F13" s="10">
        <f t="shared" si="1"/>
        <v>2384.9415656553088</v>
      </c>
      <c r="G13" s="10">
        <v>62500</v>
      </c>
      <c r="H13" s="11">
        <f t="shared" si="0"/>
        <v>64884.94156565531</v>
      </c>
    </row>
    <row r="14" spans="2:10" x14ac:dyDescent="0.3">
      <c r="B14" s="13" t="s">
        <v>18</v>
      </c>
      <c r="C14" s="14">
        <v>24439</v>
      </c>
      <c r="D14" s="15">
        <f t="shared" ref="D14:D42" si="2">SUM(C14/$C$43)</f>
        <v>5.6947122526374658E-3</v>
      </c>
      <c r="E14" s="9"/>
      <c r="F14" s="10">
        <f t="shared" si="1"/>
        <v>2192.5887568389608</v>
      </c>
      <c r="G14" s="10">
        <v>62500</v>
      </c>
      <c r="H14" s="11">
        <f t="shared" si="0"/>
        <v>64692.588756838959</v>
      </c>
    </row>
    <row r="15" spans="2:10" x14ac:dyDescent="0.3">
      <c r="B15" s="13" t="s">
        <v>19</v>
      </c>
      <c r="C15" s="14">
        <v>212141</v>
      </c>
      <c r="D15" s="15">
        <f t="shared" si="2"/>
        <v>4.9432544375251221E-2</v>
      </c>
      <c r="E15" s="9"/>
      <c r="F15" s="10">
        <f t="shared" si="1"/>
        <v>19032.610641375424</v>
      </c>
      <c r="G15" s="10">
        <v>62500</v>
      </c>
      <c r="H15" s="11">
        <f t="shared" si="0"/>
        <v>81532.610641375417</v>
      </c>
    </row>
    <row r="16" spans="2:10" x14ac:dyDescent="0.3">
      <c r="B16" s="13" t="s">
        <v>20</v>
      </c>
      <c r="C16" s="14">
        <v>113748</v>
      </c>
      <c r="D16" s="15">
        <f t="shared" si="2"/>
        <v>2.6505263280535474E-2</v>
      </c>
      <c r="E16" s="9"/>
      <c r="F16" s="10">
        <f t="shared" si="1"/>
        <v>10205.106015504649</v>
      </c>
      <c r="G16" s="10">
        <v>62500</v>
      </c>
      <c r="H16" s="11">
        <f t="shared" si="0"/>
        <v>72705.106015504643</v>
      </c>
    </row>
    <row r="17" spans="2:8" x14ac:dyDescent="0.3">
      <c r="B17" s="13" t="s">
        <v>21</v>
      </c>
      <c r="C17" s="14">
        <v>2062</v>
      </c>
      <c r="D17" s="15">
        <f t="shared" si="2"/>
        <v>4.8048187998438782E-4</v>
      </c>
      <c r="E17" s="9"/>
      <c r="F17" s="10">
        <f t="shared" si="1"/>
        <v>184.99603161348406</v>
      </c>
      <c r="G17" s="10">
        <v>62500</v>
      </c>
      <c r="H17" s="11">
        <f t="shared" si="0"/>
        <v>62684.996031613482</v>
      </c>
    </row>
    <row r="18" spans="2:8" x14ac:dyDescent="0.3">
      <c r="B18" s="13" t="s">
        <v>22</v>
      </c>
      <c r="C18" s="14">
        <v>7418</v>
      </c>
      <c r="D18" s="15">
        <f t="shared" si="2"/>
        <v>1.7285230774608093E-3</v>
      </c>
      <c r="E18" s="9"/>
      <c r="F18" s="10">
        <f t="shared" si="1"/>
        <v>665.5191864737269</v>
      </c>
      <c r="G18" s="10">
        <v>62500</v>
      </c>
      <c r="H18" s="11">
        <f t="shared" si="0"/>
        <v>63165.519186473728</v>
      </c>
    </row>
    <row r="19" spans="2:8" x14ac:dyDescent="0.3">
      <c r="B19" s="13" t="s">
        <v>23</v>
      </c>
      <c r="C19" s="14">
        <v>7600</v>
      </c>
      <c r="D19" s="15">
        <f t="shared" si="2"/>
        <v>1.7709322443653481E-3</v>
      </c>
      <c r="E19" s="9"/>
      <c r="F19" s="10">
        <f t="shared" si="1"/>
        <v>681.84764319227884</v>
      </c>
      <c r="G19" s="10">
        <v>62500</v>
      </c>
      <c r="H19" s="11">
        <f t="shared" si="0"/>
        <v>63181.847643192275</v>
      </c>
    </row>
    <row r="20" spans="2:8" x14ac:dyDescent="0.3">
      <c r="B20" s="13" t="s">
        <v>24</v>
      </c>
      <c r="C20" s="14">
        <v>24406</v>
      </c>
      <c r="D20" s="15">
        <f t="shared" si="2"/>
        <v>5.6870226784185105E-3</v>
      </c>
      <c r="E20" s="9"/>
      <c r="F20" s="10">
        <f t="shared" si="1"/>
        <v>2189.6281025987837</v>
      </c>
      <c r="G20" s="10">
        <v>62500</v>
      </c>
      <c r="H20" s="11">
        <f t="shared" si="0"/>
        <v>64689.628102598785</v>
      </c>
    </row>
    <row r="21" spans="2:8" x14ac:dyDescent="0.3">
      <c r="B21" s="13" t="s">
        <v>25</v>
      </c>
      <c r="C21" s="14">
        <v>222762</v>
      </c>
      <c r="D21" s="15">
        <f t="shared" si="2"/>
        <v>5.1907422186751796E-2</v>
      </c>
      <c r="E21" s="9"/>
      <c r="F21" s="10">
        <f t="shared" si="1"/>
        <v>19985.492722736635</v>
      </c>
      <c r="G21" s="10">
        <v>62500</v>
      </c>
      <c r="H21" s="11">
        <f t="shared" si="0"/>
        <v>82485.492722736642</v>
      </c>
    </row>
    <row r="22" spans="2:8" x14ac:dyDescent="0.3">
      <c r="B22" s="13" t="s">
        <v>26</v>
      </c>
      <c r="C22" s="14">
        <v>25878</v>
      </c>
      <c r="D22" s="15">
        <f t="shared" si="2"/>
        <v>6.0300242920640103E-3</v>
      </c>
      <c r="E22" s="9"/>
      <c r="F22" s="10">
        <f t="shared" si="1"/>
        <v>2321.6912250697096</v>
      </c>
      <c r="G22" s="10">
        <v>62500</v>
      </c>
      <c r="H22" s="11">
        <f t="shared" si="0"/>
        <v>64821.691225069706</v>
      </c>
    </row>
    <row r="23" spans="2:8" x14ac:dyDescent="0.3">
      <c r="B23" s="13" t="s">
        <v>27</v>
      </c>
      <c r="C23" s="14">
        <v>88814</v>
      </c>
      <c r="D23" s="15">
        <f t="shared" si="2"/>
        <v>2.0695207414613687E-2</v>
      </c>
      <c r="E23" s="9"/>
      <c r="F23" s="10">
        <f t="shared" si="1"/>
        <v>7968.107445063034</v>
      </c>
      <c r="G23" s="10">
        <v>62500</v>
      </c>
      <c r="H23" s="11">
        <f t="shared" si="0"/>
        <v>70468.10744506304</v>
      </c>
    </row>
    <row r="24" spans="2:8" x14ac:dyDescent="0.3">
      <c r="B24" s="13" t="s">
        <v>28</v>
      </c>
      <c r="C24" s="14">
        <v>71919</v>
      </c>
      <c r="D24" s="15">
        <f t="shared" si="2"/>
        <v>1.6758378431909401E-2</v>
      </c>
      <c r="E24" s="9"/>
      <c r="F24" s="10">
        <f t="shared" si="1"/>
        <v>6452.3421908875653</v>
      </c>
      <c r="G24" s="10">
        <v>62500</v>
      </c>
      <c r="H24" s="11">
        <f t="shared" si="0"/>
        <v>68952.342190887561</v>
      </c>
    </row>
    <row r="25" spans="2:8" x14ac:dyDescent="0.3">
      <c r="B25" s="13" t="s">
        <v>29</v>
      </c>
      <c r="C25" s="14">
        <v>8562</v>
      </c>
      <c r="D25" s="15">
        <f t="shared" si="2"/>
        <v>1.995094983717909E-3</v>
      </c>
      <c r="E25" s="9"/>
      <c r="F25" s="10">
        <f t="shared" si="1"/>
        <v>768.15520013319622</v>
      </c>
      <c r="G25" s="10">
        <v>62500</v>
      </c>
      <c r="H25" s="11">
        <f t="shared" si="0"/>
        <v>63268.155200133195</v>
      </c>
    </row>
    <row r="26" spans="2:8" x14ac:dyDescent="0.3">
      <c r="B26" s="13" t="s">
        <v>30</v>
      </c>
      <c r="C26" s="14">
        <v>384374</v>
      </c>
      <c r="D26" s="15">
        <f t="shared" si="2"/>
        <v>8.9565830328379767E-2</v>
      </c>
      <c r="E26" s="9"/>
      <c r="F26" s="10">
        <f t="shared" si="1"/>
        <v>34484.803421630131</v>
      </c>
      <c r="G26" s="10">
        <v>62500</v>
      </c>
      <c r="H26" s="11">
        <f t="shared" si="0"/>
        <v>96984.803421630131</v>
      </c>
    </row>
    <row r="27" spans="2:8" x14ac:dyDescent="0.3">
      <c r="B27" s="13" t="s">
        <v>31</v>
      </c>
      <c r="C27" s="14">
        <v>51930</v>
      </c>
      <c r="D27" s="15">
        <f t="shared" si="2"/>
        <v>1.2100593611827963E-2</v>
      </c>
      <c r="E27" s="9"/>
      <c r="F27" s="10">
        <f t="shared" si="1"/>
        <v>4658.9931724967155</v>
      </c>
      <c r="G27" s="10">
        <v>62500</v>
      </c>
      <c r="H27" s="11">
        <f t="shared" si="0"/>
        <v>67158.993172496717</v>
      </c>
    </row>
    <row r="28" spans="2:8" x14ac:dyDescent="0.3">
      <c r="B28" s="13" t="s">
        <v>32</v>
      </c>
      <c r="C28" s="14">
        <v>131984</v>
      </c>
      <c r="D28" s="15">
        <f t="shared" si="2"/>
        <v>3.0754568597410013E-2</v>
      </c>
      <c r="E28" s="9"/>
      <c r="F28" s="10">
        <f t="shared" si="1"/>
        <v>11841.181491985491</v>
      </c>
      <c r="G28" s="10">
        <v>62500</v>
      </c>
      <c r="H28" s="11">
        <f t="shared" si="0"/>
        <v>74341.181491985495</v>
      </c>
    </row>
    <row r="29" spans="2:8" x14ac:dyDescent="0.3">
      <c r="B29" s="13" t="s">
        <v>33</v>
      </c>
      <c r="C29" s="14">
        <v>32981</v>
      </c>
      <c r="D29" s="15">
        <f t="shared" si="2"/>
        <v>7.6851468883438875E-3</v>
      </c>
      <c r="E29" s="9"/>
      <c r="F29" s="10">
        <f t="shared" si="1"/>
        <v>2958.9496210690199</v>
      </c>
      <c r="G29" s="10">
        <v>62500</v>
      </c>
      <c r="H29" s="11">
        <f t="shared" si="0"/>
        <v>65458.949621069019</v>
      </c>
    </row>
    <row r="30" spans="2:8" x14ac:dyDescent="0.3">
      <c r="B30" s="13" t="s">
        <v>34</v>
      </c>
      <c r="C30" s="14">
        <v>352249</v>
      </c>
      <c r="D30" s="15">
        <f t="shared" si="2"/>
        <v>8.2080146334927565E-2</v>
      </c>
      <c r="E30" s="9"/>
      <c r="F30" s="10">
        <f t="shared" si="1"/>
        <v>31602.651377215399</v>
      </c>
      <c r="G30" s="10">
        <v>62500</v>
      </c>
      <c r="H30" s="11">
        <f t="shared" si="0"/>
        <v>94102.651377215399</v>
      </c>
    </row>
    <row r="31" spans="2:8" x14ac:dyDescent="0.3">
      <c r="B31" s="13" t="s">
        <v>35</v>
      </c>
      <c r="C31" s="14">
        <v>13010</v>
      </c>
      <c r="D31" s="15">
        <f t="shared" si="2"/>
        <v>3.0315563814727864E-3</v>
      </c>
      <c r="E31" s="9"/>
      <c r="F31" s="10">
        <f t="shared" si="1"/>
        <v>1167.2155049909932</v>
      </c>
      <c r="G31" s="10">
        <v>62500</v>
      </c>
      <c r="H31" s="11">
        <f t="shared" si="0"/>
        <v>63667.215504990992</v>
      </c>
    </row>
    <row r="32" spans="2:8" x14ac:dyDescent="0.3">
      <c r="B32" s="13" t="s">
        <v>36</v>
      </c>
      <c r="C32" s="14">
        <v>801306</v>
      </c>
      <c r="D32" s="15">
        <f t="shared" si="2"/>
        <v>0.18671824118466046</v>
      </c>
      <c r="E32" s="9"/>
      <c r="F32" s="10">
        <f t="shared" si="1"/>
        <v>71890.606259977925</v>
      </c>
      <c r="G32" s="10">
        <v>62500</v>
      </c>
      <c r="H32" s="11">
        <f t="shared" si="0"/>
        <v>134390.60625997791</v>
      </c>
    </row>
    <row r="33" spans="2:11" x14ac:dyDescent="0.3">
      <c r="B33" s="13" t="s">
        <v>37</v>
      </c>
      <c r="C33" s="14">
        <v>90553</v>
      </c>
      <c r="D33" s="15">
        <f t="shared" si="2"/>
        <v>2.1100424674212546E-2</v>
      </c>
      <c r="E33" s="9"/>
      <c r="F33" s="10">
        <f t="shared" si="1"/>
        <v>8124.1249518408458</v>
      </c>
      <c r="G33" s="10">
        <v>62500</v>
      </c>
      <c r="H33" s="11">
        <f t="shared" si="0"/>
        <v>70624.124951840844</v>
      </c>
    </row>
    <row r="34" spans="2:11" x14ac:dyDescent="0.3">
      <c r="B34" s="13" t="s">
        <v>38</v>
      </c>
      <c r="C34" s="14">
        <v>1917</v>
      </c>
      <c r="D34" s="15">
        <f t="shared" si="2"/>
        <v>4.4669435690110158E-4</v>
      </c>
      <c r="E34" s="9"/>
      <c r="F34" s="10">
        <f t="shared" si="1"/>
        <v>171.98709631573664</v>
      </c>
      <c r="G34" s="10">
        <v>62500</v>
      </c>
      <c r="H34" s="11">
        <f t="shared" si="0"/>
        <v>62671.987096315737</v>
      </c>
    </row>
    <row r="35" spans="2:11" x14ac:dyDescent="0.3">
      <c r="B35" s="13" t="s">
        <v>39</v>
      </c>
      <c r="C35" s="14">
        <v>28000</v>
      </c>
      <c r="D35" s="15">
        <f t="shared" si="2"/>
        <v>6.5244872160828606E-3</v>
      </c>
      <c r="E35" s="9"/>
      <c r="F35" s="10">
        <f t="shared" si="1"/>
        <v>2512.0702643926061</v>
      </c>
      <c r="G35" s="10">
        <v>62500</v>
      </c>
      <c r="H35" s="11">
        <f t="shared" si="0"/>
        <v>65012.070264392605</v>
      </c>
    </row>
    <row r="36" spans="2:11" x14ac:dyDescent="0.3">
      <c r="B36" s="13" t="s">
        <v>40</v>
      </c>
      <c r="C36" s="14">
        <v>81842</v>
      </c>
      <c r="D36" s="15">
        <f t="shared" si="2"/>
        <v>1.9070610097809054E-2</v>
      </c>
      <c r="E36" s="9"/>
      <c r="F36" s="10">
        <f t="shared" si="1"/>
        <v>7342.6019492292744</v>
      </c>
      <c r="G36" s="10">
        <v>62500</v>
      </c>
      <c r="H36" s="11">
        <f t="shared" si="0"/>
        <v>69842.601949229269</v>
      </c>
    </row>
    <row r="37" spans="2:11" x14ac:dyDescent="0.3">
      <c r="B37" s="13" t="s">
        <v>41</v>
      </c>
      <c r="C37" s="14">
        <v>26335</v>
      </c>
      <c r="D37" s="15">
        <f t="shared" si="2"/>
        <v>6.1365132441265052E-3</v>
      </c>
      <c r="E37" s="9"/>
      <c r="F37" s="10">
        <f t="shared" si="1"/>
        <v>2362.6918004564031</v>
      </c>
      <c r="G37" s="10">
        <v>62500</v>
      </c>
      <c r="H37" s="11">
        <f t="shared" si="0"/>
        <v>64862.691800456407</v>
      </c>
    </row>
    <row r="38" spans="2:11" x14ac:dyDescent="0.3">
      <c r="B38" s="13" t="s">
        <v>42</v>
      </c>
      <c r="C38" s="14">
        <v>7631</v>
      </c>
      <c r="D38" s="15">
        <f t="shared" si="2"/>
        <v>1.7781557837831541E-3</v>
      </c>
      <c r="E38" s="9"/>
      <c r="F38" s="10">
        <f t="shared" si="1"/>
        <v>684.6288638421421</v>
      </c>
      <c r="G38" s="10">
        <v>62500</v>
      </c>
      <c r="H38" s="11">
        <f t="shared" si="0"/>
        <v>63184.628863842139</v>
      </c>
    </row>
    <row r="39" spans="2:11" x14ac:dyDescent="0.3">
      <c r="B39" s="13" t="s">
        <v>43</v>
      </c>
      <c r="C39" s="14">
        <v>27052</v>
      </c>
      <c r="D39" s="15">
        <f t="shared" si="2"/>
        <v>6.303586720338341E-3</v>
      </c>
      <c r="E39" s="9"/>
      <c r="F39" s="10">
        <f t="shared" si="1"/>
        <v>2427.0187425838849</v>
      </c>
      <c r="G39" s="10">
        <v>62500</v>
      </c>
      <c r="H39" s="11">
        <f t="shared" si="0"/>
        <v>64927.018742583881</v>
      </c>
    </row>
    <row r="40" spans="2:11" x14ac:dyDescent="0.3">
      <c r="B40" s="13" t="s">
        <v>44</v>
      </c>
      <c r="C40" s="14">
        <v>610245</v>
      </c>
      <c r="D40" s="15">
        <f t="shared" si="2"/>
        <v>0.14219770361351733</v>
      </c>
      <c r="E40" s="9"/>
      <c r="F40" s="10">
        <f t="shared" si="1"/>
        <v>54749.225660509495</v>
      </c>
      <c r="G40" s="10">
        <v>62500</v>
      </c>
      <c r="H40" s="11">
        <f t="shared" si="0"/>
        <v>117249.22566050949</v>
      </c>
    </row>
    <row r="41" spans="2:11" x14ac:dyDescent="0.3">
      <c r="B41" s="13" t="s">
        <v>45</v>
      </c>
      <c r="C41" s="14">
        <v>1533</v>
      </c>
      <c r="D41" s="15">
        <f t="shared" si="2"/>
        <v>3.5721567508053664E-4</v>
      </c>
      <c r="E41" s="9"/>
      <c r="F41" s="10">
        <f t="shared" si="1"/>
        <v>137.53584697549519</v>
      </c>
      <c r="G41" s="10">
        <v>62500</v>
      </c>
      <c r="H41" s="11">
        <f t="shared" si="0"/>
        <v>62637.535846975494</v>
      </c>
    </row>
    <row r="42" spans="2:11" ht="15" thickBot="1" x14ac:dyDescent="0.35">
      <c r="B42" s="17" t="s">
        <v>46</v>
      </c>
      <c r="C42" s="18">
        <v>109743</v>
      </c>
      <c r="D42" s="19">
        <f t="shared" si="2"/>
        <v>2.5572028591235051E-2</v>
      </c>
      <c r="E42" s="20"/>
      <c r="F42" s="10">
        <f t="shared" si="1"/>
        <v>9845.7902509013493</v>
      </c>
      <c r="G42" s="10">
        <v>62500</v>
      </c>
      <c r="H42" s="21">
        <f t="shared" si="0"/>
        <v>72345.790250901351</v>
      </c>
    </row>
    <row r="43" spans="2:11" x14ac:dyDescent="0.3">
      <c r="B43" s="22"/>
      <c r="C43" s="23">
        <f>SUM(C7:C42)</f>
        <v>4291525</v>
      </c>
      <c r="D43" s="24">
        <v>1</v>
      </c>
      <c r="E43" s="25"/>
      <c r="F43" s="26">
        <f>SUM(F7:F42)</f>
        <v>385021.86933562421</v>
      </c>
      <c r="G43" s="27">
        <f>SUM(G7:G42)</f>
        <v>2250000</v>
      </c>
      <c r="H43" s="28">
        <f>SUM(H7:H42)</f>
        <v>2635021.8693356239</v>
      </c>
      <c r="K43" s="29"/>
    </row>
    <row r="44" spans="2:11" x14ac:dyDescent="0.3">
      <c r="B44" s="72"/>
      <c r="C44" s="73"/>
      <c r="D44" s="74"/>
      <c r="E44" s="75"/>
      <c r="F44" s="76"/>
      <c r="G44" s="77"/>
      <c r="H44" s="78"/>
      <c r="K44" s="29"/>
    </row>
    <row r="45" spans="2:11" ht="29.4" thickBot="1" x14ac:dyDescent="0.35">
      <c r="B45" s="30" t="s">
        <v>47</v>
      </c>
      <c r="C45" s="3" t="s">
        <v>6</v>
      </c>
      <c r="D45" s="209" t="s">
        <v>7</v>
      </c>
      <c r="E45" s="210"/>
      <c r="F45" s="31" t="s">
        <v>48</v>
      </c>
      <c r="G45" s="32" t="s">
        <v>49</v>
      </c>
      <c r="H45" s="1" t="s">
        <v>10</v>
      </c>
    </row>
    <row r="46" spans="2:11" x14ac:dyDescent="0.3">
      <c r="B46" s="13" t="s">
        <v>50</v>
      </c>
      <c r="C46" s="33" t="s">
        <v>51</v>
      </c>
      <c r="D46" s="33" t="s">
        <v>51</v>
      </c>
      <c r="E46" s="34"/>
      <c r="F46" s="33" t="s">
        <v>51</v>
      </c>
      <c r="G46" s="10">
        <v>62500</v>
      </c>
      <c r="H46" s="70">
        <f>G46</f>
        <v>62500</v>
      </c>
    </row>
    <row r="47" spans="2:11" x14ac:dyDescent="0.3">
      <c r="B47" s="13" t="s">
        <v>52</v>
      </c>
      <c r="C47" s="33" t="s">
        <v>51</v>
      </c>
      <c r="D47" s="33" t="s">
        <v>51</v>
      </c>
      <c r="E47" s="34"/>
      <c r="F47" s="33" t="s">
        <v>51</v>
      </c>
      <c r="G47" s="10">
        <v>62500</v>
      </c>
      <c r="H47" s="70">
        <f t="shared" ref="H47:H54" si="3">G47</f>
        <v>62500</v>
      </c>
    </row>
    <row r="48" spans="2:11" x14ac:dyDescent="0.3">
      <c r="B48" s="13" t="s">
        <v>53</v>
      </c>
      <c r="C48" s="33" t="s">
        <v>51</v>
      </c>
      <c r="D48" s="33" t="s">
        <v>51</v>
      </c>
      <c r="E48" s="34"/>
      <c r="F48" s="33" t="s">
        <v>51</v>
      </c>
      <c r="G48" s="10">
        <v>62500</v>
      </c>
      <c r="H48" s="70">
        <f t="shared" si="3"/>
        <v>62500</v>
      </c>
    </row>
    <row r="49" spans="2:12" x14ac:dyDescent="0.3">
      <c r="B49" s="13" t="s">
        <v>54</v>
      </c>
      <c r="C49" s="33" t="s">
        <v>51</v>
      </c>
      <c r="D49" s="33" t="s">
        <v>51</v>
      </c>
      <c r="E49" s="34"/>
      <c r="F49" s="33" t="s">
        <v>51</v>
      </c>
      <c r="G49" s="10">
        <v>62500</v>
      </c>
      <c r="H49" s="70">
        <f t="shared" si="3"/>
        <v>62500</v>
      </c>
    </row>
    <row r="50" spans="2:12" x14ac:dyDescent="0.3">
      <c r="B50" s="13" t="s">
        <v>55</v>
      </c>
      <c r="C50" s="33" t="s">
        <v>51</v>
      </c>
      <c r="D50" s="33" t="s">
        <v>51</v>
      </c>
      <c r="E50" s="34"/>
      <c r="F50" s="33" t="s">
        <v>51</v>
      </c>
      <c r="G50" s="10">
        <v>62500</v>
      </c>
      <c r="H50" s="70">
        <f t="shared" si="3"/>
        <v>62500</v>
      </c>
    </row>
    <row r="51" spans="2:12" x14ac:dyDescent="0.3">
      <c r="B51" s="13" t="s">
        <v>135</v>
      </c>
      <c r="C51" s="33" t="s">
        <v>51</v>
      </c>
      <c r="D51" s="33" t="s">
        <v>51</v>
      </c>
      <c r="E51" s="34"/>
      <c r="F51" s="33" t="s">
        <v>51</v>
      </c>
      <c r="G51" s="10">
        <v>62500</v>
      </c>
      <c r="H51" s="70">
        <f t="shared" si="3"/>
        <v>62500</v>
      </c>
    </row>
    <row r="52" spans="2:12" x14ac:dyDescent="0.3">
      <c r="B52" s="13" t="s">
        <v>28</v>
      </c>
      <c r="C52" s="33" t="s">
        <v>51</v>
      </c>
      <c r="D52" s="33" t="s">
        <v>51</v>
      </c>
      <c r="E52" s="34"/>
      <c r="F52" s="33" t="s">
        <v>51</v>
      </c>
      <c r="G52" s="10">
        <v>62500</v>
      </c>
      <c r="H52" s="70">
        <f t="shared" si="3"/>
        <v>62500</v>
      </c>
    </row>
    <row r="53" spans="2:12" x14ac:dyDescent="0.3">
      <c r="B53" s="13" t="s">
        <v>57</v>
      </c>
      <c r="C53" s="33" t="s">
        <v>51</v>
      </c>
      <c r="D53" s="33" t="s">
        <v>51</v>
      </c>
      <c r="E53" s="34"/>
      <c r="F53" s="33" t="s">
        <v>51</v>
      </c>
      <c r="G53" s="10">
        <v>62500</v>
      </c>
      <c r="H53" s="70">
        <f t="shared" si="3"/>
        <v>62500</v>
      </c>
    </row>
    <row r="54" spans="2:12" ht="15" thickBot="1" x14ac:dyDescent="0.35">
      <c r="B54" s="17" t="s">
        <v>58</v>
      </c>
      <c r="C54" s="35" t="s">
        <v>51</v>
      </c>
      <c r="D54" s="35" t="s">
        <v>51</v>
      </c>
      <c r="E54" s="36"/>
      <c r="F54" s="35" t="s">
        <v>51</v>
      </c>
      <c r="G54" s="10">
        <v>62500</v>
      </c>
      <c r="H54" s="71">
        <f t="shared" si="3"/>
        <v>62500</v>
      </c>
    </row>
    <row r="55" spans="2:12" x14ac:dyDescent="0.3">
      <c r="F55" s="37"/>
      <c r="G55" s="26">
        <f>SUM(G46:G54)</f>
        <v>562500</v>
      </c>
      <c r="H55" s="28">
        <f>SUM(H46:H54)</f>
        <v>562500</v>
      </c>
    </row>
    <row r="57" spans="2:12" ht="29.4" thickBot="1" x14ac:dyDescent="0.35">
      <c r="B57" s="30" t="s">
        <v>59</v>
      </c>
      <c r="C57" s="3" t="s">
        <v>6</v>
      </c>
      <c r="D57" s="209" t="s">
        <v>60</v>
      </c>
      <c r="E57" s="210"/>
      <c r="F57" s="31" t="s">
        <v>48</v>
      </c>
      <c r="G57" s="32" t="s">
        <v>49</v>
      </c>
      <c r="H57" s="1" t="s">
        <v>10</v>
      </c>
    </row>
    <row r="58" spans="2:12" ht="15" thickBot="1" x14ac:dyDescent="0.35">
      <c r="B58" s="13" t="s">
        <v>61</v>
      </c>
      <c r="C58" s="38">
        <v>101165</v>
      </c>
      <c r="D58" s="39">
        <f>C58/C$5</f>
        <v>2.3573205329107953E-2</v>
      </c>
      <c r="E58" s="34"/>
      <c r="F58" s="10">
        <f t="shared" ref="F58:F65" si="4">SUM($H$79*D58)</f>
        <v>9076.1995820456432</v>
      </c>
      <c r="G58" s="10">
        <v>62500</v>
      </c>
      <c r="H58" s="21">
        <f t="shared" ref="H58:H65" si="5">SUM(F58:G58)</f>
        <v>71576.199582045636</v>
      </c>
      <c r="J58" s="12"/>
    </row>
    <row r="59" spans="2:12" ht="15" thickBot="1" x14ac:dyDescent="0.35">
      <c r="B59" s="13" t="s">
        <v>62</v>
      </c>
      <c r="C59" s="38">
        <v>106275</v>
      </c>
      <c r="D59" s="39">
        <f t="shared" ref="D59:D65" si="6">C59/C$5</f>
        <v>2.4763924246043074E-2</v>
      </c>
      <c r="E59" s="34"/>
      <c r="F59" s="10">
        <f t="shared" si="4"/>
        <v>9534.6524052972945</v>
      </c>
      <c r="G59" s="10">
        <v>62500</v>
      </c>
      <c r="H59" s="21">
        <f t="shared" si="5"/>
        <v>72034.652405297296</v>
      </c>
      <c r="J59" s="29"/>
      <c r="K59" s="29"/>
    </row>
    <row r="60" spans="2:12" ht="15" thickBot="1" x14ac:dyDescent="0.35">
      <c r="B60" s="13" t="s">
        <v>63</v>
      </c>
      <c r="C60" s="38">
        <v>177339</v>
      </c>
      <c r="D60" s="39">
        <f t="shared" si="6"/>
        <v>4.1323072800461373E-2</v>
      </c>
      <c r="E60" s="34"/>
      <c r="F60" s="10">
        <f t="shared" si="4"/>
        <v>15910.286736325728</v>
      </c>
      <c r="G60" s="10">
        <v>62500</v>
      </c>
      <c r="H60" s="21">
        <f t="shared" si="5"/>
        <v>78410.286736325725</v>
      </c>
      <c r="J60" s="29"/>
      <c r="K60" s="29"/>
    </row>
    <row r="61" spans="2:12" ht="15" thickBot="1" x14ac:dyDescent="0.35">
      <c r="B61" s="13" t="s">
        <v>64</v>
      </c>
      <c r="C61" s="38">
        <v>117107</v>
      </c>
      <c r="D61" s="39">
        <f t="shared" si="6"/>
        <v>2.7287968729064842E-2</v>
      </c>
      <c r="E61" s="34"/>
      <c r="F61" s="10">
        <f t="shared" si="4"/>
        <v>10506.464730436604</v>
      </c>
      <c r="G61" s="10">
        <v>62500</v>
      </c>
      <c r="H61" s="21">
        <f t="shared" si="5"/>
        <v>73006.464730436608</v>
      </c>
    </row>
    <row r="62" spans="2:12" ht="15" thickBot="1" x14ac:dyDescent="0.35">
      <c r="B62" s="13" t="s">
        <v>65</v>
      </c>
      <c r="C62" s="38">
        <v>110874</v>
      </c>
      <c r="D62" s="39">
        <f t="shared" si="6"/>
        <v>2.5835571271284684E-2</v>
      </c>
      <c r="E62" s="34"/>
      <c r="F62" s="10">
        <f t="shared" si="4"/>
        <v>9947.2599462237795</v>
      </c>
      <c r="G62" s="10">
        <v>62500</v>
      </c>
      <c r="H62" s="21">
        <f t="shared" si="5"/>
        <v>72447.259946223785</v>
      </c>
    </row>
    <row r="63" spans="2:12" ht="15" thickBot="1" x14ac:dyDescent="0.35">
      <c r="B63" s="13" t="s">
        <v>66</v>
      </c>
      <c r="C63" s="38">
        <v>90887</v>
      </c>
      <c r="D63" s="39">
        <f t="shared" si="6"/>
        <v>2.1178252486004391E-2</v>
      </c>
      <c r="E63" s="34"/>
      <c r="F63" s="10">
        <f t="shared" si="4"/>
        <v>8154.0903614232429</v>
      </c>
      <c r="G63" s="10">
        <v>62500</v>
      </c>
      <c r="H63" s="21">
        <f t="shared" si="5"/>
        <v>70654.090361423237</v>
      </c>
    </row>
    <row r="64" spans="2:12" ht="15" thickBot="1" x14ac:dyDescent="0.35">
      <c r="B64" s="13" t="s">
        <v>67</v>
      </c>
      <c r="C64" s="38">
        <v>648097</v>
      </c>
      <c r="D64" s="39">
        <f t="shared" si="6"/>
        <v>0.15101787826005908</v>
      </c>
      <c r="E64" s="34"/>
      <c r="F64" s="10">
        <f t="shared" si="4"/>
        <v>58145.185790787684</v>
      </c>
      <c r="G64" s="10">
        <v>62500</v>
      </c>
      <c r="H64" s="21">
        <f t="shared" si="5"/>
        <v>120645.18579078768</v>
      </c>
      <c r="L64"/>
    </row>
    <row r="65" spans="2:10" ht="15" thickBot="1" x14ac:dyDescent="0.35">
      <c r="B65" s="13" t="s">
        <v>68</v>
      </c>
      <c r="C65" s="38">
        <v>182726</v>
      </c>
      <c r="D65" s="39">
        <f t="shared" si="6"/>
        <v>4.2578337537355605E-2</v>
      </c>
      <c r="E65" s="34"/>
      <c r="F65" s="10">
        <f t="shared" si="4"/>
        <v>16393.591111835834</v>
      </c>
      <c r="G65" s="10">
        <v>62500</v>
      </c>
      <c r="H65" s="21">
        <f t="shared" si="5"/>
        <v>78893.591111835834</v>
      </c>
    </row>
    <row r="66" spans="2:10" x14ac:dyDescent="0.3">
      <c r="C66" s="40">
        <f>SUM(C58:C65)</f>
        <v>1534470</v>
      </c>
      <c r="D66" s="41">
        <f>SUM(D58:D65)</f>
        <v>0.35755821065938098</v>
      </c>
      <c r="F66" s="28">
        <f>SUM(F58:F65)</f>
        <v>137667.73066437582</v>
      </c>
      <c r="G66" s="26">
        <f>SUM(G58:G65)</f>
        <v>500000</v>
      </c>
      <c r="H66" s="28">
        <f>SUM(H58:H65)</f>
        <v>637667.7306643757</v>
      </c>
    </row>
    <row r="68" spans="2:10" x14ac:dyDescent="0.3">
      <c r="B68" s="42" t="s">
        <v>69</v>
      </c>
      <c r="F68" s="43">
        <f>F66+F55+F43</f>
        <v>522689.60000000003</v>
      </c>
      <c r="G68" s="43">
        <f t="shared" ref="G68:H68" si="7">G66+G55+G43</f>
        <v>3312500</v>
      </c>
      <c r="H68" s="43">
        <f t="shared" si="7"/>
        <v>3835189.5999999996</v>
      </c>
    </row>
    <row r="74" spans="2:10" ht="15" thickBot="1" x14ac:dyDescent="0.35"/>
    <row r="75" spans="2:10" ht="18.600000000000001" thickBot="1" x14ac:dyDescent="0.4">
      <c r="B75" s="44" t="s">
        <v>6</v>
      </c>
      <c r="C75" s="44"/>
      <c r="D75" s="44" t="s">
        <v>70</v>
      </c>
      <c r="G75" s="45" t="s">
        <v>10</v>
      </c>
      <c r="H75" s="46">
        <v>4793987</v>
      </c>
      <c r="I75" t="s">
        <v>71</v>
      </c>
      <c r="J75" t="s">
        <v>72</v>
      </c>
    </row>
    <row r="76" spans="2:10" x14ac:dyDescent="0.3">
      <c r="B76" t="s">
        <v>73</v>
      </c>
      <c r="C76" s="41">
        <v>0.73661666376301382</v>
      </c>
      <c r="D76" s="47">
        <v>4291525</v>
      </c>
      <c r="G76" s="48" t="s">
        <v>74</v>
      </c>
      <c r="H76" s="49">
        <f>SUM(H75*0.8)</f>
        <v>3835189.6</v>
      </c>
      <c r="I76" t="s">
        <v>75</v>
      </c>
    </row>
    <row r="77" spans="2:10" x14ac:dyDescent="0.3">
      <c r="B77" t="s">
        <v>76</v>
      </c>
      <c r="C77" s="41">
        <v>0.26338333623698612</v>
      </c>
      <c r="D77" s="50">
        <v>1534470</v>
      </c>
      <c r="G77" s="51" t="s">
        <v>77</v>
      </c>
      <c r="H77" s="52">
        <f>G68</f>
        <v>3312500</v>
      </c>
      <c r="I77" t="s">
        <v>78</v>
      </c>
      <c r="J77" t="s">
        <v>79</v>
      </c>
    </row>
    <row r="78" spans="2:10" x14ac:dyDescent="0.3">
      <c r="D78" s="47">
        <v>5825995</v>
      </c>
      <c r="G78" s="51" t="s">
        <v>80</v>
      </c>
      <c r="H78" s="52">
        <f>H76-H77</f>
        <v>522689.60000000009</v>
      </c>
      <c r="I78" t="s">
        <v>81</v>
      </c>
    </row>
    <row r="79" spans="2:10" ht="15" thickBot="1" x14ac:dyDescent="0.35">
      <c r="G79" s="53" t="s">
        <v>82</v>
      </c>
      <c r="H79" s="54">
        <f>C76*H78</f>
        <v>385021.86933562427</v>
      </c>
      <c r="I79" t="s">
        <v>83</v>
      </c>
      <c r="J79" t="s">
        <v>84</v>
      </c>
    </row>
    <row r="80" spans="2:10" x14ac:dyDescent="0.3">
      <c r="B80" s="55" t="s">
        <v>85</v>
      </c>
      <c r="C80" s="56">
        <v>0.15</v>
      </c>
      <c r="D80" s="57">
        <f>SUM(H75*0.15)</f>
        <v>719098.04999999993</v>
      </c>
      <c r="G80" s="58" t="s">
        <v>86</v>
      </c>
      <c r="H80" s="59">
        <f>C77*H78</f>
        <v>137667.73066437579</v>
      </c>
      <c r="I80" t="s">
        <v>87</v>
      </c>
    </row>
    <row r="81" spans="2:9" ht="15" thickBot="1" x14ac:dyDescent="0.35">
      <c r="B81" s="60" t="s">
        <v>88</v>
      </c>
      <c r="C81" s="61">
        <v>0.05</v>
      </c>
      <c r="D81" s="62">
        <f>SUM(H75*0.05)</f>
        <v>239699.35</v>
      </c>
      <c r="G81" s="63" t="s">
        <v>89</v>
      </c>
      <c r="H81" s="64">
        <f>H75*0.2</f>
        <v>958797.4</v>
      </c>
      <c r="I81" t="s">
        <v>90</v>
      </c>
    </row>
    <row r="82" spans="2:9" x14ac:dyDescent="0.3">
      <c r="G82" s="65"/>
      <c r="H82" s="43"/>
    </row>
    <row r="83" spans="2:9" x14ac:dyDescent="0.3">
      <c r="G83" s="65"/>
      <c r="H83" s="43"/>
    </row>
    <row r="84" spans="2:9" x14ac:dyDescent="0.3">
      <c r="B84" s="66"/>
      <c r="C84" s="67"/>
      <c r="D84" s="68"/>
      <c r="G84" s="65"/>
      <c r="H84" s="43"/>
    </row>
    <row r="85" spans="2:9" x14ac:dyDescent="0.3">
      <c r="B85" s="66"/>
      <c r="C85" s="69"/>
      <c r="D85" s="68"/>
      <c r="G85" s="65"/>
      <c r="H85" s="43"/>
    </row>
  </sheetData>
  <mergeCells count="12">
    <mergeCell ref="D6:E6"/>
    <mergeCell ref="D45:E45"/>
    <mergeCell ref="D57:E57"/>
    <mergeCell ref="B1:H1"/>
    <mergeCell ref="B2:B5"/>
    <mergeCell ref="C2:E3"/>
    <mergeCell ref="F2:H2"/>
    <mergeCell ref="F3:H3"/>
    <mergeCell ref="C4:E4"/>
    <mergeCell ref="F4:H4"/>
    <mergeCell ref="C5:E5"/>
    <mergeCell ref="F5:H5"/>
  </mergeCells>
  <pageMargins left="0.25" right="0.25" top="0.75" bottom="0.75" header="0.3" footer="0.3"/>
  <pageSetup orientation="portrait" r:id="rId1"/>
  <headerFooter>
    <oddHeader>&amp;CDRAFT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2AA8-9CCF-4E57-B067-1980501EF441}">
  <sheetPr codeName="Sheet2"/>
  <dimension ref="B1:M92"/>
  <sheetViews>
    <sheetView topLeftCell="B68" workbookViewId="0">
      <selection activeCell="I5" sqref="I5:K5"/>
    </sheetView>
  </sheetViews>
  <sheetFormatPr defaultRowHeight="14.4" x14ac:dyDescent="0.3"/>
  <cols>
    <col min="1" max="1" width="3.6640625" customWidth="1"/>
    <col min="2" max="2" width="19.33203125" bestFit="1" customWidth="1"/>
    <col min="3" max="3" width="26.88671875" customWidth="1"/>
    <col min="4" max="4" width="13" customWidth="1"/>
    <col min="5" max="5" width="1.6640625" customWidth="1"/>
    <col min="6" max="7" width="14.6640625" customWidth="1"/>
    <col min="8" max="8" width="16" customWidth="1"/>
    <col min="9" max="9" width="16.33203125" customWidth="1"/>
    <col min="10" max="10" width="18" style="88" customWidth="1"/>
    <col min="11" max="11" width="18.33203125" style="91" customWidth="1"/>
    <col min="12" max="12" width="14.33203125" customWidth="1"/>
    <col min="13" max="13" width="13.33203125" style="92" customWidth="1"/>
  </cols>
  <sheetData>
    <row r="1" spans="2:13" ht="21" x14ac:dyDescent="0.4">
      <c r="B1" s="211" t="s">
        <v>221</v>
      </c>
      <c r="C1" s="211"/>
      <c r="D1" s="211"/>
      <c r="E1" s="211"/>
      <c r="F1" s="211"/>
      <c r="G1" s="211"/>
      <c r="H1" s="211"/>
    </row>
    <row r="2" spans="2:13" ht="23.4" x14ac:dyDescent="0.3">
      <c r="B2" s="143" t="s">
        <v>128</v>
      </c>
      <c r="C2" s="246">
        <v>62500</v>
      </c>
      <c r="D2" s="246"/>
      <c r="E2" s="246"/>
      <c r="F2" s="247" t="s">
        <v>107</v>
      </c>
      <c r="G2" s="247"/>
      <c r="H2" s="247"/>
      <c r="I2" s="248"/>
      <c r="J2" s="249"/>
      <c r="K2" s="250"/>
    </row>
    <row r="3" spans="2:13" s="84" customFormat="1" ht="22.5" customHeight="1" x14ac:dyDescent="0.25">
      <c r="B3" s="143" t="s">
        <v>129</v>
      </c>
      <c r="C3" s="246">
        <v>62500</v>
      </c>
      <c r="D3" s="246"/>
      <c r="E3" s="246"/>
      <c r="F3" s="254">
        <v>4793987</v>
      </c>
      <c r="G3" s="254"/>
      <c r="H3" s="254"/>
      <c r="I3" s="251"/>
      <c r="J3" s="252"/>
      <c r="K3" s="253"/>
      <c r="M3" s="85"/>
    </row>
    <row r="4" spans="2:13" s="84" customFormat="1" ht="23.4" customHeight="1" x14ac:dyDescent="0.25">
      <c r="B4" s="143" t="s">
        <v>130</v>
      </c>
      <c r="C4" s="255">
        <v>62500</v>
      </c>
      <c r="D4" s="255"/>
      <c r="E4" s="255"/>
      <c r="F4" s="256" t="s">
        <v>131</v>
      </c>
      <c r="G4" s="256"/>
      <c r="H4" s="256"/>
      <c r="I4" s="245"/>
      <c r="J4" s="245"/>
      <c r="K4" s="245"/>
      <c r="M4" s="85"/>
    </row>
    <row r="5" spans="2:13" s="84" customFormat="1" ht="23.4" customHeight="1" x14ac:dyDescent="0.25">
      <c r="B5" s="144" t="s">
        <v>3</v>
      </c>
      <c r="C5" s="232">
        <v>4291525</v>
      </c>
      <c r="D5" s="232"/>
      <c r="E5" s="233"/>
      <c r="F5" s="231">
        <f>SUM(F85)</f>
        <v>3835189.6</v>
      </c>
      <c r="G5" s="231"/>
      <c r="H5" s="231"/>
      <c r="I5" s="231"/>
      <c r="J5" s="231"/>
      <c r="K5" s="231"/>
      <c r="M5" s="85"/>
    </row>
    <row r="6" spans="2:13" s="84" customFormat="1" ht="21" x14ac:dyDescent="0.25">
      <c r="B6" s="244" t="s">
        <v>132</v>
      </c>
      <c r="C6" s="244"/>
      <c r="D6" s="244"/>
      <c r="E6" s="244"/>
      <c r="F6" s="245" t="s">
        <v>4</v>
      </c>
      <c r="G6" s="245"/>
      <c r="H6" s="245"/>
      <c r="I6" s="245"/>
      <c r="J6" s="245"/>
      <c r="K6" s="245"/>
      <c r="M6" s="85"/>
    </row>
    <row r="7" spans="2:13" s="84" customFormat="1" ht="21" x14ac:dyDescent="0.25">
      <c r="B7" s="231">
        <f>SUM(F88)</f>
        <v>958797.4</v>
      </c>
      <c r="C7" s="231"/>
      <c r="D7" s="231"/>
      <c r="E7" s="231"/>
      <c r="F7" s="231">
        <f>SUM(F87)</f>
        <v>522689.60000000009</v>
      </c>
      <c r="G7" s="231"/>
      <c r="H7" s="231"/>
      <c r="I7" s="231"/>
      <c r="J7" s="231"/>
      <c r="K7" s="231"/>
      <c r="M7" s="85"/>
    </row>
    <row r="8" spans="2:13" s="84" customFormat="1" x14ac:dyDescent="0.25">
      <c r="B8" s="234" t="s">
        <v>5</v>
      </c>
      <c r="C8" s="234" t="s">
        <v>6</v>
      </c>
      <c r="D8" s="236" t="s">
        <v>7</v>
      </c>
      <c r="E8" s="238"/>
      <c r="F8" s="236" t="s">
        <v>108</v>
      </c>
      <c r="G8" s="236" t="s">
        <v>109</v>
      </c>
      <c r="H8" s="234" t="s">
        <v>110</v>
      </c>
      <c r="I8" s="86" t="s">
        <v>111</v>
      </c>
      <c r="J8" s="240" t="s">
        <v>112</v>
      </c>
      <c r="K8" s="242" t="s">
        <v>133</v>
      </c>
      <c r="L8" s="218" t="s">
        <v>113</v>
      </c>
      <c r="M8" s="219" t="s">
        <v>134</v>
      </c>
    </row>
    <row r="9" spans="2:13" s="88" customFormat="1" ht="33.6" customHeight="1" thickBot="1" x14ac:dyDescent="0.35">
      <c r="B9" s="235"/>
      <c r="C9" s="235"/>
      <c r="D9" s="237"/>
      <c r="E9" s="239"/>
      <c r="F9" s="237"/>
      <c r="G9" s="237"/>
      <c r="H9" s="235"/>
      <c r="I9" s="87">
        <f>SUM(G87)</f>
        <v>0.1217957718992666</v>
      </c>
      <c r="J9" s="241"/>
      <c r="K9" s="243"/>
      <c r="L9" s="218"/>
      <c r="M9" s="219"/>
    </row>
    <row r="10" spans="2:13" ht="15" thickTop="1" x14ac:dyDescent="0.3">
      <c r="B10" s="6" t="s">
        <v>11</v>
      </c>
      <c r="C10" s="7">
        <v>16927</v>
      </c>
      <c r="D10" s="8">
        <f>SUM(C10/C57)</f>
        <v>3.944285539522664E-3</v>
      </c>
      <c r="E10" s="9"/>
      <c r="F10" s="89">
        <f>SUM(C2)</f>
        <v>62500</v>
      </c>
      <c r="H10" s="90"/>
      <c r="I10" s="91">
        <f>SUM(I9*C10)</f>
        <v>2061.6370309388858</v>
      </c>
      <c r="J10" s="92"/>
      <c r="K10" s="93">
        <f>SUM(F10+I10)</f>
        <v>64561.637030938888</v>
      </c>
      <c r="L10" s="92">
        <v>64018.636191620484</v>
      </c>
      <c r="M10" s="92">
        <f>SUM(K10-L10)</f>
        <v>543.00083931840345</v>
      </c>
    </row>
    <row r="11" spans="2:13" x14ac:dyDescent="0.3">
      <c r="B11" s="13" t="s">
        <v>12</v>
      </c>
      <c r="C11" s="14">
        <v>99355</v>
      </c>
      <c r="D11" s="15">
        <f>SUM(C11/C57)</f>
        <v>2.3151443834068308E-2</v>
      </c>
      <c r="E11" s="9"/>
      <c r="F11" s="89">
        <f>SUM(C2)</f>
        <v>62500</v>
      </c>
      <c r="H11" s="88"/>
      <c r="I11" s="91">
        <f>SUM(I9*C11)</f>
        <v>12101.018917051633</v>
      </c>
      <c r="J11" s="92"/>
      <c r="K11" s="94">
        <f>SUM(F11+I11)</f>
        <v>74601.018917051639</v>
      </c>
      <c r="L11" s="92">
        <v>71413.8121828117</v>
      </c>
      <c r="M11" s="92">
        <f>SUM(K11-L11)</f>
        <v>3187.2067342399387</v>
      </c>
    </row>
    <row r="12" spans="2:13" x14ac:dyDescent="0.3">
      <c r="B12" s="13" t="s">
        <v>13</v>
      </c>
      <c r="C12" s="14">
        <v>424043</v>
      </c>
      <c r="D12" s="15">
        <f>SUM(C12/C57)</f>
        <v>9.8809397591765172E-2</v>
      </c>
      <c r="E12" s="9"/>
      <c r="F12" s="89">
        <f>SUM(C2)</f>
        <v>62500</v>
      </c>
      <c r="G12">
        <v>760</v>
      </c>
      <c r="H12" s="88" t="s">
        <v>114</v>
      </c>
      <c r="I12" s="91"/>
      <c r="J12" s="92">
        <f>SUM(I9*G12/2)</f>
        <v>46.282393321721308</v>
      </c>
      <c r="K12" s="34"/>
    </row>
    <row r="13" spans="2:13" x14ac:dyDescent="0.3">
      <c r="B13" s="95">
        <f>SUM(G13)</f>
        <v>423283</v>
      </c>
      <c r="C13" s="145"/>
      <c r="D13" s="146"/>
      <c r="E13" s="9"/>
      <c r="F13" s="147"/>
      <c r="G13" s="148">
        <f>SUM(C12-G12)</f>
        <v>423283</v>
      </c>
      <c r="H13" s="88"/>
      <c r="I13" s="96">
        <f>SUM(I9*B13)</f>
        <v>51554.079716837266</v>
      </c>
      <c r="J13" s="92"/>
      <c r="K13" s="94">
        <f>SUM(F12+I13+J12)</f>
        <v>114100.36211015898</v>
      </c>
      <c r="L13" s="92">
        <v>100543.77896870836</v>
      </c>
      <c r="M13" s="92">
        <f t="shared" ref="M13:M18" si="0">SUM(K13-L13)</f>
        <v>13556.583141450625</v>
      </c>
    </row>
    <row r="14" spans="2:13" x14ac:dyDescent="0.3">
      <c r="B14" s="13" t="s">
        <v>14</v>
      </c>
      <c r="C14" s="14">
        <v>42095</v>
      </c>
      <c r="D14" s="15">
        <f>SUM(C14/C57)</f>
        <v>9.8088674771788578E-3</v>
      </c>
      <c r="E14" s="9"/>
      <c r="F14" s="89">
        <f>SUM(C2)</f>
        <v>62500</v>
      </c>
      <c r="H14" s="88"/>
      <c r="I14" s="91">
        <f>SUM(I9*C14)</f>
        <v>5126.993018099628</v>
      </c>
      <c r="J14" s="92"/>
      <c r="K14" s="94">
        <f>SUM(F14+I14)</f>
        <v>67626.993018099631</v>
      </c>
      <c r="L14" s="92">
        <v>66276.628492128817</v>
      </c>
      <c r="M14" s="92">
        <f t="shared" si="0"/>
        <v>1350.3645259708137</v>
      </c>
    </row>
    <row r="15" spans="2:13" x14ac:dyDescent="0.3">
      <c r="B15" s="13" t="s">
        <v>15</v>
      </c>
      <c r="C15" s="14">
        <v>53143</v>
      </c>
      <c r="D15" s="15">
        <f>SUM(C15/C57)</f>
        <v>1.2383243718724696E-2</v>
      </c>
      <c r="E15" s="9"/>
      <c r="F15" s="89">
        <f>SUM(C2)</f>
        <v>62500</v>
      </c>
      <c r="H15" s="88"/>
      <c r="I15" s="91">
        <f>SUM(I9*C15)</f>
        <v>6472.5927060427248</v>
      </c>
      <c r="J15" s="92"/>
      <c r="K15" s="94">
        <f>SUM(F15+I15)</f>
        <v>68972.59270604272</v>
      </c>
      <c r="L15" s="92">
        <v>67267.819645022013</v>
      </c>
      <c r="M15" s="92">
        <f t="shared" si="0"/>
        <v>1704.7730610207072</v>
      </c>
    </row>
    <row r="16" spans="2:13" x14ac:dyDescent="0.3">
      <c r="B16" s="13" t="s">
        <v>16</v>
      </c>
      <c r="C16" s="14">
        <v>66945</v>
      </c>
      <c r="D16" s="15">
        <f>SUM(C16/C57)</f>
        <v>1.5599349881452397E-2</v>
      </c>
      <c r="E16" s="9"/>
      <c r="F16" s="89">
        <f>SUM(C2)</f>
        <v>62500</v>
      </c>
      <c r="H16" s="88"/>
      <c r="I16" s="91">
        <f>SUM(I9*C16)</f>
        <v>8153.6179497964031</v>
      </c>
      <c r="J16" s="92"/>
      <c r="K16" s="94">
        <f>SUM(F16+I16)</f>
        <v>70653.617949796404</v>
      </c>
      <c r="L16" s="92">
        <v>68506.090851777248</v>
      </c>
      <c r="M16" s="92">
        <f t="shared" si="0"/>
        <v>2147.5270980191563</v>
      </c>
    </row>
    <row r="17" spans="2:13" x14ac:dyDescent="0.3">
      <c r="B17" s="13" t="s">
        <v>17</v>
      </c>
      <c r="C17" s="14">
        <v>26583</v>
      </c>
      <c r="D17" s="15">
        <f>SUM(C17/C57)</f>
        <v>6.1943015594689531E-3</v>
      </c>
      <c r="E17" s="9"/>
      <c r="F17" s="89">
        <f>SUM(C2)</f>
        <v>62500</v>
      </c>
      <c r="H17" s="88"/>
      <c r="I17" s="91">
        <f>SUM(I9*C17)</f>
        <v>3237.6970043982042</v>
      </c>
      <c r="J17" s="92"/>
      <c r="K17" s="94">
        <f>SUM(F17+I17)</f>
        <v>65737.6970043982</v>
      </c>
      <c r="L17" s="92">
        <v>64884.94156565531</v>
      </c>
      <c r="M17" s="92">
        <f t="shared" si="0"/>
        <v>852.75543874288996</v>
      </c>
    </row>
    <row r="18" spans="2:13" x14ac:dyDescent="0.3">
      <c r="B18" s="13" t="s">
        <v>18</v>
      </c>
      <c r="C18" s="14">
        <v>24439</v>
      </c>
      <c r="D18" s="15">
        <f>SUM(C18/$C$57)</f>
        <v>5.6947122526374658E-3</v>
      </c>
      <c r="E18" s="9"/>
      <c r="F18" s="89">
        <f>SUM(C2)</f>
        <v>62500</v>
      </c>
      <c r="H18" s="88"/>
      <c r="I18" s="91">
        <f>SUM(I9*C18)</f>
        <v>2976.5668694461765</v>
      </c>
      <c r="J18" s="92"/>
      <c r="K18" s="94">
        <f>SUM(F18+I18)</f>
        <v>65476.566869446178</v>
      </c>
      <c r="L18" s="92">
        <v>64692.588756838959</v>
      </c>
      <c r="M18" s="92">
        <f t="shared" si="0"/>
        <v>783.97811260721937</v>
      </c>
    </row>
    <row r="19" spans="2:13" x14ac:dyDescent="0.3">
      <c r="B19" s="13" t="s">
        <v>19</v>
      </c>
      <c r="C19" s="14">
        <v>212141</v>
      </c>
      <c r="D19" s="15">
        <f>SUM(C19/$C$57)</f>
        <v>4.9432544375251221E-2</v>
      </c>
      <c r="E19" s="9"/>
      <c r="F19" s="89">
        <f>SUM(C2)</f>
        <v>62500</v>
      </c>
      <c r="G19" s="47">
        <v>106275</v>
      </c>
      <c r="H19" s="88" t="s">
        <v>115</v>
      </c>
      <c r="I19" s="91"/>
      <c r="J19" s="92">
        <f>SUM(I9*G19/2)</f>
        <v>6471.9228292972793</v>
      </c>
      <c r="K19" s="34"/>
    </row>
    <row r="20" spans="2:13" x14ac:dyDescent="0.3">
      <c r="B20" s="95">
        <f>SUM(G20)</f>
        <v>105866</v>
      </c>
      <c r="C20" s="145"/>
      <c r="D20" s="146"/>
      <c r="E20" s="9"/>
      <c r="F20" s="147"/>
      <c r="G20" s="148">
        <f>SUM(C19-G19)</f>
        <v>105866</v>
      </c>
      <c r="H20" s="88"/>
      <c r="I20" s="96">
        <f>SUM(I9*B20)</f>
        <v>12894.031187887758</v>
      </c>
      <c r="J20" s="92"/>
      <c r="K20" s="94">
        <f>SUM(F19+I20+J19)</f>
        <v>81865.954017185039</v>
      </c>
      <c r="L20" s="92">
        <v>81532.610641375417</v>
      </c>
      <c r="M20" s="92">
        <f t="shared" ref="M20:M25" si="1">SUM(K20-L20)</f>
        <v>333.34337580962165</v>
      </c>
    </row>
    <row r="21" spans="2:13" x14ac:dyDescent="0.3">
      <c r="B21" s="13" t="s">
        <v>20</v>
      </c>
      <c r="C21" s="14">
        <v>113748</v>
      </c>
      <c r="D21" s="15">
        <f t="shared" ref="D21:D26" si="2">SUM(C21/$C$57)</f>
        <v>2.6505263280535474E-2</v>
      </c>
      <c r="E21" s="9"/>
      <c r="F21" s="89">
        <f>SUM(C2)</f>
        <v>62500</v>
      </c>
      <c r="H21" s="88"/>
      <c r="I21" s="91">
        <f>SUM(I9*C21)</f>
        <v>13854.025461997777</v>
      </c>
      <c r="J21" s="92"/>
      <c r="K21" s="94">
        <f>SUM(F21+I21)</f>
        <v>76354.025461997779</v>
      </c>
      <c r="L21" s="92">
        <v>72705.106015504643</v>
      </c>
      <c r="M21" s="92">
        <f t="shared" si="1"/>
        <v>3648.9194464931352</v>
      </c>
    </row>
    <row r="22" spans="2:13" x14ac:dyDescent="0.3">
      <c r="B22" s="13" t="s">
        <v>21</v>
      </c>
      <c r="C22" s="14">
        <v>2062</v>
      </c>
      <c r="D22" s="15">
        <f t="shared" si="2"/>
        <v>4.8048187998438782E-4</v>
      </c>
      <c r="E22" s="9"/>
      <c r="F22" s="89">
        <f>SUM(C2)</f>
        <v>62500</v>
      </c>
      <c r="H22" s="88"/>
      <c r="I22" s="91">
        <f>SUM(I9*C22)</f>
        <v>251.14288165628773</v>
      </c>
      <c r="J22" s="92"/>
      <c r="K22" s="94">
        <f>SUM(F22+I22)</f>
        <v>62751.142881656291</v>
      </c>
      <c r="L22" s="92">
        <v>62684.996031613482</v>
      </c>
      <c r="M22" s="92">
        <f t="shared" si="1"/>
        <v>66.146850042809092</v>
      </c>
    </row>
    <row r="23" spans="2:13" x14ac:dyDescent="0.3">
      <c r="B23" s="13" t="s">
        <v>22</v>
      </c>
      <c r="C23" s="14">
        <v>7418</v>
      </c>
      <c r="D23" s="15">
        <f t="shared" si="2"/>
        <v>1.7285230774608093E-3</v>
      </c>
      <c r="E23" s="9"/>
      <c r="F23" s="89">
        <f>SUM(C2)</f>
        <v>62500</v>
      </c>
      <c r="H23" s="88"/>
      <c r="I23" s="91">
        <f>SUM(I9*C23)</f>
        <v>903.48103594875965</v>
      </c>
      <c r="J23" s="92"/>
      <c r="K23" s="94">
        <f>SUM(F23+I23)</f>
        <v>63403.48103594876</v>
      </c>
      <c r="L23" s="92">
        <v>63165.519186473728</v>
      </c>
      <c r="M23" s="92">
        <f t="shared" si="1"/>
        <v>237.96184947503207</v>
      </c>
    </row>
    <row r="24" spans="2:13" x14ac:dyDescent="0.3">
      <c r="B24" s="13" t="s">
        <v>23</v>
      </c>
      <c r="C24" s="14">
        <v>7600</v>
      </c>
      <c r="D24" s="15">
        <f t="shared" si="2"/>
        <v>1.7709322443653481E-3</v>
      </c>
      <c r="E24" s="9"/>
      <c r="F24" s="89">
        <f>SUM(C2)</f>
        <v>62500</v>
      </c>
      <c r="H24" s="88"/>
      <c r="I24" s="91">
        <f>SUM(I9*C24)</f>
        <v>925.64786643442619</v>
      </c>
      <c r="J24" s="92"/>
      <c r="K24" s="94">
        <f>SUM(F24+I24)</f>
        <v>63425.647866434425</v>
      </c>
      <c r="L24" s="92">
        <v>63181.847643192275</v>
      </c>
      <c r="M24" s="92">
        <f t="shared" si="1"/>
        <v>243.80022324214951</v>
      </c>
    </row>
    <row r="25" spans="2:13" x14ac:dyDescent="0.3">
      <c r="B25" s="13" t="s">
        <v>24</v>
      </c>
      <c r="C25" s="14">
        <v>24406</v>
      </c>
      <c r="D25" s="15">
        <f t="shared" si="2"/>
        <v>5.6870226784185105E-3</v>
      </c>
      <c r="E25" s="9"/>
      <c r="F25" s="89">
        <f>SUM(C2)</f>
        <v>62500</v>
      </c>
      <c r="H25" s="88"/>
      <c r="I25" s="91">
        <f>SUM(I9*C25)</f>
        <v>2972.5476089735007</v>
      </c>
      <c r="J25" s="92"/>
      <c r="K25" s="94">
        <f>SUM(F25+I25)</f>
        <v>65472.547608973502</v>
      </c>
      <c r="L25" s="92">
        <v>64689.628102598785</v>
      </c>
      <c r="M25" s="92">
        <f t="shared" si="1"/>
        <v>782.91950637471746</v>
      </c>
    </row>
    <row r="26" spans="2:13" x14ac:dyDescent="0.3">
      <c r="B26" s="13" t="s">
        <v>25</v>
      </c>
      <c r="C26" s="14">
        <v>222762</v>
      </c>
      <c r="D26" s="15">
        <f t="shared" si="2"/>
        <v>5.1907422186751796E-2</v>
      </c>
      <c r="E26" s="9"/>
      <c r="F26" s="89">
        <f>SUM(C2)</f>
        <v>62500</v>
      </c>
      <c r="G26" s="47">
        <v>90887</v>
      </c>
      <c r="H26" s="88" t="s">
        <v>116</v>
      </c>
      <c r="I26" s="91"/>
      <c r="J26" s="92">
        <f>SUM(I9*G26/2)</f>
        <v>5534.826160304322</v>
      </c>
      <c r="K26" s="34"/>
    </row>
    <row r="27" spans="2:13" x14ac:dyDescent="0.3">
      <c r="B27" s="95">
        <f>SUM(G27)</f>
        <v>131875</v>
      </c>
      <c r="C27" s="145"/>
      <c r="D27" s="146"/>
      <c r="E27" s="9"/>
      <c r="F27" s="147"/>
      <c r="G27" s="148">
        <f>SUM(C26-G26)</f>
        <v>131875</v>
      </c>
      <c r="H27" s="88"/>
      <c r="I27" s="96">
        <f>SUM(I9*B27)</f>
        <v>16061.817419215784</v>
      </c>
      <c r="J27" s="92"/>
      <c r="K27" s="94">
        <f>SUM(F26+I27+J26)</f>
        <v>84096.643579520111</v>
      </c>
      <c r="L27" s="92">
        <v>82485.492722736642</v>
      </c>
      <c r="M27" s="92">
        <f>SUM(K27-L27)</f>
        <v>1611.150856783468</v>
      </c>
    </row>
    <row r="28" spans="2:13" x14ac:dyDescent="0.3">
      <c r="B28" s="13" t="s">
        <v>26</v>
      </c>
      <c r="C28" s="14">
        <v>25878</v>
      </c>
      <c r="D28" s="15">
        <f>SUM(C28/$C$57)</f>
        <v>6.0300242920640103E-3</v>
      </c>
      <c r="E28" s="9"/>
      <c r="F28" s="89">
        <f>SUM(C2)</f>
        <v>62500</v>
      </c>
      <c r="H28" s="88"/>
      <c r="I28" s="91">
        <f>SUM(I9*C28)</f>
        <v>3151.8309852092211</v>
      </c>
      <c r="J28" s="92"/>
      <c r="K28" s="94">
        <f>SUM(F28+I28)</f>
        <v>65651.830985209221</v>
      </c>
      <c r="L28" s="92">
        <v>64821.691225069706</v>
      </c>
      <c r="M28" s="92">
        <f>SUM(K28-L28)</f>
        <v>830.13976013951469</v>
      </c>
    </row>
    <row r="29" spans="2:13" x14ac:dyDescent="0.3">
      <c r="B29" s="13" t="s">
        <v>27</v>
      </c>
      <c r="C29" s="14">
        <v>88814</v>
      </c>
      <c r="D29" s="15">
        <f>SUM(C29/$C$57)</f>
        <v>2.0695207414613687E-2</v>
      </c>
      <c r="E29" s="9"/>
      <c r="F29" s="89">
        <f>SUM(C2)</f>
        <v>62500</v>
      </c>
      <c r="H29" s="88"/>
      <c r="I29" s="91">
        <f>SUM(I9*C29)</f>
        <v>10817.169685461464</v>
      </c>
      <c r="J29" s="92"/>
      <c r="K29" s="94">
        <f>SUM(F29+I29)</f>
        <v>73317.169685461471</v>
      </c>
      <c r="L29" s="92">
        <v>70468.10744506304</v>
      </c>
      <c r="M29" s="92">
        <f>SUM(K29-L29)</f>
        <v>2849.0622403984307</v>
      </c>
    </row>
    <row r="30" spans="2:13" x14ac:dyDescent="0.3">
      <c r="B30" s="13" t="s">
        <v>28</v>
      </c>
      <c r="C30" s="14">
        <v>71919</v>
      </c>
      <c r="D30" s="15">
        <f>SUM(C30/$C$57)</f>
        <v>1.6758378431909401E-2</v>
      </c>
      <c r="E30" s="9"/>
      <c r="F30" s="89">
        <f>SUM(C2)</f>
        <v>62500</v>
      </c>
      <c r="H30" s="88"/>
      <c r="I30" s="91">
        <f>SUM(I9*C30)</f>
        <v>8759.4301192233543</v>
      </c>
      <c r="J30" s="92"/>
      <c r="K30" s="94">
        <f>SUM(F30+I30)</f>
        <v>71259.430119223354</v>
      </c>
      <c r="L30" s="92">
        <v>68952.342190887561</v>
      </c>
      <c r="M30" s="92">
        <f>SUM(K30-L30)</f>
        <v>2307.0879283357935</v>
      </c>
    </row>
    <row r="31" spans="2:13" x14ac:dyDescent="0.3">
      <c r="B31" s="13" t="s">
        <v>29</v>
      </c>
      <c r="C31" s="14">
        <v>8562</v>
      </c>
      <c r="D31" s="15">
        <f>SUM(C31/$C$57)</f>
        <v>1.995094983717909E-3</v>
      </c>
      <c r="E31" s="9"/>
      <c r="F31" s="89">
        <f>SUM(C2)</f>
        <v>62500</v>
      </c>
      <c r="H31" s="88"/>
      <c r="I31" s="91">
        <f>SUM(I9*C31)</f>
        <v>1042.8153990015207</v>
      </c>
      <c r="J31" s="92"/>
      <c r="K31" s="94">
        <f>SUM(F31+I31)</f>
        <v>63542.81539900152</v>
      </c>
      <c r="L31" s="92">
        <v>63268.155200133195</v>
      </c>
      <c r="M31" s="92">
        <f>SUM(K31-L31)</f>
        <v>274.6601988683251</v>
      </c>
    </row>
    <row r="32" spans="2:13" x14ac:dyDescent="0.3">
      <c r="B32" s="13" t="s">
        <v>30</v>
      </c>
      <c r="C32" s="14">
        <v>384374</v>
      </c>
      <c r="D32" s="15">
        <f>SUM(C32/$C$57)</f>
        <v>8.9565830328379767E-2</v>
      </c>
      <c r="E32" s="9"/>
      <c r="F32" s="89">
        <f>SUM(C2)</f>
        <v>62500</v>
      </c>
      <c r="G32" s="47">
        <v>177339</v>
      </c>
      <c r="H32" s="88" t="s">
        <v>117</v>
      </c>
      <c r="I32" s="91"/>
      <c r="J32" s="92">
        <f>SUM(I9*G32/2)</f>
        <v>10799.570196422021</v>
      </c>
      <c r="K32" s="34"/>
    </row>
    <row r="33" spans="2:13" x14ac:dyDescent="0.3">
      <c r="B33" s="95">
        <f>SUM(G33)</f>
        <v>207035</v>
      </c>
      <c r="C33" s="145"/>
      <c r="D33" s="146"/>
      <c r="E33" s="9"/>
      <c r="F33" s="147"/>
      <c r="G33" s="148">
        <f>SUM(C32-G32)</f>
        <v>207035</v>
      </c>
      <c r="H33" s="88"/>
      <c r="I33" s="96">
        <f>SUM(I9*B33)</f>
        <v>25215.98763516466</v>
      </c>
      <c r="J33" s="92"/>
      <c r="K33" s="94">
        <f>SUM(F32+I33+J32)</f>
        <v>98515.557831586688</v>
      </c>
      <c r="L33" s="92">
        <v>96984.803421630131</v>
      </c>
      <c r="M33" s="92">
        <f>SUM(K33-L33)</f>
        <v>1530.7544099565566</v>
      </c>
    </row>
    <row r="34" spans="2:13" x14ac:dyDescent="0.3">
      <c r="B34" s="13" t="s">
        <v>31</v>
      </c>
      <c r="C34" s="14">
        <v>51930</v>
      </c>
      <c r="D34" s="15">
        <f>SUM(C34/$C$57)</f>
        <v>1.2100593611827963E-2</v>
      </c>
      <c r="E34" s="9"/>
      <c r="F34" s="89">
        <f>SUM(C2)</f>
        <v>62500</v>
      </c>
      <c r="H34" s="88"/>
      <c r="I34" s="91">
        <f>SUM(I9*C34)</f>
        <v>6324.8544347289144</v>
      </c>
      <c r="J34" s="92"/>
      <c r="K34" s="94">
        <f>SUM(F34+I34)</f>
        <v>68824.854434728913</v>
      </c>
      <c r="L34" s="92">
        <v>67158.993172496717</v>
      </c>
      <c r="M34" s="92">
        <f>SUM(K34-L34)</f>
        <v>1665.8612622321962</v>
      </c>
    </row>
    <row r="35" spans="2:13" x14ac:dyDescent="0.3">
      <c r="B35" s="13" t="s">
        <v>32</v>
      </c>
      <c r="C35" s="14">
        <v>131984</v>
      </c>
      <c r="D35" s="15">
        <f>SUM(C35/$C$57)</f>
        <v>3.0754568597410013E-2</v>
      </c>
      <c r="E35" s="9"/>
      <c r="F35" s="89">
        <f>SUM(C2)</f>
        <v>62500</v>
      </c>
      <c r="H35" s="88"/>
      <c r="I35" s="91">
        <f>SUM(I9*C35)</f>
        <v>16075.093158352804</v>
      </c>
      <c r="J35" s="92"/>
      <c r="K35" s="94">
        <f>SUM(F35+I35)</f>
        <v>78575.0931583528</v>
      </c>
      <c r="L35" s="92">
        <v>74341.181491985495</v>
      </c>
      <c r="M35" s="92">
        <f>SUM(K35-L35)</f>
        <v>4233.9116663673049</v>
      </c>
    </row>
    <row r="36" spans="2:13" x14ac:dyDescent="0.3">
      <c r="B36" s="13" t="s">
        <v>33</v>
      </c>
      <c r="C36" s="14">
        <v>32981</v>
      </c>
      <c r="D36" s="15">
        <f>SUM(C36/$C$57)</f>
        <v>7.6851468883438875E-3</v>
      </c>
      <c r="E36" s="9"/>
      <c r="F36" s="89">
        <f>SUM(C2)</f>
        <v>62500</v>
      </c>
      <c r="H36" s="88"/>
      <c r="I36" s="91">
        <f>SUM(I9*C36)</f>
        <v>4016.9463530097119</v>
      </c>
      <c r="J36" s="92"/>
      <c r="K36" s="94">
        <f>SUM(F36+I36)</f>
        <v>66516.946353009713</v>
      </c>
      <c r="L36" s="92">
        <v>65458.949621069019</v>
      </c>
      <c r="M36" s="92">
        <f>SUM(K36-L36)</f>
        <v>1057.9967319406933</v>
      </c>
    </row>
    <row r="37" spans="2:13" x14ac:dyDescent="0.3">
      <c r="B37" s="13" t="s">
        <v>34</v>
      </c>
      <c r="C37" s="14">
        <v>352249</v>
      </c>
      <c r="D37" s="15">
        <f>SUM(C37/$C$57)</f>
        <v>8.2080146334927565E-2</v>
      </c>
      <c r="E37" s="9"/>
      <c r="F37" s="89">
        <f>SUM(C2)</f>
        <v>62500</v>
      </c>
      <c r="G37" s="47">
        <v>152186</v>
      </c>
      <c r="H37" s="88" t="s">
        <v>118</v>
      </c>
      <c r="I37" s="91"/>
      <c r="J37" s="92">
        <f>SUM(I9*G37/2)</f>
        <v>9267.8056711308927</v>
      </c>
      <c r="K37" s="34"/>
    </row>
    <row r="38" spans="2:13" x14ac:dyDescent="0.3">
      <c r="B38" s="95">
        <f>SUM(G38)</f>
        <v>200063</v>
      </c>
      <c r="C38" s="145"/>
      <c r="D38" s="146"/>
      <c r="E38" s="9"/>
      <c r="F38" s="147"/>
      <c r="G38" s="148">
        <f>SUM(C37-G37)</f>
        <v>200063</v>
      </c>
      <c r="H38" s="88"/>
      <c r="I38" s="96">
        <f>SUM(I9*B38)</f>
        <v>24366.827513482975</v>
      </c>
      <c r="J38" s="92"/>
      <c r="K38" s="94">
        <f>SUM(F37+I38+J37)</f>
        <v>96134.633184613864</v>
      </c>
      <c r="L38" s="92">
        <v>94102.651377215399</v>
      </c>
      <c r="M38" s="92">
        <f>SUM(K38-L38)</f>
        <v>2031.9818073984643</v>
      </c>
    </row>
    <row r="39" spans="2:13" x14ac:dyDescent="0.3">
      <c r="B39" s="13" t="s">
        <v>35</v>
      </c>
      <c r="C39" s="14">
        <v>13010</v>
      </c>
      <c r="D39" s="15">
        <f>SUM(C39/$C$57)</f>
        <v>3.0315563814727864E-3</v>
      </c>
      <c r="E39" s="9"/>
      <c r="F39" s="89">
        <f>SUM(C2)</f>
        <v>62500</v>
      </c>
      <c r="H39" s="88"/>
      <c r="I39" s="91">
        <f>SUM(I9*C39)</f>
        <v>1584.5629924094585</v>
      </c>
      <c r="J39" s="92"/>
      <c r="K39" s="94">
        <f>SUM(F39+I39)</f>
        <v>64084.562992409461</v>
      </c>
      <c r="L39" s="92">
        <v>63667.215504990992</v>
      </c>
      <c r="M39" s="92">
        <f>SUM(K39-L39)</f>
        <v>417.34748741846852</v>
      </c>
    </row>
    <row r="40" spans="2:13" x14ac:dyDescent="0.3">
      <c r="B40" s="13" t="s">
        <v>36</v>
      </c>
      <c r="C40" s="14">
        <v>801306</v>
      </c>
      <c r="D40" s="15">
        <f>SUM(C40/$C$57)</f>
        <v>0.18671824118466046</v>
      </c>
      <c r="E40" s="9"/>
      <c r="F40" s="89">
        <f>SUM(C2)</f>
        <v>62500</v>
      </c>
      <c r="G40" s="47">
        <v>117107</v>
      </c>
      <c r="H40" s="88" t="s">
        <v>119</v>
      </c>
      <c r="I40" s="91"/>
      <c r="J40" s="92">
        <f>SUM(I9*G40/2)</f>
        <v>7131.5687299037072</v>
      </c>
      <c r="K40" s="34"/>
    </row>
    <row r="41" spans="2:13" x14ac:dyDescent="0.3">
      <c r="B41" s="220">
        <f>SUM(G42)</f>
        <v>38508</v>
      </c>
      <c r="C41" s="145"/>
      <c r="D41" s="146"/>
      <c r="E41" s="9"/>
      <c r="F41" s="147"/>
      <c r="G41" s="47">
        <v>645691</v>
      </c>
      <c r="H41" s="88" t="s">
        <v>114</v>
      </c>
      <c r="I41" s="91"/>
      <c r="J41" s="92">
        <f>SUM(I9*G41/2)</f>
        <v>39321.216876704675</v>
      </c>
      <c r="K41" s="34"/>
    </row>
    <row r="42" spans="2:13" x14ac:dyDescent="0.3">
      <c r="B42" s="221"/>
      <c r="C42" s="145"/>
      <c r="D42" s="146"/>
      <c r="E42" s="9"/>
      <c r="F42" s="147"/>
      <c r="G42" s="148">
        <f>SUM(C40-G40-G41)</f>
        <v>38508</v>
      </c>
      <c r="H42" s="88"/>
      <c r="I42" s="96">
        <f>SUM(I9*B41)</f>
        <v>4690.1115842969584</v>
      </c>
      <c r="J42" s="92"/>
      <c r="K42" s="94">
        <f>SUM(F40+I42+J40+J41)</f>
        <v>113642.89719090535</v>
      </c>
      <c r="L42" s="92">
        <v>134390.60625997791</v>
      </c>
      <c r="M42" s="149">
        <f>SUM(K42-L42)</f>
        <v>-20747.70906907256</v>
      </c>
    </row>
    <row r="43" spans="2:13" x14ac:dyDescent="0.3">
      <c r="B43" s="13" t="s">
        <v>37</v>
      </c>
      <c r="C43" s="14">
        <v>90553</v>
      </c>
      <c r="D43" s="15">
        <f>SUM(C43/$C$57)</f>
        <v>2.1100424674212546E-2</v>
      </c>
      <c r="E43" s="9"/>
      <c r="F43" s="89">
        <f>SUM(C2)</f>
        <v>62500</v>
      </c>
      <c r="G43" s="47">
        <v>30540</v>
      </c>
      <c r="H43" s="88" t="s">
        <v>118</v>
      </c>
      <c r="I43" s="91"/>
      <c r="J43" s="92">
        <f>SUM(I9*G43/2)</f>
        <v>1859.821436901801</v>
      </c>
      <c r="K43" s="34"/>
    </row>
    <row r="44" spans="2:13" x14ac:dyDescent="0.3">
      <c r="B44" s="95">
        <f>SUM(G44)</f>
        <v>60013</v>
      </c>
      <c r="C44" s="145"/>
      <c r="D44" s="146"/>
      <c r="E44" s="9"/>
      <c r="F44" s="147"/>
      <c r="G44" s="148">
        <f>SUM(C43-G43)</f>
        <v>60013</v>
      </c>
      <c r="H44" s="88"/>
      <c r="I44" s="96">
        <f>SUM(I9*B44)</f>
        <v>7309.3296589906868</v>
      </c>
      <c r="J44" s="92"/>
      <c r="K44" s="94">
        <f>SUM(F43+I44+J43)</f>
        <v>71669.151095892477</v>
      </c>
      <c r="L44" s="92">
        <v>70624.124951840844</v>
      </c>
      <c r="M44" s="92">
        <f t="shared" ref="M44:M50" si="3">SUM(K44-L44)</f>
        <v>1045.0261440516333</v>
      </c>
    </row>
    <row r="45" spans="2:13" x14ac:dyDescent="0.3">
      <c r="B45" s="13" t="s">
        <v>38</v>
      </c>
      <c r="C45" s="14">
        <v>1917</v>
      </c>
      <c r="D45" s="15">
        <f t="shared" ref="D45:D51" si="4">SUM(C45/$C$57)</f>
        <v>4.4669435690110158E-4</v>
      </c>
      <c r="E45" s="9"/>
      <c r="F45" s="89">
        <f>SUM(C2)</f>
        <v>62500</v>
      </c>
      <c r="H45" s="88"/>
      <c r="I45" s="91">
        <f>SUM(I9*C45)</f>
        <v>233.48249473089408</v>
      </c>
      <c r="J45" s="92"/>
      <c r="K45" s="94">
        <f t="shared" ref="K45:K50" si="5">SUM(F45+I45)</f>
        <v>62733.482494730895</v>
      </c>
      <c r="L45" s="92">
        <v>62671.987096315737</v>
      </c>
      <c r="M45" s="92">
        <f t="shared" si="3"/>
        <v>61.495398415157979</v>
      </c>
    </row>
    <row r="46" spans="2:13" x14ac:dyDescent="0.3">
      <c r="B46" s="13" t="s">
        <v>39</v>
      </c>
      <c r="C46" s="14">
        <v>28000</v>
      </c>
      <c r="D46" s="15">
        <f t="shared" si="4"/>
        <v>6.5244872160828606E-3</v>
      </c>
      <c r="E46" s="9"/>
      <c r="F46" s="89">
        <f>SUM(C2)</f>
        <v>62500</v>
      </c>
      <c r="H46" s="88"/>
      <c r="I46" s="91">
        <f>SUM(I9*C46)</f>
        <v>3410.2816131794648</v>
      </c>
      <c r="J46" s="92"/>
      <c r="K46" s="94">
        <f t="shared" si="5"/>
        <v>65910.281613179468</v>
      </c>
      <c r="L46" s="92">
        <v>65012.070264392605</v>
      </c>
      <c r="M46" s="92">
        <f t="shared" si="3"/>
        <v>898.2113487868628</v>
      </c>
    </row>
    <row r="47" spans="2:13" x14ac:dyDescent="0.3">
      <c r="B47" s="13" t="s">
        <v>40</v>
      </c>
      <c r="C47" s="14">
        <v>81842</v>
      </c>
      <c r="D47" s="15">
        <f t="shared" si="4"/>
        <v>1.9070610097809054E-2</v>
      </c>
      <c r="E47" s="9"/>
      <c r="F47" s="89">
        <f>SUM(C2)</f>
        <v>62500</v>
      </c>
      <c r="H47" s="88"/>
      <c r="I47" s="91">
        <f>SUM(I9*C47)</f>
        <v>9968.0095637797767</v>
      </c>
      <c r="J47" s="92"/>
      <c r="K47" s="94">
        <f t="shared" si="5"/>
        <v>72468.009563779779</v>
      </c>
      <c r="L47" s="92">
        <v>69842.601949229269</v>
      </c>
      <c r="M47" s="92">
        <f t="shared" si="3"/>
        <v>2625.4076145505096</v>
      </c>
    </row>
    <row r="48" spans="2:13" x14ac:dyDescent="0.3">
      <c r="B48" s="13" t="s">
        <v>41</v>
      </c>
      <c r="C48" s="14">
        <v>26335</v>
      </c>
      <c r="D48" s="15">
        <f t="shared" si="4"/>
        <v>6.1365132441265052E-3</v>
      </c>
      <c r="E48" s="9"/>
      <c r="F48" s="89">
        <f>SUM(C2)</f>
        <v>62500</v>
      </c>
      <c r="H48" s="88"/>
      <c r="I48" s="91">
        <f>SUM(I9*C48)</f>
        <v>3207.4916529671859</v>
      </c>
      <c r="J48" s="92"/>
      <c r="K48" s="94">
        <f t="shared" si="5"/>
        <v>65707.49165296719</v>
      </c>
      <c r="L48" s="92">
        <v>64862.691800456407</v>
      </c>
      <c r="M48" s="92">
        <f t="shared" si="3"/>
        <v>844.79985251078324</v>
      </c>
    </row>
    <row r="49" spans="2:13" x14ac:dyDescent="0.3">
      <c r="B49" s="13" t="s">
        <v>42</v>
      </c>
      <c r="C49" s="14">
        <v>7631</v>
      </c>
      <c r="D49" s="15">
        <f t="shared" si="4"/>
        <v>1.7781557837831541E-3</v>
      </c>
      <c r="E49" s="9"/>
      <c r="F49" s="89">
        <f>SUM(C2)</f>
        <v>62500</v>
      </c>
      <c r="H49" s="88"/>
      <c r="I49" s="91">
        <f>SUM(I9*C49)</f>
        <v>929.42353536330347</v>
      </c>
      <c r="J49" s="92"/>
      <c r="K49" s="94">
        <f t="shared" si="5"/>
        <v>63429.423535363305</v>
      </c>
      <c r="L49" s="92">
        <v>63184.628863842139</v>
      </c>
      <c r="M49" s="92">
        <f t="shared" si="3"/>
        <v>244.79467152116558</v>
      </c>
    </row>
    <row r="50" spans="2:13" x14ac:dyDescent="0.3">
      <c r="B50" s="13" t="s">
        <v>43</v>
      </c>
      <c r="C50" s="14">
        <v>27052</v>
      </c>
      <c r="D50" s="15">
        <f t="shared" si="4"/>
        <v>6.303586720338341E-3</v>
      </c>
      <c r="E50" s="9"/>
      <c r="F50" s="89">
        <f>SUM(C2)</f>
        <v>62500</v>
      </c>
      <c r="H50" s="88"/>
      <c r="I50" s="91">
        <f>SUM(I9*C50)</f>
        <v>3294.8192214189603</v>
      </c>
      <c r="J50" s="92"/>
      <c r="K50" s="94">
        <f t="shared" si="5"/>
        <v>65794.819221418962</v>
      </c>
      <c r="L50" s="92">
        <v>64927.018742583881</v>
      </c>
      <c r="M50" s="92">
        <f t="shared" si="3"/>
        <v>867.80047883508087</v>
      </c>
    </row>
    <row r="51" spans="2:13" x14ac:dyDescent="0.3">
      <c r="B51" s="13" t="s">
        <v>44</v>
      </c>
      <c r="C51" s="14">
        <v>610245</v>
      </c>
      <c r="D51" s="15">
        <f t="shared" si="4"/>
        <v>0.14219770361351733</v>
      </c>
      <c r="E51" s="9"/>
      <c r="F51" s="89">
        <f>SUM(C2)</f>
        <v>62500</v>
      </c>
      <c r="G51" s="47">
        <v>101165</v>
      </c>
      <c r="H51" s="88" t="s">
        <v>120</v>
      </c>
      <c r="I51" s="91"/>
      <c r="J51" s="92">
        <f>SUM(I9*G51/2)</f>
        <v>6160.7346320946526</v>
      </c>
      <c r="K51" s="34"/>
    </row>
    <row r="52" spans="2:13" x14ac:dyDescent="0.3">
      <c r="B52" s="220">
        <f>SUM(G54)</f>
        <v>396560</v>
      </c>
      <c r="C52" s="145"/>
      <c r="D52" s="146"/>
      <c r="E52" s="9"/>
      <c r="F52" s="147"/>
      <c r="G52" s="47">
        <v>110874</v>
      </c>
      <c r="H52" s="88" t="s">
        <v>121</v>
      </c>
      <c r="I52" s="91"/>
      <c r="J52" s="92">
        <f>SUM(I9*G52/2)</f>
        <v>6751.9922067796424</v>
      </c>
      <c r="K52" s="34"/>
    </row>
    <row r="53" spans="2:13" x14ac:dyDescent="0.3">
      <c r="B53" s="229"/>
      <c r="C53" s="145"/>
      <c r="D53" s="146"/>
      <c r="E53" s="9"/>
      <c r="F53" s="147"/>
      <c r="G53" s="47">
        <v>1646</v>
      </c>
      <c r="H53" s="88" t="s">
        <v>114</v>
      </c>
      <c r="I53" s="91"/>
      <c r="J53" s="92">
        <f>SUM(I9*G53/2)</f>
        <v>100.23792027309642</v>
      </c>
      <c r="K53" s="34"/>
    </row>
    <row r="54" spans="2:13" x14ac:dyDescent="0.3">
      <c r="B54" s="230"/>
      <c r="C54" s="145"/>
      <c r="D54" s="146"/>
      <c r="E54" s="9"/>
      <c r="F54" s="147"/>
      <c r="G54" s="148">
        <f>SUM(C51-G51-G52-G53)</f>
        <v>396560</v>
      </c>
      <c r="H54" s="88"/>
      <c r="I54" s="96">
        <f>SUM(I9*B52)</f>
        <v>48299.331304373161</v>
      </c>
      <c r="J54" s="92"/>
      <c r="K54" s="94">
        <f>SUM(F51+I54+J51+J52+J53)</f>
        <v>123812.29606352055</v>
      </c>
      <c r="L54" s="92">
        <v>117249.22566050949</v>
      </c>
      <c r="M54" s="92">
        <f>SUM(K54-L54)</f>
        <v>6563.0704030110646</v>
      </c>
    </row>
    <row r="55" spans="2:13" x14ac:dyDescent="0.3">
      <c r="B55" s="13" t="s">
        <v>45</v>
      </c>
      <c r="C55" s="14">
        <v>1533</v>
      </c>
      <c r="D55" s="15">
        <f>SUM(C55/$C$57)</f>
        <v>3.5721567508053664E-4</v>
      </c>
      <c r="E55" s="9"/>
      <c r="F55" s="89">
        <f>SUM(C2)</f>
        <v>62500</v>
      </c>
      <c r="H55" s="88"/>
      <c r="I55" s="91">
        <f>SUM(I9*C55)</f>
        <v>186.7129183215757</v>
      </c>
      <c r="J55" s="92"/>
      <c r="K55" s="94">
        <f>SUM(F55+I55)</f>
        <v>62686.712918321573</v>
      </c>
      <c r="L55" s="92">
        <v>62637.535846975494</v>
      </c>
      <c r="M55" s="92">
        <f>SUM(K55-L55)</f>
        <v>49.177071346079174</v>
      </c>
    </row>
    <row r="56" spans="2:13" ht="15" thickBot="1" x14ac:dyDescent="0.35">
      <c r="B56" s="17" t="s">
        <v>46</v>
      </c>
      <c r="C56" s="18">
        <v>109743</v>
      </c>
      <c r="D56" s="19">
        <f>SUM(C56/$C$57)</f>
        <v>2.5572028591235051E-2</v>
      </c>
      <c r="E56" s="20"/>
      <c r="F56" s="89">
        <f>SUM(C2)</f>
        <v>62500</v>
      </c>
      <c r="H56" s="88"/>
      <c r="I56" s="91">
        <f>SUM(I9*C56)</f>
        <v>13366.233395541214</v>
      </c>
      <c r="J56" s="92"/>
      <c r="K56" s="94">
        <f>SUM(F56+I56)</f>
        <v>75866.233395541218</v>
      </c>
      <c r="L56" s="92">
        <v>72345.790250901351</v>
      </c>
      <c r="M56" s="92">
        <f>SUM(K56-L56)</f>
        <v>3520.4431446398667</v>
      </c>
    </row>
    <row r="57" spans="2:13" ht="15.6" x14ac:dyDescent="0.3">
      <c r="B57" s="22"/>
      <c r="C57" s="23">
        <f>SUM(C10:C56)</f>
        <v>4291525</v>
      </c>
      <c r="D57" s="24">
        <v>1</v>
      </c>
      <c r="E57" s="25"/>
      <c r="F57" s="97">
        <f>SUM(F10:F56)</f>
        <v>2250000</v>
      </c>
      <c r="H57" s="98"/>
      <c r="I57" s="99">
        <f>SUM(I10:I56)</f>
        <v>335797.64189373236</v>
      </c>
      <c r="J57" s="99">
        <f>SUM(J10:J56)</f>
        <v>93445.979053133808</v>
      </c>
      <c r="K57" s="100">
        <f>SUM(K10:K56)</f>
        <v>2679243.6209468665</v>
      </c>
    </row>
    <row r="58" spans="2:13" x14ac:dyDescent="0.3">
      <c r="B58" s="101"/>
      <c r="C58" s="102"/>
      <c r="D58" s="103"/>
      <c r="E58" s="103"/>
      <c r="F58" s="104"/>
      <c r="G58" s="105"/>
      <c r="H58" s="106"/>
    </row>
    <row r="59" spans="2:13" ht="16.2" thickBot="1" x14ac:dyDescent="0.35">
      <c r="B59" s="107" t="s">
        <v>47</v>
      </c>
      <c r="C59" s="108" t="s">
        <v>6</v>
      </c>
      <c r="D59" s="223" t="s">
        <v>7</v>
      </c>
      <c r="E59" s="224"/>
      <c r="F59" s="109" t="s">
        <v>9</v>
      </c>
      <c r="G59" s="110"/>
      <c r="H59" s="111"/>
      <c r="I59" s="112"/>
      <c r="J59" s="113"/>
      <c r="K59" s="109" t="s">
        <v>10</v>
      </c>
    </row>
    <row r="60" spans="2:13" x14ac:dyDescent="0.3">
      <c r="B60" s="13" t="s">
        <v>50</v>
      </c>
      <c r="C60" s="33" t="s">
        <v>51</v>
      </c>
      <c r="D60" s="33" t="s">
        <v>51</v>
      </c>
      <c r="E60" s="34"/>
      <c r="F60" s="150">
        <f>SUM(C3)</f>
        <v>62500</v>
      </c>
      <c r="G60" s="115"/>
      <c r="H60" s="116"/>
      <c r="K60" s="114">
        <f>SUM(F60)</f>
        <v>62500</v>
      </c>
      <c r="L60" s="92">
        <v>62500</v>
      </c>
      <c r="M60" s="92">
        <f t="shared" ref="M60:M68" si="6">SUM(K60-L60)</f>
        <v>0</v>
      </c>
    </row>
    <row r="61" spans="2:13" x14ac:dyDescent="0.3">
      <c r="B61" s="13" t="s">
        <v>52</v>
      </c>
      <c r="C61" s="33" t="s">
        <v>51</v>
      </c>
      <c r="D61" s="33" t="s">
        <v>51</v>
      </c>
      <c r="E61" s="34"/>
      <c r="F61" s="150">
        <f>SUM(C3)</f>
        <v>62500</v>
      </c>
      <c r="G61" s="115"/>
      <c r="H61" s="116"/>
      <c r="K61" s="114">
        <f t="shared" ref="K61:K68" si="7">SUM(F61)</f>
        <v>62500</v>
      </c>
      <c r="L61" s="92">
        <v>62500</v>
      </c>
      <c r="M61" s="92">
        <f t="shared" si="6"/>
        <v>0</v>
      </c>
    </row>
    <row r="62" spans="2:13" x14ac:dyDescent="0.3">
      <c r="B62" s="13" t="s">
        <v>53</v>
      </c>
      <c r="C62" s="33" t="s">
        <v>51</v>
      </c>
      <c r="D62" s="33" t="s">
        <v>51</v>
      </c>
      <c r="E62" s="34"/>
      <c r="F62" s="150">
        <f>SUM(C3)</f>
        <v>62500</v>
      </c>
      <c r="G62" s="115"/>
      <c r="H62" s="116"/>
      <c r="K62" s="114">
        <f t="shared" si="7"/>
        <v>62500</v>
      </c>
      <c r="L62" s="92">
        <v>62500</v>
      </c>
      <c r="M62" s="92">
        <f t="shared" si="6"/>
        <v>0</v>
      </c>
    </row>
    <row r="63" spans="2:13" x14ac:dyDescent="0.3">
      <c r="B63" s="13" t="s">
        <v>54</v>
      </c>
      <c r="C63" s="33" t="s">
        <v>51</v>
      </c>
      <c r="D63" s="33" t="s">
        <v>51</v>
      </c>
      <c r="E63" s="34"/>
      <c r="F63" s="150">
        <f>SUM(C3)</f>
        <v>62500</v>
      </c>
      <c r="G63" s="115"/>
      <c r="H63" s="116"/>
      <c r="K63" s="114">
        <f t="shared" si="7"/>
        <v>62500</v>
      </c>
      <c r="L63" s="92">
        <v>62500</v>
      </c>
      <c r="M63" s="92">
        <f t="shared" si="6"/>
        <v>0</v>
      </c>
    </row>
    <row r="64" spans="2:13" x14ac:dyDescent="0.3">
      <c r="B64" s="13" t="s">
        <v>55</v>
      </c>
      <c r="C64" s="33" t="s">
        <v>51</v>
      </c>
      <c r="D64" s="33" t="s">
        <v>51</v>
      </c>
      <c r="E64" s="34"/>
      <c r="F64" s="150">
        <f>SUM(C3)</f>
        <v>62500</v>
      </c>
      <c r="G64" s="115"/>
      <c r="H64" s="116"/>
      <c r="K64" s="114">
        <f t="shared" si="7"/>
        <v>62500</v>
      </c>
      <c r="L64" s="92">
        <v>62500</v>
      </c>
      <c r="M64" s="92">
        <f t="shared" si="6"/>
        <v>0</v>
      </c>
    </row>
    <row r="65" spans="2:13" x14ac:dyDescent="0.3">
      <c r="B65" s="13" t="s">
        <v>135</v>
      </c>
      <c r="C65" s="33" t="s">
        <v>51</v>
      </c>
      <c r="D65" s="33" t="s">
        <v>51</v>
      </c>
      <c r="E65" s="34"/>
      <c r="F65" s="150">
        <f>SUM(C3)</f>
        <v>62500</v>
      </c>
      <c r="G65" s="115"/>
      <c r="H65" s="116"/>
      <c r="K65" s="114">
        <f t="shared" si="7"/>
        <v>62500</v>
      </c>
      <c r="L65" s="92">
        <v>62500</v>
      </c>
      <c r="M65" s="92">
        <f t="shared" si="6"/>
        <v>0</v>
      </c>
    </row>
    <row r="66" spans="2:13" x14ac:dyDescent="0.3">
      <c r="B66" s="13" t="s">
        <v>28</v>
      </c>
      <c r="C66" s="33" t="s">
        <v>51</v>
      </c>
      <c r="D66" s="33" t="s">
        <v>51</v>
      </c>
      <c r="E66" s="34"/>
      <c r="F66" s="150">
        <f>SUM(C3)</f>
        <v>62500</v>
      </c>
      <c r="G66" s="115"/>
      <c r="H66" s="116"/>
      <c r="K66" s="114">
        <f t="shared" si="7"/>
        <v>62500</v>
      </c>
      <c r="L66" s="92">
        <v>62500</v>
      </c>
      <c r="M66" s="92">
        <f t="shared" si="6"/>
        <v>0</v>
      </c>
    </row>
    <row r="67" spans="2:13" x14ac:dyDescent="0.3">
      <c r="B67" s="13" t="s">
        <v>57</v>
      </c>
      <c r="C67" s="33" t="s">
        <v>51</v>
      </c>
      <c r="D67" s="33" t="s">
        <v>51</v>
      </c>
      <c r="E67" s="34"/>
      <c r="F67" s="150">
        <f>SUM(C3)</f>
        <v>62500</v>
      </c>
      <c r="G67" s="115"/>
      <c r="H67" s="116"/>
      <c r="K67" s="114">
        <f t="shared" si="7"/>
        <v>62500</v>
      </c>
      <c r="L67" s="92">
        <v>62500</v>
      </c>
      <c r="M67" s="92">
        <f t="shared" si="6"/>
        <v>0</v>
      </c>
    </row>
    <row r="68" spans="2:13" ht="15" thickBot="1" x14ac:dyDescent="0.35">
      <c r="B68" s="17" t="s">
        <v>58</v>
      </c>
      <c r="C68" s="35" t="s">
        <v>51</v>
      </c>
      <c r="D68" s="35" t="s">
        <v>51</v>
      </c>
      <c r="E68" s="36"/>
      <c r="F68" s="150">
        <f>SUM(C3)</f>
        <v>62500</v>
      </c>
      <c r="G68" s="115"/>
      <c r="H68" s="116"/>
      <c r="K68" s="114">
        <f t="shared" si="7"/>
        <v>62500</v>
      </c>
      <c r="L68" s="92">
        <v>62500</v>
      </c>
      <c r="M68" s="92">
        <f t="shared" si="6"/>
        <v>0</v>
      </c>
    </row>
    <row r="69" spans="2:13" ht="15.6" x14ac:dyDescent="0.3">
      <c r="F69" s="117">
        <f>SUM(F60:F68)</f>
        <v>562500</v>
      </c>
      <c r="G69" s="118"/>
      <c r="H69" s="119"/>
      <c r="J69" s="98"/>
      <c r="K69" s="117">
        <f>SUM(K60:K68)</f>
        <v>562500</v>
      </c>
      <c r="L69" s="120"/>
    </row>
    <row r="71" spans="2:13" ht="16.5" customHeight="1" thickBot="1" x14ac:dyDescent="0.35">
      <c r="B71" s="121" t="s">
        <v>59</v>
      </c>
      <c r="C71" s="122" t="s">
        <v>6</v>
      </c>
      <c r="D71" s="225" t="s">
        <v>122</v>
      </c>
      <c r="E71" s="226"/>
      <c r="F71" s="123" t="s">
        <v>9</v>
      </c>
      <c r="G71" s="124">
        <f>SUM(G87)</f>
        <v>0.1217957718992666</v>
      </c>
      <c r="K71" s="125" t="s">
        <v>123</v>
      </c>
    </row>
    <row r="72" spans="2:13" x14ac:dyDescent="0.3">
      <c r="B72" s="13" t="s">
        <v>61</v>
      </c>
      <c r="C72" s="38">
        <v>101165</v>
      </c>
      <c r="D72" s="39">
        <f t="shared" ref="D72:D79" si="8">C72/B$7</f>
        <v>0.10551238457676251</v>
      </c>
      <c r="E72" s="34"/>
      <c r="F72" s="150">
        <f>SUM(C4)</f>
        <v>62500</v>
      </c>
      <c r="G72" s="91">
        <f>SUM(G71*C72)/2</f>
        <v>6160.7346320946526</v>
      </c>
      <c r="H72" t="s">
        <v>124</v>
      </c>
      <c r="J72" s="90"/>
      <c r="K72" s="94">
        <f t="shared" ref="K72:K79" si="9">SUM(F72+G72)</f>
        <v>68660.734632094653</v>
      </c>
      <c r="L72" s="92">
        <v>71576.199582045636</v>
      </c>
      <c r="M72" s="149">
        <f t="shared" ref="M72:M79" si="10">SUM(K72-L72)</f>
        <v>-2915.4649499509833</v>
      </c>
    </row>
    <row r="73" spans="2:13" x14ac:dyDescent="0.3">
      <c r="B73" s="13" t="s">
        <v>62</v>
      </c>
      <c r="C73" s="38">
        <v>106275</v>
      </c>
      <c r="D73" s="39">
        <f t="shared" si="8"/>
        <v>0.11084197766910923</v>
      </c>
      <c r="E73" s="34"/>
      <c r="F73" s="150">
        <f>SUM(C4)</f>
        <v>62500</v>
      </c>
      <c r="G73" s="91">
        <f>SUM(G71*C73)/2</f>
        <v>6471.9228292972793</v>
      </c>
      <c r="H73" t="s">
        <v>124</v>
      </c>
      <c r="J73" s="126"/>
      <c r="K73" s="94">
        <f t="shared" si="9"/>
        <v>68971.922829297284</v>
      </c>
      <c r="L73" s="92">
        <v>72034.652405297296</v>
      </c>
      <c r="M73" s="149">
        <f t="shared" si="10"/>
        <v>-3062.7295760000125</v>
      </c>
    </row>
    <row r="74" spans="2:13" x14ac:dyDescent="0.3">
      <c r="B74" s="13" t="s">
        <v>63</v>
      </c>
      <c r="C74" s="38">
        <v>177339</v>
      </c>
      <c r="D74" s="39">
        <f t="shared" si="8"/>
        <v>0.18495982571500505</v>
      </c>
      <c r="E74" s="34"/>
      <c r="F74" s="150">
        <f>SUM(C4)</f>
        <v>62500</v>
      </c>
      <c r="G74" s="91">
        <f>SUM(G71*C74)/2</f>
        <v>10799.570196422021</v>
      </c>
      <c r="H74" t="s">
        <v>124</v>
      </c>
      <c r="J74" s="126"/>
      <c r="K74" s="94">
        <f t="shared" si="9"/>
        <v>73299.570196422021</v>
      </c>
      <c r="L74" s="92">
        <v>78410.286736325725</v>
      </c>
      <c r="M74" s="149">
        <f t="shared" si="10"/>
        <v>-5110.716539903704</v>
      </c>
    </row>
    <row r="75" spans="2:13" x14ac:dyDescent="0.3">
      <c r="B75" s="13" t="s">
        <v>64</v>
      </c>
      <c r="C75" s="38">
        <v>117107</v>
      </c>
      <c r="D75" s="39">
        <f t="shared" si="8"/>
        <v>0.12213946345703482</v>
      </c>
      <c r="E75" s="34"/>
      <c r="F75" s="150">
        <f>SUM(C4)</f>
        <v>62500</v>
      </c>
      <c r="G75" s="91">
        <f>SUM(G71*C75)/2</f>
        <v>7131.5687299037072</v>
      </c>
      <c r="H75" t="s">
        <v>124</v>
      </c>
      <c r="K75" s="94">
        <f t="shared" si="9"/>
        <v>69631.568729903709</v>
      </c>
      <c r="L75" s="92">
        <v>73006.464730436608</v>
      </c>
      <c r="M75" s="149">
        <f t="shared" si="10"/>
        <v>-3374.8960005328991</v>
      </c>
    </row>
    <row r="76" spans="2:13" x14ac:dyDescent="0.3">
      <c r="B76" s="13" t="s">
        <v>65</v>
      </c>
      <c r="C76" s="38">
        <v>110874</v>
      </c>
      <c r="D76" s="39">
        <f t="shared" si="8"/>
        <v>0.11563861145222129</v>
      </c>
      <c r="E76" s="34"/>
      <c r="F76" s="150">
        <f>SUM(C4)</f>
        <v>62500</v>
      </c>
      <c r="G76" s="91">
        <f>SUM(G71*C76)/2</f>
        <v>6751.9922067796424</v>
      </c>
      <c r="H76" t="s">
        <v>124</v>
      </c>
      <c r="K76" s="94">
        <f t="shared" si="9"/>
        <v>69251.992206779643</v>
      </c>
      <c r="L76" s="92">
        <v>72447.259946223785</v>
      </c>
      <c r="M76" s="149">
        <f t="shared" si="10"/>
        <v>-3195.2677394441416</v>
      </c>
    </row>
    <row r="77" spans="2:13" x14ac:dyDescent="0.3">
      <c r="B77" s="13" t="s">
        <v>66</v>
      </c>
      <c r="C77" s="38">
        <v>90887</v>
      </c>
      <c r="D77" s="39">
        <f t="shared" si="8"/>
        <v>9.4792705946011122E-2</v>
      </c>
      <c r="E77" s="34"/>
      <c r="F77" s="150">
        <f>SUM(C4)</f>
        <v>62500</v>
      </c>
      <c r="G77" s="91">
        <f>SUM(G71*C77)/2</f>
        <v>5534.826160304322</v>
      </c>
      <c r="H77" t="s">
        <v>124</v>
      </c>
      <c r="K77" s="94">
        <f t="shared" si="9"/>
        <v>68034.826160304321</v>
      </c>
      <c r="L77" s="92">
        <v>70654.090361423237</v>
      </c>
      <c r="M77" s="149">
        <f t="shared" si="10"/>
        <v>-2619.2642011189164</v>
      </c>
    </row>
    <row r="78" spans="2:13" x14ac:dyDescent="0.3">
      <c r="B78" s="13" t="s">
        <v>67</v>
      </c>
      <c r="C78" s="38">
        <v>648097</v>
      </c>
      <c r="D78" s="39">
        <f t="shared" si="8"/>
        <v>0.67594780711754121</v>
      </c>
      <c r="E78" s="34"/>
      <c r="F78" s="150">
        <f>SUM(C4)</f>
        <v>62500</v>
      </c>
      <c r="G78" s="91">
        <f>SUM(G71*C78)/2</f>
        <v>39467.737190299493</v>
      </c>
      <c r="H78" t="s">
        <v>124</v>
      </c>
      <c r="K78" s="94">
        <f t="shared" si="9"/>
        <v>101967.73719029949</v>
      </c>
      <c r="L78" s="92">
        <v>120645.18579078768</v>
      </c>
      <c r="M78" s="149">
        <f t="shared" si="10"/>
        <v>-18677.448600488191</v>
      </c>
    </row>
    <row r="79" spans="2:13" x14ac:dyDescent="0.3">
      <c r="B79" s="13" t="s">
        <v>68</v>
      </c>
      <c r="C79" s="38">
        <v>182726</v>
      </c>
      <c r="D79" s="39">
        <f t="shared" si="8"/>
        <v>0.19057832238593889</v>
      </c>
      <c r="E79" s="34"/>
      <c r="F79" s="150">
        <f>SUM(C4)</f>
        <v>62500</v>
      </c>
      <c r="G79" s="91">
        <f>SUM(G71*C79)/2</f>
        <v>11127.627108032695</v>
      </c>
      <c r="H79" t="s">
        <v>124</v>
      </c>
      <c r="K79" s="94">
        <f t="shared" si="9"/>
        <v>73627.627108032699</v>
      </c>
      <c r="L79" s="92">
        <v>78893.591111835834</v>
      </c>
      <c r="M79" s="149">
        <f t="shared" si="10"/>
        <v>-5265.9640038031357</v>
      </c>
    </row>
    <row r="80" spans="2:13" ht="15.6" x14ac:dyDescent="0.3">
      <c r="C80" s="40">
        <f>SUM(C72:C79)</f>
        <v>1534470</v>
      </c>
      <c r="D80" s="41">
        <f>SUM(D72:D79)</f>
        <v>1.6004110983196242</v>
      </c>
      <c r="F80" s="117">
        <f>SUM(F72:F79)</f>
        <v>500000</v>
      </c>
      <c r="G80" s="99">
        <f>SUM(G72:G79)</f>
        <v>93445.979053133808</v>
      </c>
      <c r="J80" s="98"/>
      <c r="K80" s="100">
        <f>SUM(K72:K79)</f>
        <v>593445.97905313387</v>
      </c>
    </row>
    <row r="81" spans="2:11" ht="15.6" x14ac:dyDescent="0.3">
      <c r="F81" s="124"/>
      <c r="G81" s="91"/>
      <c r="J81" s="124"/>
      <c r="K81"/>
    </row>
    <row r="82" spans="2:11" ht="21" x14ac:dyDescent="0.35">
      <c r="B82" s="127" t="s">
        <v>69</v>
      </c>
      <c r="F82" s="128">
        <f>F80+F69+F57</f>
        <v>3312500</v>
      </c>
      <c r="G82" s="99"/>
      <c r="J82" s="129"/>
      <c r="K82" s="130">
        <f>SUM(K57+F69+K80)</f>
        <v>3835189.6000000006</v>
      </c>
    </row>
    <row r="84" spans="2:11" ht="18" x14ac:dyDescent="0.35">
      <c r="B84" s="44"/>
      <c r="C84" s="227" t="s">
        <v>10</v>
      </c>
      <c r="D84" s="227"/>
      <c r="E84" s="131"/>
      <c r="F84" s="132">
        <f>SUM(F3)</f>
        <v>4793987</v>
      </c>
      <c r="G84" s="133">
        <f>SUM(F84)</f>
        <v>4793987</v>
      </c>
      <c r="H84" s="133"/>
    </row>
    <row r="85" spans="2:11" ht="15.6" x14ac:dyDescent="0.3">
      <c r="C85" s="222" t="s">
        <v>74</v>
      </c>
      <c r="D85" s="222"/>
      <c r="E85" s="131"/>
      <c r="F85" s="134">
        <f>SUM(F84*0.8)</f>
        <v>3835189.6</v>
      </c>
      <c r="G85" s="135">
        <f>SUM(K82)</f>
        <v>3835189.6000000006</v>
      </c>
      <c r="H85" s="135">
        <f>SUM(F85-G85)</f>
        <v>-4.6566128730773926E-10</v>
      </c>
      <c r="K85" s="136"/>
    </row>
    <row r="86" spans="2:11" ht="15.6" x14ac:dyDescent="0.3">
      <c r="C86" s="228" t="s">
        <v>125</v>
      </c>
      <c r="D86" s="228"/>
      <c r="E86" s="137"/>
      <c r="F86" s="138">
        <f>SUM(F82)</f>
        <v>3312500</v>
      </c>
      <c r="G86" s="139"/>
      <c r="H86" s="139"/>
    </row>
    <row r="87" spans="2:11" ht="15.6" x14ac:dyDescent="0.3">
      <c r="C87" s="228" t="s">
        <v>80</v>
      </c>
      <c r="D87" s="228"/>
      <c r="E87" s="137"/>
      <c r="F87" s="138">
        <f>F85-F86</f>
        <v>522689.60000000009</v>
      </c>
      <c r="G87" s="140">
        <f>SUM(F87/C57)</f>
        <v>0.1217957718992666</v>
      </c>
      <c r="H87" s="139"/>
    </row>
    <row r="88" spans="2:11" ht="15.6" x14ac:dyDescent="0.3">
      <c r="B88" s="66"/>
      <c r="C88" s="222" t="s">
        <v>89</v>
      </c>
      <c r="D88" s="222"/>
      <c r="E88" s="131"/>
      <c r="F88" s="134">
        <f>F84*0.2</f>
        <v>958797.4</v>
      </c>
      <c r="G88" s="141"/>
      <c r="H88" s="141"/>
    </row>
    <row r="89" spans="2:11" x14ac:dyDescent="0.3">
      <c r="F89" s="43"/>
      <c r="G89" s="66"/>
      <c r="H89" s="142"/>
    </row>
    <row r="90" spans="2:11" x14ac:dyDescent="0.3">
      <c r="H90" s="65"/>
    </row>
    <row r="91" spans="2:11" x14ac:dyDescent="0.3">
      <c r="B91" s="66"/>
      <c r="C91" s="67"/>
      <c r="D91" s="68"/>
      <c r="H91" s="65"/>
    </row>
    <row r="92" spans="2:11" x14ac:dyDescent="0.3">
      <c r="B92" s="66"/>
      <c r="C92" s="69"/>
      <c r="D92" s="68"/>
      <c r="H92" s="65"/>
    </row>
  </sheetData>
  <mergeCells count="38">
    <mergeCell ref="I5:K5"/>
    <mergeCell ref="B6:E6"/>
    <mergeCell ref="F6:H6"/>
    <mergeCell ref="I6:K6"/>
    <mergeCell ref="C2:E2"/>
    <mergeCell ref="F2:H2"/>
    <mergeCell ref="I2:K3"/>
    <mergeCell ref="C3:E3"/>
    <mergeCell ref="F3:H3"/>
    <mergeCell ref="C4:E4"/>
    <mergeCell ref="F4:H4"/>
    <mergeCell ref="I4:K4"/>
    <mergeCell ref="I7:K7"/>
    <mergeCell ref="B8:B9"/>
    <mergeCell ref="C8:C9"/>
    <mergeCell ref="D8:D9"/>
    <mergeCell ref="E8:E9"/>
    <mergeCell ref="F8:F9"/>
    <mergeCell ref="G8:G9"/>
    <mergeCell ref="H8:H9"/>
    <mergeCell ref="J8:J9"/>
    <mergeCell ref="K8:K9"/>
    <mergeCell ref="L8:L9"/>
    <mergeCell ref="M8:M9"/>
    <mergeCell ref="B41:B42"/>
    <mergeCell ref="C88:D88"/>
    <mergeCell ref="B1:H1"/>
    <mergeCell ref="D59:E59"/>
    <mergeCell ref="D71:E71"/>
    <mergeCell ref="C84:D84"/>
    <mergeCell ref="C85:D85"/>
    <mergeCell ref="C86:D86"/>
    <mergeCell ref="C87:D87"/>
    <mergeCell ref="B52:B54"/>
    <mergeCell ref="B7:E7"/>
    <mergeCell ref="F7:H7"/>
    <mergeCell ref="C5:E5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76A2-E7E7-4346-808C-63E85F3B90FA}">
  <sheetPr codeName="Sheet5">
    <outlinePr summaryBelow="0" summaryRight="0"/>
  </sheetPr>
  <dimension ref="A1:H44"/>
  <sheetViews>
    <sheetView workbookViewId="0">
      <selection sqref="A1:G1"/>
    </sheetView>
  </sheetViews>
  <sheetFormatPr defaultColWidth="12.5546875" defaultRowHeight="15.75" customHeight="1" x14ac:dyDescent="0.3"/>
  <cols>
    <col min="1" max="1" width="26.109375" style="169" customWidth="1"/>
    <col min="2" max="2" width="19.5546875" style="169" customWidth="1"/>
    <col min="3" max="3" width="15.33203125" style="169" customWidth="1"/>
    <col min="4" max="4" width="13.88671875" style="169" customWidth="1"/>
    <col min="5" max="6" width="20" style="169" customWidth="1"/>
    <col min="7" max="7" width="12.5546875" style="169"/>
    <col min="8" max="8" width="61.5546875" style="169" customWidth="1"/>
    <col min="9" max="16384" width="12.5546875" style="169"/>
  </cols>
  <sheetData>
    <row r="1" spans="1:8" ht="15.75" customHeight="1" x14ac:dyDescent="0.4">
      <c r="A1" s="211" t="s">
        <v>228</v>
      </c>
      <c r="B1" s="211"/>
      <c r="C1" s="211"/>
      <c r="D1" s="211"/>
      <c r="E1" s="211"/>
      <c r="F1" s="211"/>
      <c r="G1" s="211"/>
    </row>
    <row r="2" spans="1:8" ht="13.8" x14ac:dyDescent="0.3">
      <c r="A2" s="176" t="s">
        <v>159</v>
      </c>
      <c r="B2" s="174">
        <v>4793987</v>
      </c>
      <c r="C2" s="173">
        <f>B2-B3</f>
        <v>958797.39999999991</v>
      </c>
    </row>
    <row r="3" spans="1:8" ht="13.8" x14ac:dyDescent="0.3">
      <c r="A3" s="176" t="s">
        <v>158</v>
      </c>
      <c r="B3" s="174">
        <f>B2*0.8</f>
        <v>3835189.6</v>
      </c>
      <c r="C3" s="177" t="s">
        <v>157</v>
      </c>
      <c r="D3" s="177" t="s">
        <v>156</v>
      </c>
    </row>
    <row r="4" spans="1:8" ht="13.8" x14ac:dyDescent="0.3">
      <c r="A4" s="176" t="s">
        <v>154</v>
      </c>
      <c r="B4" s="174">
        <f>B3*0.3</f>
        <v>1150556.8799999999</v>
      </c>
      <c r="C4" s="174">
        <f>(B4/(36*7))</f>
        <v>4565.7019047619042</v>
      </c>
      <c r="D4" s="175">
        <v>7</v>
      </c>
    </row>
    <row r="5" spans="1:8" ht="13.8" x14ac:dyDescent="0.3">
      <c r="A5" s="176" t="s">
        <v>153</v>
      </c>
      <c r="B5" s="174">
        <f>B3*0.7</f>
        <v>2684632.7199999997</v>
      </c>
      <c r="C5" s="174">
        <f>(B5/(36*6))</f>
        <v>12428.855185185184</v>
      </c>
      <c r="D5" s="175">
        <v>6</v>
      </c>
    </row>
    <row r="6" spans="1:8" ht="13.8" x14ac:dyDescent="0.3">
      <c r="H6" s="176" t="s">
        <v>155</v>
      </c>
    </row>
    <row r="7" spans="1:8" ht="13.8" x14ac:dyDescent="0.3">
      <c r="A7" s="177" t="s">
        <v>5</v>
      </c>
      <c r="B7" s="177" t="s">
        <v>154</v>
      </c>
      <c r="C7" s="177" t="s">
        <v>153</v>
      </c>
      <c r="D7" s="177" t="s">
        <v>152</v>
      </c>
      <c r="E7" s="177" t="s">
        <v>151</v>
      </c>
      <c r="F7" s="177" t="s">
        <v>150</v>
      </c>
      <c r="H7" s="175" t="s">
        <v>149</v>
      </c>
    </row>
    <row r="8" spans="1:8" ht="15.75" customHeight="1" x14ac:dyDescent="0.3">
      <c r="A8" s="175" t="s">
        <v>11</v>
      </c>
      <c r="B8" s="174">
        <f>B4/36</f>
        <v>31959.91333333333</v>
      </c>
      <c r="C8" s="174">
        <f>B5/36</f>
        <v>74573.131111111099</v>
      </c>
      <c r="D8" s="174">
        <f t="shared" ref="D8:D43" si="0">SUM(B8:C8)</f>
        <v>106533.04444444443</v>
      </c>
      <c r="E8" s="173">
        <f>D8*0.5</f>
        <v>53266.522222222215</v>
      </c>
      <c r="F8" s="173">
        <f t="shared" ref="F8:F43" si="1">D8+E8</f>
        <v>159799.56666666665</v>
      </c>
      <c r="H8" s="175" t="s">
        <v>148</v>
      </c>
    </row>
    <row r="9" spans="1:8" ht="15.75" customHeight="1" x14ac:dyDescent="0.3">
      <c r="A9" s="175" t="s">
        <v>12</v>
      </c>
      <c r="B9" s="174">
        <f>B4/36</f>
        <v>31959.91333333333</v>
      </c>
      <c r="C9" s="174">
        <f>B5/36</f>
        <v>74573.131111111099</v>
      </c>
      <c r="D9" s="174">
        <f t="shared" si="0"/>
        <v>106533.04444444443</v>
      </c>
      <c r="E9" s="173">
        <f>D9*0</f>
        <v>0</v>
      </c>
      <c r="F9" s="173">
        <f t="shared" si="1"/>
        <v>106533.04444444443</v>
      </c>
      <c r="H9" s="175" t="s">
        <v>147</v>
      </c>
    </row>
    <row r="10" spans="1:8" ht="15.75" customHeight="1" x14ac:dyDescent="0.3">
      <c r="A10" s="175" t="s">
        <v>13</v>
      </c>
      <c r="B10" s="174">
        <f>B4/36</f>
        <v>31959.91333333333</v>
      </c>
      <c r="C10" s="174">
        <f>B5/36</f>
        <v>74573.131111111099</v>
      </c>
      <c r="D10" s="174">
        <f t="shared" si="0"/>
        <v>106533.04444444443</v>
      </c>
      <c r="E10" s="173">
        <f>D10*0</f>
        <v>0</v>
      </c>
      <c r="F10" s="173">
        <f t="shared" si="1"/>
        <v>106533.04444444443</v>
      </c>
      <c r="H10" s="175" t="s">
        <v>146</v>
      </c>
    </row>
    <row r="11" spans="1:8" ht="15.75" customHeight="1" x14ac:dyDescent="0.3">
      <c r="A11" s="175" t="s">
        <v>14</v>
      </c>
      <c r="B11" s="174">
        <f>B4/36</f>
        <v>31959.91333333333</v>
      </c>
      <c r="C11" s="174">
        <f>B5/36</f>
        <v>74573.131111111099</v>
      </c>
      <c r="D11" s="174">
        <f t="shared" si="0"/>
        <v>106533.04444444443</v>
      </c>
      <c r="E11" s="173">
        <f>D11*0.25</f>
        <v>26633.261111111107</v>
      </c>
      <c r="F11" s="173">
        <f t="shared" si="1"/>
        <v>133166.30555555553</v>
      </c>
      <c r="H11" s="175" t="s">
        <v>145</v>
      </c>
    </row>
    <row r="12" spans="1:8" ht="15.75" customHeight="1" x14ac:dyDescent="0.3">
      <c r="A12" s="175" t="s">
        <v>15</v>
      </c>
      <c r="B12" s="174">
        <f>B4/36</f>
        <v>31959.91333333333</v>
      </c>
      <c r="C12" s="174">
        <f>B5/36</f>
        <v>74573.131111111099</v>
      </c>
      <c r="D12" s="174">
        <f t="shared" si="0"/>
        <v>106533.04444444443</v>
      </c>
      <c r="E12" s="173">
        <f>D12*0.25</f>
        <v>26633.261111111107</v>
      </c>
      <c r="F12" s="173">
        <f t="shared" si="1"/>
        <v>133166.30555555553</v>
      </c>
      <c r="H12" s="175" t="s">
        <v>144</v>
      </c>
    </row>
    <row r="13" spans="1:8" ht="13.8" x14ac:dyDescent="0.3">
      <c r="A13" s="175" t="s">
        <v>16</v>
      </c>
      <c r="B13" s="174">
        <f>B4/36</f>
        <v>31959.91333333333</v>
      </c>
      <c r="C13" s="174">
        <f>B5/36</f>
        <v>74573.131111111099</v>
      </c>
      <c r="D13" s="174">
        <f t="shared" si="0"/>
        <v>106533.04444444443</v>
      </c>
      <c r="E13" s="173">
        <f>D13*0.5</f>
        <v>53266.522222222215</v>
      </c>
      <c r="F13" s="173">
        <f t="shared" si="1"/>
        <v>159799.56666666665</v>
      </c>
      <c r="H13" s="175" t="s">
        <v>143</v>
      </c>
    </row>
    <row r="14" spans="1:8" ht="15.75" customHeight="1" x14ac:dyDescent="0.3">
      <c r="A14" s="175" t="s">
        <v>17</v>
      </c>
      <c r="B14" s="174">
        <f>B4/36</f>
        <v>31959.91333333333</v>
      </c>
      <c r="C14" s="174">
        <f>B5/36</f>
        <v>74573.131111111099</v>
      </c>
      <c r="D14" s="174">
        <f t="shared" si="0"/>
        <v>106533.04444444443</v>
      </c>
      <c r="E14" s="173">
        <f>D14*0.5</f>
        <v>53266.522222222215</v>
      </c>
      <c r="F14" s="173">
        <f t="shared" si="1"/>
        <v>159799.56666666665</v>
      </c>
      <c r="H14" s="175"/>
    </row>
    <row r="15" spans="1:8" ht="15.75" customHeight="1" x14ac:dyDescent="0.3">
      <c r="A15" s="175" t="s">
        <v>18</v>
      </c>
      <c r="B15" s="174">
        <f>B4/36</f>
        <v>31959.91333333333</v>
      </c>
      <c r="C15" s="174">
        <f>B5/36</f>
        <v>74573.131111111099</v>
      </c>
      <c r="D15" s="174">
        <f t="shared" si="0"/>
        <v>106533.04444444443</v>
      </c>
      <c r="E15" s="173">
        <f>D15*0.5</f>
        <v>53266.522222222215</v>
      </c>
      <c r="F15" s="173">
        <f t="shared" si="1"/>
        <v>159799.56666666665</v>
      </c>
      <c r="H15" s="176" t="s">
        <v>142</v>
      </c>
    </row>
    <row r="16" spans="1:8" ht="15.75" customHeight="1" x14ac:dyDescent="0.3">
      <c r="A16" s="175" t="s">
        <v>19</v>
      </c>
      <c r="B16" s="174">
        <f>B4/36</f>
        <v>31959.91333333333</v>
      </c>
      <c r="C16" s="174">
        <f>B5/36</f>
        <v>74573.131111111099</v>
      </c>
      <c r="D16" s="174">
        <f t="shared" si="0"/>
        <v>106533.04444444443</v>
      </c>
      <c r="E16" s="173">
        <f>D16*0</f>
        <v>0</v>
      </c>
      <c r="F16" s="173">
        <f t="shared" si="1"/>
        <v>106533.04444444443</v>
      </c>
      <c r="H16" s="175" t="s">
        <v>141</v>
      </c>
    </row>
    <row r="17" spans="1:6" ht="15.75" customHeight="1" x14ac:dyDescent="0.3">
      <c r="A17" s="175" t="s">
        <v>20</v>
      </c>
      <c r="B17" s="174">
        <f>B4/36</f>
        <v>31959.91333333333</v>
      </c>
      <c r="C17" s="174">
        <f>B5/36</f>
        <v>74573.131111111099</v>
      </c>
      <c r="D17" s="174">
        <f t="shared" si="0"/>
        <v>106533.04444444443</v>
      </c>
      <c r="E17" s="173">
        <f>D17*0.5</f>
        <v>53266.522222222215</v>
      </c>
      <c r="F17" s="173">
        <f t="shared" si="1"/>
        <v>159799.56666666665</v>
      </c>
    </row>
    <row r="18" spans="1:6" ht="15.75" customHeight="1" x14ac:dyDescent="0.3">
      <c r="A18" s="175" t="s">
        <v>21</v>
      </c>
      <c r="B18" s="174">
        <f>B4/36</f>
        <v>31959.91333333333</v>
      </c>
      <c r="C18" s="174">
        <f>B5/36</f>
        <v>74573.131111111099</v>
      </c>
      <c r="D18" s="174">
        <f t="shared" si="0"/>
        <v>106533.04444444443</v>
      </c>
      <c r="E18" s="173">
        <f>D18*0</f>
        <v>0</v>
      </c>
      <c r="F18" s="173">
        <f t="shared" si="1"/>
        <v>106533.04444444443</v>
      </c>
    </row>
    <row r="19" spans="1:6" ht="15.75" customHeight="1" x14ac:dyDescent="0.3">
      <c r="A19" s="175" t="s">
        <v>22</v>
      </c>
      <c r="B19" s="174">
        <f>B4/36</f>
        <v>31959.91333333333</v>
      </c>
      <c r="C19" s="174">
        <f>B5/36</f>
        <v>74573.131111111099</v>
      </c>
      <c r="D19" s="174">
        <f t="shared" si="0"/>
        <v>106533.04444444443</v>
      </c>
      <c r="E19" s="173">
        <f>D19*0.5</f>
        <v>53266.522222222215</v>
      </c>
      <c r="F19" s="173">
        <f t="shared" si="1"/>
        <v>159799.56666666665</v>
      </c>
    </row>
    <row r="20" spans="1:6" ht="15.75" customHeight="1" x14ac:dyDescent="0.3">
      <c r="A20" s="175" t="s">
        <v>23</v>
      </c>
      <c r="B20" s="174">
        <f>B4/36</f>
        <v>31959.91333333333</v>
      </c>
      <c r="C20" s="174">
        <f>B5/36</f>
        <v>74573.131111111099</v>
      </c>
      <c r="D20" s="174">
        <f t="shared" si="0"/>
        <v>106533.04444444443</v>
      </c>
      <c r="E20" s="173">
        <f>D20*0.5</f>
        <v>53266.522222222215</v>
      </c>
      <c r="F20" s="173">
        <f t="shared" si="1"/>
        <v>159799.56666666665</v>
      </c>
    </row>
    <row r="21" spans="1:6" ht="15.75" customHeight="1" x14ac:dyDescent="0.3">
      <c r="A21" s="175" t="s">
        <v>24</v>
      </c>
      <c r="B21" s="174">
        <f>B4/36</f>
        <v>31959.91333333333</v>
      </c>
      <c r="C21" s="174">
        <f>B5/36</f>
        <v>74573.131111111099</v>
      </c>
      <c r="D21" s="174">
        <f t="shared" si="0"/>
        <v>106533.04444444443</v>
      </c>
      <c r="E21" s="173">
        <f>D21*0</f>
        <v>0</v>
      </c>
      <c r="F21" s="173">
        <f t="shared" si="1"/>
        <v>106533.04444444443</v>
      </c>
    </row>
    <row r="22" spans="1:6" ht="15.75" customHeight="1" x14ac:dyDescent="0.3">
      <c r="A22" s="175" t="s">
        <v>25</v>
      </c>
      <c r="B22" s="174">
        <f>B4/36</f>
        <v>31959.91333333333</v>
      </c>
      <c r="C22" s="174">
        <f>B5/36</f>
        <v>74573.131111111099</v>
      </c>
      <c r="D22" s="174">
        <f t="shared" si="0"/>
        <v>106533.04444444443</v>
      </c>
      <c r="E22" s="173">
        <f>D22*0.25</f>
        <v>26633.261111111107</v>
      </c>
      <c r="F22" s="173">
        <f t="shared" si="1"/>
        <v>133166.30555555553</v>
      </c>
    </row>
    <row r="23" spans="1:6" ht="13.8" x14ac:dyDescent="0.3">
      <c r="A23" s="175" t="s">
        <v>26</v>
      </c>
      <c r="B23" s="174">
        <f>B4/36</f>
        <v>31959.91333333333</v>
      </c>
      <c r="C23" s="174">
        <f>B5/36</f>
        <v>74573.131111111099</v>
      </c>
      <c r="D23" s="174">
        <f t="shared" si="0"/>
        <v>106533.04444444443</v>
      </c>
      <c r="E23" s="173">
        <f>D23*0.5</f>
        <v>53266.522222222215</v>
      </c>
      <c r="F23" s="173">
        <f t="shared" si="1"/>
        <v>159799.56666666665</v>
      </c>
    </row>
    <row r="24" spans="1:6" ht="13.8" x14ac:dyDescent="0.3">
      <c r="A24" s="175" t="s">
        <v>27</v>
      </c>
      <c r="B24" s="174">
        <f>B4/36</f>
        <v>31959.91333333333</v>
      </c>
      <c r="C24" s="174">
        <f>B5/36</f>
        <v>74573.131111111099</v>
      </c>
      <c r="D24" s="174">
        <f t="shared" si="0"/>
        <v>106533.04444444443</v>
      </c>
      <c r="E24" s="173">
        <f>D24*0.5</f>
        <v>53266.522222222215</v>
      </c>
      <c r="F24" s="173">
        <f t="shared" si="1"/>
        <v>159799.56666666665</v>
      </c>
    </row>
    <row r="25" spans="1:6" ht="13.8" x14ac:dyDescent="0.3">
      <c r="A25" s="175" t="s">
        <v>28</v>
      </c>
      <c r="B25" s="174">
        <f>B4/36</f>
        <v>31959.91333333333</v>
      </c>
      <c r="C25" s="174">
        <f>B5/36</f>
        <v>74573.131111111099</v>
      </c>
      <c r="D25" s="174">
        <f t="shared" si="0"/>
        <v>106533.04444444443</v>
      </c>
      <c r="E25" s="173">
        <f>D25*0.5</f>
        <v>53266.522222222215</v>
      </c>
      <c r="F25" s="173">
        <f t="shared" si="1"/>
        <v>159799.56666666665</v>
      </c>
    </row>
    <row r="26" spans="1:6" ht="13.8" x14ac:dyDescent="0.3">
      <c r="A26" s="175" t="s">
        <v>29</v>
      </c>
      <c r="B26" s="174">
        <f>B4/36</f>
        <v>31959.91333333333</v>
      </c>
      <c r="C26" s="174">
        <f>B5/36</f>
        <v>74573.131111111099</v>
      </c>
      <c r="D26" s="174">
        <f t="shared" si="0"/>
        <v>106533.04444444443</v>
      </c>
      <c r="E26" s="173">
        <f>D26*0.5</f>
        <v>53266.522222222215</v>
      </c>
      <c r="F26" s="173">
        <f t="shared" si="1"/>
        <v>159799.56666666665</v>
      </c>
    </row>
    <row r="27" spans="1:6" ht="13.8" x14ac:dyDescent="0.3">
      <c r="A27" s="175" t="s">
        <v>30</v>
      </c>
      <c r="B27" s="174">
        <f>B4/36</f>
        <v>31959.91333333333</v>
      </c>
      <c r="C27" s="174">
        <f>B5/36</f>
        <v>74573.131111111099</v>
      </c>
      <c r="D27" s="174">
        <f t="shared" si="0"/>
        <v>106533.04444444443</v>
      </c>
      <c r="E27" s="173">
        <f>D27*0.25</f>
        <v>26633.261111111107</v>
      </c>
      <c r="F27" s="173">
        <f t="shared" si="1"/>
        <v>133166.30555555553</v>
      </c>
    </row>
    <row r="28" spans="1:6" ht="13.8" x14ac:dyDescent="0.3">
      <c r="A28" s="175" t="s">
        <v>31</v>
      </c>
      <c r="B28" s="174">
        <f>B4/36</f>
        <v>31959.91333333333</v>
      </c>
      <c r="C28" s="174">
        <f>B5/36</f>
        <v>74573.131111111099</v>
      </c>
      <c r="D28" s="174">
        <f t="shared" si="0"/>
        <v>106533.04444444443</v>
      </c>
      <c r="E28" s="173">
        <f>D28*0.25</f>
        <v>26633.261111111107</v>
      </c>
      <c r="F28" s="173">
        <f t="shared" si="1"/>
        <v>133166.30555555553</v>
      </c>
    </row>
    <row r="29" spans="1:6" ht="13.8" x14ac:dyDescent="0.3">
      <c r="A29" s="175" t="s">
        <v>32</v>
      </c>
      <c r="B29" s="174">
        <f>B4/36</f>
        <v>31959.91333333333</v>
      </c>
      <c r="C29" s="174">
        <f>B5/36</f>
        <v>74573.131111111099</v>
      </c>
      <c r="D29" s="174">
        <f t="shared" si="0"/>
        <v>106533.04444444443</v>
      </c>
      <c r="E29" s="173">
        <f>D29*0.25</f>
        <v>26633.261111111107</v>
      </c>
      <c r="F29" s="173">
        <f t="shared" si="1"/>
        <v>133166.30555555553</v>
      </c>
    </row>
    <row r="30" spans="1:6" ht="13.8" x14ac:dyDescent="0.3">
      <c r="A30" s="175" t="s">
        <v>33</v>
      </c>
      <c r="B30" s="174">
        <f>B4/36</f>
        <v>31959.91333333333</v>
      </c>
      <c r="C30" s="174">
        <f>B5/36</f>
        <v>74573.131111111099</v>
      </c>
      <c r="D30" s="174">
        <f t="shared" si="0"/>
        <v>106533.04444444443</v>
      </c>
      <c r="E30" s="173">
        <f>D30*0.5</f>
        <v>53266.522222222215</v>
      </c>
      <c r="F30" s="173">
        <f t="shared" si="1"/>
        <v>159799.56666666665</v>
      </c>
    </row>
    <row r="31" spans="1:6" ht="13.8" x14ac:dyDescent="0.3">
      <c r="A31" s="175" t="s">
        <v>34</v>
      </c>
      <c r="B31" s="174">
        <f>B4/36</f>
        <v>31959.91333333333</v>
      </c>
      <c r="C31" s="174">
        <f>B5/36</f>
        <v>74573.131111111099</v>
      </c>
      <c r="D31" s="174">
        <f t="shared" si="0"/>
        <v>106533.04444444443</v>
      </c>
      <c r="E31" s="173">
        <f>D31*0.25</f>
        <v>26633.261111111107</v>
      </c>
      <c r="F31" s="173">
        <f t="shared" si="1"/>
        <v>133166.30555555553</v>
      </c>
    </row>
    <row r="32" spans="1:6" ht="13.8" x14ac:dyDescent="0.3">
      <c r="A32" s="175" t="s">
        <v>35</v>
      </c>
      <c r="B32" s="174">
        <f>B4/36</f>
        <v>31959.91333333333</v>
      </c>
      <c r="C32" s="174">
        <f>B5/36</f>
        <v>74573.131111111099</v>
      </c>
      <c r="D32" s="174">
        <f t="shared" si="0"/>
        <v>106533.04444444443</v>
      </c>
      <c r="E32" s="173">
        <f>D32*0.25</f>
        <v>26633.261111111107</v>
      </c>
      <c r="F32" s="173">
        <f t="shared" si="1"/>
        <v>133166.30555555553</v>
      </c>
    </row>
    <row r="33" spans="1:6" ht="13.8" x14ac:dyDescent="0.3">
      <c r="A33" s="175" t="s">
        <v>36</v>
      </c>
      <c r="B33" s="174">
        <f>B4/36</f>
        <v>31959.91333333333</v>
      </c>
      <c r="C33" s="174">
        <f>B5/36</f>
        <v>74573.131111111099</v>
      </c>
      <c r="D33" s="174">
        <f t="shared" si="0"/>
        <v>106533.04444444443</v>
      </c>
      <c r="E33" s="173">
        <f>D33*0</f>
        <v>0</v>
      </c>
      <c r="F33" s="173">
        <f t="shared" si="1"/>
        <v>106533.04444444443</v>
      </c>
    </row>
    <row r="34" spans="1:6" ht="13.8" x14ac:dyDescent="0.3">
      <c r="A34" s="175" t="s">
        <v>37</v>
      </c>
      <c r="B34" s="174">
        <f>B4/36</f>
        <v>31959.91333333333</v>
      </c>
      <c r="C34" s="174">
        <f>B5/36</f>
        <v>74573.131111111099</v>
      </c>
      <c r="D34" s="174">
        <f t="shared" si="0"/>
        <v>106533.04444444443</v>
      </c>
      <c r="E34" s="173">
        <f>D34*0.25</f>
        <v>26633.261111111107</v>
      </c>
      <c r="F34" s="173">
        <f t="shared" si="1"/>
        <v>133166.30555555553</v>
      </c>
    </row>
    <row r="35" spans="1:6" ht="13.8" x14ac:dyDescent="0.3">
      <c r="A35" s="175" t="s">
        <v>38</v>
      </c>
      <c r="B35" s="174">
        <f>B4/36</f>
        <v>31959.91333333333</v>
      </c>
      <c r="C35" s="174">
        <f>B5/36</f>
        <v>74573.131111111099</v>
      </c>
      <c r="D35" s="174">
        <f t="shared" si="0"/>
        <v>106533.04444444443</v>
      </c>
      <c r="E35" s="173">
        <f>D35*0</f>
        <v>0</v>
      </c>
      <c r="F35" s="173">
        <f t="shared" si="1"/>
        <v>106533.04444444443</v>
      </c>
    </row>
    <row r="36" spans="1:6" ht="13.8" x14ac:dyDescent="0.3">
      <c r="A36" s="175" t="s">
        <v>39</v>
      </c>
      <c r="B36" s="174">
        <f>B4/36</f>
        <v>31959.91333333333</v>
      </c>
      <c r="C36" s="174">
        <f>B5/36</f>
        <v>74573.131111111099</v>
      </c>
      <c r="D36" s="174">
        <f t="shared" si="0"/>
        <v>106533.04444444443</v>
      </c>
      <c r="E36" s="173">
        <f>D36*0.25</f>
        <v>26633.261111111107</v>
      </c>
      <c r="F36" s="173">
        <f t="shared" si="1"/>
        <v>133166.30555555553</v>
      </c>
    </row>
    <row r="37" spans="1:6" ht="13.8" x14ac:dyDescent="0.3">
      <c r="A37" s="175" t="s">
        <v>40</v>
      </c>
      <c r="B37" s="174">
        <f>B4/36</f>
        <v>31959.91333333333</v>
      </c>
      <c r="C37" s="174">
        <f>B5/36</f>
        <v>74573.131111111099</v>
      </c>
      <c r="D37" s="174">
        <f t="shared" si="0"/>
        <v>106533.04444444443</v>
      </c>
      <c r="E37" s="173">
        <f>D37*0.25</f>
        <v>26633.261111111107</v>
      </c>
      <c r="F37" s="173">
        <f t="shared" si="1"/>
        <v>133166.30555555553</v>
      </c>
    </row>
    <row r="38" spans="1:6" ht="13.8" x14ac:dyDescent="0.3">
      <c r="A38" s="175" t="s">
        <v>41</v>
      </c>
      <c r="B38" s="174">
        <f>B4/36</f>
        <v>31959.91333333333</v>
      </c>
      <c r="C38" s="174">
        <f>B5/36</f>
        <v>74573.131111111099</v>
      </c>
      <c r="D38" s="174">
        <f t="shared" si="0"/>
        <v>106533.04444444443</v>
      </c>
      <c r="E38" s="173">
        <f>D38*0.25</f>
        <v>26633.261111111107</v>
      </c>
      <c r="F38" s="173">
        <f t="shared" si="1"/>
        <v>133166.30555555553</v>
      </c>
    </row>
    <row r="39" spans="1:6" ht="13.8" x14ac:dyDescent="0.3">
      <c r="A39" s="175" t="s">
        <v>42</v>
      </c>
      <c r="B39" s="174">
        <f>B4/36</f>
        <v>31959.91333333333</v>
      </c>
      <c r="C39" s="174">
        <f>B5/36</f>
        <v>74573.131111111099</v>
      </c>
      <c r="D39" s="174">
        <f t="shared" si="0"/>
        <v>106533.04444444443</v>
      </c>
      <c r="E39" s="173">
        <f>D39*0.25</f>
        <v>26633.261111111107</v>
      </c>
      <c r="F39" s="173">
        <f t="shared" si="1"/>
        <v>133166.30555555553</v>
      </c>
    </row>
    <row r="40" spans="1:6" ht="13.8" x14ac:dyDescent="0.3">
      <c r="A40" s="175" t="s">
        <v>43</v>
      </c>
      <c r="B40" s="174">
        <f>B4/36</f>
        <v>31959.91333333333</v>
      </c>
      <c r="C40" s="174">
        <f>B5/36</f>
        <v>74573.131111111099</v>
      </c>
      <c r="D40" s="174">
        <f t="shared" si="0"/>
        <v>106533.04444444443</v>
      </c>
      <c r="E40" s="173">
        <f>D40*0.25</f>
        <v>26633.261111111107</v>
      </c>
      <c r="F40" s="173">
        <f t="shared" si="1"/>
        <v>133166.30555555553</v>
      </c>
    </row>
    <row r="41" spans="1:6" ht="13.8" x14ac:dyDescent="0.3">
      <c r="A41" s="175" t="s">
        <v>44</v>
      </c>
      <c r="B41" s="174">
        <f>B4/36</f>
        <v>31959.91333333333</v>
      </c>
      <c r="C41" s="174">
        <f>B5/36</f>
        <v>74573.131111111099</v>
      </c>
      <c r="D41" s="174">
        <f t="shared" si="0"/>
        <v>106533.04444444443</v>
      </c>
      <c r="E41" s="173">
        <f>D41*0</f>
        <v>0</v>
      </c>
      <c r="F41" s="173">
        <f t="shared" si="1"/>
        <v>106533.04444444443</v>
      </c>
    </row>
    <row r="42" spans="1:6" ht="13.8" x14ac:dyDescent="0.3">
      <c r="A42" s="175" t="s">
        <v>45</v>
      </c>
      <c r="B42" s="174">
        <f>B4/36</f>
        <v>31959.91333333333</v>
      </c>
      <c r="C42" s="174">
        <f>B5/36</f>
        <v>74573.131111111099</v>
      </c>
      <c r="D42" s="174">
        <f t="shared" si="0"/>
        <v>106533.04444444443</v>
      </c>
      <c r="E42" s="173">
        <f>D42*0.25</f>
        <v>26633.261111111107</v>
      </c>
      <c r="F42" s="173">
        <f t="shared" si="1"/>
        <v>133166.30555555553</v>
      </c>
    </row>
    <row r="43" spans="1:6" ht="13.8" x14ac:dyDescent="0.3">
      <c r="A43" s="175" t="s">
        <v>46</v>
      </c>
      <c r="B43" s="174">
        <f>B4/36</f>
        <v>31959.91333333333</v>
      </c>
      <c r="C43" s="174">
        <f>B5/36</f>
        <v>74573.131111111099</v>
      </c>
      <c r="D43" s="174">
        <f t="shared" si="0"/>
        <v>106533.04444444443</v>
      </c>
      <c r="E43" s="173">
        <f>D43*0</f>
        <v>0</v>
      </c>
      <c r="F43" s="173">
        <f t="shared" si="1"/>
        <v>106533.04444444443</v>
      </c>
    </row>
    <row r="44" spans="1:6" ht="13.8" x14ac:dyDescent="0.3">
      <c r="A44" s="172" t="s">
        <v>69</v>
      </c>
      <c r="B44" s="171">
        <f>SUM(B8:B43)</f>
        <v>1150556.8799999999</v>
      </c>
      <c r="C44" s="171">
        <f>SUM(C8:C43)</f>
        <v>2684632.7199999983</v>
      </c>
      <c r="D44" s="171">
        <f>SUM(D8:D43)</f>
        <v>3835189.6000000015</v>
      </c>
      <c r="E44" s="170">
        <f>SUM(E8:E43)</f>
        <v>1038697.1833333336</v>
      </c>
      <c r="F44" s="170">
        <f>SUM(F8:F43)</f>
        <v>4873886.7833333332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F7F1-2408-4574-853E-405778F41081}">
  <sheetPr codeName="Sheet6">
    <outlinePr summaryBelow="0" summaryRight="0"/>
  </sheetPr>
  <dimension ref="A1:H58"/>
  <sheetViews>
    <sheetView workbookViewId="0">
      <selection sqref="A1:G1"/>
    </sheetView>
  </sheetViews>
  <sheetFormatPr defaultColWidth="12.5546875" defaultRowHeight="15.75" customHeight="1" x14ac:dyDescent="0.3"/>
  <cols>
    <col min="1" max="1" width="26.33203125" style="169" customWidth="1"/>
    <col min="2" max="2" width="19.5546875" style="169" customWidth="1"/>
    <col min="3" max="3" width="15.33203125" style="169" customWidth="1"/>
    <col min="4" max="4" width="13.5546875" style="169" customWidth="1"/>
    <col min="5" max="6" width="20" style="169" customWidth="1"/>
    <col min="7" max="7" width="12.5546875" style="169"/>
    <col min="8" max="8" width="61.33203125" style="169" customWidth="1"/>
    <col min="9" max="16384" width="12.5546875" style="169"/>
  </cols>
  <sheetData>
    <row r="1" spans="1:8" ht="21" x14ac:dyDescent="0.4">
      <c r="A1" s="211" t="s">
        <v>229</v>
      </c>
      <c r="B1" s="211"/>
      <c r="C1" s="211"/>
      <c r="D1" s="211"/>
      <c r="E1" s="211"/>
      <c r="F1" s="211"/>
      <c r="G1" s="211"/>
    </row>
    <row r="2" spans="1:8" ht="13.8" x14ac:dyDescent="0.3">
      <c r="A2" s="176" t="s">
        <v>159</v>
      </c>
      <c r="B2" s="174">
        <v>4793987</v>
      </c>
      <c r="C2" s="173">
        <f>B2-B3</f>
        <v>958797.39999999991</v>
      </c>
    </row>
    <row r="3" spans="1:8" ht="13.8" x14ac:dyDescent="0.3">
      <c r="A3" s="176" t="s">
        <v>158</v>
      </c>
      <c r="B3" s="174">
        <f>B2*0.8</f>
        <v>3835189.6</v>
      </c>
      <c r="C3" s="177" t="s">
        <v>157</v>
      </c>
      <c r="D3" s="172" t="s">
        <v>168</v>
      </c>
    </row>
    <row r="4" spans="1:8" ht="13.8" x14ac:dyDescent="0.3">
      <c r="A4" s="176" t="s">
        <v>154</v>
      </c>
      <c r="B4" s="174">
        <f>B3*0.3</f>
        <v>1150556.8799999999</v>
      </c>
      <c r="C4" s="174">
        <f>(B4/(45*7))</f>
        <v>3652.5615238095234</v>
      </c>
      <c r="D4" s="175">
        <v>7</v>
      </c>
    </row>
    <row r="5" spans="1:8" ht="15.75" customHeight="1" x14ac:dyDescent="0.3">
      <c r="A5" s="176" t="s">
        <v>153</v>
      </c>
      <c r="B5" s="174">
        <f>B3*0.7</f>
        <v>2684632.7199999997</v>
      </c>
      <c r="C5" s="174">
        <f>(B5/(45*6))</f>
        <v>9943.0841481481475</v>
      </c>
      <c r="D5" s="175">
        <v>6</v>
      </c>
    </row>
    <row r="6" spans="1:8" ht="13.8" x14ac:dyDescent="0.3">
      <c r="H6" s="176" t="s">
        <v>155</v>
      </c>
    </row>
    <row r="7" spans="1:8" ht="13.8" x14ac:dyDescent="0.3">
      <c r="A7" s="177" t="s">
        <v>5</v>
      </c>
      <c r="B7" s="177" t="s">
        <v>154</v>
      </c>
      <c r="C7" s="177" t="s">
        <v>153</v>
      </c>
      <c r="D7" s="177" t="s">
        <v>152</v>
      </c>
      <c r="E7" s="177" t="s">
        <v>151</v>
      </c>
      <c r="F7" s="177" t="s">
        <v>150</v>
      </c>
      <c r="H7" s="175" t="s">
        <v>149</v>
      </c>
    </row>
    <row r="8" spans="1:8" ht="13.8" x14ac:dyDescent="0.3">
      <c r="A8" s="175" t="s">
        <v>11</v>
      </c>
      <c r="B8" s="174">
        <f>B4/45</f>
        <v>25567.930666666663</v>
      </c>
      <c r="C8" s="174">
        <f>B5/45</f>
        <v>59658.504888888885</v>
      </c>
      <c r="D8" s="174">
        <f t="shared" ref="D8:D43" si="0">SUM(B8:C8)</f>
        <v>85226.435555555552</v>
      </c>
      <c r="E8" s="173">
        <f>D8*0.5</f>
        <v>42613.217777777776</v>
      </c>
      <c r="F8" s="173">
        <f t="shared" ref="F8:F43" si="1">D8+E8</f>
        <v>127839.65333333332</v>
      </c>
      <c r="H8" s="175" t="s">
        <v>148</v>
      </c>
    </row>
    <row r="9" spans="1:8" ht="13.8" x14ac:dyDescent="0.3">
      <c r="A9" s="175" t="s">
        <v>12</v>
      </c>
      <c r="B9" s="174">
        <f>B4/45</f>
        <v>25567.930666666663</v>
      </c>
      <c r="C9" s="174">
        <f>B5/45</f>
        <v>59658.504888888885</v>
      </c>
      <c r="D9" s="174">
        <f t="shared" si="0"/>
        <v>85226.435555555552</v>
      </c>
      <c r="E9" s="173">
        <f>D9*0</f>
        <v>0</v>
      </c>
      <c r="F9" s="173">
        <f t="shared" si="1"/>
        <v>85226.435555555552</v>
      </c>
      <c r="H9" s="175" t="s">
        <v>147</v>
      </c>
    </row>
    <row r="10" spans="1:8" ht="13.8" x14ac:dyDescent="0.3">
      <c r="A10" s="175" t="s">
        <v>13</v>
      </c>
      <c r="B10" s="174">
        <f>B4/45</f>
        <v>25567.930666666663</v>
      </c>
      <c r="C10" s="174">
        <f>B5/45</f>
        <v>59658.504888888885</v>
      </c>
      <c r="D10" s="174">
        <f t="shared" si="0"/>
        <v>85226.435555555552</v>
      </c>
      <c r="E10" s="173">
        <f>D10*0</f>
        <v>0</v>
      </c>
      <c r="F10" s="173">
        <f t="shared" si="1"/>
        <v>85226.435555555552</v>
      </c>
      <c r="H10" s="175" t="s">
        <v>146</v>
      </c>
    </row>
    <row r="11" spans="1:8" ht="13.8" x14ac:dyDescent="0.3">
      <c r="A11" s="175" t="s">
        <v>14</v>
      </c>
      <c r="B11" s="174">
        <f>B4/45</f>
        <v>25567.930666666663</v>
      </c>
      <c r="C11" s="174">
        <f>B5/45</f>
        <v>59658.504888888885</v>
      </c>
      <c r="D11" s="174">
        <f t="shared" si="0"/>
        <v>85226.435555555552</v>
      </c>
      <c r="E11" s="173">
        <f>D11*0.25</f>
        <v>21306.608888888888</v>
      </c>
      <c r="F11" s="173">
        <f t="shared" si="1"/>
        <v>106533.04444444444</v>
      </c>
      <c r="H11" s="175" t="s">
        <v>145</v>
      </c>
    </row>
    <row r="12" spans="1:8" ht="13.8" x14ac:dyDescent="0.3">
      <c r="A12" s="175" t="s">
        <v>15</v>
      </c>
      <c r="B12" s="174">
        <f>B4/45</f>
        <v>25567.930666666663</v>
      </c>
      <c r="C12" s="174">
        <f>B5/45</f>
        <v>59658.504888888885</v>
      </c>
      <c r="D12" s="174">
        <f t="shared" si="0"/>
        <v>85226.435555555552</v>
      </c>
      <c r="E12" s="173">
        <f>D12*0.25</f>
        <v>21306.608888888888</v>
      </c>
      <c r="F12" s="173">
        <f t="shared" si="1"/>
        <v>106533.04444444444</v>
      </c>
      <c r="H12" s="175" t="s">
        <v>144</v>
      </c>
    </row>
    <row r="13" spans="1:8" ht="13.8" x14ac:dyDescent="0.3">
      <c r="A13" s="175" t="s">
        <v>16</v>
      </c>
      <c r="B13" s="174">
        <f>B4/45</f>
        <v>25567.930666666663</v>
      </c>
      <c r="C13" s="174">
        <f>B5/45</f>
        <v>59658.504888888885</v>
      </c>
      <c r="D13" s="174">
        <f t="shared" si="0"/>
        <v>85226.435555555552</v>
      </c>
      <c r="E13" s="173">
        <f>D13*0.5</f>
        <v>42613.217777777776</v>
      </c>
      <c r="F13" s="173">
        <f t="shared" si="1"/>
        <v>127839.65333333332</v>
      </c>
      <c r="H13" s="175" t="s">
        <v>143</v>
      </c>
    </row>
    <row r="14" spans="1:8" ht="13.8" x14ac:dyDescent="0.3">
      <c r="A14" s="175" t="s">
        <v>17</v>
      </c>
      <c r="B14" s="174">
        <f>B4/45</f>
        <v>25567.930666666663</v>
      </c>
      <c r="C14" s="174">
        <f>B5/45</f>
        <v>59658.504888888885</v>
      </c>
      <c r="D14" s="174">
        <f t="shared" si="0"/>
        <v>85226.435555555552</v>
      </c>
      <c r="E14" s="173">
        <f>D14*0.5</f>
        <v>42613.217777777776</v>
      </c>
      <c r="F14" s="173">
        <f t="shared" si="1"/>
        <v>127839.65333333332</v>
      </c>
      <c r="H14" s="175"/>
    </row>
    <row r="15" spans="1:8" ht="13.8" x14ac:dyDescent="0.3">
      <c r="A15" s="175" t="s">
        <v>18</v>
      </c>
      <c r="B15" s="174">
        <f>B4/45</f>
        <v>25567.930666666663</v>
      </c>
      <c r="C15" s="174">
        <f>B5/45</f>
        <v>59658.504888888885</v>
      </c>
      <c r="D15" s="174">
        <f t="shared" si="0"/>
        <v>85226.435555555552</v>
      </c>
      <c r="E15" s="173">
        <f>D15*0.5</f>
        <v>42613.217777777776</v>
      </c>
      <c r="F15" s="173">
        <f t="shared" si="1"/>
        <v>127839.65333333332</v>
      </c>
      <c r="H15" s="176" t="s">
        <v>142</v>
      </c>
    </row>
    <row r="16" spans="1:8" ht="13.8" x14ac:dyDescent="0.3">
      <c r="A16" s="175" t="s">
        <v>19</v>
      </c>
      <c r="B16" s="174">
        <f>B4/45</f>
        <v>25567.930666666663</v>
      </c>
      <c r="C16" s="174">
        <f>B5/45</f>
        <v>59658.504888888885</v>
      </c>
      <c r="D16" s="174">
        <f t="shared" si="0"/>
        <v>85226.435555555552</v>
      </c>
      <c r="E16" s="173">
        <f>D16*0</f>
        <v>0</v>
      </c>
      <c r="F16" s="173">
        <f t="shared" si="1"/>
        <v>85226.435555555552</v>
      </c>
      <c r="H16" s="175" t="s">
        <v>167</v>
      </c>
    </row>
    <row r="17" spans="1:6" ht="13.8" x14ac:dyDescent="0.3">
      <c r="A17" s="175" t="s">
        <v>20</v>
      </c>
      <c r="B17" s="174">
        <f>B4/45</f>
        <v>25567.930666666663</v>
      </c>
      <c r="C17" s="174">
        <f>B5/45</f>
        <v>59658.504888888885</v>
      </c>
      <c r="D17" s="174">
        <f t="shared" si="0"/>
        <v>85226.435555555552</v>
      </c>
      <c r="E17" s="173">
        <f>D17*0.5</f>
        <v>42613.217777777776</v>
      </c>
      <c r="F17" s="173">
        <f t="shared" si="1"/>
        <v>127839.65333333332</v>
      </c>
    </row>
    <row r="18" spans="1:6" ht="13.8" x14ac:dyDescent="0.3">
      <c r="A18" s="175" t="s">
        <v>21</v>
      </c>
      <c r="B18" s="174">
        <f>B4/45</f>
        <v>25567.930666666663</v>
      </c>
      <c r="C18" s="174">
        <f>B5/45</f>
        <v>59658.504888888885</v>
      </c>
      <c r="D18" s="174">
        <f t="shared" si="0"/>
        <v>85226.435555555552</v>
      </c>
      <c r="E18" s="173">
        <f>D18*0</f>
        <v>0</v>
      </c>
      <c r="F18" s="173">
        <f t="shared" si="1"/>
        <v>85226.435555555552</v>
      </c>
    </row>
    <row r="19" spans="1:6" ht="13.8" x14ac:dyDescent="0.3">
      <c r="A19" s="175" t="s">
        <v>22</v>
      </c>
      <c r="B19" s="174">
        <f>B4/45</f>
        <v>25567.930666666663</v>
      </c>
      <c r="C19" s="174">
        <f>B5/45</f>
        <v>59658.504888888885</v>
      </c>
      <c r="D19" s="174">
        <f t="shared" si="0"/>
        <v>85226.435555555552</v>
      </c>
      <c r="E19" s="173">
        <f>D19*0.5</f>
        <v>42613.217777777776</v>
      </c>
      <c r="F19" s="173">
        <f t="shared" si="1"/>
        <v>127839.65333333332</v>
      </c>
    </row>
    <row r="20" spans="1:6" ht="13.8" x14ac:dyDescent="0.3">
      <c r="A20" s="175" t="s">
        <v>23</v>
      </c>
      <c r="B20" s="174">
        <f>B4/45</f>
        <v>25567.930666666663</v>
      </c>
      <c r="C20" s="174">
        <f>B5/45</f>
        <v>59658.504888888885</v>
      </c>
      <c r="D20" s="174">
        <f t="shared" si="0"/>
        <v>85226.435555555552</v>
      </c>
      <c r="E20" s="173">
        <f>D20*0.5</f>
        <v>42613.217777777776</v>
      </c>
      <c r="F20" s="173">
        <f t="shared" si="1"/>
        <v>127839.65333333332</v>
      </c>
    </row>
    <row r="21" spans="1:6" ht="13.8" x14ac:dyDescent="0.3">
      <c r="A21" s="175" t="s">
        <v>24</v>
      </c>
      <c r="B21" s="174">
        <f>B4/45</f>
        <v>25567.930666666663</v>
      </c>
      <c r="C21" s="174">
        <f>B5/45</f>
        <v>59658.504888888885</v>
      </c>
      <c r="D21" s="174">
        <f t="shared" si="0"/>
        <v>85226.435555555552</v>
      </c>
      <c r="E21" s="173">
        <f>D21*0</f>
        <v>0</v>
      </c>
      <c r="F21" s="173">
        <f t="shared" si="1"/>
        <v>85226.435555555552</v>
      </c>
    </row>
    <row r="22" spans="1:6" ht="13.8" x14ac:dyDescent="0.3">
      <c r="A22" s="175" t="s">
        <v>25</v>
      </c>
      <c r="B22" s="174">
        <f>B4/45</f>
        <v>25567.930666666663</v>
      </c>
      <c r="C22" s="174">
        <f>B5/45</f>
        <v>59658.504888888885</v>
      </c>
      <c r="D22" s="174">
        <f t="shared" si="0"/>
        <v>85226.435555555552</v>
      </c>
      <c r="E22" s="173">
        <f>D22*0.25</f>
        <v>21306.608888888888</v>
      </c>
      <c r="F22" s="173">
        <f t="shared" si="1"/>
        <v>106533.04444444444</v>
      </c>
    </row>
    <row r="23" spans="1:6" ht="13.8" x14ac:dyDescent="0.3">
      <c r="A23" s="175" t="s">
        <v>26</v>
      </c>
      <c r="B23" s="174">
        <f>B4/45</f>
        <v>25567.930666666663</v>
      </c>
      <c r="C23" s="174">
        <f>B5/45</f>
        <v>59658.504888888885</v>
      </c>
      <c r="D23" s="174">
        <f t="shared" si="0"/>
        <v>85226.435555555552</v>
      </c>
      <c r="E23" s="173">
        <f>D23*0.5</f>
        <v>42613.217777777776</v>
      </c>
      <c r="F23" s="173">
        <f t="shared" si="1"/>
        <v>127839.65333333332</v>
      </c>
    </row>
    <row r="24" spans="1:6" ht="13.8" x14ac:dyDescent="0.3">
      <c r="A24" s="175" t="s">
        <v>27</v>
      </c>
      <c r="B24" s="174">
        <f>B4/45</f>
        <v>25567.930666666663</v>
      </c>
      <c r="C24" s="174">
        <f>B5/45</f>
        <v>59658.504888888885</v>
      </c>
      <c r="D24" s="174">
        <f t="shared" si="0"/>
        <v>85226.435555555552</v>
      </c>
      <c r="E24" s="173">
        <f>D24*0.5</f>
        <v>42613.217777777776</v>
      </c>
      <c r="F24" s="173">
        <f t="shared" si="1"/>
        <v>127839.65333333332</v>
      </c>
    </row>
    <row r="25" spans="1:6" ht="13.8" x14ac:dyDescent="0.3">
      <c r="A25" s="175" t="s">
        <v>28</v>
      </c>
      <c r="B25" s="174">
        <f>B4/45</f>
        <v>25567.930666666663</v>
      </c>
      <c r="C25" s="174">
        <f>B5/45</f>
        <v>59658.504888888885</v>
      </c>
      <c r="D25" s="174">
        <f t="shared" si="0"/>
        <v>85226.435555555552</v>
      </c>
      <c r="E25" s="173">
        <f>D25*0.5</f>
        <v>42613.217777777776</v>
      </c>
      <c r="F25" s="173">
        <f t="shared" si="1"/>
        <v>127839.65333333332</v>
      </c>
    </row>
    <row r="26" spans="1:6" ht="13.8" x14ac:dyDescent="0.3">
      <c r="A26" s="175" t="s">
        <v>29</v>
      </c>
      <c r="B26" s="174">
        <f>B4/45</f>
        <v>25567.930666666663</v>
      </c>
      <c r="C26" s="174">
        <f>B5/45</f>
        <v>59658.504888888885</v>
      </c>
      <c r="D26" s="174">
        <f t="shared" si="0"/>
        <v>85226.435555555552</v>
      </c>
      <c r="E26" s="173">
        <f>D26*0.5</f>
        <v>42613.217777777776</v>
      </c>
      <c r="F26" s="173">
        <f t="shared" si="1"/>
        <v>127839.65333333332</v>
      </c>
    </row>
    <row r="27" spans="1:6" ht="13.8" x14ac:dyDescent="0.3">
      <c r="A27" s="175" t="s">
        <v>30</v>
      </c>
      <c r="B27" s="174">
        <f>B4/45</f>
        <v>25567.930666666663</v>
      </c>
      <c r="C27" s="174">
        <f>B5/45</f>
        <v>59658.504888888885</v>
      </c>
      <c r="D27" s="174">
        <f t="shared" si="0"/>
        <v>85226.435555555552</v>
      </c>
      <c r="E27" s="173">
        <f>D27*0.25</f>
        <v>21306.608888888888</v>
      </c>
      <c r="F27" s="173">
        <f t="shared" si="1"/>
        <v>106533.04444444444</v>
      </c>
    </row>
    <row r="28" spans="1:6" ht="13.8" x14ac:dyDescent="0.3">
      <c r="A28" s="175" t="s">
        <v>31</v>
      </c>
      <c r="B28" s="174">
        <f>B4/45</f>
        <v>25567.930666666663</v>
      </c>
      <c r="C28" s="174">
        <f>B5/45</f>
        <v>59658.504888888885</v>
      </c>
      <c r="D28" s="174">
        <f t="shared" si="0"/>
        <v>85226.435555555552</v>
      </c>
      <c r="E28" s="173">
        <f>D28*0.25</f>
        <v>21306.608888888888</v>
      </c>
      <c r="F28" s="173">
        <f t="shared" si="1"/>
        <v>106533.04444444444</v>
      </c>
    </row>
    <row r="29" spans="1:6" ht="13.8" x14ac:dyDescent="0.3">
      <c r="A29" s="175" t="s">
        <v>32</v>
      </c>
      <c r="B29" s="174">
        <f>B4/45</f>
        <v>25567.930666666663</v>
      </c>
      <c r="C29" s="174">
        <f>B5/45</f>
        <v>59658.504888888885</v>
      </c>
      <c r="D29" s="174">
        <f t="shared" si="0"/>
        <v>85226.435555555552</v>
      </c>
      <c r="E29" s="173">
        <f>D29*0.25</f>
        <v>21306.608888888888</v>
      </c>
      <c r="F29" s="173">
        <f t="shared" si="1"/>
        <v>106533.04444444444</v>
      </c>
    </row>
    <row r="30" spans="1:6" ht="13.8" x14ac:dyDescent="0.3">
      <c r="A30" s="175" t="s">
        <v>33</v>
      </c>
      <c r="B30" s="174">
        <f>B4/45</f>
        <v>25567.930666666663</v>
      </c>
      <c r="C30" s="174">
        <f>B5/45</f>
        <v>59658.504888888885</v>
      </c>
      <c r="D30" s="174">
        <f t="shared" si="0"/>
        <v>85226.435555555552</v>
      </c>
      <c r="E30" s="173">
        <f>D30*0.5</f>
        <v>42613.217777777776</v>
      </c>
      <c r="F30" s="173">
        <f t="shared" si="1"/>
        <v>127839.65333333332</v>
      </c>
    </row>
    <row r="31" spans="1:6" ht="13.8" x14ac:dyDescent="0.3">
      <c r="A31" s="175" t="s">
        <v>34</v>
      </c>
      <c r="B31" s="174">
        <f>B4/45</f>
        <v>25567.930666666663</v>
      </c>
      <c r="C31" s="174">
        <f>B5/45</f>
        <v>59658.504888888885</v>
      </c>
      <c r="D31" s="174">
        <f t="shared" si="0"/>
        <v>85226.435555555552</v>
      </c>
      <c r="E31" s="173">
        <f>D31*0.25</f>
        <v>21306.608888888888</v>
      </c>
      <c r="F31" s="173">
        <f t="shared" si="1"/>
        <v>106533.04444444444</v>
      </c>
    </row>
    <row r="32" spans="1:6" ht="13.8" x14ac:dyDescent="0.3">
      <c r="A32" s="175" t="s">
        <v>35</v>
      </c>
      <c r="B32" s="174">
        <f>B4/45</f>
        <v>25567.930666666663</v>
      </c>
      <c r="C32" s="174">
        <f>B5/45</f>
        <v>59658.504888888885</v>
      </c>
      <c r="D32" s="174">
        <f t="shared" si="0"/>
        <v>85226.435555555552</v>
      </c>
      <c r="E32" s="173">
        <f>D32*0</f>
        <v>0</v>
      </c>
      <c r="F32" s="173">
        <f t="shared" si="1"/>
        <v>85226.435555555552</v>
      </c>
    </row>
    <row r="33" spans="1:6" ht="13.8" x14ac:dyDescent="0.3">
      <c r="A33" s="175" t="s">
        <v>36</v>
      </c>
      <c r="B33" s="174">
        <f>B4/45</f>
        <v>25567.930666666663</v>
      </c>
      <c r="C33" s="174">
        <f>B5/45</f>
        <v>59658.504888888885</v>
      </c>
      <c r="D33" s="174">
        <f t="shared" si="0"/>
        <v>85226.435555555552</v>
      </c>
      <c r="E33" s="173">
        <f>D33*0.25</f>
        <v>21306.608888888888</v>
      </c>
      <c r="F33" s="173">
        <f t="shared" si="1"/>
        <v>106533.04444444444</v>
      </c>
    </row>
    <row r="34" spans="1:6" ht="13.8" x14ac:dyDescent="0.3">
      <c r="A34" s="175" t="s">
        <v>37</v>
      </c>
      <c r="B34" s="174">
        <f>B4/45</f>
        <v>25567.930666666663</v>
      </c>
      <c r="C34" s="174">
        <f>B5/45</f>
        <v>59658.504888888885</v>
      </c>
      <c r="D34" s="174">
        <f t="shared" si="0"/>
        <v>85226.435555555552</v>
      </c>
      <c r="E34" s="173">
        <f>D34*0.25</f>
        <v>21306.608888888888</v>
      </c>
      <c r="F34" s="173">
        <f t="shared" si="1"/>
        <v>106533.04444444444</v>
      </c>
    </row>
    <row r="35" spans="1:6" ht="13.8" x14ac:dyDescent="0.3">
      <c r="A35" s="175" t="s">
        <v>38</v>
      </c>
      <c r="B35" s="174">
        <f>B4/45</f>
        <v>25567.930666666663</v>
      </c>
      <c r="C35" s="174">
        <f>B5/45</f>
        <v>59658.504888888885</v>
      </c>
      <c r="D35" s="174">
        <f t="shared" si="0"/>
        <v>85226.435555555552</v>
      </c>
      <c r="E35" s="173">
        <f>D35*0</f>
        <v>0</v>
      </c>
      <c r="F35" s="173">
        <f t="shared" si="1"/>
        <v>85226.435555555552</v>
      </c>
    </row>
    <row r="36" spans="1:6" ht="13.8" x14ac:dyDescent="0.3">
      <c r="A36" s="175" t="s">
        <v>39</v>
      </c>
      <c r="B36" s="174">
        <f>B4/45</f>
        <v>25567.930666666663</v>
      </c>
      <c r="C36" s="174">
        <f>B5/45</f>
        <v>59658.504888888885</v>
      </c>
      <c r="D36" s="174">
        <f t="shared" si="0"/>
        <v>85226.435555555552</v>
      </c>
      <c r="E36" s="173">
        <f>D36*0.25</f>
        <v>21306.608888888888</v>
      </c>
      <c r="F36" s="173">
        <f t="shared" si="1"/>
        <v>106533.04444444444</v>
      </c>
    </row>
    <row r="37" spans="1:6" ht="13.8" x14ac:dyDescent="0.3">
      <c r="A37" s="175" t="s">
        <v>40</v>
      </c>
      <c r="B37" s="174">
        <f>B4/45</f>
        <v>25567.930666666663</v>
      </c>
      <c r="C37" s="174">
        <f>B5/45</f>
        <v>59658.504888888885</v>
      </c>
      <c r="D37" s="174">
        <f t="shared" si="0"/>
        <v>85226.435555555552</v>
      </c>
      <c r="E37" s="173">
        <f>D37*0.25</f>
        <v>21306.608888888888</v>
      </c>
      <c r="F37" s="173">
        <f t="shared" si="1"/>
        <v>106533.04444444444</v>
      </c>
    </row>
    <row r="38" spans="1:6" ht="13.8" x14ac:dyDescent="0.3">
      <c r="A38" s="175" t="s">
        <v>41</v>
      </c>
      <c r="B38" s="174">
        <f>B4/45</f>
        <v>25567.930666666663</v>
      </c>
      <c r="C38" s="174">
        <f>B5/45</f>
        <v>59658.504888888885</v>
      </c>
      <c r="D38" s="174">
        <f t="shared" si="0"/>
        <v>85226.435555555552</v>
      </c>
      <c r="E38" s="173">
        <f>D38*0.25</f>
        <v>21306.608888888888</v>
      </c>
      <c r="F38" s="173">
        <f t="shared" si="1"/>
        <v>106533.04444444444</v>
      </c>
    </row>
    <row r="39" spans="1:6" ht="13.8" x14ac:dyDescent="0.3">
      <c r="A39" s="175" t="s">
        <v>42</v>
      </c>
      <c r="B39" s="174">
        <f>B4/45</f>
        <v>25567.930666666663</v>
      </c>
      <c r="C39" s="174">
        <f>B5/45</f>
        <v>59658.504888888885</v>
      </c>
      <c r="D39" s="174">
        <f t="shared" si="0"/>
        <v>85226.435555555552</v>
      </c>
      <c r="E39" s="173">
        <f>D39*0.25</f>
        <v>21306.608888888888</v>
      </c>
      <c r="F39" s="173">
        <f t="shared" si="1"/>
        <v>106533.04444444444</v>
      </c>
    </row>
    <row r="40" spans="1:6" ht="13.8" x14ac:dyDescent="0.3">
      <c r="A40" s="175" t="s">
        <v>43</v>
      </c>
      <c r="B40" s="174">
        <f>B4/45</f>
        <v>25567.930666666663</v>
      </c>
      <c r="C40" s="174">
        <f>B5/45</f>
        <v>59658.504888888885</v>
      </c>
      <c r="D40" s="174">
        <f t="shared" si="0"/>
        <v>85226.435555555552</v>
      </c>
      <c r="E40" s="173">
        <f>D40*0.25</f>
        <v>21306.608888888888</v>
      </c>
      <c r="F40" s="173">
        <f t="shared" si="1"/>
        <v>106533.04444444444</v>
      </c>
    </row>
    <row r="41" spans="1:6" ht="13.8" x14ac:dyDescent="0.3">
      <c r="A41" s="175" t="s">
        <v>44</v>
      </c>
      <c r="B41" s="174">
        <f>B4/45</f>
        <v>25567.930666666663</v>
      </c>
      <c r="C41" s="174">
        <f>B5/45</f>
        <v>59658.504888888885</v>
      </c>
      <c r="D41" s="174">
        <f t="shared" si="0"/>
        <v>85226.435555555552</v>
      </c>
      <c r="E41" s="173">
        <f>D41*0</f>
        <v>0</v>
      </c>
      <c r="F41" s="173">
        <f t="shared" si="1"/>
        <v>85226.435555555552</v>
      </c>
    </row>
    <row r="42" spans="1:6" ht="13.8" x14ac:dyDescent="0.3">
      <c r="A42" s="175" t="s">
        <v>45</v>
      </c>
      <c r="B42" s="174">
        <f>B4/45</f>
        <v>25567.930666666663</v>
      </c>
      <c r="C42" s="174">
        <f>B5/45</f>
        <v>59658.504888888885</v>
      </c>
      <c r="D42" s="174">
        <f t="shared" si="0"/>
        <v>85226.435555555552</v>
      </c>
      <c r="E42" s="173">
        <f>D42*0.25</f>
        <v>21306.608888888888</v>
      </c>
      <c r="F42" s="173">
        <f t="shared" si="1"/>
        <v>106533.04444444444</v>
      </c>
    </row>
    <row r="43" spans="1:6" ht="14.25" customHeight="1" x14ac:dyDescent="0.3">
      <c r="A43" s="175" t="s">
        <v>46</v>
      </c>
      <c r="B43" s="174">
        <f>B4/45</f>
        <v>25567.930666666663</v>
      </c>
      <c r="C43" s="174">
        <f>B5/45</f>
        <v>59658.504888888885</v>
      </c>
      <c r="D43" s="174">
        <f t="shared" si="0"/>
        <v>85226.435555555552</v>
      </c>
      <c r="E43" s="173">
        <f>D43*0</f>
        <v>0</v>
      </c>
      <c r="F43" s="173">
        <f t="shared" si="1"/>
        <v>85226.435555555552</v>
      </c>
    </row>
    <row r="44" spans="1:6" ht="15.75" customHeight="1" x14ac:dyDescent="0.3">
      <c r="A44" s="172" t="s">
        <v>166</v>
      </c>
      <c r="B44" s="171">
        <f>SUM(B8:B43)</f>
        <v>920445.50400000042</v>
      </c>
      <c r="C44" s="171">
        <f>SUM(C8:C43)</f>
        <v>2147706.1760000004</v>
      </c>
      <c r="D44" s="171">
        <f>SUM(D8:D43)</f>
        <v>3068151.6799999988</v>
      </c>
      <c r="E44" s="170">
        <f>SUM(E8:E43)</f>
        <v>830957.74666666612</v>
      </c>
      <c r="F44" s="170">
        <f>SUM(F8:F43)</f>
        <v>3899109.4266666677</v>
      </c>
    </row>
    <row r="45" spans="1:6" ht="13.8" x14ac:dyDescent="0.3"/>
    <row r="46" spans="1:6" ht="13.8" x14ac:dyDescent="0.3">
      <c r="A46" s="177" t="s">
        <v>104</v>
      </c>
      <c r="B46" s="177" t="s">
        <v>154</v>
      </c>
      <c r="C46" s="177" t="s">
        <v>153</v>
      </c>
      <c r="D46" s="177" t="s">
        <v>152</v>
      </c>
      <c r="E46" s="177" t="s">
        <v>151</v>
      </c>
      <c r="F46" s="177" t="s">
        <v>150</v>
      </c>
    </row>
    <row r="47" spans="1:6" ht="13.8" x14ac:dyDescent="0.3">
      <c r="A47" s="175" t="s">
        <v>50</v>
      </c>
      <c r="B47" s="174">
        <f>B4/45</f>
        <v>25567.930666666663</v>
      </c>
      <c r="C47" s="174">
        <f>B5/45</f>
        <v>59658.504888888885</v>
      </c>
      <c r="D47" s="174">
        <f t="shared" ref="D47:D55" si="2">SUM(B47:C47)</f>
        <v>85226.435555555552</v>
      </c>
      <c r="E47" s="173">
        <f t="shared" ref="E47:E55" si="3">D47*0.5</f>
        <v>42613.217777777776</v>
      </c>
      <c r="F47" s="173">
        <f t="shared" ref="F47:F55" si="4">D47+E47</f>
        <v>127839.65333333332</v>
      </c>
    </row>
    <row r="48" spans="1:6" ht="13.8" x14ac:dyDescent="0.3">
      <c r="A48" s="175" t="s">
        <v>165</v>
      </c>
      <c r="B48" s="174">
        <f>B4/45</f>
        <v>25567.930666666663</v>
      </c>
      <c r="C48" s="174">
        <f>B5/45</f>
        <v>59658.504888888885</v>
      </c>
      <c r="D48" s="174">
        <f t="shared" si="2"/>
        <v>85226.435555555552</v>
      </c>
      <c r="E48" s="173">
        <f t="shared" si="3"/>
        <v>42613.217777777776</v>
      </c>
      <c r="F48" s="173">
        <f t="shared" si="4"/>
        <v>127839.65333333332</v>
      </c>
    </row>
    <row r="49" spans="1:6" ht="13.8" x14ac:dyDescent="0.3">
      <c r="A49" s="175" t="s">
        <v>52</v>
      </c>
      <c r="B49" s="174">
        <f>B4/45</f>
        <v>25567.930666666663</v>
      </c>
      <c r="C49" s="174">
        <f>B5/45</f>
        <v>59658.504888888885</v>
      </c>
      <c r="D49" s="174">
        <f t="shared" si="2"/>
        <v>85226.435555555552</v>
      </c>
      <c r="E49" s="173">
        <f t="shared" si="3"/>
        <v>42613.217777777776</v>
      </c>
      <c r="F49" s="173">
        <f t="shared" si="4"/>
        <v>127839.65333333332</v>
      </c>
    </row>
    <row r="50" spans="1:6" ht="13.8" x14ac:dyDescent="0.3">
      <c r="A50" s="175" t="s">
        <v>164</v>
      </c>
      <c r="B50" s="174">
        <f>B4/45</f>
        <v>25567.930666666663</v>
      </c>
      <c r="C50" s="174">
        <f>B5/45</f>
        <v>59658.504888888885</v>
      </c>
      <c r="D50" s="174">
        <f t="shared" si="2"/>
        <v>85226.435555555552</v>
      </c>
      <c r="E50" s="173">
        <f t="shared" si="3"/>
        <v>42613.217777777776</v>
      </c>
      <c r="F50" s="173">
        <f t="shared" si="4"/>
        <v>127839.65333333332</v>
      </c>
    </row>
    <row r="51" spans="1:6" ht="13.8" x14ac:dyDescent="0.3">
      <c r="A51" s="175" t="s">
        <v>40</v>
      </c>
      <c r="B51" s="174">
        <f>B4/45</f>
        <v>25567.930666666663</v>
      </c>
      <c r="C51" s="174">
        <f>B5/45</f>
        <v>59658.504888888885</v>
      </c>
      <c r="D51" s="174">
        <f t="shared" si="2"/>
        <v>85226.435555555552</v>
      </c>
      <c r="E51" s="173">
        <f t="shared" si="3"/>
        <v>42613.217777777776</v>
      </c>
      <c r="F51" s="173">
        <f t="shared" si="4"/>
        <v>127839.65333333332</v>
      </c>
    </row>
    <row r="52" spans="1:6" ht="13.8" x14ac:dyDescent="0.3">
      <c r="A52" s="175" t="s">
        <v>57</v>
      </c>
      <c r="B52" s="174">
        <f>B4/45</f>
        <v>25567.930666666663</v>
      </c>
      <c r="C52" s="174">
        <f>B5/45</f>
        <v>59658.504888888885</v>
      </c>
      <c r="D52" s="174">
        <f t="shared" si="2"/>
        <v>85226.435555555552</v>
      </c>
      <c r="E52" s="173">
        <f t="shared" si="3"/>
        <v>42613.217777777776</v>
      </c>
      <c r="F52" s="173">
        <f t="shared" si="4"/>
        <v>127839.65333333332</v>
      </c>
    </row>
    <row r="53" spans="1:6" ht="13.8" x14ac:dyDescent="0.3">
      <c r="A53" s="175" t="s">
        <v>135</v>
      </c>
      <c r="B53" s="174">
        <f>B4/45</f>
        <v>25567.930666666663</v>
      </c>
      <c r="C53" s="174">
        <f>B5/45</f>
        <v>59658.504888888885</v>
      </c>
      <c r="D53" s="174">
        <f t="shared" si="2"/>
        <v>85226.435555555552</v>
      </c>
      <c r="E53" s="173">
        <f t="shared" si="3"/>
        <v>42613.217777777776</v>
      </c>
      <c r="F53" s="173">
        <f t="shared" si="4"/>
        <v>127839.65333333332</v>
      </c>
    </row>
    <row r="54" spans="1:6" ht="13.8" x14ac:dyDescent="0.3">
      <c r="A54" s="175" t="s">
        <v>163</v>
      </c>
      <c r="B54" s="174">
        <f>B4/45</f>
        <v>25567.930666666663</v>
      </c>
      <c r="C54" s="174">
        <f>B5/45</f>
        <v>59658.504888888885</v>
      </c>
      <c r="D54" s="174">
        <f t="shared" si="2"/>
        <v>85226.435555555552</v>
      </c>
      <c r="E54" s="173">
        <f t="shared" si="3"/>
        <v>42613.217777777776</v>
      </c>
      <c r="F54" s="173">
        <f t="shared" si="4"/>
        <v>127839.65333333332</v>
      </c>
    </row>
    <row r="55" spans="1:6" ht="13.8" x14ac:dyDescent="0.3">
      <c r="A55" s="175" t="s">
        <v>162</v>
      </c>
      <c r="B55" s="174">
        <f>B4/45</f>
        <v>25567.930666666663</v>
      </c>
      <c r="C55" s="174">
        <f>B5/45</f>
        <v>59658.504888888885</v>
      </c>
      <c r="D55" s="174">
        <f t="shared" si="2"/>
        <v>85226.435555555552</v>
      </c>
      <c r="E55" s="173">
        <f t="shared" si="3"/>
        <v>42613.217777777776</v>
      </c>
      <c r="F55" s="173">
        <f t="shared" si="4"/>
        <v>127839.65333333332</v>
      </c>
    </row>
    <row r="56" spans="1:6" ht="15.75" customHeight="1" x14ac:dyDescent="0.3">
      <c r="A56" s="172" t="s">
        <v>161</v>
      </c>
      <c r="B56" s="171">
        <f>SUM(B47:B55)</f>
        <v>230111.37599999993</v>
      </c>
      <c r="C56" s="171">
        <f>SUM(C47:C55)</f>
        <v>536926.54400000011</v>
      </c>
      <c r="D56" s="171">
        <f>SUM(D47:D55)</f>
        <v>767037.91999999993</v>
      </c>
      <c r="E56" s="170">
        <f>SUM(E47:E55)</f>
        <v>383518.95999999996</v>
      </c>
      <c r="F56" s="170">
        <f>SUM(F47:F55)</f>
        <v>1150556.8799999999</v>
      </c>
    </row>
    <row r="57" spans="1:6" ht="13.8" x14ac:dyDescent="0.3"/>
    <row r="58" spans="1:6" ht="15.75" customHeight="1" x14ac:dyDescent="0.3">
      <c r="A58" s="179" t="s">
        <v>160</v>
      </c>
      <c r="B58" s="178">
        <f>B44+B56</f>
        <v>1150556.8800000004</v>
      </c>
      <c r="C58" s="178">
        <f>C44+C56</f>
        <v>2684632.7200000007</v>
      </c>
      <c r="D58" s="178">
        <f>D44+D56</f>
        <v>3835189.5999999987</v>
      </c>
      <c r="E58" s="178">
        <f>E44+E56</f>
        <v>1214476.7066666661</v>
      </c>
      <c r="F58" s="178">
        <f>F44+F56</f>
        <v>5049666.3066666676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A35FC-C6AA-4BCF-B1A1-3C19ABBFB5AC}">
  <sheetPr codeName="Sheet7">
    <outlinePr summaryBelow="0" summaryRight="0"/>
  </sheetPr>
  <dimension ref="A1:H69"/>
  <sheetViews>
    <sheetView workbookViewId="0">
      <selection sqref="A1:G1"/>
    </sheetView>
  </sheetViews>
  <sheetFormatPr defaultColWidth="12.5546875" defaultRowHeight="15.75" customHeight="1" x14ac:dyDescent="0.3"/>
  <cols>
    <col min="1" max="1" width="26.5546875" style="169" customWidth="1"/>
    <col min="2" max="2" width="19.5546875" style="169" customWidth="1"/>
    <col min="3" max="3" width="15.33203125" style="169" customWidth="1"/>
    <col min="4" max="4" width="13.5546875" style="169" customWidth="1"/>
    <col min="5" max="6" width="20" style="169" customWidth="1"/>
    <col min="7" max="7" width="12.5546875" style="169"/>
    <col min="8" max="8" width="58" style="169" customWidth="1"/>
    <col min="9" max="16384" width="12.5546875" style="169"/>
  </cols>
  <sheetData>
    <row r="1" spans="1:8" ht="15.75" customHeight="1" x14ac:dyDescent="0.4">
      <c r="A1" s="211" t="s">
        <v>227</v>
      </c>
      <c r="B1" s="211"/>
      <c r="C1" s="211"/>
      <c r="D1" s="211"/>
      <c r="E1" s="211"/>
      <c r="F1" s="211"/>
      <c r="G1" s="211"/>
    </row>
    <row r="2" spans="1:8" ht="13.8" x14ac:dyDescent="0.3">
      <c r="A2" s="176" t="s">
        <v>159</v>
      </c>
      <c r="B2" s="174">
        <v>4793987</v>
      </c>
      <c r="C2" s="173">
        <f>B2-B3</f>
        <v>958797.39999999991</v>
      </c>
    </row>
    <row r="3" spans="1:8" ht="13.8" x14ac:dyDescent="0.3">
      <c r="A3" s="176" t="s">
        <v>158</v>
      </c>
      <c r="B3" s="174">
        <f>B2*0.8</f>
        <v>3835189.6</v>
      </c>
      <c r="C3" s="177" t="s">
        <v>157</v>
      </c>
      <c r="D3" s="172" t="s">
        <v>168</v>
      </c>
    </row>
    <row r="4" spans="1:8" ht="13.8" x14ac:dyDescent="0.3">
      <c r="A4" s="176" t="s">
        <v>154</v>
      </c>
      <c r="B4" s="174">
        <f>B3*0.3</f>
        <v>1150556.8799999999</v>
      </c>
      <c r="C4" s="174">
        <f>(B4/(53*7))</f>
        <v>3101.2314824797841</v>
      </c>
      <c r="D4" s="175">
        <v>7</v>
      </c>
    </row>
    <row r="5" spans="1:8" ht="13.8" x14ac:dyDescent="0.3">
      <c r="A5" s="176" t="s">
        <v>153</v>
      </c>
      <c r="B5" s="174">
        <f>B3*0.7</f>
        <v>2684632.7199999997</v>
      </c>
      <c r="C5" s="174">
        <f>(B5/(53*6))</f>
        <v>8442.2412578616349</v>
      </c>
      <c r="D5" s="175">
        <v>6</v>
      </c>
    </row>
    <row r="7" spans="1:8" ht="13.8" x14ac:dyDescent="0.3">
      <c r="A7" s="177" t="s">
        <v>5</v>
      </c>
      <c r="B7" s="177" t="s">
        <v>154</v>
      </c>
      <c r="C7" s="177" t="s">
        <v>153</v>
      </c>
      <c r="D7" s="177" t="s">
        <v>152</v>
      </c>
      <c r="E7" s="177" t="s">
        <v>151</v>
      </c>
      <c r="F7" s="177" t="s">
        <v>150</v>
      </c>
      <c r="H7" s="176" t="s">
        <v>155</v>
      </c>
    </row>
    <row r="8" spans="1:8" ht="13.8" x14ac:dyDescent="0.3">
      <c r="A8" s="175" t="s">
        <v>11</v>
      </c>
      <c r="B8" s="174">
        <f>B4/53</f>
        <v>21708.620377358489</v>
      </c>
      <c r="C8" s="174">
        <f>B5/53</f>
        <v>50653.44754716981</v>
      </c>
      <c r="D8" s="174">
        <f t="shared" ref="D8:D43" si="0">SUM(B8:C8)</f>
        <v>72362.067924528295</v>
      </c>
      <c r="E8" s="173">
        <f>D8*0.5</f>
        <v>36181.033962264148</v>
      </c>
      <c r="F8" s="173">
        <f t="shared" ref="F8:F43" si="1">D8+E8</f>
        <v>108543.10188679244</v>
      </c>
      <c r="H8" s="175" t="s">
        <v>149</v>
      </c>
    </row>
    <row r="9" spans="1:8" ht="13.8" x14ac:dyDescent="0.3">
      <c r="A9" s="175" t="s">
        <v>12</v>
      </c>
      <c r="B9" s="174">
        <f>B4/53</f>
        <v>21708.620377358489</v>
      </c>
      <c r="C9" s="174">
        <f>B5/53</f>
        <v>50653.44754716981</v>
      </c>
      <c r="D9" s="174">
        <f t="shared" si="0"/>
        <v>72362.067924528295</v>
      </c>
      <c r="E9" s="173">
        <f>D9*0</f>
        <v>0</v>
      </c>
      <c r="F9" s="173">
        <f t="shared" si="1"/>
        <v>72362.067924528295</v>
      </c>
      <c r="H9" s="175" t="s">
        <v>148</v>
      </c>
    </row>
    <row r="10" spans="1:8" ht="13.8" x14ac:dyDescent="0.3">
      <c r="A10" s="175" t="s">
        <v>13</v>
      </c>
      <c r="B10" s="174">
        <f>B4/53</f>
        <v>21708.620377358489</v>
      </c>
      <c r="C10" s="174">
        <f>B5/53</f>
        <v>50653.44754716981</v>
      </c>
      <c r="D10" s="174">
        <f t="shared" si="0"/>
        <v>72362.067924528295</v>
      </c>
      <c r="E10" s="173">
        <f>D10*0</f>
        <v>0</v>
      </c>
      <c r="F10" s="173">
        <f t="shared" si="1"/>
        <v>72362.067924528295</v>
      </c>
      <c r="H10" s="175" t="s">
        <v>147</v>
      </c>
    </row>
    <row r="11" spans="1:8" ht="13.8" x14ac:dyDescent="0.3">
      <c r="A11" s="175" t="s">
        <v>14</v>
      </c>
      <c r="B11" s="174">
        <f>B4/53</f>
        <v>21708.620377358489</v>
      </c>
      <c r="C11" s="174">
        <f>B5/53</f>
        <v>50653.44754716981</v>
      </c>
      <c r="D11" s="174">
        <f t="shared" si="0"/>
        <v>72362.067924528295</v>
      </c>
      <c r="E11" s="173">
        <f>D11*0.25</f>
        <v>18090.516981132074</v>
      </c>
      <c r="F11" s="173">
        <f t="shared" si="1"/>
        <v>90452.584905660362</v>
      </c>
      <c r="H11" s="175" t="s">
        <v>146</v>
      </c>
    </row>
    <row r="12" spans="1:8" ht="13.8" x14ac:dyDescent="0.3">
      <c r="A12" s="175" t="s">
        <v>15</v>
      </c>
      <c r="B12" s="174">
        <f>B4/53</f>
        <v>21708.620377358489</v>
      </c>
      <c r="C12" s="174">
        <f>B5/53</f>
        <v>50653.44754716981</v>
      </c>
      <c r="D12" s="174">
        <f t="shared" si="0"/>
        <v>72362.067924528295</v>
      </c>
      <c r="E12" s="173">
        <f>D12*0.25</f>
        <v>18090.516981132074</v>
      </c>
      <c r="F12" s="173">
        <f t="shared" si="1"/>
        <v>90452.584905660362</v>
      </c>
      <c r="H12" s="175" t="s">
        <v>145</v>
      </c>
    </row>
    <row r="13" spans="1:8" ht="13.8" x14ac:dyDescent="0.3">
      <c r="A13" s="175" t="s">
        <v>16</v>
      </c>
      <c r="B13" s="174">
        <f>B4/53</f>
        <v>21708.620377358489</v>
      </c>
      <c r="C13" s="174">
        <f>B5/53</f>
        <v>50653.44754716981</v>
      </c>
      <c r="D13" s="174">
        <f t="shared" si="0"/>
        <v>72362.067924528295</v>
      </c>
      <c r="E13" s="173">
        <f>D13*0.5</f>
        <v>36181.033962264148</v>
      </c>
      <c r="F13" s="173">
        <f t="shared" si="1"/>
        <v>108543.10188679244</v>
      </c>
      <c r="H13" s="175" t="s">
        <v>144</v>
      </c>
    </row>
    <row r="14" spans="1:8" ht="13.8" x14ac:dyDescent="0.3">
      <c r="A14" s="175" t="s">
        <v>17</v>
      </c>
      <c r="B14" s="174">
        <f>B4/53</f>
        <v>21708.620377358489</v>
      </c>
      <c r="C14" s="174">
        <f>B5/53</f>
        <v>50653.44754716981</v>
      </c>
      <c r="D14" s="174">
        <f t="shared" si="0"/>
        <v>72362.067924528295</v>
      </c>
      <c r="E14" s="173">
        <f>D14*0.5</f>
        <v>36181.033962264148</v>
      </c>
      <c r="F14" s="173">
        <f t="shared" si="1"/>
        <v>108543.10188679244</v>
      </c>
      <c r="H14" s="175" t="s">
        <v>143</v>
      </c>
    </row>
    <row r="15" spans="1:8" ht="13.8" x14ac:dyDescent="0.3">
      <c r="A15" s="175" t="s">
        <v>18</v>
      </c>
      <c r="B15" s="174">
        <f>B4/53</f>
        <v>21708.620377358489</v>
      </c>
      <c r="C15" s="174">
        <f>B5/53</f>
        <v>50653.44754716981</v>
      </c>
      <c r="D15" s="174">
        <f t="shared" si="0"/>
        <v>72362.067924528295</v>
      </c>
      <c r="E15" s="173">
        <f>D15*0.5</f>
        <v>36181.033962264148</v>
      </c>
      <c r="F15" s="173">
        <f t="shared" si="1"/>
        <v>108543.10188679244</v>
      </c>
      <c r="H15" s="175"/>
    </row>
    <row r="16" spans="1:8" ht="13.8" x14ac:dyDescent="0.3">
      <c r="A16" s="175" t="s">
        <v>19</v>
      </c>
      <c r="B16" s="174">
        <f>B4/53</f>
        <v>21708.620377358489</v>
      </c>
      <c r="C16" s="174">
        <f>B5/53</f>
        <v>50653.44754716981</v>
      </c>
      <c r="D16" s="174">
        <f t="shared" si="0"/>
        <v>72362.067924528295</v>
      </c>
      <c r="E16" s="173">
        <f>D16*0</f>
        <v>0</v>
      </c>
      <c r="F16" s="173">
        <f t="shared" si="1"/>
        <v>72362.067924528295</v>
      </c>
      <c r="H16" s="176" t="s">
        <v>142</v>
      </c>
    </row>
    <row r="17" spans="1:8" ht="13.8" x14ac:dyDescent="0.3">
      <c r="A17" s="175" t="s">
        <v>20</v>
      </c>
      <c r="B17" s="174">
        <f>B4/53</f>
        <v>21708.620377358489</v>
      </c>
      <c r="C17" s="174">
        <f>B5/53</f>
        <v>50653.44754716981</v>
      </c>
      <c r="D17" s="174">
        <f t="shared" si="0"/>
        <v>72362.067924528295</v>
      </c>
      <c r="E17" s="173">
        <f>D17*0.5</f>
        <v>36181.033962264148</v>
      </c>
      <c r="F17" s="173">
        <f t="shared" si="1"/>
        <v>108543.10188679244</v>
      </c>
      <c r="H17" s="175" t="s">
        <v>171</v>
      </c>
    </row>
    <row r="18" spans="1:8" ht="13.8" x14ac:dyDescent="0.3">
      <c r="A18" s="175" t="s">
        <v>21</v>
      </c>
      <c r="B18" s="174">
        <f>B4/53</f>
        <v>21708.620377358489</v>
      </c>
      <c r="C18" s="174">
        <f>B5/53</f>
        <v>50653.44754716981</v>
      </c>
      <c r="D18" s="174">
        <f t="shared" si="0"/>
        <v>72362.067924528295</v>
      </c>
      <c r="E18" s="173">
        <f>D18*0</f>
        <v>0</v>
      </c>
      <c r="F18" s="173">
        <f t="shared" si="1"/>
        <v>72362.067924528295</v>
      </c>
    </row>
    <row r="19" spans="1:8" ht="13.8" x14ac:dyDescent="0.3">
      <c r="A19" s="175" t="s">
        <v>22</v>
      </c>
      <c r="B19" s="174">
        <f>B4/53</f>
        <v>21708.620377358489</v>
      </c>
      <c r="C19" s="174">
        <f>B5/53</f>
        <v>50653.44754716981</v>
      </c>
      <c r="D19" s="174">
        <f t="shared" si="0"/>
        <v>72362.067924528295</v>
      </c>
      <c r="E19" s="173">
        <f>D19*0.5</f>
        <v>36181.033962264148</v>
      </c>
      <c r="F19" s="173">
        <f t="shared" si="1"/>
        <v>108543.10188679244</v>
      </c>
    </row>
    <row r="20" spans="1:8" ht="13.8" x14ac:dyDescent="0.3">
      <c r="A20" s="175" t="s">
        <v>23</v>
      </c>
      <c r="B20" s="174">
        <f>B4/53</f>
        <v>21708.620377358489</v>
      </c>
      <c r="C20" s="174">
        <f>B5/53</f>
        <v>50653.44754716981</v>
      </c>
      <c r="D20" s="174">
        <f t="shared" si="0"/>
        <v>72362.067924528295</v>
      </c>
      <c r="E20" s="173">
        <f>D20*0.5</f>
        <v>36181.033962264148</v>
      </c>
      <c r="F20" s="173">
        <f t="shared" si="1"/>
        <v>108543.10188679244</v>
      </c>
    </row>
    <row r="21" spans="1:8" ht="13.8" x14ac:dyDescent="0.3">
      <c r="A21" s="175" t="s">
        <v>24</v>
      </c>
      <c r="B21" s="174">
        <f>B4/53</f>
        <v>21708.620377358489</v>
      </c>
      <c r="C21" s="174">
        <f>B5/53</f>
        <v>50653.44754716981</v>
      </c>
      <c r="D21" s="174">
        <f t="shared" si="0"/>
        <v>72362.067924528295</v>
      </c>
      <c r="E21" s="173">
        <f>D21*0</f>
        <v>0</v>
      </c>
      <c r="F21" s="173">
        <f t="shared" si="1"/>
        <v>72362.067924528295</v>
      </c>
    </row>
    <row r="22" spans="1:8" ht="13.8" x14ac:dyDescent="0.3">
      <c r="A22" s="175" t="s">
        <v>25</v>
      </c>
      <c r="B22" s="174">
        <f>B4/53</f>
        <v>21708.620377358489</v>
      </c>
      <c r="C22" s="174">
        <f>B5/53</f>
        <v>50653.44754716981</v>
      </c>
      <c r="D22" s="174">
        <f t="shared" si="0"/>
        <v>72362.067924528295</v>
      </c>
      <c r="E22" s="173">
        <f>D22*0.25</f>
        <v>18090.516981132074</v>
      </c>
      <c r="F22" s="173">
        <f t="shared" si="1"/>
        <v>90452.584905660362</v>
      </c>
    </row>
    <row r="23" spans="1:8" ht="13.8" x14ac:dyDescent="0.3">
      <c r="A23" s="175" t="s">
        <v>26</v>
      </c>
      <c r="B23" s="174">
        <f>B4/53</f>
        <v>21708.620377358489</v>
      </c>
      <c r="C23" s="174">
        <f>B5/53</f>
        <v>50653.44754716981</v>
      </c>
      <c r="D23" s="174">
        <f t="shared" si="0"/>
        <v>72362.067924528295</v>
      </c>
      <c r="E23" s="173">
        <f>D23*0.5</f>
        <v>36181.033962264148</v>
      </c>
      <c r="F23" s="173">
        <f t="shared" si="1"/>
        <v>108543.10188679244</v>
      </c>
    </row>
    <row r="24" spans="1:8" ht="13.8" x14ac:dyDescent="0.3">
      <c r="A24" s="175" t="s">
        <v>27</v>
      </c>
      <c r="B24" s="174">
        <f>B4/53</f>
        <v>21708.620377358489</v>
      </c>
      <c r="C24" s="174">
        <f>B5/53</f>
        <v>50653.44754716981</v>
      </c>
      <c r="D24" s="174">
        <f t="shared" si="0"/>
        <v>72362.067924528295</v>
      </c>
      <c r="E24" s="173">
        <f>D24*0.5</f>
        <v>36181.033962264148</v>
      </c>
      <c r="F24" s="173">
        <f t="shared" si="1"/>
        <v>108543.10188679244</v>
      </c>
    </row>
    <row r="25" spans="1:8" ht="13.8" x14ac:dyDescent="0.3">
      <c r="A25" s="175" t="s">
        <v>28</v>
      </c>
      <c r="B25" s="174">
        <f>B4/53</f>
        <v>21708.620377358489</v>
      </c>
      <c r="C25" s="174">
        <f>B5/53</f>
        <v>50653.44754716981</v>
      </c>
      <c r="D25" s="174">
        <f t="shared" si="0"/>
        <v>72362.067924528295</v>
      </c>
      <c r="E25" s="173">
        <f>D25*0.5</f>
        <v>36181.033962264148</v>
      </c>
      <c r="F25" s="173">
        <f t="shared" si="1"/>
        <v>108543.10188679244</v>
      </c>
    </row>
    <row r="26" spans="1:8" ht="13.8" x14ac:dyDescent="0.3">
      <c r="A26" s="175" t="s">
        <v>29</v>
      </c>
      <c r="B26" s="174">
        <f>B4/53</f>
        <v>21708.620377358489</v>
      </c>
      <c r="C26" s="174">
        <f>B5/53</f>
        <v>50653.44754716981</v>
      </c>
      <c r="D26" s="174">
        <f t="shared" si="0"/>
        <v>72362.067924528295</v>
      </c>
      <c r="E26" s="173">
        <f>D26*0.5</f>
        <v>36181.033962264148</v>
      </c>
      <c r="F26" s="173">
        <f t="shared" si="1"/>
        <v>108543.10188679244</v>
      </c>
    </row>
    <row r="27" spans="1:8" ht="13.8" x14ac:dyDescent="0.3">
      <c r="A27" s="175" t="s">
        <v>30</v>
      </c>
      <c r="B27" s="174">
        <f>B4/53</f>
        <v>21708.620377358489</v>
      </c>
      <c r="C27" s="174">
        <f>B5/53</f>
        <v>50653.44754716981</v>
      </c>
      <c r="D27" s="174">
        <f t="shared" si="0"/>
        <v>72362.067924528295</v>
      </c>
      <c r="E27" s="173">
        <f>D27*0.25</f>
        <v>18090.516981132074</v>
      </c>
      <c r="F27" s="173">
        <f t="shared" si="1"/>
        <v>90452.584905660362</v>
      </c>
    </row>
    <row r="28" spans="1:8" ht="13.8" x14ac:dyDescent="0.3">
      <c r="A28" s="175" t="s">
        <v>31</v>
      </c>
      <c r="B28" s="174">
        <f>B4/53</f>
        <v>21708.620377358489</v>
      </c>
      <c r="C28" s="174">
        <f>B5/53</f>
        <v>50653.44754716981</v>
      </c>
      <c r="D28" s="174">
        <f t="shared" si="0"/>
        <v>72362.067924528295</v>
      </c>
      <c r="E28" s="173">
        <f>D28*0.25</f>
        <v>18090.516981132074</v>
      </c>
      <c r="F28" s="173">
        <f t="shared" si="1"/>
        <v>90452.584905660362</v>
      </c>
    </row>
    <row r="29" spans="1:8" ht="13.8" x14ac:dyDescent="0.3">
      <c r="A29" s="175" t="s">
        <v>32</v>
      </c>
      <c r="B29" s="174">
        <f>B4/53</f>
        <v>21708.620377358489</v>
      </c>
      <c r="C29" s="174">
        <f>B5/53</f>
        <v>50653.44754716981</v>
      </c>
      <c r="D29" s="174">
        <f t="shared" si="0"/>
        <v>72362.067924528295</v>
      </c>
      <c r="E29" s="173">
        <f>D29*0.25</f>
        <v>18090.516981132074</v>
      </c>
      <c r="F29" s="173">
        <f t="shared" si="1"/>
        <v>90452.584905660362</v>
      </c>
    </row>
    <row r="30" spans="1:8" ht="13.8" x14ac:dyDescent="0.3">
      <c r="A30" s="175" t="s">
        <v>33</v>
      </c>
      <c r="B30" s="174">
        <f>B4/53</f>
        <v>21708.620377358489</v>
      </c>
      <c r="C30" s="174">
        <f>B5/53</f>
        <v>50653.44754716981</v>
      </c>
      <c r="D30" s="174">
        <f t="shared" si="0"/>
        <v>72362.067924528295</v>
      </c>
      <c r="E30" s="173">
        <f>D30*0.5</f>
        <v>36181.033962264148</v>
      </c>
      <c r="F30" s="173">
        <f t="shared" si="1"/>
        <v>108543.10188679244</v>
      </c>
    </row>
    <row r="31" spans="1:8" ht="13.8" x14ac:dyDescent="0.3">
      <c r="A31" s="175" t="s">
        <v>34</v>
      </c>
      <c r="B31" s="174">
        <f>B4/53</f>
        <v>21708.620377358489</v>
      </c>
      <c r="C31" s="174">
        <f>B5/53</f>
        <v>50653.44754716981</v>
      </c>
      <c r="D31" s="174">
        <f t="shared" si="0"/>
        <v>72362.067924528295</v>
      </c>
      <c r="E31" s="173">
        <f>D31*0.25</f>
        <v>18090.516981132074</v>
      </c>
      <c r="F31" s="173">
        <f t="shared" si="1"/>
        <v>90452.584905660362</v>
      </c>
    </row>
    <row r="32" spans="1:8" ht="13.8" x14ac:dyDescent="0.3">
      <c r="A32" s="175" t="s">
        <v>35</v>
      </c>
      <c r="B32" s="174">
        <f>B4/53</f>
        <v>21708.620377358489</v>
      </c>
      <c r="C32" s="174">
        <f>B5/53</f>
        <v>50653.44754716981</v>
      </c>
      <c r="D32" s="174">
        <f t="shared" si="0"/>
        <v>72362.067924528295</v>
      </c>
      <c r="E32" s="173">
        <f>D32*0.25</f>
        <v>18090.516981132074</v>
      </c>
      <c r="F32" s="173">
        <f t="shared" si="1"/>
        <v>90452.584905660362</v>
      </c>
    </row>
    <row r="33" spans="1:6" ht="13.8" x14ac:dyDescent="0.3">
      <c r="A33" s="175" t="s">
        <v>36</v>
      </c>
      <c r="B33" s="174">
        <f>B4/53</f>
        <v>21708.620377358489</v>
      </c>
      <c r="C33" s="174">
        <f>B5/53</f>
        <v>50653.44754716981</v>
      </c>
      <c r="D33" s="174">
        <f t="shared" si="0"/>
        <v>72362.067924528295</v>
      </c>
      <c r="E33" s="173">
        <f>D33*0</f>
        <v>0</v>
      </c>
      <c r="F33" s="173">
        <f t="shared" si="1"/>
        <v>72362.067924528295</v>
      </c>
    </row>
    <row r="34" spans="1:6" ht="13.8" x14ac:dyDescent="0.3">
      <c r="A34" s="175" t="s">
        <v>37</v>
      </c>
      <c r="B34" s="174">
        <f>B4/53</f>
        <v>21708.620377358489</v>
      </c>
      <c r="C34" s="174">
        <f>B5/53</f>
        <v>50653.44754716981</v>
      </c>
      <c r="D34" s="174">
        <f t="shared" si="0"/>
        <v>72362.067924528295</v>
      </c>
      <c r="E34" s="173">
        <f>D34*0.25</f>
        <v>18090.516981132074</v>
      </c>
      <c r="F34" s="173">
        <f t="shared" si="1"/>
        <v>90452.584905660362</v>
      </c>
    </row>
    <row r="35" spans="1:6" ht="13.8" x14ac:dyDescent="0.3">
      <c r="A35" s="175" t="s">
        <v>38</v>
      </c>
      <c r="B35" s="174">
        <f>B4/53</f>
        <v>21708.620377358489</v>
      </c>
      <c r="C35" s="174">
        <f>B5/53</f>
        <v>50653.44754716981</v>
      </c>
      <c r="D35" s="174">
        <f t="shared" si="0"/>
        <v>72362.067924528295</v>
      </c>
      <c r="E35" s="173">
        <f>D35*0</f>
        <v>0</v>
      </c>
      <c r="F35" s="173">
        <f t="shared" si="1"/>
        <v>72362.067924528295</v>
      </c>
    </row>
    <row r="36" spans="1:6" ht="13.8" x14ac:dyDescent="0.3">
      <c r="A36" s="175" t="s">
        <v>39</v>
      </c>
      <c r="B36" s="174">
        <f>B4/53</f>
        <v>21708.620377358489</v>
      </c>
      <c r="C36" s="174">
        <f>B5/53</f>
        <v>50653.44754716981</v>
      </c>
      <c r="D36" s="174">
        <f t="shared" si="0"/>
        <v>72362.067924528295</v>
      </c>
      <c r="E36" s="173">
        <f>D36*0.25</f>
        <v>18090.516981132074</v>
      </c>
      <c r="F36" s="173">
        <f t="shared" si="1"/>
        <v>90452.584905660362</v>
      </c>
    </row>
    <row r="37" spans="1:6" ht="13.8" x14ac:dyDescent="0.3">
      <c r="A37" s="175" t="s">
        <v>40</v>
      </c>
      <c r="B37" s="174">
        <f>B4/53</f>
        <v>21708.620377358489</v>
      </c>
      <c r="C37" s="174">
        <f>B5/53</f>
        <v>50653.44754716981</v>
      </c>
      <c r="D37" s="174">
        <f t="shared" si="0"/>
        <v>72362.067924528295</v>
      </c>
      <c r="E37" s="173">
        <f>D37*0.25</f>
        <v>18090.516981132074</v>
      </c>
      <c r="F37" s="173">
        <f t="shared" si="1"/>
        <v>90452.584905660362</v>
      </c>
    </row>
    <row r="38" spans="1:6" ht="13.8" x14ac:dyDescent="0.3">
      <c r="A38" s="175" t="s">
        <v>41</v>
      </c>
      <c r="B38" s="174">
        <f>B4/53</f>
        <v>21708.620377358489</v>
      </c>
      <c r="C38" s="174">
        <f>B5/53</f>
        <v>50653.44754716981</v>
      </c>
      <c r="D38" s="174">
        <f t="shared" si="0"/>
        <v>72362.067924528295</v>
      </c>
      <c r="E38" s="173">
        <f>D38*0.25</f>
        <v>18090.516981132074</v>
      </c>
      <c r="F38" s="173">
        <f t="shared" si="1"/>
        <v>90452.584905660362</v>
      </c>
    </row>
    <row r="39" spans="1:6" ht="13.8" x14ac:dyDescent="0.3">
      <c r="A39" s="175" t="s">
        <v>42</v>
      </c>
      <c r="B39" s="174">
        <f>B4/53</f>
        <v>21708.620377358489</v>
      </c>
      <c r="C39" s="174">
        <f>B5/53</f>
        <v>50653.44754716981</v>
      </c>
      <c r="D39" s="174">
        <f t="shared" si="0"/>
        <v>72362.067924528295</v>
      </c>
      <c r="E39" s="173">
        <f>D39*0.25</f>
        <v>18090.516981132074</v>
      </c>
      <c r="F39" s="173">
        <f t="shared" si="1"/>
        <v>90452.584905660362</v>
      </c>
    </row>
    <row r="40" spans="1:6" ht="13.8" x14ac:dyDescent="0.3">
      <c r="A40" s="175" t="s">
        <v>43</v>
      </c>
      <c r="B40" s="174">
        <f>B4/53</f>
        <v>21708.620377358489</v>
      </c>
      <c r="C40" s="174">
        <f>B5/53</f>
        <v>50653.44754716981</v>
      </c>
      <c r="D40" s="174">
        <f t="shared" si="0"/>
        <v>72362.067924528295</v>
      </c>
      <c r="E40" s="173">
        <f>D40*0.25</f>
        <v>18090.516981132074</v>
      </c>
      <c r="F40" s="173">
        <f t="shared" si="1"/>
        <v>90452.584905660362</v>
      </c>
    </row>
    <row r="41" spans="1:6" ht="13.8" x14ac:dyDescent="0.3">
      <c r="A41" s="175" t="s">
        <v>44</v>
      </c>
      <c r="B41" s="174">
        <f>B4/53</f>
        <v>21708.620377358489</v>
      </c>
      <c r="C41" s="174">
        <f>B5/53</f>
        <v>50653.44754716981</v>
      </c>
      <c r="D41" s="174">
        <f t="shared" si="0"/>
        <v>72362.067924528295</v>
      </c>
      <c r="E41" s="173">
        <f>D41*0</f>
        <v>0</v>
      </c>
      <c r="F41" s="173">
        <f t="shared" si="1"/>
        <v>72362.067924528295</v>
      </c>
    </row>
    <row r="42" spans="1:6" ht="13.8" x14ac:dyDescent="0.3">
      <c r="A42" s="175" t="s">
        <v>45</v>
      </c>
      <c r="B42" s="174">
        <f>B4/53</f>
        <v>21708.620377358489</v>
      </c>
      <c r="C42" s="174">
        <f>B5/53</f>
        <v>50653.44754716981</v>
      </c>
      <c r="D42" s="174">
        <f t="shared" si="0"/>
        <v>72362.067924528295</v>
      </c>
      <c r="E42" s="173">
        <f>D42*0.25</f>
        <v>18090.516981132074</v>
      </c>
      <c r="F42" s="173">
        <f t="shared" si="1"/>
        <v>90452.584905660362</v>
      </c>
    </row>
    <row r="43" spans="1:6" ht="13.8" x14ac:dyDescent="0.3">
      <c r="A43" s="175" t="s">
        <v>46</v>
      </c>
      <c r="B43" s="174">
        <f>B4/53</f>
        <v>21708.620377358489</v>
      </c>
      <c r="C43" s="174">
        <f>B5/53</f>
        <v>50653.44754716981</v>
      </c>
      <c r="D43" s="174">
        <f t="shared" si="0"/>
        <v>72362.067924528295</v>
      </c>
      <c r="E43" s="173">
        <f>D43*0</f>
        <v>0</v>
      </c>
      <c r="F43" s="173">
        <f t="shared" si="1"/>
        <v>72362.067924528295</v>
      </c>
    </row>
    <row r="44" spans="1:6" ht="14.25" customHeight="1" x14ac:dyDescent="0.3">
      <c r="A44" s="172" t="s">
        <v>166</v>
      </c>
      <c r="B44" s="171">
        <f>SUM(B8:B43)</f>
        <v>781510.33358490618</v>
      </c>
      <c r="C44" s="171">
        <f>SUM(C8:C43)</f>
        <v>1823524.1116981145</v>
      </c>
      <c r="D44" s="171">
        <f>SUM(D8:D43)</f>
        <v>2605034.4452830199</v>
      </c>
      <c r="E44" s="170">
        <f>SUM(E8:E43)</f>
        <v>705530.16226415103</v>
      </c>
      <c r="F44" s="170">
        <f>SUM(F8:F43)</f>
        <v>3310564.6075471682</v>
      </c>
    </row>
    <row r="46" spans="1:6" ht="13.8" x14ac:dyDescent="0.3">
      <c r="A46" s="177" t="s">
        <v>104</v>
      </c>
      <c r="B46" s="177" t="s">
        <v>154</v>
      </c>
      <c r="C46" s="177" t="s">
        <v>153</v>
      </c>
      <c r="D46" s="177" t="s">
        <v>152</v>
      </c>
      <c r="E46" s="177" t="s">
        <v>151</v>
      </c>
      <c r="F46" s="177" t="s">
        <v>150</v>
      </c>
    </row>
    <row r="47" spans="1:6" ht="13.8" x14ac:dyDescent="0.3">
      <c r="A47" s="175" t="s">
        <v>50</v>
      </c>
      <c r="B47" s="174">
        <f>B4/53</f>
        <v>21708.620377358489</v>
      </c>
      <c r="C47" s="174">
        <f>B5/53</f>
        <v>50653.44754716981</v>
      </c>
      <c r="D47" s="174">
        <f t="shared" ref="D47:D55" si="2">SUM(B47:C47)</f>
        <v>72362.067924528295</v>
      </c>
      <c r="E47" s="173">
        <f t="shared" ref="E47:E55" si="3">D47*0.5</f>
        <v>36181.033962264148</v>
      </c>
      <c r="F47" s="173">
        <f t="shared" ref="F47:F55" si="4">D47+E47</f>
        <v>108543.10188679244</v>
      </c>
    </row>
    <row r="48" spans="1:6" ht="13.8" x14ac:dyDescent="0.3">
      <c r="A48" s="175" t="s">
        <v>165</v>
      </c>
      <c r="B48" s="174">
        <f>B4/53</f>
        <v>21708.620377358489</v>
      </c>
      <c r="C48" s="174">
        <f>B5/53</f>
        <v>50653.44754716981</v>
      </c>
      <c r="D48" s="174">
        <f t="shared" si="2"/>
        <v>72362.067924528295</v>
      </c>
      <c r="E48" s="173">
        <f t="shared" si="3"/>
        <v>36181.033962264148</v>
      </c>
      <c r="F48" s="173">
        <f t="shared" si="4"/>
        <v>108543.10188679244</v>
      </c>
    </row>
    <row r="49" spans="1:6" ht="13.8" x14ac:dyDescent="0.3">
      <c r="A49" s="175" t="s">
        <v>52</v>
      </c>
      <c r="B49" s="174">
        <f>B4/53</f>
        <v>21708.620377358489</v>
      </c>
      <c r="C49" s="174">
        <f>B5/53</f>
        <v>50653.44754716981</v>
      </c>
      <c r="D49" s="174">
        <f t="shared" si="2"/>
        <v>72362.067924528295</v>
      </c>
      <c r="E49" s="173">
        <f t="shared" si="3"/>
        <v>36181.033962264148</v>
      </c>
      <c r="F49" s="173">
        <f t="shared" si="4"/>
        <v>108543.10188679244</v>
      </c>
    </row>
    <row r="50" spans="1:6" ht="13.8" x14ac:dyDescent="0.3">
      <c r="A50" s="175" t="s">
        <v>164</v>
      </c>
      <c r="B50" s="174">
        <f>B4/53</f>
        <v>21708.620377358489</v>
      </c>
      <c r="C50" s="174">
        <f>B5/53</f>
        <v>50653.44754716981</v>
      </c>
      <c r="D50" s="174">
        <f t="shared" si="2"/>
        <v>72362.067924528295</v>
      </c>
      <c r="E50" s="173">
        <f t="shared" si="3"/>
        <v>36181.033962264148</v>
      </c>
      <c r="F50" s="173">
        <f t="shared" si="4"/>
        <v>108543.10188679244</v>
      </c>
    </row>
    <row r="51" spans="1:6" ht="13.8" x14ac:dyDescent="0.3">
      <c r="A51" s="175" t="s">
        <v>40</v>
      </c>
      <c r="B51" s="174">
        <f>B4/53</f>
        <v>21708.620377358489</v>
      </c>
      <c r="C51" s="174">
        <f>B5/53</f>
        <v>50653.44754716981</v>
      </c>
      <c r="D51" s="174">
        <f t="shared" si="2"/>
        <v>72362.067924528295</v>
      </c>
      <c r="E51" s="173">
        <f t="shared" si="3"/>
        <v>36181.033962264148</v>
      </c>
      <c r="F51" s="173">
        <f t="shared" si="4"/>
        <v>108543.10188679244</v>
      </c>
    </row>
    <row r="52" spans="1:6" ht="13.8" x14ac:dyDescent="0.3">
      <c r="A52" s="175" t="s">
        <v>57</v>
      </c>
      <c r="B52" s="174">
        <f>B4/53</f>
        <v>21708.620377358489</v>
      </c>
      <c r="C52" s="174">
        <f>B5/53</f>
        <v>50653.44754716981</v>
      </c>
      <c r="D52" s="174">
        <f t="shared" si="2"/>
        <v>72362.067924528295</v>
      </c>
      <c r="E52" s="173">
        <f t="shared" si="3"/>
        <v>36181.033962264148</v>
      </c>
      <c r="F52" s="173">
        <f t="shared" si="4"/>
        <v>108543.10188679244</v>
      </c>
    </row>
    <row r="53" spans="1:6" ht="13.8" x14ac:dyDescent="0.3">
      <c r="A53" s="175" t="s">
        <v>135</v>
      </c>
      <c r="B53" s="174">
        <f>B4/53</f>
        <v>21708.620377358489</v>
      </c>
      <c r="C53" s="174">
        <f>B5/53</f>
        <v>50653.44754716981</v>
      </c>
      <c r="D53" s="174">
        <f t="shared" si="2"/>
        <v>72362.067924528295</v>
      </c>
      <c r="E53" s="173">
        <f t="shared" si="3"/>
        <v>36181.033962264148</v>
      </c>
      <c r="F53" s="173">
        <f t="shared" si="4"/>
        <v>108543.10188679244</v>
      </c>
    </row>
    <row r="54" spans="1:6" ht="13.8" x14ac:dyDescent="0.3">
      <c r="A54" s="175" t="s">
        <v>163</v>
      </c>
      <c r="B54" s="174">
        <f>B4/53</f>
        <v>21708.620377358489</v>
      </c>
      <c r="C54" s="174">
        <f>B5/53</f>
        <v>50653.44754716981</v>
      </c>
      <c r="D54" s="174">
        <f t="shared" si="2"/>
        <v>72362.067924528295</v>
      </c>
      <c r="E54" s="173">
        <f t="shared" si="3"/>
        <v>36181.033962264148</v>
      </c>
      <c r="F54" s="173">
        <f t="shared" si="4"/>
        <v>108543.10188679244</v>
      </c>
    </row>
    <row r="55" spans="1:6" ht="13.8" x14ac:dyDescent="0.3">
      <c r="A55" s="175" t="s">
        <v>162</v>
      </c>
      <c r="B55" s="174">
        <f>B4/53</f>
        <v>21708.620377358489</v>
      </c>
      <c r="C55" s="174">
        <f>B5/53</f>
        <v>50653.44754716981</v>
      </c>
      <c r="D55" s="174">
        <f t="shared" si="2"/>
        <v>72362.067924528295</v>
      </c>
      <c r="E55" s="173">
        <f t="shared" si="3"/>
        <v>36181.033962264148</v>
      </c>
      <c r="F55" s="173">
        <f t="shared" si="4"/>
        <v>108543.10188679244</v>
      </c>
    </row>
    <row r="56" spans="1:6" ht="13.8" x14ac:dyDescent="0.3">
      <c r="A56" s="172" t="s">
        <v>161</v>
      </c>
      <c r="B56" s="171">
        <f>SUM(B47:B55)</f>
        <v>195377.5833962264</v>
      </c>
      <c r="C56" s="171">
        <f>SUM(C47:C55)</f>
        <v>455881.02792452829</v>
      </c>
      <c r="D56" s="171">
        <f>SUM(D47:D55)</f>
        <v>651258.61132075451</v>
      </c>
      <c r="E56" s="171">
        <f>SUM(E47:E55)</f>
        <v>325629.30566037726</v>
      </c>
      <c r="F56" s="171">
        <f>SUM(F47:F55)</f>
        <v>976887.916981132</v>
      </c>
    </row>
    <row r="58" spans="1:6" ht="13.8" x14ac:dyDescent="0.3">
      <c r="A58" s="177" t="s">
        <v>170</v>
      </c>
      <c r="B58" s="177" t="s">
        <v>154</v>
      </c>
      <c r="C58" s="177" t="s">
        <v>153</v>
      </c>
      <c r="D58" s="177" t="s">
        <v>152</v>
      </c>
      <c r="E58" s="177" t="s">
        <v>151</v>
      </c>
      <c r="F58" s="177" t="s">
        <v>150</v>
      </c>
    </row>
    <row r="59" spans="1:6" ht="13.8" x14ac:dyDescent="0.3">
      <c r="A59" s="175" t="s">
        <v>120</v>
      </c>
      <c r="B59" s="174">
        <f>B4/53</f>
        <v>21708.620377358489</v>
      </c>
      <c r="C59" s="174">
        <f>B5/53</f>
        <v>50653.44754716981</v>
      </c>
      <c r="D59" s="174">
        <f t="shared" ref="D59:D66" si="5">SUM(B59:C59)</f>
        <v>72362.067924528295</v>
      </c>
      <c r="E59" s="173">
        <f t="shared" ref="E59:E66" si="6">D59*0</f>
        <v>0</v>
      </c>
      <c r="F59" s="173">
        <f t="shared" ref="F59:F66" si="7">D59+E59</f>
        <v>72362.067924528295</v>
      </c>
    </row>
    <row r="60" spans="1:6" ht="13.8" x14ac:dyDescent="0.3">
      <c r="A60" s="175" t="s">
        <v>115</v>
      </c>
      <c r="B60" s="174">
        <f>B4/53</f>
        <v>21708.620377358489</v>
      </c>
      <c r="C60" s="174">
        <f>B5/53</f>
        <v>50653.44754716981</v>
      </c>
      <c r="D60" s="174">
        <f t="shared" si="5"/>
        <v>72362.067924528295</v>
      </c>
      <c r="E60" s="173">
        <f t="shared" si="6"/>
        <v>0</v>
      </c>
      <c r="F60" s="173">
        <f t="shared" si="7"/>
        <v>72362.067924528295</v>
      </c>
    </row>
    <row r="61" spans="1:6" ht="13.8" x14ac:dyDescent="0.3">
      <c r="A61" s="175" t="s">
        <v>117</v>
      </c>
      <c r="B61" s="174">
        <f>B4/53</f>
        <v>21708.620377358489</v>
      </c>
      <c r="C61" s="174">
        <f>B5/53</f>
        <v>50653.44754716981</v>
      </c>
      <c r="D61" s="174">
        <f t="shared" si="5"/>
        <v>72362.067924528295</v>
      </c>
      <c r="E61" s="173">
        <f t="shared" si="6"/>
        <v>0</v>
      </c>
      <c r="F61" s="173">
        <f t="shared" si="7"/>
        <v>72362.067924528295</v>
      </c>
    </row>
    <row r="62" spans="1:6" ht="13.8" x14ac:dyDescent="0.3">
      <c r="A62" s="175" t="s">
        <v>119</v>
      </c>
      <c r="B62" s="174">
        <f>B4/53</f>
        <v>21708.620377358489</v>
      </c>
      <c r="C62" s="174">
        <f>B5/53</f>
        <v>50653.44754716981</v>
      </c>
      <c r="D62" s="174">
        <f t="shared" si="5"/>
        <v>72362.067924528295</v>
      </c>
      <c r="E62" s="173">
        <f t="shared" si="6"/>
        <v>0</v>
      </c>
      <c r="F62" s="173">
        <f t="shared" si="7"/>
        <v>72362.067924528295</v>
      </c>
    </row>
    <row r="63" spans="1:6" ht="13.8" x14ac:dyDescent="0.3">
      <c r="A63" s="175" t="s">
        <v>121</v>
      </c>
      <c r="B63" s="174">
        <f>B4/53</f>
        <v>21708.620377358489</v>
      </c>
      <c r="C63" s="174">
        <f>B5/53</f>
        <v>50653.44754716981</v>
      </c>
      <c r="D63" s="174">
        <f t="shared" si="5"/>
        <v>72362.067924528295</v>
      </c>
      <c r="E63" s="173">
        <f t="shared" si="6"/>
        <v>0</v>
      </c>
      <c r="F63" s="173">
        <f t="shared" si="7"/>
        <v>72362.067924528295</v>
      </c>
    </row>
    <row r="64" spans="1:6" ht="13.8" x14ac:dyDescent="0.3">
      <c r="A64" s="175" t="s">
        <v>116</v>
      </c>
      <c r="B64" s="174">
        <f>B4/53</f>
        <v>21708.620377358489</v>
      </c>
      <c r="C64" s="174">
        <f>B5/53</f>
        <v>50653.44754716981</v>
      </c>
      <c r="D64" s="174">
        <f t="shared" si="5"/>
        <v>72362.067924528295</v>
      </c>
      <c r="E64" s="173">
        <f t="shared" si="6"/>
        <v>0</v>
      </c>
      <c r="F64" s="173">
        <f t="shared" si="7"/>
        <v>72362.067924528295</v>
      </c>
    </row>
    <row r="65" spans="1:6" ht="13.8" x14ac:dyDescent="0.3">
      <c r="A65" s="175" t="s">
        <v>114</v>
      </c>
      <c r="B65" s="174">
        <f>B4/53</f>
        <v>21708.620377358489</v>
      </c>
      <c r="C65" s="174">
        <f>B5/53</f>
        <v>50653.44754716981</v>
      </c>
      <c r="D65" s="174">
        <f t="shared" si="5"/>
        <v>72362.067924528295</v>
      </c>
      <c r="E65" s="173">
        <f t="shared" si="6"/>
        <v>0</v>
      </c>
      <c r="F65" s="173">
        <f t="shared" si="7"/>
        <v>72362.067924528295</v>
      </c>
    </row>
    <row r="66" spans="1:6" ht="13.8" x14ac:dyDescent="0.3">
      <c r="A66" s="175" t="s">
        <v>118</v>
      </c>
      <c r="B66" s="174">
        <f>B4/53</f>
        <v>21708.620377358489</v>
      </c>
      <c r="C66" s="174">
        <f>B5/53</f>
        <v>50653.44754716981</v>
      </c>
      <c r="D66" s="174">
        <f t="shared" si="5"/>
        <v>72362.067924528295</v>
      </c>
      <c r="E66" s="173">
        <f t="shared" si="6"/>
        <v>0</v>
      </c>
      <c r="F66" s="173">
        <f t="shared" si="7"/>
        <v>72362.067924528295</v>
      </c>
    </row>
    <row r="67" spans="1:6" ht="13.8" x14ac:dyDescent="0.3">
      <c r="A67" s="172" t="s">
        <v>169</v>
      </c>
      <c r="B67" s="171">
        <f>SUM(B59:B66)</f>
        <v>173668.96301886791</v>
      </c>
      <c r="C67" s="171">
        <f>SUM(C59:C66)</f>
        <v>405227.58037735848</v>
      </c>
      <c r="D67" s="171">
        <f>SUM(D59:D66)</f>
        <v>578896.54339622625</v>
      </c>
      <c r="E67" s="171">
        <f>SUM(E59:E66)</f>
        <v>0</v>
      </c>
      <c r="F67" s="171">
        <f>SUM(F59:F66)</f>
        <v>578896.54339622625</v>
      </c>
    </row>
    <row r="69" spans="1:6" ht="13.8" x14ac:dyDescent="0.3">
      <c r="A69" s="179" t="s">
        <v>160</v>
      </c>
      <c r="B69" s="178">
        <f>B44+B56+B67</f>
        <v>1150556.8800000006</v>
      </c>
      <c r="C69" s="178">
        <f>C44+C56+C67</f>
        <v>2684632.7200000011</v>
      </c>
      <c r="D69" s="178">
        <f>D44+D56+D67</f>
        <v>3835189.6000000006</v>
      </c>
      <c r="E69" s="178">
        <f>E44+E56+E67</f>
        <v>1031159.4679245283</v>
      </c>
      <c r="F69" s="178">
        <f>F44+F56+F67</f>
        <v>4866349.0679245265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6269-64DF-4817-A40C-5BAB40200031}">
  <sheetPr codeName="Sheet8">
    <outlinePr summaryBelow="0" summaryRight="0"/>
  </sheetPr>
  <dimension ref="A1:H69"/>
  <sheetViews>
    <sheetView workbookViewId="0">
      <selection sqref="A1:G1"/>
    </sheetView>
  </sheetViews>
  <sheetFormatPr defaultColWidth="12.5546875" defaultRowHeight="15.75" customHeight="1" x14ac:dyDescent="0.3"/>
  <cols>
    <col min="1" max="1" width="27.6640625" style="169" customWidth="1"/>
    <col min="2" max="2" width="19.5546875" style="169" customWidth="1"/>
    <col min="3" max="3" width="15.33203125" style="169" customWidth="1"/>
    <col min="4" max="4" width="14.109375" style="169" customWidth="1"/>
    <col min="5" max="6" width="20" style="169" customWidth="1"/>
    <col min="7" max="7" width="13.88671875" style="169" bestFit="1" customWidth="1"/>
    <col min="8" max="8" width="53.33203125" style="169" customWidth="1"/>
    <col min="9" max="16384" width="12.5546875" style="169"/>
  </cols>
  <sheetData>
    <row r="1" spans="1:8" ht="15.75" customHeight="1" x14ac:dyDescent="0.4">
      <c r="A1" s="211" t="s">
        <v>224</v>
      </c>
      <c r="B1" s="211"/>
      <c r="C1" s="211"/>
      <c r="D1" s="211"/>
      <c r="E1" s="211"/>
      <c r="F1" s="211"/>
      <c r="G1" s="211"/>
    </row>
    <row r="2" spans="1:8" ht="13.8" x14ac:dyDescent="0.3">
      <c r="A2" s="176" t="s">
        <v>159</v>
      </c>
      <c r="B2" s="174">
        <v>4793987</v>
      </c>
      <c r="C2" s="173">
        <f>B2-B3</f>
        <v>958797.39999999991</v>
      </c>
    </row>
    <row r="3" spans="1:8" ht="13.8" x14ac:dyDescent="0.3">
      <c r="A3" s="176" t="s">
        <v>158</v>
      </c>
      <c r="B3" s="174">
        <f>B2*0.8</f>
        <v>3835189.6</v>
      </c>
      <c r="C3" s="177" t="s">
        <v>157</v>
      </c>
      <c r="D3" s="172" t="s">
        <v>168</v>
      </c>
    </row>
    <row r="4" spans="1:8" ht="13.8" x14ac:dyDescent="0.3">
      <c r="A4" s="176" t="s">
        <v>154</v>
      </c>
      <c r="B4" s="174">
        <f>B3*0.3</f>
        <v>1150556.8799999999</v>
      </c>
      <c r="C4" s="174">
        <f>(B4/(286*7))</f>
        <v>574.70373626373623</v>
      </c>
      <c r="D4" s="175">
        <v>7</v>
      </c>
    </row>
    <row r="5" spans="1:8" ht="13.8" x14ac:dyDescent="0.3">
      <c r="A5" s="176" t="s">
        <v>153</v>
      </c>
      <c r="B5" s="174">
        <f>B3*0.7</f>
        <v>2684632.7199999997</v>
      </c>
      <c r="C5" s="174">
        <f>(B5/(286*6))</f>
        <v>1564.4712820512818</v>
      </c>
      <c r="D5" s="175">
        <v>6</v>
      </c>
    </row>
    <row r="7" spans="1:8" ht="13.8" x14ac:dyDescent="0.3">
      <c r="A7" s="177" t="s">
        <v>5</v>
      </c>
      <c r="B7" s="177" t="s">
        <v>154</v>
      </c>
      <c r="C7" s="177" t="s">
        <v>153</v>
      </c>
      <c r="D7" s="177" t="s">
        <v>152</v>
      </c>
      <c r="E7" s="177" t="s">
        <v>151</v>
      </c>
      <c r="F7" s="177" t="s">
        <v>150</v>
      </c>
      <c r="H7" s="176" t="s">
        <v>155</v>
      </c>
    </row>
    <row r="8" spans="1:8" ht="13.8" x14ac:dyDescent="0.3">
      <c r="A8" s="189" t="s">
        <v>212</v>
      </c>
      <c r="B8" s="188">
        <f>B4/286</f>
        <v>4022.9261538461533</v>
      </c>
      <c r="C8" s="188">
        <f>B5/286</f>
        <v>9386.8276923076919</v>
      </c>
      <c r="D8" s="188">
        <f t="shared" ref="D8:D43" si="0">SUM(B8:C8)</f>
        <v>13409.753846153846</v>
      </c>
      <c r="E8" s="187">
        <f>D8*0.5</f>
        <v>6704.876923076923</v>
      </c>
      <c r="F8" s="187">
        <f t="shared" ref="F8:F43" si="1">D8+E8</f>
        <v>20114.630769230767</v>
      </c>
      <c r="H8" s="175" t="s">
        <v>149</v>
      </c>
    </row>
    <row r="9" spans="1:8" ht="13.8" x14ac:dyDescent="0.3">
      <c r="A9" s="183" t="s">
        <v>211</v>
      </c>
      <c r="B9" s="182">
        <f>B4/286</f>
        <v>4022.9261538461533</v>
      </c>
      <c r="C9" s="182">
        <f>B5/286</f>
        <v>9386.8276923076919</v>
      </c>
      <c r="D9" s="182">
        <f t="shared" si="0"/>
        <v>13409.753846153846</v>
      </c>
      <c r="E9" s="181">
        <f>D9*0</f>
        <v>0</v>
      </c>
      <c r="F9" s="181">
        <f t="shared" si="1"/>
        <v>13409.753846153846</v>
      </c>
      <c r="H9" s="175" t="s">
        <v>148</v>
      </c>
    </row>
    <row r="10" spans="1:8" ht="13.8" x14ac:dyDescent="0.3">
      <c r="A10" s="183" t="s">
        <v>210</v>
      </c>
      <c r="B10" s="182">
        <f>B4/286</f>
        <v>4022.9261538461533</v>
      </c>
      <c r="C10" s="182">
        <f>B5/286</f>
        <v>9386.8276923076919</v>
      </c>
      <c r="D10" s="182">
        <f t="shared" si="0"/>
        <v>13409.753846153846</v>
      </c>
      <c r="E10" s="181">
        <f>D10*0</f>
        <v>0</v>
      </c>
      <c r="F10" s="181">
        <f t="shared" si="1"/>
        <v>13409.753846153846</v>
      </c>
      <c r="H10" s="175" t="s">
        <v>147</v>
      </c>
    </row>
    <row r="11" spans="1:8" ht="13.8" x14ac:dyDescent="0.3">
      <c r="A11" s="186" t="s">
        <v>209</v>
      </c>
      <c r="B11" s="185">
        <f>B4/286</f>
        <v>4022.9261538461533</v>
      </c>
      <c r="C11" s="185">
        <f>B5/286</f>
        <v>9386.8276923076919</v>
      </c>
      <c r="D11" s="185">
        <f t="shared" si="0"/>
        <v>13409.753846153846</v>
      </c>
      <c r="E11" s="184">
        <f>D11*0.25</f>
        <v>3352.4384615384615</v>
      </c>
      <c r="F11" s="184">
        <f t="shared" si="1"/>
        <v>16762.192307692309</v>
      </c>
      <c r="H11" s="175" t="s">
        <v>146</v>
      </c>
    </row>
    <row r="12" spans="1:8" ht="13.8" x14ac:dyDescent="0.3">
      <c r="A12" s="186" t="s">
        <v>208</v>
      </c>
      <c r="B12" s="185">
        <f>B4/286</f>
        <v>4022.9261538461533</v>
      </c>
      <c r="C12" s="185">
        <f>B5/286</f>
        <v>9386.8276923076919</v>
      </c>
      <c r="D12" s="185">
        <f t="shared" si="0"/>
        <v>13409.753846153846</v>
      </c>
      <c r="E12" s="184">
        <f>D12*0.25</f>
        <v>3352.4384615384615</v>
      </c>
      <c r="F12" s="184">
        <f t="shared" si="1"/>
        <v>16762.192307692309</v>
      </c>
      <c r="H12" s="175" t="s">
        <v>145</v>
      </c>
    </row>
    <row r="13" spans="1:8" ht="13.8" x14ac:dyDescent="0.3">
      <c r="A13" s="189" t="s">
        <v>207</v>
      </c>
      <c r="B13" s="188">
        <f>B4/286</f>
        <v>4022.9261538461533</v>
      </c>
      <c r="C13" s="188">
        <f>B5/286</f>
        <v>9386.8276923076919</v>
      </c>
      <c r="D13" s="188">
        <f t="shared" si="0"/>
        <v>13409.753846153846</v>
      </c>
      <c r="E13" s="187">
        <f>D13*0.5</f>
        <v>6704.876923076923</v>
      </c>
      <c r="F13" s="187">
        <f t="shared" si="1"/>
        <v>20114.630769230767</v>
      </c>
      <c r="H13" s="175" t="s">
        <v>144</v>
      </c>
    </row>
    <row r="14" spans="1:8" ht="13.8" x14ac:dyDescent="0.3">
      <c r="A14" s="189" t="s">
        <v>206</v>
      </c>
      <c r="B14" s="188">
        <f>B4/286</f>
        <v>4022.9261538461533</v>
      </c>
      <c r="C14" s="188">
        <f>B5/286</f>
        <v>9386.8276923076919</v>
      </c>
      <c r="D14" s="188">
        <f t="shared" si="0"/>
        <v>13409.753846153846</v>
      </c>
      <c r="E14" s="187">
        <f>D14*0.5</f>
        <v>6704.876923076923</v>
      </c>
      <c r="F14" s="187">
        <f t="shared" si="1"/>
        <v>20114.630769230767</v>
      </c>
      <c r="H14" s="175" t="s">
        <v>143</v>
      </c>
    </row>
    <row r="15" spans="1:8" ht="13.8" x14ac:dyDescent="0.3">
      <c r="A15" s="189" t="s">
        <v>205</v>
      </c>
      <c r="B15" s="188">
        <f>B4/286</f>
        <v>4022.9261538461533</v>
      </c>
      <c r="C15" s="188">
        <f>B5/286</f>
        <v>9386.8276923076919</v>
      </c>
      <c r="D15" s="188">
        <f t="shared" si="0"/>
        <v>13409.753846153846</v>
      </c>
      <c r="E15" s="187">
        <f>D15*0.5</f>
        <v>6704.876923076923</v>
      </c>
      <c r="F15" s="187">
        <f t="shared" si="1"/>
        <v>20114.630769230767</v>
      </c>
      <c r="H15" s="175"/>
    </row>
    <row r="16" spans="1:8" ht="13.8" x14ac:dyDescent="0.3">
      <c r="A16" s="183" t="s">
        <v>204</v>
      </c>
      <c r="B16" s="182">
        <f>B4/286</f>
        <v>4022.9261538461533</v>
      </c>
      <c r="C16" s="182">
        <f>B5/286</f>
        <v>9386.8276923076919</v>
      </c>
      <c r="D16" s="182">
        <f t="shared" si="0"/>
        <v>13409.753846153846</v>
      </c>
      <c r="E16" s="181">
        <f>D16*0</f>
        <v>0</v>
      </c>
      <c r="F16" s="181">
        <f t="shared" si="1"/>
        <v>13409.753846153846</v>
      </c>
      <c r="H16" s="176"/>
    </row>
    <row r="17" spans="1:8" ht="13.8" x14ac:dyDescent="0.3">
      <c r="A17" s="189" t="s">
        <v>203</v>
      </c>
      <c r="B17" s="188">
        <f>B4/286</f>
        <v>4022.9261538461533</v>
      </c>
      <c r="C17" s="188">
        <f>B5/286</f>
        <v>9386.8276923076919</v>
      </c>
      <c r="D17" s="188">
        <f t="shared" si="0"/>
        <v>13409.753846153846</v>
      </c>
      <c r="E17" s="187">
        <f>D17*0.5</f>
        <v>6704.876923076923</v>
      </c>
      <c r="F17" s="187">
        <f t="shared" si="1"/>
        <v>20114.630769230767</v>
      </c>
      <c r="H17" s="175"/>
    </row>
    <row r="18" spans="1:8" ht="13.8" x14ac:dyDescent="0.3">
      <c r="A18" s="183" t="s">
        <v>202</v>
      </c>
      <c r="B18" s="182">
        <f>B4/286</f>
        <v>4022.9261538461533</v>
      </c>
      <c r="C18" s="182">
        <f>B5/286</f>
        <v>9386.8276923076919</v>
      </c>
      <c r="D18" s="182">
        <f t="shared" si="0"/>
        <v>13409.753846153846</v>
      </c>
      <c r="E18" s="181">
        <f>D18*0</f>
        <v>0</v>
      </c>
      <c r="F18" s="181">
        <f t="shared" si="1"/>
        <v>13409.753846153846</v>
      </c>
    </row>
    <row r="19" spans="1:8" ht="13.8" x14ac:dyDescent="0.3">
      <c r="A19" s="189" t="s">
        <v>201</v>
      </c>
      <c r="B19" s="188">
        <f>B4/286</f>
        <v>4022.9261538461533</v>
      </c>
      <c r="C19" s="188">
        <f>B5/286</f>
        <v>9386.8276923076919</v>
      </c>
      <c r="D19" s="188">
        <f t="shared" si="0"/>
        <v>13409.753846153846</v>
      </c>
      <c r="E19" s="187">
        <f>D19*0.5</f>
        <v>6704.876923076923</v>
      </c>
      <c r="F19" s="187">
        <f t="shared" si="1"/>
        <v>20114.630769230767</v>
      </c>
    </row>
    <row r="20" spans="1:8" ht="13.8" x14ac:dyDescent="0.3">
      <c r="A20" s="189" t="s">
        <v>200</v>
      </c>
      <c r="B20" s="188">
        <f>B4/286</f>
        <v>4022.9261538461533</v>
      </c>
      <c r="C20" s="188">
        <f>B5/286</f>
        <v>9386.8276923076919</v>
      </c>
      <c r="D20" s="188">
        <f t="shared" si="0"/>
        <v>13409.753846153846</v>
      </c>
      <c r="E20" s="187">
        <f>D20*0.5</f>
        <v>6704.876923076923</v>
      </c>
      <c r="F20" s="187">
        <f t="shared" si="1"/>
        <v>20114.630769230767</v>
      </c>
    </row>
    <row r="21" spans="1:8" ht="13.8" x14ac:dyDescent="0.3">
      <c r="A21" s="183" t="s">
        <v>199</v>
      </c>
      <c r="B21" s="182">
        <f>B4/286</f>
        <v>4022.9261538461533</v>
      </c>
      <c r="C21" s="182">
        <f>B5/286</f>
        <v>9386.8276923076919</v>
      </c>
      <c r="D21" s="182">
        <f t="shared" si="0"/>
        <v>13409.753846153846</v>
      </c>
      <c r="E21" s="181">
        <f>D21*0</f>
        <v>0</v>
      </c>
      <c r="F21" s="181">
        <f t="shared" si="1"/>
        <v>13409.753846153846</v>
      </c>
    </row>
    <row r="22" spans="1:8" ht="13.8" x14ac:dyDescent="0.3">
      <c r="A22" s="186" t="s">
        <v>198</v>
      </c>
      <c r="B22" s="185">
        <f>B4/286</f>
        <v>4022.9261538461533</v>
      </c>
      <c r="C22" s="185">
        <f>B5/286</f>
        <v>9386.8276923076919</v>
      </c>
      <c r="D22" s="185">
        <f t="shared" si="0"/>
        <v>13409.753846153846</v>
      </c>
      <c r="E22" s="184">
        <f>D22*0.25</f>
        <v>3352.4384615384615</v>
      </c>
      <c r="F22" s="184">
        <f t="shared" si="1"/>
        <v>16762.192307692309</v>
      </c>
    </row>
    <row r="23" spans="1:8" ht="13.8" x14ac:dyDescent="0.3">
      <c r="A23" s="189" t="s">
        <v>197</v>
      </c>
      <c r="B23" s="188">
        <f>B4/286</f>
        <v>4022.9261538461533</v>
      </c>
      <c r="C23" s="188">
        <f>B5/286</f>
        <v>9386.8276923076919</v>
      </c>
      <c r="D23" s="188">
        <f t="shared" si="0"/>
        <v>13409.753846153846</v>
      </c>
      <c r="E23" s="187">
        <f>D23*0.5</f>
        <v>6704.876923076923</v>
      </c>
      <c r="F23" s="187">
        <f t="shared" si="1"/>
        <v>20114.630769230767</v>
      </c>
    </row>
    <row r="24" spans="1:8" ht="13.8" x14ac:dyDescent="0.3">
      <c r="A24" s="189" t="s">
        <v>196</v>
      </c>
      <c r="B24" s="188">
        <f>B4/286</f>
        <v>4022.9261538461533</v>
      </c>
      <c r="C24" s="188">
        <f>B5/286</f>
        <v>9386.8276923076919</v>
      </c>
      <c r="D24" s="188">
        <f t="shared" si="0"/>
        <v>13409.753846153846</v>
      </c>
      <c r="E24" s="187">
        <f>D24*0.5</f>
        <v>6704.876923076923</v>
      </c>
      <c r="F24" s="187">
        <f t="shared" si="1"/>
        <v>20114.630769230767</v>
      </c>
    </row>
    <row r="25" spans="1:8" ht="13.8" x14ac:dyDescent="0.3">
      <c r="A25" s="189" t="s">
        <v>195</v>
      </c>
      <c r="B25" s="188">
        <f>B4/286</f>
        <v>4022.9261538461533</v>
      </c>
      <c r="C25" s="188">
        <f>B5/286</f>
        <v>9386.8276923076919</v>
      </c>
      <c r="D25" s="188">
        <f t="shared" si="0"/>
        <v>13409.753846153846</v>
      </c>
      <c r="E25" s="187">
        <f>D25*0.5</f>
        <v>6704.876923076923</v>
      </c>
      <c r="F25" s="187">
        <f t="shared" si="1"/>
        <v>20114.630769230767</v>
      </c>
    </row>
    <row r="26" spans="1:8" ht="13.8" x14ac:dyDescent="0.3">
      <c r="A26" s="189" t="s">
        <v>194</v>
      </c>
      <c r="B26" s="188">
        <f>B4/286</f>
        <v>4022.9261538461533</v>
      </c>
      <c r="C26" s="188">
        <f>B5/286</f>
        <v>9386.8276923076919</v>
      </c>
      <c r="D26" s="188">
        <f t="shared" si="0"/>
        <v>13409.753846153846</v>
      </c>
      <c r="E26" s="187">
        <f>D26*0.5</f>
        <v>6704.876923076923</v>
      </c>
      <c r="F26" s="187">
        <f t="shared" si="1"/>
        <v>20114.630769230767</v>
      </c>
    </row>
    <row r="27" spans="1:8" ht="13.8" x14ac:dyDescent="0.3">
      <c r="A27" s="186" t="s">
        <v>193</v>
      </c>
      <c r="B27" s="185">
        <f>B4/286</f>
        <v>4022.9261538461533</v>
      </c>
      <c r="C27" s="185">
        <f>B5/286</f>
        <v>9386.8276923076919</v>
      </c>
      <c r="D27" s="185">
        <f t="shared" si="0"/>
        <v>13409.753846153846</v>
      </c>
      <c r="E27" s="184">
        <f>D27*0.25</f>
        <v>3352.4384615384615</v>
      </c>
      <c r="F27" s="184">
        <f t="shared" si="1"/>
        <v>16762.192307692309</v>
      </c>
    </row>
    <row r="28" spans="1:8" ht="13.8" x14ac:dyDescent="0.3">
      <c r="A28" s="186" t="s">
        <v>192</v>
      </c>
      <c r="B28" s="185">
        <f>B4/286</f>
        <v>4022.9261538461533</v>
      </c>
      <c r="C28" s="185">
        <f>B5/286</f>
        <v>9386.8276923076919</v>
      </c>
      <c r="D28" s="185">
        <f t="shared" si="0"/>
        <v>13409.753846153846</v>
      </c>
      <c r="E28" s="184">
        <f>D28*0.25</f>
        <v>3352.4384615384615</v>
      </c>
      <c r="F28" s="184">
        <f t="shared" si="1"/>
        <v>16762.192307692309</v>
      </c>
    </row>
    <row r="29" spans="1:8" ht="13.8" x14ac:dyDescent="0.3">
      <c r="A29" s="186" t="s">
        <v>191</v>
      </c>
      <c r="B29" s="185">
        <f>B4/286</f>
        <v>4022.9261538461533</v>
      </c>
      <c r="C29" s="185">
        <f>B5/286</f>
        <v>9386.8276923076919</v>
      </c>
      <c r="D29" s="185">
        <f t="shared" si="0"/>
        <v>13409.753846153846</v>
      </c>
      <c r="E29" s="184">
        <f>D29*0.25</f>
        <v>3352.4384615384615</v>
      </c>
      <c r="F29" s="184">
        <f t="shared" si="1"/>
        <v>16762.192307692309</v>
      </c>
    </row>
    <row r="30" spans="1:8" ht="13.8" x14ac:dyDescent="0.3">
      <c r="A30" s="189" t="s">
        <v>190</v>
      </c>
      <c r="B30" s="188">
        <f>B4/286</f>
        <v>4022.9261538461533</v>
      </c>
      <c r="C30" s="188">
        <f>B5/286</f>
        <v>9386.8276923076919</v>
      </c>
      <c r="D30" s="188">
        <f t="shared" si="0"/>
        <v>13409.753846153846</v>
      </c>
      <c r="E30" s="187">
        <f>D30*0.5</f>
        <v>6704.876923076923</v>
      </c>
      <c r="F30" s="187">
        <f t="shared" si="1"/>
        <v>20114.630769230767</v>
      </c>
    </row>
    <row r="31" spans="1:8" ht="13.8" x14ac:dyDescent="0.3">
      <c r="A31" s="186" t="s">
        <v>189</v>
      </c>
      <c r="B31" s="185">
        <f>B4/286</f>
        <v>4022.9261538461533</v>
      </c>
      <c r="C31" s="185">
        <f>B5/286</f>
        <v>9386.8276923076919</v>
      </c>
      <c r="D31" s="185">
        <f t="shared" si="0"/>
        <v>13409.753846153846</v>
      </c>
      <c r="E31" s="184">
        <f>D31*0.25</f>
        <v>3352.4384615384615</v>
      </c>
      <c r="F31" s="184">
        <f t="shared" si="1"/>
        <v>16762.192307692309</v>
      </c>
    </row>
    <row r="32" spans="1:8" ht="13.8" x14ac:dyDescent="0.3">
      <c r="A32" s="186" t="s">
        <v>188</v>
      </c>
      <c r="B32" s="185">
        <f>B4/286</f>
        <v>4022.9261538461533</v>
      </c>
      <c r="C32" s="185">
        <f>B5/286</f>
        <v>9386.8276923076919</v>
      </c>
      <c r="D32" s="185">
        <f t="shared" si="0"/>
        <v>13409.753846153846</v>
      </c>
      <c r="E32" s="184">
        <f>D32*0.25</f>
        <v>3352.4384615384615</v>
      </c>
      <c r="F32" s="184">
        <f t="shared" si="1"/>
        <v>16762.192307692309</v>
      </c>
    </row>
    <row r="33" spans="1:6" ht="13.8" x14ac:dyDescent="0.3">
      <c r="A33" s="183" t="s">
        <v>187</v>
      </c>
      <c r="B33" s="182">
        <f>B4/286</f>
        <v>4022.9261538461533</v>
      </c>
      <c r="C33" s="182">
        <f>B5/286</f>
        <v>9386.8276923076919</v>
      </c>
      <c r="D33" s="182">
        <f t="shared" si="0"/>
        <v>13409.753846153846</v>
      </c>
      <c r="E33" s="181">
        <f>D33*0</f>
        <v>0</v>
      </c>
      <c r="F33" s="181">
        <f t="shared" si="1"/>
        <v>13409.753846153846</v>
      </c>
    </row>
    <row r="34" spans="1:6" ht="13.8" x14ac:dyDescent="0.3">
      <c r="A34" s="186" t="s">
        <v>186</v>
      </c>
      <c r="B34" s="185">
        <f>B4/286</f>
        <v>4022.9261538461533</v>
      </c>
      <c r="C34" s="185">
        <f>B5/286</f>
        <v>9386.8276923076919</v>
      </c>
      <c r="D34" s="185">
        <f t="shared" si="0"/>
        <v>13409.753846153846</v>
      </c>
      <c r="E34" s="184">
        <f>D34*0.25</f>
        <v>3352.4384615384615</v>
      </c>
      <c r="F34" s="184">
        <f t="shared" si="1"/>
        <v>16762.192307692309</v>
      </c>
    </row>
    <row r="35" spans="1:6" ht="13.8" x14ac:dyDescent="0.3">
      <c r="A35" s="183" t="s">
        <v>185</v>
      </c>
      <c r="B35" s="182">
        <f>B4/286</f>
        <v>4022.9261538461533</v>
      </c>
      <c r="C35" s="182">
        <f>B5/286</f>
        <v>9386.8276923076919</v>
      </c>
      <c r="D35" s="182">
        <f t="shared" si="0"/>
        <v>13409.753846153846</v>
      </c>
      <c r="E35" s="181">
        <f>D35*0</f>
        <v>0</v>
      </c>
      <c r="F35" s="181">
        <f t="shared" si="1"/>
        <v>13409.753846153846</v>
      </c>
    </row>
    <row r="36" spans="1:6" ht="13.8" x14ac:dyDescent="0.3">
      <c r="A36" s="186" t="s">
        <v>184</v>
      </c>
      <c r="B36" s="185">
        <f>B4/286</f>
        <v>4022.9261538461533</v>
      </c>
      <c r="C36" s="185">
        <f>B5/286</f>
        <v>9386.8276923076919</v>
      </c>
      <c r="D36" s="185">
        <f t="shared" si="0"/>
        <v>13409.753846153846</v>
      </c>
      <c r="E36" s="184">
        <f>D36*0.25</f>
        <v>3352.4384615384615</v>
      </c>
      <c r="F36" s="184">
        <f t="shared" si="1"/>
        <v>16762.192307692309</v>
      </c>
    </row>
    <row r="37" spans="1:6" ht="13.8" x14ac:dyDescent="0.3">
      <c r="A37" s="186" t="s">
        <v>183</v>
      </c>
      <c r="B37" s="185">
        <f>B4/286</f>
        <v>4022.9261538461533</v>
      </c>
      <c r="C37" s="185">
        <f>B5/286</f>
        <v>9386.8276923076919</v>
      </c>
      <c r="D37" s="185">
        <f t="shared" si="0"/>
        <v>13409.753846153846</v>
      </c>
      <c r="E37" s="184">
        <f>D37*0.25</f>
        <v>3352.4384615384615</v>
      </c>
      <c r="F37" s="184">
        <f t="shared" si="1"/>
        <v>16762.192307692309</v>
      </c>
    </row>
    <row r="38" spans="1:6" ht="13.8" x14ac:dyDescent="0.3">
      <c r="A38" s="186" t="s">
        <v>182</v>
      </c>
      <c r="B38" s="185">
        <f>B4/286</f>
        <v>4022.9261538461533</v>
      </c>
      <c r="C38" s="185">
        <f>B5/286</f>
        <v>9386.8276923076919</v>
      </c>
      <c r="D38" s="185">
        <f t="shared" si="0"/>
        <v>13409.753846153846</v>
      </c>
      <c r="E38" s="184">
        <f>D38*0.25</f>
        <v>3352.4384615384615</v>
      </c>
      <c r="F38" s="184">
        <f t="shared" si="1"/>
        <v>16762.192307692309</v>
      </c>
    </row>
    <row r="39" spans="1:6" ht="13.8" x14ac:dyDescent="0.3">
      <c r="A39" s="186" t="s">
        <v>181</v>
      </c>
      <c r="B39" s="185">
        <f>B4/286</f>
        <v>4022.9261538461533</v>
      </c>
      <c r="C39" s="185">
        <f>B5/286</f>
        <v>9386.8276923076919</v>
      </c>
      <c r="D39" s="185">
        <f t="shared" si="0"/>
        <v>13409.753846153846</v>
      </c>
      <c r="E39" s="184">
        <f>D39*0.25</f>
        <v>3352.4384615384615</v>
      </c>
      <c r="F39" s="184">
        <f t="shared" si="1"/>
        <v>16762.192307692309</v>
      </c>
    </row>
    <row r="40" spans="1:6" ht="13.8" x14ac:dyDescent="0.3">
      <c r="A40" s="186" t="s">
        <v>180</v>
      </c>
      <c r="B40" s="185">
        <f>B4/286</f>
        <v>4022.9261538461533</v>
      </c>
      <c r="C40" s="185">
        <f>B5/286</f>
        <v>9386.8276923076919</v>
      </c>
      <c r="D40" s="185">
        <f t="shared" si="0"/>
        <v>13409.753846153846</v>
      </c>
      <c r="E40" s="184">
        <f>D40*0.25</f>
        <v>3352.4384615384615</v>
      </c>
      <c r="F40" s="184">
        <f t="shared" si="1"/>
        <v>16762.192307692309</v>
      </c>
    </row>
    <row r="41" spans="1:6" ht="13.8" x14ac:dyDescent="0.3">
      <c r="A41" s="183" t="s">
        <v>179</v>
      </c>
      <c r="B41" s="182">
        <f>B4/286</f>
        <v>4022.9261538461533</v>
      </c>
      <c r="C41" s="182">
        <f>B5/286</f>
        <v>9386.8276923076919</v>
      </c>
      <c r="D41" s="182">
        <f t="shared" si="0"/>
        <v>13409.753846153846</v>
      </c>
      <c r="E41" s="181">
        <f>D41*0</f>
        <v>0</v>
      </c>
      <c r="F41" s="181">
        <f t="shared" si="1"/>
        <v>13409.753846153846</v>
      </c>
    </row>
    <row r="42" spans="1:6" ht="13.8" x14ac:dyDescent="0.3">
      <c r="A42" s="186" t="s">
        <v>178</v>
      </c>
      <c r="B42" s="185">
        <f>B4/286</f>
        <v>4022.9261538461533</v>
      </c>
      <c r="C42" s="185">
        <f>B5/286</f>
        <v>9386.8276923076919</v>
      </c>
      <c r="D42" s="185">
        <f t="shared" si="0"/>
        <v>13409.753846153846</v>
      </c>
      <c r="E42" s="184">
        <f>D42*0.25</f>
        <v>3352.4384615384615</v>
      </c>
      <c r="F42" s="184">
        <f t="shared" si="1"/>
        <v>16762.192307692309</v>
      </c>
    </row>
    <row r="43" spans="1:6" ht="13.8" x14ac:dyDescent="0.3">
      <c r="A43" s="183" t="s">
        <v>177</v>
      </c>
      <c r="B43" s="182">
        <f>B4/286</f>
        <v>4022.9261538461533</v>
      </c>
      <c r="C43" s="182">
        <f>B5/286</f>
        <v>9386.8276923076919</v>
      </c>
      <c r="D43" s="182">
        <f t="shared" si="0"/>
        <v>13409.753846153846</v>
      </c>
      <c r="E43" s="181">
        <f>D43*0</f>
        <v>0</v>
      </c>
      <c r="F43" s="181">
        <f t="shared" si="1"/>
        <v>13409.753846153846</v>
      </c>
    </row>
    <row r="44" spans="1:6" ht="14.25" customHeight="1" x14ac:dyDescent="0.3">
      <c r="A44" s="172" t="s">
        <v>166</v>
      </c>
      <c r="B44" s="171">
        <f>SUM(B8:B43)</f>
        <v>144825.34153846154</v>
      </c>
      <c r="C44" s="171">
        <f>SUM(C8:C43)</f>
        <v>337925.7969230772</v>
      </c>
      <c r="D44" s="171">
        <f>SUM(D8:D43)</f>
        <v>482751.13846153853</v>
      </c>
      <c r="E44" s="170">
        <f>SUM(E8:E43)</f>
        <v>130745.10000000002</v>
      </c>
      <c r="F44" s="170">
        <f>SUM(F8:F43)</f>
        <v>613496.23846153833</v>
      </c>
    </row>
    <row r="46" spans="1:6" ht="13.8" x14ac:dyDescent="0.3">
      <c r="A46" s="177" t="s">
        <v>104</v>
      </c>
      <c r="B46" s="177" t="s">
        <v>154</v>
      </c>
      <c r="C46" s="177" t="s">
        <v>153</v>
      </c>
      <c r="D46" s="177" t="s">
        <v>152</v>
      </c>
      <c r="E46" s="177" t="s">
        <v>151</v>
      </c>
      <c r="F46" s="177" t="s">
        <v>150</v>
      </c>
    </row>
    <row r="47" spans="1:6" ht="13.8" x14ac:dyDescent="0.3">
      <c r="A47" s="175" t="s">
        <v>50</v>
      </c>
      <c r="B47" s="174">
        <f>B4/286</f>
        <v>4022.9261538461533</v>
      </c>
      <c r="C47" s="174">
        <f>B5/286</f>
        <v>9386.8276923076919</v>
      </c>
      <c r="D47" s="174">
        <f t="shared" ref="D47:D55" si="2">SUM(B47:C47)</f>
        <v>13409.753846153846</v>
      </c>
      <c r="E47" s="173">
        <f t="shared" ref="E47:E55" si="3">D47*0.5</f>
        <v>6704.876923076923</v>
      </c>
      <c r="F47" s="173">
        <f t="shared" ref="F47:F55" si="4">D47+E47</f>
        <v>20114.630769230767</v>
      </c>
    </row>
    <row r="48" spans="1:6" ht="13.8" x14ac:dyDescent="0.3">
      <c r="A48" s="175" t="s">
        <v>165</v>
      </c>
      <c r="B48" s="174">
        <f>B4/286</f>
        <v>4022.9261538461533</v>
      </c>
      <c r="C48" s="174">
        <f>B5/286</f>
        <v>9386.8276923076919</v>
      </c>
      <c r="D48" s="174">
        <f t="shared" si="2"/>
        <v>13409.753846153846</v>
      </c>
      <c r="E48" s="173">
        <f t="shared" si="3"/>
        <v>6704.876923076923</v>
      </c>
      <c r="F48" s="173">
        <f t="shared" si="4"/>
        <v>20114.630769230767</v>
      </c>
    </row>
    <row r="49" spans="1:8" ht="13.8" x14ac:dyDescent="0.3">
      <c r="A49" s="175" t="s">
        <v>52</v>
      </c>
      <c r="B49" s="174">
        <f>B4/286</f>
        <v>4022.9261538461533</v>
      </c>
      <c r="C49" s="174">
        <f>B5/286</f>
        <v>9386.8276923076919</v>
      </c>
      <c r="D49" s="174">
        <f t="shared" si="2"/>
        <v>13409.753846153846</v>
      </c>
      <c r="E49" s="173">
        <f t="shared" si="3"/>
        <v>6704.876923076923</v>
      </c>
      <c r="F49" s="173">
        <f t="shared" si="4"/>
        <v>20114.630769230767</v>
      </c>
    </row>
    <row r="50" spans="1:8" ht="13.8" x14ac:dyDescent="0.3">
      <c r="A50" s="175" t="s">
        <v>164</v>
      </c>
      <c r="B50" s="174">
        <f>B4/286</f>
        <v>4022.9261538461533</v>
      </c>
      <c r="C50" s="174">
        <f>B5/286</f>
        <v>9386.8276923076919</v>
      </c>
      <c r="D50" s="174">
        <f t="shared" si="2"/>
        <v>13409.753846153846</v>
      </c>
      <c r="E50" s="173">
        <f t="shared" si="3"/>
        <v>6704.876923076923</v>
      </c>
      <c r="F50" s="173">
        <f t="shared" si="4"/>
        <v>20114.630769230767</v>
      </c>
    </row>
    <row r="51" spans="1:8" ht="13.8" x14ac:dyDescent="0.3">
      <c r="A51" s="175" t="s">
        <v>40</v>
      </c>
      <c r="B51" s="174">
        <f>B4/286</f>
        <v>4022.9261538461533</v>
      </c>
      <c r="C51" s="174">
        <f>B5/286</f>
        <v>9386.8276923076919</v>
      </c>
      <c r="D51" s="174">
        <f t="shared" si="2"/>
        <v>13409.753846153846</v>
      </c>
      <c r="E51" s="173">
        <f t="shared" si="3"/>
        <v>6704.876923076923</v>
      </c>
      <c r="F51" s="173">
        <f t="shared" si="4"/>
        <v>20114.630769230767</v>
      </c>
    </row>
    <row r="52" spans="1:8" ht="13.8" x14ac:dyDescent="0.3">
      <c r="A52" s="175" t="s">
        <v>57</v>
      </c>
      <c r="B52" s="174">
        <f>B4/286</f>
        <v>4022.9261538461533</v>
      </c>
      <c r="C52" s="174">
        <f>B5/286</f>
        <v>9386.8276923076919</v>
      </c>
      <c r="D52" s="174">
        <f t="shared" si="2"/>
        <v>13409.753846153846</v>
      </c>
      <c r="E52" s="173">
        <f t="shared" si="3"/>
        <v>6704.876923076923</v>
      </c>
      <c r="F52" s="173">
        <f t="shared" si="4"/>
        <v>20114.630769230767</v>
      </c>
    </row>
    <row r="53" spans="1:8" ht="13.8" x14ac:dyDescent="0.3">
      <c r="A53" s="175" t="s">
        <v>135</v>
      </c>
      <c r="B53" s="174">
        <f>B4/286</f>
        <v>4022.9261538461533</v>
      </c>
      <c r="C53" s="174">
        <f>B5/286</f>
        <v>9386.8276923076919</v>
      </c>
      <c r="D53" s="174">
        <f t="shared" si="2"/>
        <v>13409.753846153846</v>
      </c>
      <c r="E53" s="173">
        <f t="shared" si="3"/>
        <v>6704.876923076923</v>
      </c>
      <c r="F53" s="173">
        <f t="shared" si="4"/>
        <v>20114.630769230767</v>
      </c>
    </row>
    <row r="54" spans="1:8" ht="13.8" x14ac:dyDescent="0.3">
      <c r="A54" s="175" t="s">
        <v>163</v>
      </c>
      <c r="B54" s="174">
        <f>B4/286</f>
        <v>4022.9261538461533</v>
      </c>
      <c r="C54" s="174">
        <f>B5/286</f>
        <v>9386.8276923076919</v>
      </c>
      <c r="D54" s="174">
        <f t="shared" si="2"/>
        <v>13409.753846153846</v>
      </c>
      <c r="E54" s="173">
        <f t="shared" si="3"/>
        <v>6704.876923076923</v>
      </c>
      <c r="F54" s="173">
        <f t="shared" si="4"/>
        <v>20114.630769230767</v>
      </c>
    </row>
    <row r="55" spans="1:8" ht="13.8" x14ac:dyDescent="0.3">
      <c r="A55" s="175" t="s">
        <v>162</v>
      </c>
      <c r="B55" s="174">
        <f>B4/286</f>
        <v>4022.9261538461533</v>
      </c>
      <c r="C55" s="174">
        <f>B5/286</f>
        <v>9386.8276923076919</v>
      </c>
      <c r="D55" s="174">
        <f t="shared" si="2"/>
        <v>13409.753846153846</v>
      </c>
      <c r="E55" s="173">
        <f t="shared" si="3"/>
        <v>6704.876923076923</v>
      </c>
      <c r="F55" s="173">
        <f t="shared" si="4"/>
        <v>20114.630769230767</v>
      </c>
    </row>
    <row r="56" spans="1:8" ht="13.8" x14ac:dyDescent="0.3">
      <c r="A56" s="172" t="s">
        <v>161</v>
      </c>
      <c r="B56" s="171">
        <f>SUM(B47:B55)</f>
        <v>36206.335384615384</v>
      </c>
      <c r="C56" s="171">
        <f>SUM(C47:C55)</f>
        <v>84481.449230769227</v>
      </c>
      <c r="D56" s="171">
        <f>SUM(D47:D55)</f>
        <v>120687.78461538463</v>
      </c>
      <c r="E56" s="171">
        <f>SUM(E47:E55)</f>
        <v>60343.892307692317</v>
      </c>
      <c r="F56" s="171">
        <f>SUM(F47:F55)</f>
        <v>181031.67692307694</v>
      </c>
    </row>
    <row r="58" spans="1:8" ht="13.8" x14ac:dyDescent="0.3">
      <c r="A58" s="177" t="s">
        <v>176</v>
      </c>
      <c r="B58" s="177" t="s">
        <v>154</v>
      </c>
      <c r="C58" s="177" t="s">
        <v>153</v>
      </c>
      <c r="D58" s="177" t="s">
        <v>152</v>
      </c>
      <c r="E58" s="177" t="s">
        <v>151</v>
      </c>
      <c r="F58" s="177" t="s">
        <v>150</v>
      </c>
      <c r="H58" s="180" t="s">
        <v>175</v>
      </c>
    </row>
    <row r="59" spans="1:8" ht="13.8" x14ac:dyDescent="0.3">
      <c r="A59" s="175" t="s">
        <v>174</v>
      </c>
      <c r="B59" s="174">
        <f>B4/286</f>
        <v>4022.9261538461533</v>
      </c>
      <c r="C59" s="174">
        <f>B5/286</f>
        <v>9386.8276923076919</v>
      </c>
      <c r="D59" s="174">
        <f>SUM(B59:C59)</f>
        <v>13409.753846153846</v>
      </c>
      <c r="E59" s="173">
        <f>(D59*0)*24</f>
        <v>0</v>
      </c>
      <c r="F59" s="173">
        <f>(D59+E59)*24</f>
        <v>321834.09230769228</v>
      </c>
    </row>
    <row r="60" spans="1:8" ht="13.8" x14ac:dyDescent="0.3">
      <c r="A60" s="175" t="s">
        <v>173</v>
      </c>
      <c r="B60" s="174">
        <f>B4/286</f>
        <v>4022.9261538461533</v>
      </c>
      <c r="C60" s="174">
        <f>B5/286</f>
        <v>9386.8276923076919</v>
      </c>
      <c r="D60" s="174">
        <f>SUM(B60:C60)</f>
        <v>13409.753846153846</v>
      </c>
      <c r="E60" s="173">
        <f>(D60*0.25)*144</f>
        <v>482751.13846153847</v>
      </c>
      <c r="F60" s="173">
        <f>(D60*144)+E60</f>
        <v>2413755.6923076925</v>
      </c>
    </row>
    <row r="61" spans="1:8" ht="13.8" x14ac:dyDescent="0.3">
      <c r="A61" s="175" t="s">
        <v>172</v>
      </c>
      <c r="B61" s="174">
        <f>B4/286</f>
        <v>4022.9261538461533</v>
      </c>
      <c r="C61" s="174">
        <f>B5/286</f>
        <v>9386.8276923076919</v>
      </c>
      <c r="D61" s="174">
        <f>SUM(B61:C61)</f>
        <v>13409.753846153846</v>
      </c>
      <c r="E61" s="173">
        <f>(D61*0.5)*73</f>
        <v>489456.0153846154</v>
      </c>
      <c r="F61" s="173">
        <f>(D61*73)+E61</f>
        <v>1468368.0461538462</v>
      </c>
    </row>
    <row r="62" spans="1:8" ht="13.8" x14ac:dyDescent="0.3">
      <c r="A62" s="172" t="s">
        <v>169</v>
      </c>
      <c r="B62" s="171">
        <f>B59*241</f>
        <v>969525.20307692292</v>
      </c>
      <c r="C62" s="171">
        <f>C59*241</f>
        <v>2262225.4738461538</v>
      </c>
      <c r="D62" s="171">
        <f>D59*241</f>
        <v>3231750.6769230771</v>
      </c>
      <c r="E62" s="170">
        <f>SUM(E59:E61)</f>
        <v>972207.15384615387</v>
      </c>
      <c r="F62" s="170">
        <f>SUM(F59:F61)</f>
        <v>4203957.8307692315</v>
      </c>
      <c r="G62" s="173"/>
    </row>
    <row r="63" spans="1:8" ht="15.75" customHeight="1" x14ac:dyDescent="0.3">
      <c r="E63" s="173"/>
      <c r="F63" s="173"/>
    </row>
    <row r="64" spans="1:8" ht="13.8" x14ac:dyDescent="0.3">
      <c r="A64" s="179" t="s">
        <v>160</v>
      </c>
      <c r="B64" s="178">
        <f>B44+B56+B62</f>
        <v>1150556.8799999999</v>
      </c>
      <c r="C64" s="178">
        <f>C44+C56+C62</f>
        <v>2684632.72</v>
      </c>
      <c r="D64" s="178">
        <f>D44+D56+D62</f>
        <v>3835189.6</v>
      </c>
      <c r="E64" s="178">
        <f>E44+E56+E62</f>
        <v>1163296.1461538463</v>
      </c>
      <c r="F64" s="178">
        <f>F44+F56+F62</f>
        <v>4998485.7461538464</v>
      </c>
    </row>
    <row r="65" spans="5:6" ht="15.75" customHeight="1" x14ac:dyDescent="0.3">
      <c r="E65" s="173"/>
      <c r="F65" s="173"/>
    </row>
    <row r="66" spans="5:6" ht="15.75" customHeight="1" x14ac:dyDescent="0.3">
      <c r="E66" s="173"/>
      <c r="F66" s="173"/>
    </row>
    <row r="67" spans="5:6" ht="15.75" customHeight="1" x14ac:dyDescent="0.3">
      <c r="E67" s="171"/>
      <c r="F67" s="171"/>
    </row>
    <row r="69" spans="5:6" ht="15.75" customHeight="1" x14ac:dyDescent="0.3">
      <c r="E69" s="178"/>
      <c r="F69" s="178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FDE1-23DF-498A-A216-DC5FBF68BBAC}">
  <dimension ref="A1:J66"/>
  <sheetViews>
    <sheetView zoomScaleNormal="100" workbookViewId="0">
      <selection sqref="A1:G1"/>
    </sheetView>
  </sheetViews>
  <sheetFormatPr defaultRowHeight="14.4" x14ac:dyDescent="0.3"/>
  <cols>
    <col min="1" max="1" width="26.88671875" customWidth="1"/>
    <col min="2" max="2" width="14" bestFit="1" customWidth="1"/>
    <col min="3" max="3" width="22.44140625" bestFit="1" customWidth="1"/>
    <col min="4" max="4" width="14.109375" style="191" customWidth="1"/>
    <col min="5" max="5" width="19.6640625" style="190" customWidth="1"/>
    <col min="6" max="6" width="22.5546875" bestFit="1" customWidth="1"/>
    <col min="7" max="7" width="37" customWidth="1"/>
    <col min="8" max="8" width="14.33203125" bestFit="1" customWidth="1"/>
    <col min="9" max="9" width="14.88671875" bestFit="1" customWidth="1"/>
    <col min="10" max="10" width="13.109375" bestFit="1" customWidth="1"/>
  </cols>
  <sheetData>
    <row r="1" spans="1:10" ht="21" x14ac:dyDescent="0.4">
      <c r="A1" s="211" t="s">
        <v>225</v>
      </c>
      <c r="B1" s="211"/>
      <c r="C1" s="211"/>
      <c r="D1" s="211"/>
      <c r="E1" s="211"/>
      <c r="F1" s="211"/>
      <c r="G1" s="211"/>
    </row>
    <row r="2" spans="1:10" x14ac:dyDescent="0.3">
      <c r="A2" s="44" t="s">
        <v>220</v>
      </c>
      <c r="B2" s="44" t="s">
        <v>6</v>
      </c>
      <c r="C2" s="44" t="s">
        <v>219</v>
      </c>
      <c r="D2" s="193" t="s">
        <v>218</v>
      </c>
      <c r="E2" s="192" t="s">
        <v>217</v>
      </c>
      <c r="G2" s="198" t="s">
        <v>159</v>
      </c>
      <c r="H2" s="201">
        <v>4793987</v>
      </c>
      <c r="I2" s="196"/>
    </row>
    <row r="3" spans="1:10" x14ac:dyDescent="0.3">
      <c r="A3" s="22" t="s">
        <v>36</v>
      </c>
      <c r="B3" s="7">
        <v>801306</v>
      </c>
      <c r="C3" s="196">
        <v>180255</v>
      </c>
      <c r="D3" s="191">
        <v>3</v>
      </c>
      <c r="E3" s="190">
        <v>100000</v>
      </c>
      <c r="G3" s="198"/>
      <c r="H3" s="201"/>
      <c r="I3" s="200"/>
      <c r="J3" s="199"/>
    </row>
    <row r="4" spans="1:10" x14ac:dyDescent="0.3">
      <c r="A4" s="33" t="s">
        <v>44</v>
      </c>
      <c r="B4" s="14">
        <v>610245</v>
      </c>
      <c r="C4" s="196">
        <v>108244</v>
      </c>
      <c r="D4" s="191">
        <v>3</v>
      </c>
      <c r="E4" s="190">
        <v>100000</v>
      </c>
      <c r="G4" s="198"/>
    </row>
    <row r="5" spans="1:10" x14ac:dyDescent="0.3">
      <c r="A5" s="33" t="s">
        <v>13</v>
      </c>
      <c r="B5" s="14">
        <v>424043</v>
      </c>
      <c r="C5" s="196">
        <v>124863.5</v>
      </c>
      <c r="D5" s="191">
        <v>3</v>
      </c>
      <c r="E5" s="190">
        <v>100000</v>
      </c>
      <c r="G5" s="198"/>
    </row>
    <row r="6" spans="1:10" x14ac:dyDescent="0.3">
      <c r="A6" s="33" t="s">
        <v>30</v>
      </c>
      <c r="B6" s="14">
        <v>384374</v>
      </c>
      <c r="C6" s="196">
        <v>96216.5</v>
      </c>
      <c r="D6" s="191">
        <v>3</v>
      </c>
      <c r="E6" s="190">
        <v>100000</v>
      </c>
      <c r="G6" s="198"/>
    </row>
    <row r="7" spans="1:10" x14ac:dyDescent="0.3">
      <c r="A7" s="33" t="s">
        <v>34</v>
      </c>
      <c r="B7" s="14">
        <v>352249</v>
      </c>
      <c r="C7" s="196">
        <v>98663</v>
      </c>
      <c r="D7" s="191">
        <v>3</v>
      </c>
      <c r="E7" s="190">
        <v>100000</v>
      </c>
      <c r="G7" s="198"/>
    </row>
    <row r="8" spans="1:10" x14ac:dyDescent="0.3">
      <c r="A8" s="33" t="s">
        <v>25</v>
      </c>
      <c r="B8" s="14">
        <v>222762</v>
      </c>
      <c r="C8" s="196">
        <v>97076.5</v>
      </c>
      <c r="D8" s="191">
        <v>3</v>
      </c>
      <c r="E8" s="190">
        <v>100000</v>
      </c>
    </row>
    <row r="9" spans="1:10" x14ac:dyDescent="0.3">
      <c r="A9" s="33" t="s">
        <v>19</v>
      </c>
      <c r="B9" s="14">
        <v>212141</v>
      </c>
      <c r="C9" s="196">
        <v>110587.5</v>
      </c>
      <c r="D9" s="191">
        <v>3</v>
      </c>
      <c r="E9" s="190">
        <v>100000</v>
      </c>
    </row>
    <row r="10" spans="1:10" x14ac:dyDescent="0.3">
      <c r="A10" s="33" t="s">
        <v>32</v>
      </c>
      <c r="B10" s="14">
        <v>131984</v>
      </c>
      <c r="C10" s="196">
        <v>77479.565000000002</v>
      </c>
      <c r="D10" s="191">
        <v>2</v>
      </c>
      <c r="E10" s="190">
        <v>75000</v>
      </c>
    </row>
    <row r="11" spans="1:10" x14ac:dyDescent="0.3">
      <c r="A11" s="33" t="s">
        <v>20</v>
      </c>
      <c r="B11" s="14">
        <v>113748</v>
      </c>
      <c r="C11" s="196">
        <v>93302.5</v>
      </c>
      <c r="D11" s="191">
        <v>2</v>
      </c>
      <c r="E11" s="190">
        <v>75000</v>
      </c>
    </row>
    <row r="12" spans="1:10" x14ac:dyDescent="0.3">
      <c r="A12" s="33" t="s">
        <v>46</v>
      </c>
      <c r="B12" s="14">
        <v>109743</v>
      </c>
      <c r="C12" s="196">
        <v>103681.82500000001</v>
      </c>
      <c r="D12" s="191">
        <v>2</v>
      </c>
      <c r="E12" s="190">
        <v>75000</v>
      </c>
    </row>
    <row r="13" spans="1:10" x14ac:dyDescent="0.3">
      <c r="A13" s="33" t="s">
        <v>12</v>
      </c>
      <c r="B13" s="14">
        <v>99355</v>
      </c>
      <c r="C13" s="196">
        <v>73714</v>
      </c>
      <c r="D13" s="191">
        <v>2</v>
      </c>
      <c r="E13" s="190">
        <v>75000</v>
      </c>
    </row>
    <row r="14" spans="1:10" x14ac:dyDescent="0.3">
      <c r="A14" s="33" t="s">
        <v>37</v>
      </c>
      <c r="B14" s="14">
        <v>90553</v>
      </c>
      <c r="C14" s="196">
        <v>75645</v>
      </c>
      <c r="D14" s="191">
        <v>2</v>
      </c>
      <c r="E14" s="190">
        <v>75000</v>
      </c>
    </row>
    <row r="15" spans="1:10" x14ac:dyDescent="0.3">
      <c r="A15" s="33" t="s">
        <v>27</v>
      </c>
      <c r="B15" s="14">
        <v>88814</v>
      </c>
      <c r="C15" s="196">
        <v>55356.332999999999</v>
      </c>
      <c r="D15" s="191">
        <v>2</v>
      </c>
      <c r="E15" s="190">
        <v>75000</v>
      </c>
    </row>
    <row r="16" spans="1:10" x14ac:dyDescent="0.3">
      <c r="A16" s="33" t="s">
        <v>40</v>
      </c>
      <c r="B16" s="14">
        <v>81842</v>
      </c>
      <c r="C16" s="196">
        <v>78836</v>
      </c>
      <c r="D16" s="191">
        <v>2</v>
      </c>
      <c r="E16" s="190">
        <v>75000</v>
      </c>
    </row>
    <row r="17" spans="1:5" x14ac:dyDescent="0.3">
      <c r="A17" s="33" t="s">
        <v>28</v>
      </c>
      <c r="B17" s="14">
        <v>71919</v>
      </c>
      <c r="C17" s="196">
        <v>48500</v>
      </c>
      <c r="D17" s="191">
        <v>2</v>
      </c>
      <c r="E17" s="190">
        <v>75000</v>
      </c>
    </row>
    <row r="18" spans="1:5" x14ac:dyDescent="0.3">
      <c r="A18" s="33" t="s">
        <v>16</v>
      </c>
      <c r="B18" s="14">
        <v>66945</v>
      </c>
      <c r="C18" s="196">
        <v>52730.5</v>
      </c>
      <c r="D18" s="191">
        <v>2</v>
      </c>
      <c r="E18" s="190">
        <v>75000</v>
      </c>
    </row>
    <row r="19" spans="1:5" x14ac:dyDescent="0.3">
      <c r="A19" s="33" t="s">
        <v>15</v>
      </c>
      <c r="B19" s="14">
        <v>53143</v>
      </c>
      <c r="C19" s="196">
        <v>70213</v>
      </c>
      <c r="D19" s="191">
        <v>2</v>
      </c>
      <c r="E19" s="190">
        <v>75000</v>
      </c>
    </row>
    <row r="20" spans="1:5" x14ac:dyDescent="0.3">
      <c r="A20" s="33" t="s">
        <v>31</v>
      </c>
      <c r="B20" s="14">
        <v>51930</v>
      </c>
      <c r="C20" s="196">
        <v>77429.5</v>
      </c>
      <c r="D20" s="191">
        <v>2</v>
      </c>
      <c r="E20" s="190">
        <v>75000</v>
      </c>
    </row>
    <row r="21" spans="1:5" x14ac:dyDescent="0.3">
      <c r="A21" s="33" t="s">
        <v>14</v>
      </c>
      <c r="B21" s="14">
        <v>42095</v>
      </c>
      <c r="C21" s="196">
        <v>93795</v>
      </c>
      <c r="D21" s="191">
        <v>2</v>
      </c>
      <c r="E21" s="190">
        <v>75000</v>
      </c>
    </row>
    <row r="22" spans="1:5" x14ac:dyDescent="0.3">
      <c r="A22" s="33" t="s">
        <v>33</v>
      </c>
      <c r="B22" s="14">
        <v>32981</v>
      </c>
      <c r="C22" s="196"/>
      <c r="D22" s="191">
        <v>1</v>
      </c>
      <c r="E22" s="190">
        <v>60007</v>
      </c>
    </row>
    <row r="23" spans="1:5" x14ac:dyDescent="0.3">
      <c r="A23" s="33" t="s">
        <v>39</v>
      </c>
      <c r="B23" s="14">
        <v>28000</v>
      </c>
      <c r="C23" s="196">
        <v>76000</v>
      </c>
      <c r="D23" s="191">
        <v>1</v>
      </c>
      <c r="E23" s="190">
        <v>60007</v>
      </c>
    </row>
    <row r="24" spans="1:5" x14ac:dyDescent="0.3">
      <c r="A24" s="33" t="s">
        <v>43</v>
      </c>
      <c r="B24" s="14">
        <v>27052</v>
      </c>
      <c r="C24" s="196">
        <v>47592.58</v>
      </c>
      <c r="D24" s="191">
        <v>1</v>
      </c>
      <c r="E24" s="190">
        <v>60007</v>
      </c>
    </row>
    <row r="25" spans="1:5" x14ac:dyDescent="0.3">
      <c r="A25" s="33" t="s">
        <v>17</v>
      </c>
      <c r="B25" s="14">
        <v>26583</v>
      </c>
      <c r="C25" s="196">
        <v>54474.5</v>
      </c>
      <c r="D25" s="191">
        <v>1</v>
      </c>
      <c r="E25" s="190">
        <v>60007</v>
      </c>
    </row>
    <row r="26" spans="1:5" x14ac:dyDescent="0.3">
      <c r="A26" s="33" t="s">
        <v>41</v>
      </c>
      <c r="B26" s="14">
        <v>26335</v>
      </c>
      <c r="C26" s="196">
        <v>55019</v>
      </c>
      <c r="D26" s="191">
        <v>1</v>
      </c>
      <c r="E26" s="190">
        <v>60007</v>
      </c>
    </row>
    <row r="27" spans="1:5" x14ac:dyDescent="0.3">
      <c r="A27" s="33" t="s">
        <v>26</v>
      </c>
      <c r="B27" s="14">
        <v>25878</v>
      </c>
      <c r="C27" s="196">
        <v>63451</v>
      </c>
      <c r="D27" s="191">
        <v>1</v>
      </c>
      <c r="E27" s="190">
        <v>60007</v>
      </c>
    </row>
    <row r="28" spans="1:5" x14ac:dyDescent="0.3">
      <c r="A28" s="33" t="s">
        <v>18</v>
      </c>
      <c r="B28" s="14">
        <v>24439</v>
      </c>
      <c r="C28" s="196">
        <v>41716.5</v>
      </c>
      <c r="D28" s="191">
        <v>1</v>
      </c>
      <c r="E28" s="190">
        <v>60007</v>
      </c>
    </row>
    <row r="29" spans="1:5" x14ac:dyDescent="0.3">
      <c r="A29" s="33" t="s">
        <v>24</v>
      </c>
      <c r="B29" s="14">
        <v>24406</v>
      </c>
      <c r="C29" s="196">
        <v>65748.5</v>
      </c>
      <c r="D29" s="191">
        <v>1</v>
      </c>
      <c r="E29" s="190">
        <v>60007</v>
      </c>
    </row>
    <row r="30" spans="1:5" x14ac:dyDescent="0.3">
      <c r="A30" s="33" t="s">
        <v>11</v>
      </c>
      <c r="B30" s="14">
        <v>16927</v>
      </c>
      <c r="C30" s="196">
        <v>65462</v>
      </c>
      <c r="D30" s="191">
        <v>1</v>
      </c>
      <c r="E30" s="190">
        <v>60007</v>
      </c>
    </row>
    <row r="31" spans="1:5" x14ac:dyDescent="0.3">
      <c r="A31" s="33" t="s">
        <v>35</v>
      </c>
      <c r="B31" s="14">
        <v>13010</v>
      </c>
      <c r="C31" s="196">
        <v>70020.38</v>
      </c>
      <c r="D31" s="191">
        <v>1</v>
      </c>
      <c r="E31" s="190">
        <v>60007</v>
      </c>
    </row>
    <row r="32" spans="1:5" x14ac:dyDescent="0.3">
      <c r="A32" s="33" t="s">
        <v>29</v>
      </c>
      <c r="B32" s="14">
        <v>8562</v>
      </c>
      <c r="C32" s="196">
        <v>55968</v>
      </c>
      <c r="D32" s="191">
        <v>1</v>
      </c>
      <c r="E32" s="190">
        <v>60007</v>
      </c>
    </row>
    <row r="33" spans="1:5" x14ac:dyDescent="0.3">
      <c r="A33" s="33" t="s">
        <v>42</v>
      </c>
      <c r="B33" s="14">
        <v>7631</v>
      </c>
      <c r="C33" s="196">
        <v>37355</v>
      </c>
      <c r="D33" s="191">
        <v>1</v>
      </c>
      <c r="E33" s="190">
        <v>60007</v>
      </c>
    </row>
    <row r="34" spans="1:5" x14ac:dyDescent="0.3">
      <c r="A34" s="33" t="s">
        <v>23</v>
      </c>
      <c r="B34" s="14">
        <v>7600</v>
      </c>
      <c r="C34" s="196">
        <v>42500</v>
      </c>
      <c r="D34" s="191">
        <v>1</v>
      </c>
      <c r="E34" s="190">
        <v>60007</v>
      </c>
    </row>
    <row r="35" spans="1:5" x14ac:dyDescent="0.3">
      <c r="A35" s="33" t="s">
        <v>22</v>
      </c>
      <c r="B35" s="14">
        <v>7418</v>
      </c>
      <c r="C35" s="196">
        <v>44299</v>
      </c>
      <c r="D35" s="191">
        <v>1</v>
      </c>
      <c r="E35" s="190">
        <v>60007</v>
      </c>
    </row>
    <row r="36" spans="1:5" x14ac:dyDescent="0.3">
      <c r="A36" s="33" t="s">
        <v>21</v>
      </c>
      <c r="B36" s="14">
        <v>2062</v>
      </c>
      <c r="C36" s="196">
        <v>62800</v>
      </c>
      <c r="D36" s="191">
        <v>1</v>
      </c>
      <c r="E36" s="190">
        <v>60007</v>
      </c>
    </row>
    <row r="37" spans="1:5" x14ac:dyDescent="0.3">
      <c r="A37" s="33" t="s">
        <v>38</v>
      </c>
      <c r="B37" s="14">
        <v>1917</v>
      </c>
      <c r="C37" s="196">
        <v>51050</v>
      </c>
      <c r="D37" s="191">
        <v>1</v>
      </c>
      <c r="E37" s="190">
        <v>60007</v>
      </c>
    </row>
    <row r="38" spans="1:5" ht="15" thickBot="1" x14ac:dyDescent="0.35">
      <c r="A38" s="35" t="s">
        <v>45</v>
      </c>
      <c r="B38" s="18">
        <v>1533</v>
      </c>
      <c r="C38" s="196">
        <v>47467.5</v>
      </c>
      <c r="D38" s="191">
        <v>1</v>
      </c>
      <c r="E38" s="190">
        <v>60007</v>
      </c>
    </row>
    <row r="39" spans="1:5" s="44" customFormat="1" x14ac:dyDescent="0.3">
      <c r="A39" s="195" t="s">
        <v>216</v>
      </c>
      <c r="B39" s="197"/>
      <c r="C39" s="197">
        <v>2676219.9330000002</v>
      </c>
      <c r="D39" s="193"/>
      <c r="E39" s="192">
        <f>SUM(E3:E38)</f>
        <v>2620119</v>
      </c>
    </row>
    <row r="40" spans="1:5" ht="15" thickBot="1" x14ac:dyDescent="0.35">
      <c r="A40" s="33" t="s">
        <v>47</v>
      </c>
      <c r="B40" s="3" t="s">
        <v>6</v>
      </c>
      <c r="C40" s="47"/>
    </row>
    <row r="41" spans="1:5" x14ac:dyDescent="0.3">
      <c r="A41" s="33" t="s">
        <v>50</v>
      </c>
      <c r="B41" s="33" t="s">
        <v>51</v>
      </c>
      <c r="C41" s="47"/>
      <c r="D41" s="191">
        <v>1</v>
      </c>
      <c r="E41" s="190">
        <v>60007</v>
      </c>
    </row>
    <row r="42" spans="1:5" x14ac:dyDescent="0.3">
      <c r="A42" s="33" t="s">
        <v>52</v>
      </c>
      <c r="B42" s="33" t="s">
        <v>51</v>
      </c>
      <c r="D42" s="191">
        <v>1</v>
      </c>
      <c r="E42" s="190">
        <v>60007</v>
      </c>
    </row>
    <row r="43" spans="1:5" x14ac:dyDescent="0.3">
      <c r="A43" s="33" t="s">
        <v>53</v>
      </c>
      <c r="B43" s="33" t="s">
        <v>51</v>
      </c>
      <c r="D43" s="191">
        <v>1</v>
      </c>
      <c r="E43" s="190">
        <v>60007</v>
      </c>
    </row>
    <row r="44" spans="1:5" x14ac:dyDescent="0.3">
      <c r="A44" s="33" t="s">
        <v>54</v>
      </c>
      <c r="B44" s="33" t="s">
        <v>51</v>
      </c>
      <c r="D44" s="191">
        <v>1</v>
      </c>
      <c r="E44" s="190">
        <v>60007</v>
      </c>
    </row>
    <row r="45" spans="1:5" x14ac:dyDescent="0.3">
      <c r="A45" s="33" t="s">
        <v>55</v>
      </c>
      <c r="B45" s="33" t="s">
        <v>51</v>
      </c>
      <c r="D45" s="191">
        <v>1</v>
      </c>
      <c r="E45" s="190">
        <v>60007</v>
      </c>
    </row>
    <row r="46" spans="1:5" x14ac:dyDescent="0.3">
      <c r="A46" s="33" t="s">
        <v>56</v>
      </c>
      <c r="B46" s="33" t="s">
        <v>51</v>
      </c>
      <c r="D46" s="191">
        <v>1</v>
      </c>
      <c r="E46" s="190">
        <v>60007</v>
      </c>
    </row>
    <row r="47" spans="1:5" x14ac:dyDescent="0.3">
      <c r="A47" s="33" t="s">
        <v>28</v>
      </c>
      <c r="B47" s="33" t="s">
        <v>51</v>
      </c>
      <c r="D47" s="191">
        <v>1</v>
      </c>
      <c r="E47" s="190">
        <v>60007</v>
      </c>
    </row>
    <row r="48" spans="1:5" x14ac:dyDescent="0.3">
      <c r="A48" s="33" t="s">
        <v>57</v>
      </c>
      <c r="B48" s="33" t="s">
        <v>51</v>
      </c>
      <c r="D48" s="191">
        <v>1</v>
      </c>
      <c r="E48" s="190">
        <v>60007</v>
      </c>
    </row>
    <row r="49" spans="1:5" ht="15" thickBot="1" x14ac:dyDescent="0.35">
      <c r="A49" s="35" t="s">
        <v>58</v>
      </c>
      <c r="B49" s="35" t="s">
        <v>51</v>
      </c>
      <c r="D49" s="191">
        <v>1</v>
      </c>
      <c r="E49" s="190">
        <v>60007</v>
      </c>
    </row>
    <row r="50" spans="1:5" s="44" customFormat="1" x14ac:dyDescent="0.3">
      <c r="A50" s="195" t="s">
        <v>216</v>
      </c>
      <c r="D50" s="193"/>
      <c r="E50" s="192">
        <f>SUM(E41:E49)</f>
        <v>540063</v>
      </c>
    </row>
    <row r="52" spans="1:5" ht="15" thickBot="1" x14ac:dyDescent="0.35">
      <c r="A52" s="33" t="s">
        <v>59</v>
      </c>
      <c r="B52" s="3" t="s">
        <v>6</v>
      </c>
    </row>
    <row r="53" spans="1:5" x14ac:dyDescent="0.3">
      <c r="A53" s="33" t="s">
        <v>67</v>
      </c>
      <c r="B53" s="38">
        <v>648097</v>
      </c>
      <c r="C53" s="196">
        <v>88183.5</v>
      </c>
      <c r="D53" s="191">
        <v>3</v>
      </c>
      <c r="E53" s="190">
        <v>100000</v>
      </c>
    </row>
    <row r="54" spans="1:5" x14ac:dyDescent="0.3">
      <c r="A54" s="33" t="s">
        <v>68</v>
      </c>
      <c r="B54" s="38">
        <v>182726</v>
      </c>
      <c r="C54" s="196">
        <v>88900</v>
      </c>
      <c r="D54" s="191">
        <v>3</v>
      </c>
      <c r="E54" s="190">
        <v>100000</v>
      </c>
    </row>
    <row r="55" spans="1:5" x14ac:dyDescent="0.3">
      <c r="A55" s="33" t="s">
        <v>63</v>
      </c>
      <c r="B55" s="38">
        <v>177339</v>
      </c>
      <c r="C55" s="196">
        <v>63190.675000000003</v>
      </c>
      <c r="D55" s="191">
        <v>3</v>
      </c>
      <c r="E55" s="190">
        <v>100000</v>
      </c>
    </row>
    <row r="56" spans="1:5" x14ac:dyDescent="0.3">
      <c r="A56" s="33" t="s">
        <v>64</v>
      </c>
      <c r="B56" s="38">
        <v>117107</v>
      </c>
      <c r="C56" s="196">
        <v>94660</v>
      </c>
      <c r="D56" s="191">
        <v>2</v>
      </c>
      <c r="E56" s="190">
        <v>75000</v>
      </c>
    </row>
    <row r="57" spans="1:5" x14ac:dyDescent="0.3">
      <c r="A57" s="33" t="s">
        <v>65</v>
      </c>
      <c r="B57" s="38">
        <v>110874</v>
      </c>
      <c r="D57" s="191">
        <v>2</v>
      </c>
      <c r="E57" s="190">
        <v>75000</v>
      </c>
    </row>
    <row r="58" spans="1:5" x14ac:dyDescent="0.3">
      <c r="A58" s="33" t="s">
        <v>62</v>
      </c>
      <c r="B58" s="38">
        <v>106275</v>
      </c>
      <c r="D58" s="191">
        <v>2</v>
      </c>
      <c r="E58" s="190">
        <v>75000</v>
      </c>
    </row>
    <row r="59" spans="1:5" x14ac:dyDescent="0.3">
      <c r="A59" s="33" t="s">
        <v>61</v>
      </c>
      <c r="B59" s="38">
        <v>101165</v>
      </c>
      <c r="C59" s="196">
        <v>93076.5</v>
      </c>
      <c r="D59" s="191">
        <v>2</v>
      </c>
      <c r="E59" s="190">
        <v>75000</v>
      </c>
    </row>
    <row r="60" spans="1:5" x14ac:dyDescent="0.3">
      <c r="A60" s="33" t="s">
        <v>66</v>
      </c>
      <c r="B60" s="38">
        <v>90887</v>
      </c>
      <c r="C60" s="196">
        <v>82600</v>
      </c>
      <c r="D60" s="191">
        <v>2</v>
      </c>
      <c r="E60" s="190">
        <v>75000</v>
      </c>
    </row>
    <row r="61" spans="1:5" s="44" customFormat="1" x14ac:dyDescent="0.3">
      <c r="A61" s="195" t="s">
        <v>216</v>
      </c>
      <c r="B61" s="194">
        <f>SUM(B53:B60)</f>
        <v>1534470</v>
      </c>
      <c r="D61" s="193"/>
      <c r="E61" s="192">
        <f>SUM(E53:E60)</f>
        <v>675000</v>
      </c>
    </row>
    <row r="63" spans="1:5" x14ac:dyDescent="0.3">
      <c r="A63" s="44" t="s">
        <v>215</v>
      </c>
      <c r="B63" s="44"/>
      <c r="C63" s="44"/>
      <c r="D63" s="193"/>
      <c r="E63" s="192">
        <f>SUM(E39,E50,E61)</f>
        <v>3835182</v>
      </c>
    </row>
    <row r="64" spans="1:5" x14ac:dyDescent="0.3">
      <c r="A64" s="44" t="s">
        <v>138</v>
      </c>
      <c r="B64" s="44"/>
      <c r="C64" s="44"/>
      <c r="D64" s="193"/>
      <c r="E64" s="192">
        <f>(H2*0.2)</f>
        <v>958797.4</v>
      </c>
    </row>
    <row r="65" spans="1:5" x14ac:dyDescent="0.3">
      <c r="A65" s="44" t="s">
        <v>214</v>
      </c>
      <c r="B65" s="44"/>
      <c r="C65" s="44"/>
      <c r="D65" s="193"/>
      <c r="E65" s="192">
        <f>SUM(E63:E64)</f>
        <v>4793979.4000000004</v>
      </c>
    </row>
    <row r="66" spans="1:5" x14ac:dyDescent="0.3">
      <c r="A66" s="44" t="s">
        <v>213</v>
      </c>
      <c r="E66" s="190">
        <f>SUM(H2-E65)</f>
        <v>7.599999999627471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8F31-3717-4292-B5A3-3A56ADA3F2E3}">
  <sheetPr codeName="Sheet3"/>
  <dimension ref="B1:L85"/>
  <sheetViews>
    <sheetView tabSelected="1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J7" sqref="J7"/>
    </sheetView>
  </sheetViews>
  <sheetFormatPr defaultRowHeight="14.4" x14ac:dyDescent="0.3"/>
  <cols>
    <col min="1" max="1" width="3.6640625" customWidth="1"/>
    <col min="2" max="2" width="19.33203125" bestFit="1" customWidth="1"/>
    <col min="3" max="3" width="20.44140625" customWidth="1"/>
    <col min="4" max="4" width="13" customWidth="1"/>
    <col min="5" max="5" width="1.6640625" customWidth="1"/>
    <col min="6" max="6" width="14.6640625" customWidth="1"/>
    <col min="7" max="7" width="19" customWidth="1"/>
    <col min="8" max="8" width="19.44140625" customWidth="1"/>
    <col min="10" max="10" width="18" customWidth="1"/>
    <col min="11" max="11" width="13.5546875" customWidth="1"/>
    <col min="12" max="12" width="12.33203125" style="16" customWidth="1"/>
  </cols>
  <sheetData>
    <row r="1" spans="2:10" ht="21" x14ac:dyDescent="0.4">
      <c r="B1" s="211" t="s">
        <v>226</v>
      </c>
      <c r="C1" s="211"/>
      <c r="D1" s="211"/>
      <c r="E1" s="211"/>
      <c r="F1" s="211"/>
      <c r="G1" s="211"/>
      <c r="H1" s="211"/>
    </row>
    <row r="2" spans="2:10" ht="23.4" customHeight="1" x14ac:dyDescent="0.3">
      <c r="B2" s="212" t="s">
        <v>0</v>
      </c>
      <c r="C2" s="213" t="s">
        <v>1</v>
      </c>
      <c r="D2" s="214"/>
      <c r="E2" s="214"/>
      <c r="F2" s="215" t="s">
        <v>139</v>
      </c>
      <c r="G2" s="215"/>
      <c r="H2" s="215"/>
    </row>
    <row r="3" spans="2:10" ht="23.4" customHeight="1" x14ac:dyDescent="0.3">
      <c r="B3" s="212"/>
      <c r="C3" s="214"/>
      <c r="D3" s="214"/>
      <c r="E3" s="214"/>
      <c r="F3" s="216">
        <v>4793987</v>
      </c>
      <c r="G3" s="216"/>
      <c r="H3" s="216"/>
    </row>
    <row r="4" spans="2:10" x14ac:dyDescent="0.3">
      <c r="B4" s="212"/>
      <c r="C4" s="215" t="s">
        <v>138</v>
      </c>
      <c r="D4" s="215"/>
      <c r="E4" s="215"/>
      <c r="F4" s="215" t="s">
        <v>140</v>
      </c>
      <c r="G4" s="215"/>
      <c r="H4" s="215"/>
    </row>
    <row r="5" spans="2:10" x14ac:dyDescent="0.3">
      <c r="B5" s="212"/>
      <c r="C5" s="217">
        <f>F3*0.2</f>
        <v>958797.4</v>
      </c>
      <c r="D5" s="217"/>
      <c r="E5" s="217"/>
      <c r="F5" s="216">
        <f>F3-C5</f>
        <v>3835189.6</v>
      </c>
      <c r="G5" s="216"/>
      <c r="H5" s="216"/>
    </row>
    <row r="6" spans="2:10" ht="33.6" customHeight="1" thickBot="1" x14ac:dyDescent="0.35">
      <c r="B6" s="2" t="s">
        <v>73</v>
      </c>
      <c r="C6" s="3" t="s">
        <v>126</v>
      </c>
      <c r="D6" s="208" t="s">
        <v>92</v>
      </c>
      <c r="E6" s="208"/>
      <c r="F6" s="4" t="s">
        <v>93</v>
      </c>
      <c r="G6" s="4" t="s">
        <v>103</v>
      </c>
      <c r="H6" s="4" t="s">
        <v>127</v>
      </c>
      <c r="J6" s="12" t="s">
        <v>222</v>
      </c>
    </row>
    <row r="7" spans="2:10" ht="15" thickTop="1" x14ac:dyDescent="0.3">
      <c r="B7" s="6" t="s">
        <v>11</v>
      </c>
      <c r="C7" s="79" t="s">
        <v>95</v>
      </c>
      <c r="D7" s="161">
        <v>76548</v>
      </c>
      <c r="E7" s="162"/>
      <c r="F7" s="161">
        <v>54376</v>
      </c>
      <c r="G7" s="10">
        <f>F7+D7</f>
        <v>130924</v>
      </c>
      <c r="H7" s="11">
        <f>G7/2</f>
        <v>65462</v>
      </c>
      <c r="J7" s="205" t="s">
        <v>232</v>
      </c>
    </row>
    <row r="8" spans="2:10" x14ac:dyDescent="0.3">
      <c r="B8" s="13" t="s">
        <v>12</v>
      </c>
      <c r="C8" s="80" t="s">
        <v>99</v>
      </c>
      <c r="D8" s="163">
        <v>87259</v>
      </c>
      <c r="E8" s="162"/>
      <c r="F8" s="163">
        <v>60169</v>
      </c>
      <c r="G8" s="10">
        <f t="shared" ref="G8:G42" si="0">F8+D8</f>
        <v>147428</v>
      </c>
      <c r="H8" s="11">
        <f t="shared" ref="H8:H42" si="1">G8/2</f>
        <v>73714</v>
      </c>
      <c r="J8" s="205" t="s">
        <v>233</v>
      </c>
    </row>
    <row r="9" spans="2:10" x14ac:dyDescent="0.3">
      <c r="B9" s="13" t="s">
        <v>13</v>
      </c>
      <c r="C9" s="80" t="s">
        <v>94</v>
      </c>
      <c r="D9" s="164">
        <v>155441</v>
      </c>
      <c r="E9" s="162"/>
      <c r="F9" s="164">
        <v>94286</v>
      </c>
      <c r="G9" s="10">
        <f t="shared" si="0"/>
        <v>249727</v>
      </c>
      <c r="H9" s="11">
        <f t="shared" si="1"/>
        <v>124863.5</v>
      </c>
    </row>
    <row r="10" spans="2:10" ht="25.5" customHeight="1" x14ac:dyDescent="0.3">
      <c r="B10" s="13" t="s">
        <v>14</v>
      </c>
      <c r="C10" s="81" t="s">
        <v>96</v>
      </c>
      <c r="D10" s="163">
        <v>131610</v>
      </c>
      <c r="E10" s="162"/>
      <c r="F10" s="163">
        <v>55980</v>
      </c>
      <c r="G10" s="10">
        <f t="shared" si="0"/>
        <v>187590</v>
      </c>
      <c r="H10" s="11">
        <f t="shared" si="1"/>
        <v>93795</v>
      </c>
      <c r="J10" s="206" t="s">
        <v>234</v>
      </c>
    </row>
    <row r="11" spans="2:10" x14ac:dyDescent="0.3">
      <c r="B11" s="13" t="s">
        <v>15</v>
      </c>
      <c r="C11" s="80" t="s">
        <v>94</v>
      </c>
      <c r="D11" s="163">
        <v>100000</v>
      </c>
      <c r="E11" s="162"/>
      <c r="F11" s="163">
        <v>40426</v>
      </c>
      <c r="G11" s="10">
        <f t="shared" si="0"/>
        <v>140426</v>
      </c>
      <c r="H11" s="11">
        <f t="shared" si="1"/>
        <v>70213</v>
      </c>
      <c r="J11" s="205" t="s">
        <v>235</v>
      </c>
    </row>
    <row r="12" spans="2:10" x14ac:dyDescent="0.3">
      <c r="B12" s="13" t="s">
        <v>16</v>
      </c>
      <c r="C12" s="80" t="s">
        <v>95</v>
      </c>
      <c r="D12" s="163">
        <v>60500</v>
      </c>
      <c r="E12" s="162"/>
      <c r="F12" s="163">
        <v>44961</v>
      </c>
      <c r="G12" s="10">
        <f t="shared" si="0"/>
        <v>105461</v>
      </c>
      <c r="H12" s="11">
        <f t="shared" si="1"/>
        <v>52730.5</v>
      </c>
    </row>
    <row r="13" spans="2:10" x14ac:dyDescent="0.3">
      <c r="B13" s="13" t="s">
        <v>17</v>
      </c>
      <c r="C13" s="80" t="s">
        <v>95</v>
      </c>
      <c r="D13" s="163">
        <v>72163</v>
      </c>
      <c r="E13" s="162"/>
      <c r="F13" s="163">
        <v>36786</v>
      </c>
      <c r="G13" s="10">
        <f t="shared" si="0"/>
        <v>108949</v>
      </c>
      <c r="H13" s="11">
        <f t="shared" si="1"/>
        <v>54474.5</v>
      </c>
    </row>
    <row r="14" spans="2:10" x14ac:dyDescent="0.3">
      <c r="B14" s="13" t="s">
        <v>18</v>
      </c>
      <c r="C14" s="80" t="s">
        <v>95</v>
      </c>
      <c r="D14" s="163">
        <v>49208</v>
      </c>
      <c r="E14" s="162"/>
      <c r="F14" s="163">
        <v>34225</v>
      </c>
      <c r="G14" s="10">
        <f t="shared" si="0"/>
        <v>83433</v>
      </c>
      <c r="H14" s="11">
        <f t="shared" si="1"/>
        <v>41716.5</v>
      </c>
      <c r="J14" s="205" t="s">
        <v>236</v>
      </c>
    </row>
    <row r="15" spans="2:10" x14ac:dyDescent="0.3">
      <c r="B15" s="13" t="s">
        <v>19</v>
      </c>
      <c r="C15" s="80" t="s">
        <v>95</v>
      </c>
      <c r="D15" s="163">
        <v>138475</v>
      </c>
      <c r="E15" s="162"/>
      <c r="F15" s="163">
        <v>82700</v>
      </c>
      <c r="G15" s="10">
        <f t="shared" si="0"/>
        <v>221175</v>
      </c>
      <c r="H15" s="11">
        <f t="shared" si="1"/>
        <v>110587.5</v>
      </c>
    </row>
    <row r="16" spans="2:10" x14ac:dyDescent="0.3">
      <c r="B16" s="13" t="s">
        <v>20</v>
      </c>
      <c r="C16" s="80" t="s">
        <v>97</v>
      </c>
      <c r="D16" s="163">
        <v>99867</v>
      </c>
      <c r="E16" s="162"/>
      <c r="F16" s="163">
        <v>86738</v>
      </c>
      <c r="G16" s="10">
        <f t="shared" si="0"/>
        <v>186605</v>
      </c>
      <c r="H16" s="11">
        <f t="shared" si="1"/>
        <v>93302.5</v>
      </c>
    </row>
    <row r="17" spans="2:10" x14ac:dyDescent="0.3">
      <c r="B17" s="13" t="s">
        <v>21</v>
      </c>
      <c r="C17" s="82" t="s">
        <v>98</v>
      </c>
      <c r="D17" s="165">
        <v>83011</v>
      </c>
      <c r="E17" s="162"/>
      <c r="F17" s="165">
        <v>42589</v>
      </c>
      <c r="G17" s="10">
        <f t="shared" si="0"/>
        <v>125600</v>
      </c>
      <c r="H17" s="11">
        <f t="shared" si="1"/>
        <v>62800</v>
      </c>
    </row>
    <row r="18" spans="2:10" x14ac:dyDescent="0.3">
      <c r="B18" s="13" t="s">
        <v>22</v>
      </c>
      <c r="C18" s="80" t="s">
        <v>102</v>
      </c>
      <c r="D18" s="163">
        <v>63844</v>
      </c>
      <c r="E18" s="162"/>
      <c r="F18" s="163">
        <v>24754</v>
      </c>
      <c r="G18" s="10">
        <f t="shared" si="0"/>
        <v>88598</v>
      </c>
      <c r="H18" s="11">
        <f t="shared" si="1"/>
        <v>44299</v>
      </c>
      <c r="J18">
        <v>85000</v>
      </c>
    </row>
    <row r="19" spans="2:10" x14ac:dyDescent="0.3">
      <c r="B19" s="13" t="s">
        <v>23</v>
      </c>
      <c r="C19" s="80" t="s">
        <v>95</v>
      </c>
      <c r="D19" s="166">
        <v>62000</v>
      </c>
      <c r="E19" s="162"/>
      <c r="F19" s="166">
        <v>23000</v>
      </c>
      <c r="G19" s="10">
        <f t="shared" si="0"/>
        <v>85000</v>
      </c>
      <c r="H19" s="11">
        <f t="shared" si="1"/>
        <v>42500</v>
      </c>
      <c r="J19">
        <v>50000</v>
      </c>
    </row>
    <row r="20" spans="2:10" x14ac:dyDescent="0.3">
      <c r="B20" s="13" t="s">
        <v>24</v>
      </c>
      <c r="C20" s="83" t="s">
        <v>100</v>
      </c>
      <c r="D20" s="166">
        <v>86896</v>
      </c>
      <c r="E20" s="162"/>
      <c r="F20" s="166">
        <v>44601</v>
      </c>
      <c r="G20" s="10">
        <f t="shared" si="0"/>
        <v>131497</v>
      </c>
      <c r="H20" s="11">
        <f t="shared" si="1"/>
        <v>65748.5</v>
      </c>
    </row>
    <row r="21" spans="2:10" x14ac:dyDescent="0.3">
      <c r="B21" s="13" t="s">
        <v>25</v>
      </c>
      <c r="C21" s="83" t="s">
        <v>95</v>
      </c>
      <c r="D21" s="166">
        <v>126817</v>
      </c>
      <c r="E21" s="162"/>
      <c r="F21" s="166">
        <v>67336</v>
      </c>
      <c r="G21" s="10">
        <f t="shared" si="0"/>
        <v>194153</v>
      </c>
      <c r="H21" s="11">
        <f t="shared" si="1"/>
        <v>97076.5</v>
      </c>
    </row>
    <row r="22" spans="2:10" x14ac:dyDescent="0.3">
      <c r="B22" s="13" t="s">
        <v>26</v>
      </c>
      <c r="C22" s="83" t="s">
        <v>95</v>
      </c>
      <c r="D22" s="166">
        <v>80889</v>
      </c>
      <c r="E22" s="162"/>
      <c r="F22" s="166">
        <v>46013</v>
      </c>
      <c r="G22" s="10">
        <f t="shared" si="0"/>
        <v>126902</v>
      </c>
      <c r="H22" s="11">
        <f t="shared" si="1"/>
        <v>63451</v>
      </c>
    </row>
    <row r="23" spans="2:10" x14ac:dyDescent="0.3">
      <c r="B23" s="13" t="s">
        <v>27</v>
      </c>
      <c r="C23" s="80" t="s">
        <v>95</v>
      </c>
      <c r="D23" s="163">
        <v>79649</v>
      </c>
      <c r="E23" s="162"/>
      <c r="F23" s="163">
        <v>31063</v>
      </c>
      <c r="G23" s="10">
        <f t="shared" si="0"/>
        <v>110712</v>
      </c>
      <c r="H23" s="11">
        <f t="shared" si="1"/>
        <v>55356</v>
      </c>
      <c r="J23" s="205" t="s">
        <v>237</v>
      </c>
    </row>
    <row r="24" spans="2:10" x14ac:dyDescent="0.3">
      <c r="B24" s="13" t="s">
        <v>28</v>
      </c>
      <c r="C24" s="80" t="s">
        <v>95</v>
      </c>
      <c r="D24" s="163">
        <v>72000</v>
      </c>
      <c r="E24" s="162"/>
      <c r="F24" s="163">
        <v>25000</v>
      </c>
      <c r="G24" s="10">
        <f t="shared" si="0"/>
        <v>97000</v>
      </c>
      <c r="H24" s="11">
        <f t="shared" si="1"/>
        <v>48500</v>
      </c>
    </row>
    <row r="25" spans="2:10" x14ac:dyDescent="0.3">
      <c r="B25" s="13" t="s">
        <v>29</v>
      </c>
      <c r="C25" s="80" t="s">
        <v>101</v>
      </c>
      <c r="D25" s="163">
        <v>68955</v>
      </c>
      <c r="E25" s="162"/>
      <c r="F25" s="163">
        <v>42981</v>
      </c>
      <c r="G25" s="10">
        <f t="shared" si="0"/>
        <v>111936</v>
      </c>
      <c r="H25" s="11">
        <f t="shared" si="1"/>
        <v>55968</v>
      </c>
    </row>
    <row r="26" spans="2:10" x14ac:dyDescent="0.3">
      <c r="B26" s="13" t="s">
        <v>30</v>
      </c>
      <c r="C26" s="83" t="s">
        <v>95</v>
      </c>
      <c r="D26" s="166">
        <v>116940</v>
      </c>
      <c r="E26" s="162"/>
      <c r="F26" s="166">
        <v>75493</v>
      </c>
      <c r="G26" s="10">
        <f t="shared" si="0"/>
        <v>192433</v>
      </c>
      <c r="H26" s="11">
        <f t="shared" si="1"/>
        <v>96216.5</v>
      </c>
      <c r="J26" s="205" t="s">
        <v>238</v>
      </c>
    </row>
    <row r="27" spans="2:10" x14ac:dyDescent="0.3">
      <c r="B27" s="13" t="s">
        <v>31</v>
      </c>
      <c r="C27" s="80" t="s">
        <v>95</v>
      </c>
      <c r="D27" s="163">
        <v>105395</v>
      </c>
      <c r="E27" s="162"/>
      <c r="F27" s="163">
        <v>49464</v>
      </c>
      <c r="G27" s="10">
        <f t="shared" si="0"/>
        <v>154859</v>
      </c>
      <c r="H27" s="11">
        <f t="shared" si="1"/>
        <v>77429.5</v>
      </c>
    </row>
    <row r="28" spans="2:10" ht="187.2" x14ac:dyDescent="0.3">
      <c r="B28" s="13" t="s">
        <v>32</v>
      </c>
      <c r="C28" s="80" t="s">
        <v>95</v>
      </c>
      <c r="D28" s="163">
        <v>86714</v>
      </c>
      <c r="E28" s="162"/>
      <c r="F28" s="163">
        <v>68245</v>
      </c>
      <c r="G28" s="10">
        <f t="shared" si="0"/>
        <v>154959</v>
      </c>
      <c r="H28" s="11">
        <f t="shared" si="1"/>
        <v>77479.5</v>
      </c>
      <c r="J28" s="207" t="s">
        <v>239</v>
      </c>
    </row>
    <row r="29" spans="2:10" x14ac:dyDescent="0.3">
      <c r="B29" s="13" t="s">
        <v>33</v>
      </c>
      <c r="C29" s="80" t="s">
        <v>101</v>
      </c>
      <c r="D29" s="163">
        <v>68955</v>
      </c>
      <c r="E29" s="162"/>
      <c r="F29" s="163">
        <v>42981</v>
      </c>
      <c r="G29" s="10">
        <f t="shared" si="0"/>
        <v>111936</v>
      </c>
      <c r="H29" s="11">
        <f t="shared" si="1"/>
        <v>55968</v>
      </c>
    </row>
    <row r="30" spans="2:10" x14ac:dyDescent="0.3">
      <c r="B30" s="13" t="s">
        <v>34</v>
      </c>
      <c r="C30" s="80" t="s">
        <v>96</v>
      </c>
      <c r="D30" s="202">
        <v>126470</v>
      </c>
      <c r="E30" s="162"/>
      <c r="F30" s="202">
        <v>70856</v>
      </c>
      <c r="G30" s="10">
        <f t="shared" si="0"/>
        <v>197326</v>
      </c>
      <c r="H30" s="11">
        <f t="shared" si="1"/>
        <v>98663</v>
      </c>
    </row>
    <row r="31" spans="2:10" x14ac:dyDescent="0.3">
      <c r="B31" s="13" t="s">
        <v>35</v>
      </c>
      <c r="C31" s="80" t="s">
        <v>95</v>
      </c>
      <c r="D31" s="202">
        <v>83324.759999999995</v>
      </c>
      <c r="E31" s="162"/>
      <c r="F31" s="202">
        <v>56716</v>
      </c>
      <c r="G31" s="10">
        <f t="shared" si="0"/>
        <v>140040.76</v>
      </c>
      <c r="H31" s="11">
        <f t="shared" si="1"/>
        <v>70020.38</v>
      </c>
    </row>
    <row r="32" spans="2:10" x14ac:dyDescent="0.3">
      <c r="B32" s="13" t="s">
        <v>36</v>
      </c>
      <c r="C32" s="80" t="s">
        <v>230</v>
      </c>
      <c r="D32" s="203">
        <v>239337</v>
      </c>
      <c r="E32" s="162"/>
      <c r="F32" s="203">
        <v>121173</v>
      </c>
      <c r="G32" s="10">
        <f t="shared" si="0"/>
        <v>360510</v>
      </c>
      <c r="H32" s="11">
        <f t="shared" si="1"/>
        <v>180255</v>
      </c>
      <c r="J32" s="206" t="s">
        <v>240</v>
      </c>
    </row>
    <row r="33" spans="2:11" x14ac:dyDescent="0.3">
      <c r="B33" s="13" t="s">
        <v>37</v>
      </c>
      <c r="C33" s="80" t="s">
        <v>95</v>
      </c>
      <c r="D33" s="204">
        <v>110000</v>
      </c>
      <c r="E33" s="162"/>
      <c r="F33" s="204">
        <v>41290</v>
      </c>
      <c r="G33" s="10">
        <f t="shared" si="0"/>
        <v>151290</v>
      </c>
      <c r="H33" s="11">
        <f t="shared" si="1"/>
        <v>75645</v>
      </c>
      <c r="J33" t="s">
        <v>241</v>
      </c>
    </row>
    <row r="34" spans="2:11" x14ac:dyDescent="0.3">
      <c r="B34" s="13" t="s">
        <v>38</v>
      </c>
      <c r="C34" s="80" t="s">
        <v>94</v>
      </c>
      <c r="D34" s="202">
        <v>64212</v>
      </c>
      <c r="E34" s="162"/>
      <c r="F34" s="202">
        <v>37888</v>
      </c>
      <c r="G34" s="10">
        <f t="shared" si="0"/>
        <v>102100</v>
      </c>
      <c r="H34" s="11">
        <f t="shared" si="1"/>
        <v>51050</v>
      </c>
    </row>
    <row r="35" spans="2:11" x14ac:dyDescent="0.3">
      <c r="B35" s="13" t="s">
        <v>39</v>
      </c>
      <c r="C35" s="80" t="s">
        <v>94</v>
      </c>
      <c r="D35" s="163">
        <v>84500</v>
      </c>
      <c r="E35" s="162"/>
      <c r="F35" s="163">
        <v>67500</v>
      </c>
      <c r="G35" s="10">
        <f t="shared" si="0"/>
        <v>152000</v>
      </c>
      <c r="H35" s="11">
        <f t="shared" si="1"/>
        <v>76000</v>
      </c>
      <c r="J35" s="205" t="s">
        <v>242</v>
      </c>
    </row>
    <row r="36" spans="2:11" x14ac:dyDescent="0.3">
      <c r="B36" s="13" t="s">
        <v>40</v>
      </c>
      <c r="C36" s="80" t="s">
        <v>95</v>
      </c>
      <c r="D36" s="163">
        <v>94085</v>
      </c>
      <c r="E36" s="162"/>
      <c r="F36" s="163">
        <v>63587</v>
      </c>
      <c r="G36" s="10">
        <f t="shared" si="0"/>
        <v>157672</v>
      </c>
      <c r="H36" s="11">
        <f t="shared" si="1"/>
        <v>78836</v>
      </c>
    </row>
    <row r="37" spans="2:11" x14ac:dyDescent="0.3">
      <c r="B37" s="13" t="s">
        <v>41</v>
      </c>
      <c r="C37" s="80" t="s">
        <v>95</v>
      </c>
      <c r="D37" s="163">
        <v>83331</v>
      </c>
      <c r="E37" s="162"/>
      <c r="F37" s="163">
        <v>26707</v>
      </c>
      <c r="G37" s="10">
        <f t="shared" si="0"/>
        <v>110038</v>
      </c>
      <c r="H37" s="11">
        <f t="shared" si="1"/>
        <v>55019</v>
      </c>
    </row>
    <row r="38" spans="2:11" x14ac:dyDescent="0.3">
      <c r="B38" s="13" t="s">
        <v>42</v>
      </c>
      <c r="C38" s="80" t="s">
        <v>230</v>
      </c>
      <c r="D38" s="163">
        <v>54560</v>
      </c>
      <c r="E38" s="162"/>
      <c r="F38" s="163">
        <v>20150</v>
      </c>
      <c r="G38" s="10">
        <f t="shared" si="0"/>
        <v>74710</v>
      </c>
      <c r="H38" s="11">
        <f t="shared" si="1"/>
        <v>37355</v>
      </c>
    </row>
    <row r="39" spans="2:11" x14ac:dyDescent="0.3">
      <c r="B39" s="13" t="s">
        <v>43</v>
      </c>
      <c r="C39" s="80" t="s">
        <v>95</v>
      </c>
      <c r="D39" s="163">
        <v>80065</v>
      </c>
      <c r="E39" s="162"/>
      <c r="F39" s="163">
        <v>15120</v>
      </c>
      <c r="G39" s="10">
        <f t="shared" si="0"/>
        <v>95185</v>
      </c>
      <c r="H39" s="11">
        <f t="shared" si="1"/>
        <v>47592.5</v>
      </c>
    </row>
    <row r="40" spans="2:11" x14ac:dyDescent="0.3">
      <c r="B40" s="13" t="s">
        <v>44</v>
      </c>
      <c r="C40" s="80" t="s">
        <v>231</v>
      </c>
      <c r="D40" s="163">
        <v>144813</v>
      </c>
      <c r="E40" s="162"/>
      <c r="F40" s="163">
        <v>71675</v>
      </c>
      <c r="G40" s="10">
        <f t="shared" si="0"/>
        <v>216488</v>
      </c>
      <c r="H40" s="11">
        <f t="shared" si="1"/>
        <v>108244</v>
      </c>
      <c r="J40" s="206" t="s">
        <v>243</v>
      </c>
    </row>
    <row r="41" spans="2:11" x14ac:dyDescent="0.3">
      <c r="B41" s="13" t="s">
        <v>45</v>
      </c>
      <c r="C41" s="80" t="s">
        <v>95</v>
      </c>
      <c r="D41" s="163">
        <v>55115</v>
      </c>
      <c r="E41" s="162"/>
      <c r="F41" s="163">
        <v>39820</v>
      </c>
      <c r="G41" s="10">
        <f t="shared" si="0"/>
        <v>94935</v>
      </c>
      <c r="H41" s="11">
        <f t="shared" si="1"/>
        <v>47467.5</v>
      </c>
    </row>
    <row r="42" spans="2:11" ht="15" thickBot="1" x14ac:dyDescent="0.35">
      <c r="B42" s="17" t="s">
        <v>46</v>
      </c>
      <c r="C42" s="80" t="s">
        <v>95</v>
      </c>
      <c r="D42" s="163">
        <v>130318</v>
      </c>
      <c r="E42" s="167"/>
      <c r="F42" s="163">
        <v>77046</v>
      </c>
      <c r="G42" s="10">
        <f t="shared" si="0"/>
        <v>207364</v>
      </c>
      <c r="H42" s="11">
        <f t="shared" si="1"/>
        <v>103682</v>
      </c>
    </row>
    <row r="43" spans="2:11" x14ac:dyDescent="0.3">
      <c r="B43" s="22"/>
      <c r="C43" s="23"/>
      <c r="D43" s="26">
        <f>SUM(D7:D42)</f>
        <v>3423266.76</v>
      </c>
      <c r="E43" s="168"/>
      <c r="F43" s="26">
        <f>SUM(F7:F42)</f>
        <v>1883695</v>
      </c>
      <c r="G43" s="27">
        <f>SUM(G7:G42)</f>
        <v>5306961.76</v>
      </c>
      <c r="H43" s="28">
        <f>SUM(H7:H42)</f>
        <v>2653480.88</v>
      </c>
      <c r="K43" s="29"/>
    </row>
    <row r="44" spans="2:11" x14ac:dyDescent="0.3">
      <c r="B44" s="72"/>
      <c r="C44" s="73"/>
      <c r="D44" s="153"/>
      <c r="E44" s="154"/>
      <c r="F44" s="155"/>
      <c r="G44" s="77"/>
      <c r="H44" s="78"/>
      <c r="K44" s="29"/>
    </row>
    <row r="45" spans="2:11" ht="29.4" thickBot="1" x14ac:dyDescent="0.35">
      <c r="B45" s="2" t="s">
        <v>223</v>
      </c>
      <c r="C45" s="3" t="s">
        <v>126</v>
      </c>
      <c r="D45" s="257" t="s">
        <v>92</v>
      </c>
      <c r="E45" s="257"/>
      <c r="F45" s="156" t="s">
        <v>93</v>
      </c>
      <c r="G45" s="4" t="s">
        <v>103</v>
      </c>
      <c r="H45" s="4" t="s">
        <v>127</v>
      </c>
    </row>
    <row r="46" spans="2:11" ht="15" thickTop="1" x14ac:dyDescent="0.3">
      <c r="B46" s="13" t="s">
        <v>50</v>
      </c>
      <c r="C46" s="33"/>
      <c r="D46" s="157"/>
      <c r="E46" s="158"/>
      <c r="F46" s="157"/>
      <c r="G46" s="10">
        <f>K55</f>
        <v>104260.4</v>
      </c>
      <c r="H46" s="70">
        <f>G46/2</f>
        <v>52130.2</v>
      </c>
    </row>
    <row r="47" spans="2:11" x14ac:dyDescent="0.3">
      <c r="B47" s="13" t="s">
        <v>52</v>
      </c>
      <c r="C47" s="33" t="s">
        <v>136</v>
      </c>
      <c r="D47" s="157">
        <v>70978</v>
      </c>
      <c r="E47" s="158"/>
      <c r="F47" s="157">
        <v>17611</v>
      </c>
      <c r="G47" s="10">
        <f t="shared" ref="G47:G53" si="2">D47+F47</f>
        <v>88589</v>
      </c>
      <c r="H47" s="70">
        <f t="shared" ref="H47:H54" si="3">G47/2</f>
        <v>44294.5</v>
      </c>
    </row>
    <row r="48" spans="2:11" x14ac:dyDescent="0.3">
      <c r="B48" s="13" t="s">
        <v>53</v>
      </c>
      <c r="C48" s="33" t="s">
        <v>105</v>
      </c>
      <c r="D48" s="157">
        <v>64500</v>
      </c>
      <c r="E48" s="158"/>
      <c r="F48" s="157">
        <v>20640</v>
      </c>
      <c r="G48" s="10">
        <f t="shared" si="2"/>
        <v>85140</v>
      </c>
      <c r="H48" s="70">
        <f t="shared" si="3"/>
        <v>42570</v>
      </c>
    </row>
    <row r="49" spans="2:12" x14ac:dyDescent="0.3">
      <c r="B49" s="13" t="s">
        <v>54</v>
      </c>
      <c r="C49" s="33"/>
      <c r="D49" s="157"/>
      <c r="E49" s="158"/>
      <c r="F49" s="157"/>
      <c r="G49" s="10">
        <f>K55</f>
        <v>104260.4</v>
      </c>
      <c r="H49" s="70">
        <f t="shared" si="3"/>
        <v>52130.2</v>
      </c>
    </row>
    <row r="50" spans="2:12" x14ac:dyDescent="0.3">
      <c r="B50" s="13" t="s">
        <v>55</v>
      </c>
      <c r="C50" s="33" t="s">
        <v>96</v>
      </c>
      <c r="D50" s="157">
        <v>115499</v>
      </c>
      <c r="E50" s="158"/>
      <c r="F50" s="157">
        <v>27525</v>
      </c>
      <c r="G50" s="10">
        <f t="shared" si="2"/>
        <v>143024</v>
      </c>
      <c r="H50" s="70">
        <f t="shared" si="3"/>
        <v>71512</v>
      </c>
      <c r="J50" s="206" t="s">
        <v>244</v>
      </c>
    </row>
    <row r="51" spans="2:12" x14ac:dyDescent="0.3">
      <c r="B51" s="13" t="s">
        <v>135</v>
      </c>
      <c r="C51" s="33" t="s">
        <v>95</v>
      </c>
      <c r="D51" s="157">
        <v>91968</v>
      </c>
      <c r="E51" s="158"/>
      <c r="F51" s="157">
        <v>24831</v>
      </c>
      <c r="G51" s="10">
        <f t="shared" si="2"/>
        <v>116799</v>
      </c>
      <c r="H51" s="70">
        <f t="shared" si="3"/>
        <v>58399.5</v>
      </c>
    </row>
    <row r="52" spans="2:12" x14ac:dyDescent="0.3">
      <c r="B52" s="13" t="s">
        <v>28</v>
      </c>
      <c r="C52" s="33"/>
      <c r="D52" s="157"/>
      <c r="E52" s="158"/>
      <c r="F52" s="157"/>
      <c r="G52" s="10">
        <f>K55</f>
        <v>104260.4</v>
      </c>
      <c r="H52" s="70">
        <f t="shared" si="3"/>
        <v>52130.2</v>
      </c>
    </row>
    <row r="53" spans="2:12" x14ac:dyDescent="0.3">
      <c r="B53" s="13" t="s">
        <v>57</v>
      </c>
      <c r="C53" s="33" t="s">
        <v>95</v>
      </c>
      <c r="D53" s="157">
        <v>71500</v>
      </c>
      <c r="E53" s="158"/>
      <c r="F53" s="157">
        <v>16250</v>
      </c>
      <c r="G53" s="10">
        <f t="shared" si="2"/>
        <v>87750</v>
      </c>
      <c r="H53" s="70">
        <f t="shared" si="3"/>
        <v>43875</v>
      </c>
      <c r="J53" s="206" t="s">
        <v>245</v>
      </c>
    </row>
    <row r="54" spans="2:12" ht="15" thickBot="1" x14ac:dyDescent="0.35">
      <c r="B54" s="17" t="s">
        <v>58</v>
      </c>
      <c r="C54" s="35"/>
      <c r="D54" s="159"/>
      <c r="E54" s="160"/>
      <c r="F54" s="159"/>
      <c r="G54" s="10">
        <f>K55</f>
        <v>104260.4</v>
      </c>
      <c r="H54" s="70">
        <f t="shared" si="3"/>
        <v>52130.2</v>
      </c>
    </row>
    <row r="55" spans="2:12" x14ac:dyDescent="0.3">
      <c r="F55" s="37"/>
      <c r="G55" s="26">
        <f>SUM(G46:G54)</f>
        <v>938343.60000000009</v>
      </c>
      <c r="H55" s="28">
        <f>SUM(H46:H54)</f>
        <v>469171.80000000005</v>
      </c>
      <c r="J55" s="92">
        <f>G47+G48+G50+G51+G53</f>
        <v>521302</v>
      </c>
      <c r="K55" s="92">
        <f>J55/5</f>
        <v>104260.4</v>
      </c>
    </row>
    <row r="57" spans="2:12" ht="29.4" thickBot="1" x14ac:dyDescent="0.35">
      <c r="B57" s="152" t="s">
        <v>137</v>
      </c>
      <c r="C57" s="3" t="s">
        <v>126</v>
      </c>
      <c r="D57" s="208" t="s">
        <v>92</v>
      </c>
      <c r="E57" s="208"/>
      <c r="F57" s="4" t="s">
        <v>93</v>
      </c>
      <c r="G57" s="4" t="s">
        <v>103</v>
      </c>
      <c r="H57" s="4" t="s">
        <v>127</v>
      </c>
    </row>
    <row r="58" spans="2:12" ht="15.6" thickTop="1" thickBot="1" x14ac:dyDescent="0.35">
      <c r="B58" s="13" t="s">
        <v>61</v>
      </c>
      <c r="C58" s="38" t="s">
        <v>95</v>
      </c>
      <c r="D58" s="151">
        <v>110395</v>
      </c>
      <c r="E58" s="34"/>
      <c r="F58" s="10">
        <v>75758</v>
      </c>
      <c r="G58" s="10">
        <f>F58+D58</f>
        <v>186153</v>
      </c>
      <c r="H58" s="21">
        <f>G58/2</f>
        <v>93076.5</v>
      </c>
      <c r="J58" s="206" t="s">
        <v>246</v>
      </c>
    </row>
    <row r="59" spans="2:12" ht="15" thickBot="1" x14ac:dyDescent="0.35">
      <c r="B59" s="13" t="s">
        <v>62</v>
      </c>
      <c r="C59" s="38" t="s">
        <v>95</v>
      </c>
      <c r="D59" s="151"/>
      <c r="E59" s="34"/>
      <c r="F59" s="10"/>
      <c r="G59" s="10">
        <f>K65</f>
        <v>170203.5</v>
      </c>
      <c r="H59" s="21">
        <f t="shared" ref="H59:H65" si="4">G59/2</f>
        <v>85101.75</v>
      </c>
      <c r="J59" s="206" t="s">
        <v>247</v>
      </c>
      <c r="K59" s="29"/>
    </row>
    <row r="60" spans="2:12" ht="15" thickBot="1" x14ac:dyDescent="0.35">
      <c r="B60" s="13" t="s">
        <v>63</v>
      </c>
      <c r="C60" s="38" t="s">
        <v>95</v>
      </c>
      <c r="D60" s="151">
        <v>88670</v>
      </c>
      <c r="E60" s="34"/>
      <c r="F60" s="10">
        <v>37711</v>
      </c>
      <c r="G60" s="10">
        <f t="shared" ref="G60:G65" si="5">F60+D60</f>
        <v>126381</v>
      </c>
      <c r="H60" s="21">
        <f t="shared" si="4"/>
        <v>63190.5</v>
      </c>
      <c r="J60" s="29"/>
      <c r="K60" s="29"/>
    </row>
    <row r="61" spans="2:12" ht="15" thickBot="1" x14ac:dyDescent="0.35">
      <c r="B61" s="13" t="s">
        <v>64</v>
      </c>
      <c r="C61" s="38" t="s">
        <v>95</v>
      </c>
      <c r="D61" s="151">
        <v>110999</v>
      </c>
      <c r="E61" s="34"/>
      <c r="F61" s="10">
        <v>78321</v>
      </c>
      <c r="G61" s="10">
        <f t="shared" si="5"/>
        <v>189320</v>
      </c>
      <c r="H61" s="21">
        <f t="shared" si="4"/>
        <v>94660</v>
      </c>
    </row>
    <row r="62" spans="2:12" ht="15" thickBot="1" x14ac:dyDescent="0.35">
      <c r="B62" s="13" t="s">
        <v>65</v>
      </c>
      <c r="C62" s="38" t="s">
        <v>95</v>
      </c>
      <c r="D62" s="151"/>
      <c r="E62" s="34"/>
      <c r="F62" s="10"/>
      <c r="G62" s="10">
        <f>K65</f>
        <v>170203.5</v>
      </c>
      <c r="H62" s="21">
        <f t="shared" si="4"/>
        <v>85101.75</v>
      </c>
      <c r="J62" s="206" t="s">
        <v>248</v>
      </c>
    </row>
    <row r="63" spans="2:12" ht="15" thickBot="1" x14ac:dyDescent="0.35">
      <c r="B63" s="13" t="s">
        <v>66</v>
      </c>
      <c r="C63" s="38" t="s">
        <v>95</v>
      </c>
      <c r="D63" s="151">
        <v>108000</v>
      </c>
      <c r="E63" s="34"/>
      <c r="F63" s="10">
        <v>57200</v>
      </c>
      <c r="G63" s="10">
        <f t="shared" si="5"/>
        <v>165200</v>
      </c>
      <c r="H63" s="21">
        <f t="shared" si="4"/>
        <v>82600</v>
      </c>
    </row>
    <row r="64" spans="2:12" ht="15" thickBot="1" x14ac:dyDescent="0.35">
      <c r="B64" s="13" t="s">
        <v>67</v>
      </c>
      <c r="C64" s="38" t="s">
        <v>106</v>
      </c>
      <c r="D64" s="151">
        <v>116605</v>
      </c>
      <c r="E64" s="34"/>
      <c r="F64" s="10">
        <v>59762</v>
      </c>
      <c r="G64" s="10">
        <f t="shared" si="5"/>
        <v>176367</v>
      </c>
      <c r="H64" s="21">
        <f t="shared" si="4"/>
        <v>88183.5</v>
      </c>
      <c r="L64"/>
    </row>
    <row r="65" spans="2:11" ht="15" thickBot="1" x14ac:dyDescent="0.35">
      <c r="B65" s="13" t="s">
        <v>68</v>
      </c>
      <c r="C65" s="38" t="s">
        <v>95</v>
      </c>
      <c r="D65" s="151">
        <v>107800</v>
      </c>
      <c r="E65" s="34"/>
      <c r="F65" s="10">
        <v>70000</v>
      </c>
      <c r="G65" s="10">
        <f t="shared" si="5"/>
        <v>177800</v>
      </c>
      <c r="H65" s="21">
        <f t="shared" si="4"/>
        <v>88900</v>
      </c>
      <c r="J65" s="43">
        <f>G58+G60+G61+G63+G64+G65</f>
        <v>1021221</v>
      </c>
      <c r="K65" s="92">
        <f>J65/6</f>
        <v>170203.5</v>
      </c>
    </row>
    <row r="66" spans="2:11" x14ac:dyDescent="0.3">
      <c r="C66" s="40">
        <f>SUM(C58:C65)</f>
        <v>0</v>
      </c>
      <c r="D66" s="28">
        <f>SUM(D58:D65)</f>
        <v>642469</v>
      </c>
      <c r="F66" s="28">
        <f>SUM(F58:F65)</f>
        <v>378752</v>
      </c>
      <c r="G66" s="26">
        <f>SUM(G58:G65)</f>
        <v>1361628</v>
      </c>
      <c r="H66" s="28">
        <f>SUM(H58:H65)</f>
        <v>680814</v>
      </c>
    </row>
    <row r="68" spans="2:11" x14ac:dyDescent="0.3">
      <c r="B68" s="42" t="s">
        <v>69</v>
      </c>
      <c r="F68" s="43">
        <f>F66+F55+F43</f>
        <v>2262447</v>
      </c>
      <c r="G68" s="43">
        <f t="shared" ref="G68:H68" si="6">G66+G55+G43</f>
        <v>7606933.3599999994</v>
      </c>
      <c r="H68" s="43">
        <f t="shared" si="6"/>
        <v>3803466.6799999997</v>
      </c>
    </row>
    <row r="74" spans="2:11" ht="15" thickBot="1" x14ac:dyDescent="0.35"/>
    <row r="75" spans="2:11" ht="18.600000000000001" thickBot="1" x14ac:dyDescent="0.4">
      <c r="B75" s="44"/>
      <c r="C75" s="44"/>
      <c r="D75" s="44"/>
      <c r="G75" s="45" t="s">
        <v>10</v>
      </c>
      <c r="H75" s="46">
        <v>4793987</v>
      </c>
    </row>
    <row r="76" spans="2:11" x14ac:dyDescent="0.3">
      <c r="C76" s="41"/>
      <c r="D76" s="47"/>
      <c r="G76" s="48" t="s">
        <v>74</v>
      </c>
      <c r="H76" s="49">
        <f>SUM(H75*0.8)</f>
        <v>3835189.6</v>
      </c>
    </row>
    <row r="77" spans="2:11" x14ac:dyDescent="0.3">
      <c r="C77" s="41"/>
      <c r="D77" s="50"/>
      <c r="G77" s="51"/>
      <c r="H77" s="52"/>
    </row>
    <row r="78" spans="2:11" x14ac:dyDescent="0.3">
      <c r="D78" s="47"/>
      <c r="G78" s="51"/>
      <c r="H78" s="52"/>
    </row>
    <row r="79" spans="2:11" ht="15" thickBot="1" x14ac:dyDescent="0.35">
      <c r="G79" s="53"/>
      <c r="H79" s="54"/>
    </row>
    <row r="80" spans="2:11" x14ac:dyDescent="0.3">
      <c r="B80" s="55" t="s">
        <v>85</v>
      </c>
      <c r="C80" s="56">
        <v>0.15</v>
      </c>
      <c r="D80" s="57">
        <f>SUM(H75*0.15)</f>
        <v>719098.04999999993</v>
      </c>
      <c r="G80" s="58"/>
      <c r="H80" s="59"/>
    </row>
    <row r="81" spans="2:8" ht="15" thickBot="1" x14ac:dyDescent="0.35">
      <c r="B81" s="60" t="s">
        <v>88</v>
      </c>
      <c r="C81" s="61">
        <v>0.05</v>
      </c>
      <c r="D81" s="62">
        <f>SUM(H75*0.05)</f>
        <v>239699.35</v>
      </c>
      <c r="G81" s="63" t="s">
        <v>89</v>
      </c>
      <c r="H81" s="64">
        <f>H75*0.2</f>
        <v>958797.4</v>
      </c>
    </row>
    <row r="82" spans="2:8" x14ac:dyDescent="0.3">
      <c r="G82" s="65"/>
      <c r="H82" s="43"/>
    </row>
    <row r="83" spans="2:8" x14ac:dyDescent="0.3">
      <c r="G83" s="65"/>
      <c r="H83" s="43"/>
    </row>
    <row r="84" spans="2:8" x14ac:dyDescent="0.3">
      <c r="B84" s="66"/>
      <c r="C84" s="67"/>
      <c r="D84" s="68"/>
      <c r="G84" s="65"/>
      <c r="H84" s="43"/>
    </row>
    <row r="85" spans="2:8" x14ac:dyDescent="0.3">
      <c r="B85" s="66"/>
      <c r="C85" s="69"/>
      <c r="D85" s="68"/>
      <c r="G85" s="65"/>
      <c r="H85" s="43"/>
    </row>
  </sheetData>
  <mergeCells count="12">
    <mergeCell ref="D6:E6"/>
    <mergeCell ref="D45:E45"/>
    <mergeCell ref="D57:E57"/>
    <mergeCell ref="B1:H1"/>
    <mergeCell ref="B2:B5"/>
    <mergeCell ref="C2:E3"/>
    <mergeCell ref="F2:H2"/>
    <mergeCell ref="F3:H3"/>
    <mergeCell ref="C4:E4"/>
    <mergeCell ref="F4:H4"/>
    <mergeCell ref="C5:E5"/>
    <mergeCell ref="F5:H5"/>
  </mergeCells>
  <pageMargins left="0.25" right="0.25" top="0.75" bottom="0.75" header="0.3" footer="0.3"/>
  <pageSetup orientation="portrait" r:id="rId1"/>
  <headerFooter>
    <oddHeader>&amp;CDRAFT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5D55-7F0E-4166-AB86-457CC8523176}">
  <sheetPr codeName="Sheet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 xmlns="e19824af-83be-4a1e-8291-399fa73f08a6" xsi:nil="true"/>
    <PublishingExpirationDate xmlns="http://schemas.microsoft.com/sharepoint/v3" xsi:nil="true"/>
    <Description0 xmlns="e19824af-83be-4a1e-8291-399fa73f08a6">EMPG All Options for LGEMAC</Description0>
    <PublishingStartDate xmlns="http://schemas.microsoft.com/sharepoint/v3" xsi:nil="true"/>
    <Web_x0020_Location xmlns="e19824af-83be-4a1e-8291-399fa73f08a6">Councils and Committees, LGEMAC</Web_x0020_Location>
    <Thumbnails xmlns="e19824af-83be-4a1e-8291-399fa73f08a6">
      <Url xsi:nil="true"/>
      <Description xsi:nil="true"/>
    </Thumbnails>
    <Date xmlns="e19824af-83be-4a1e-8291-399fa73f08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E051111ABE4BB3E6F3E1C63E56F1" ma:contentTypeVersion="14" ma:contentTypeDescription="Create a new document." ma:contentTypeScope="" ma:versionID="6c3af343de67771328159fe8717a8c5f">
  <xsd:schema xmlns:xsd="http://www.w3.org/2001/XMLSchema" xmlns:xs="http://www.w3.org/2001/XMLSchema" xmlns:p="http://schemas.microsoft.com/office/2006/metadata/properties" xmlns:ns1="http://schemas.microsoft.com/sharepoint/v3" xmlns:ns2="64e0cd91-1009-4144-882f-28e9538bf92a" xmlns:ns3="e19824af-83be-4a1e-8291-399fa73f08a6" targetNamespace="http://schemas.microsoft.com/office/2006/metadata/properties" ma:root="true" ma:fieldsID="ba974b4ee3b7816fa2ba8bc71c94dbe3" ns1:_="" ns2:_="" ns3:_="">
    <xsd:import namespace="http://schemas.microsoft.com/sharepoint/v3"/>
    <xsd:import namespace="64e0cd91-1009-4144-882f-28e9538bf92a"/>
    <xsd:import namespace="e19824af-83be-4a1e-8291-399fa73f08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Web_x0020_Location" minOccurs="0"/>
                <xsd:element ref="ns3:Description0" minOccurs="0"/>
                <xsd:element ref="ns3:Tag" minOccurs="0"/>
                <xsd:element ref="ns3:Thumbnail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0cd91-1009-4144-882f-28e9538bf9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824af-83be-4a1e-8291-399fa73f08a6" elementFormDefault="qualified">
    <xsd:import namespace="http://schemas.microsoft.com/office/2006/documentManagement/types"/>
    <xsd:import namespace="http://schemas.microsoft.com/office/infopath/2007/PartnerControls"/>
    <xsd:element name="Web_x0020_Location" ma:index="11" nillable="true" ma:displayName="Web Location" ma:description="What page this document is located on." ma:internalName="Web_x0020_Location" ma:readOnly="false">
      <xsd:simpleType>
        <xsd:restriction base="dms:Text">
          <xsd:maxLength value="255"/>
        </xsd:restriction>
      </xsd:simpleType>
    </xsd:element>
    <xsd:element name="Description0" ma:index="12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ag" ma:index="13" nillable="true" ma:displayName="Tag" ma:description="Tagging for display on forms/templates pages" ma:internalName="Tag" ma:readOnly="false">
      <xsd:simpleType>
        <xsd:restriction base="dms:Text">
          <xsd:maxLength value="255"/>
        </xsd:restriction>
      </xsd:simpleType>
    </xsd:element>
    <xsd:element name="Thumbnails" ma:index="14" nillable="true" ma:displayName="Thumbnails" ma:format="Image" ma:internalName="Thumbnail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15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8BD1A-8995-4C0C-ADDA-F3AF8DBD0E2E}">
  <ds:schemaRefs>
    <ds:schemaRef ds:uri="http://schemas.microsoft.com/office/2006/metadata/properties"/>
    <ds:schemaRef ds:uri="http://schemas.microsoft.com/office/infopath/2007/PartnerControls"/>
    <ds:schemaRef ds:uri="b008de92-d7a9-404c-9536-8d2e7f578c44"/>
    <ds:schemaRef ds:uri="2905f4ce-92cd-4299-888e-6d1f66e5c792"/>
  </ds:schemaRefs>
</ds:datastoreItem>
</file>

<file path=customXml/itemProps2.xml><?xml version="1.0" encoding="utf-8"?>
<ds:datastoreItem xmlns:ds="http://schemas.openxmlformats.org/officeDocument/2006/customXml" ds:itemID="{854BE3BC-35FA-4D2B-98FF-F387770E39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CA938-9ABB-46DA-9416-A8C73D56A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EMPG 2013 original</vt:lpstr>
      <vt:lpstr>A - 50 50 split</vt:lpstr>
      <vt:lpstr>B - County Only</vt:lpstr>
      <vt:lpstr>B - County w Tribal</vt:lpstr>
      <vt:lpstr>B - County w Tribal lg Cities</vt:lpstr>
      <vt:lpstr>B - County w Tribal All Cities</vt:lpstr>
      <vt:lpstr>C - Tiered Activity</vt:lpstr>
      <vt:lpstr>D-EM salary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EMPG All Options for LGEMAC</dc:title>
  <dc:creator>SEBENS Carole L * OEM</dc:creator>
  <cp:lastModifiedBy>GOOD Bridget * OEM</cp:lastModifiedBy>
  <cp:lastPrinted>2025-01-05T18:27:56Z</cp:lastPrinted>
  <dcterms:created xsi:type="dcterms:W3CDTF">2024-10-08T16:42:15Z</dcterms:created>
  <dcterms:modified xsi:type="dcterms:W3CDTF">2025-01-05T18:28:05Z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2024-10-08T23:11:07Z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df82340b-9380-47ce-a529-defc7d3517b3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0x010100F609E051111ABE4BB3E6F3E1C63E56F1</vt:lpwstr>
  </property>
  <property fmtid="{D5CDD505-2E9C-101B-9397-08002B2CF9AE}" pid="10" name="MediaServiceImageTags">
    <vt:lpwstr/>
  </property>
</Properties>
</file>