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Health Analytics\Hospital Reporting Program\Community Benefit\Spending floor letters and calculations\MSF Group 124 Adventist Medical Center\"/>
    </mc:Choice>
  </mc:AlternateContent>
  <xr:revisionPtr revIDLastSave="0" documentId="13_ncr:1_{457D88BC-04C6-4B38-B89A-C4E12743DE19}" xr6:coauthVersionLast="46" xr6:coauthVersionMax="46" xr10:uidLastSave="{00000000-0000-0000-0000-000000000000}"/>
  <bookViews>
    <workbookView xWindow="1950" yWindow="2550" windowWidth="21600" windowHeight="11385" activeTab="1" xr2:uid="{2473DA90-149C-4364-8D7B-874E168A1C74}"/>
  </bookViews>
  <sheets>
    <sheet name="Data" sheetId="1" r:id="rId1"/>
    <sheet name="Calcul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2" l="1"/>
  <c r="C11" i="2"/>
  <c r="C24" i="2" s="1"/>
  <c r="D11" i="2"/>
  <c r="U3" i="1"/>
  <c r="Z3" i="1"/>
  <c r="Y3" i="1"/>
  <c r="X3" i="1"/>
  <c r="W3" i="1"/>
  <c r="V3" i="1"/>
  <c r="V8" i="1"/>
  <c r="Q3" i="1" l="1"/>
  <c r="K4" i="2" l="1"/>
  <c r="H4" i="2" l="1"/>
  <c r="I4" i="2"/>
  <c r="J4" i="2"/>
  <c r="G4" i="2"/>
  <c r="F4" i="2"/>
  <c r="B24" i="2"/>
  <c r="B18" i="2"/>
  <c r="B11" i="2"/>
  <c r="B4" i="2"/>
  <c r="C4" i="2"/>
  <c r="C9" i="2" l="1"/>
  <c r="L4" i="2"/>
  <c r="M4" i="2" s="1"/>
  <c r="C16" i="2"/>
  <c r="C8" i="1" l="1"/>
  <c r="R8" i="1" l="1"/>
  <c r="S8" i="1"/>
  <c r="T8" i="1"/>
  <c r="U8" i="1" l="1"/>
  <c r="C18" i="2"/>
  <c r="D18" i="2" s="1"/>
  <c r="K8" i="1"/>
  <c r="L8" i="1"/>
  <c r="M8" i="1"/>
  <c r="H8" i="1"/>
  <c r="I8" i="1"/>
  <c r="J8" i="1"/>
  <c r="G8" i="1"/>
  <c r="E8" i="1"/>
  <c r="F8" i="1"/>
  <c r="X8" i="1" s="1"/>
  <c r="D8" i="1"/>
  <c r="W8" i="1" l="1"/>
  <c r="N8" i="1"/>
  <c r="C29" i="2"/>
  <c r="G9" i="2"/>
  <c r="Y8" i="1"/>
  <c r="P8" i="1"/>
  <c r="O8" i="1"/>
  <c r="Q8" i="1" l="1"/>
  <c r="Z8" i="1"/>
</calcChain>
</file>

<file path=xl/sharedStrings.xml><?xml version="1.0" encoding="utf-8"?>
<sst xmlns="http://schemas.openxmlformats.org/spreadsheetml/2006/main" count="60" uniqueCount="42">
  <si>
    <t>Facility</t>
  </si>
  <si>
    <t>Net Patient Revenue</t>
  </si>
  <si>
    <t>Operating Revenue</t>
  </si>
  <si>
    <t>Total Operating Expense</t>
  </si>
  <si>
    <t>FY17</t>
  </si>
  <si>
    <t>FY18</t>
  </si>
  <si>
    <t>F19</t>
  </si>
  <si>
    <t>FY20</t>
  </si>
  <si>
    <t>FY19</t>
  </si>
  <si>
    <t>Group Total</t>
  </si>
  <si>
    <t>Unreimbursed Cost of Care</t>
  </si>
  <si>
    <t>FY22 Minimum Spending Floor</t>
  </si>
  <si>
    <t>3-year Average of Unreimbursed Care</t>
  </si>
  <si>
    <t>Direct Spending Net Patient Revenue %</t>
  </si>
  <si>
    <t>Operating Margin</t>
  </si>
  <si>
    <t>3-Year Average Operating Margin</t>
  </si>
  <si>
    <t>FY23 Minimum Spending Floor</t>
  </si>
  <si>
    <t>FY16</t>
  </si>
  <si>
    <t>Total 3-year Average of Unreimbursed Care</t>
  </si>
  <si>
    <t>Total Direct Spending Net Patient Revenue %</t>
  </si>
  <si>
    <t>Total Adjusted Direct Spending Amount</t>
  </si>
  <si>
    <t>Modifier</t>
  </si>
  <si>
    <t>Adjusted Direct Spending</t>
  </si>
  <si>
    <t>Year-Over-Year Change in Net Patient Revenue</t>
  </si>
  <si>
    <t>FY16-FY17</t>
  </si>
  <si>
    <t>FY17-FY18</t>
  </si>
  <si>
    <t>FY18-FY19</t>
  </si>
  <si>
    <t>FY19-FY20</t>
  </si>
  <si>
    <t>4-Year Average</t>
  </si>
  <si>
    <t>Year 1 Spending Floor</t>
  </si>
  <si>
    <t>Year 2 Spending Floor</t>
  </si>
  <si>
    <t>Hospital Type</t>
  </si>
  <si>
    <t>Type % Mod</t>
  </si>
  <si>
    <t>3-Year Average</t>
  </si>
  <si>
    <t>Year-over-Year Change in Net Patient Revenue</t>
  </si>
  <si>
    <t>FY20 NPR</t>
  </si>
  <si>
    <t>3-Year Avg OpMarg</t>
  </si>
  <si>
    <t>Adj Direct Spending</t>
  </si>
  <si>
    <t>DRG</t>
  </si>
  <si>
    <t>4-Year Average*</t>
  </si>
  <si>
    <t>* 4-year average is capped at +/- 10%</t>
  </si>
  <si>
    <t>Adventist Health Portland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</si>
</sst>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165" fontId="0" fillId="0" borderId="0" xfId="0" applyNumberFormat="1"/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left" wrapText="1"/>
    </xf>
    <xf numFmtId="164" fontId="6" fillId="0" borderId="19" xfId="0" applyNumberFormat="1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6" fillId="0" borderId="0" xfId="1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6" fillId="0" borderId="9" xfId="0" applyFont="1" applyFill="1" applyBorder="1"/>
    <xf numFmtId="165" fontId="6" fillId="0" borderId="10" xfId="1" applyNumberFormat="1" applyFont="1" applyBorder="1" applyAlignment="1">
      <alignment horizontal="center"/>
    </xf>
    <xf numFmtId="164" fontId="6" fillId="0" borderId="2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/>
    </xf>
    <xf numFmtId="164" fontId="6" fillId="0" borderId="21" xfId="0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164" fontId="6" fillId="3" borderId="23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0" fillId="0" borderId="0" xfId="1" applyNumberFormat="1" applyFont="1" applyBorder="1" applyAlignment="1">
      <alignment horizontal="center" vertical="center"/>
    </xf>
    <xf numFmtId="0" fontId="5" fillId="4" borderId="16" xfId="0" applyFont="1" applyFill="1" applyBorder="1"/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/>
    <xf numFmtId="165" fontId="0" fillId="0" borderId="22" xfId="1" applyNumberFormat="1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5" fillId="0" borderId="10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164" fontId="5" fillId="4" borderId="1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1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25</xdr:row>
      <xdr:rowOff>28575</xdr:rowOff>
    </xdr:from>
    <xdr:to>
      <xdr:col>7</xdr:col>
      <xdr:colOff>1086750</xdr:colOff>
      <xdr:row>30</xdr:row>
      <xdr:rowOff>57296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ECC7A-7A42-4699-AD53-0B507A63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6950" y="4981575"/>
          <a:ext cx="6449325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0BE1-271C-4910-AAE4-DAD64F3AEF06}">
  <dimension ref="A1:Z9"/>
  <sheetViews>
    <sheetView workbookViewId="0">
      <selection activeCell="A3" sqref="A3"/>
    </sheetView>
  </sheetViews>
  <sheetFormatPr defaultRowHeight="15" x14ac:dyDescent="0.25"/>
  <cols>
    <col min="1" max="1" width="59.85546875" customWidth="1"/>
    <col min="2" max="2" width="23.42578125" customWidth="1"/>
    <col min="3" max="26" width="15.7109375" customWidth="1"/>
  </cols>
  <sheetData>
    <row r="1" spans="1:26" x14ac:dyDescent="0.25">
      <c r="A1" s="64" t="s">
        <v>0</v>
      </c>
      <c r="B1" s="53"/>
      <c r="C1" s="69" t="s">
        <v>1</v>
      </c>
      <c r="D1" s="70"/>
      <c r="E1" s="70"/>
      <c r="F1" s="70"/>
      <c r="G1" s="71"/>
      <c r="H1" s="63" t="s">
        <v>2</v>
      </c>
      <c r="I1" s="63"/>
      <c r="J1" s="63"/>
      <c r="K1" s="63" t="s">
        <v>3</v>
      </c>
      <c r="L1" s="63"/>
      <c r="M1" s="63"/>
      <c r="N1" s="66" t="s">
        <v>14</v>
      </c>
      <c r="O1" s="67"/>
      <c r="P1" s="68"/>
      <c r="Q1" s="1"/>
      <c r="R1" s="63" t="s">
        <v>10</v>
      </c>
      <c r="S1" s="63"/>
      <c r="T1" s="63"/>
      <c r="U1" s="52"/>
      <c r="V1" s="63" t="s">
        <v>34</v>
      </c>
      <c r="W1" s="63"/>
      <c r="X1" s="63"/>
      <c r="Y1" s="63"/>
      <c r="Z1" s="63"/>
    </row>
    <row r="2" spans="1:26" x14ac:dyDescent="0.25">
      <c r="A2" s="65"/>
      <c r="B2" s="51" t="s">
        <v>31</v>
      </c>
      <c r="C2" s="2" t="s">
        <v>17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5</v>
      </c>
      <c r="I2" s="2" t="s">
        <v>8</v>
      </c>
      <c r="J2" s="2" t="s">
        <v>7</v>
      </c>
      <c r="K2" s="2" t="s">
        <v>5</v>
      </c>
      <c r="L2" s="2" t="s">
        <v>8</v>
      </c>
      <c r="M2" s="2" t="s">
        <v>7</v>
      </c>
      <c r="N2" s="2" t="s">
        <v>5</v>
      </c>
      <c r="O2" s="2" t="s">
        <v>8</v>
      </c>
      <c r="P2" s="2" t="s">
        <v>7</v>
      </c>
      <c r="Q2" s="2" t="s">
        <v>33</v>
      </c>
      <c r="R2" s="2" t="s">
        <v>5</v>
      </c>
      <c r="S2" s="2" t="s">
        <v>8</v>
      </c>
      <c r="T2" s="2" t="s">
        <v>7</v>
      </c>
      <c r="U2" s="52" t="s">
        <v>33</v>
      </c>
      <c r="V2" s="57" t="s">
        <v>24</v>
      </c>
      <c r="W2" s="58" t="s">
        <v>25</v>
      </c>
      <c r="X2" s="58" t="s">
        <v>26</v>
      </c>
      <c r="Y2" s="58" t="s">
        <v>27</v>
      </c>
      <c r="Z2" s="58" t="s">
        <v>28</v>
      </c>
    </row>
    <row r="3" spans="1:26" x14ac:dyDescent="0.25">
      <c r="A3" t="s">
        <v>41</v>
      </c>
      <c r="B3" s="54" t="s">
        <v>38</v>
      </c>
      <c r="C3" s="3">
        <v>305892387</v>
      </c>
      <c r="D3" s="3">
        <v>296352073</v>
      </c>
      <c r="E3" s="3">
        <v>323089443</v>
      </c>
      <c r="F3" s="3">
        <v>317479706</v>
      </c>
      <c r="G3" s="3">
        <v>296742072</v>
      </c>
      <c r="H3" s="3">
        <v>341451411</v>
      </c>
      <c r="I3" s="3">
        <v>337326043</v>
      </c>
      <c r="J3" s="3">
        <v>335334551</v>
      </c>
      <c r="K3" s="3">
        <v>342935201</v>
      </c>
      <c r="L3" s="3">
        <v>336344506</v>
      </c>
      <c r="M3" s="3">
        <v>334169779</v>
      </c>
      <c r="N3" s="6">
        <v>-4.3455377608616766E-3</v>
      </c>
      <c r="O3" s="6">
        <v>2.909757548722676E-3</v>
      </c>
      <c r="P3" s="6">
        <v>3.473462536224011E-3</v>
      </c>
      <c r="Q3" s="6">
        <f>AVERAGE(N3:P3)</f>
        <v>6.7922744136167011E-4</v>
      </c>
      <c r="R3" s="3">
        <v>17715771</v>
      </c>
      <c r="S3" s="3">
        <v>24211077</v>
      </c>
      <c r="T3" s="3">
        <v>19697282</v>
      </c>
      <c r="U3" s="3">
        <f>AVERAGE(R3:T3)</f>
        <v>20541376.666666668</v>
      </c>
      <c r="V3" s="6">
        <f>(D3-C3)/C3</f>
        <v>-3.1188464981313838E-2</v>
      </c>
      <c r="W3" s="6">
        <f t="shared" ref="W3" si="0">(E3-D3)/D3</f>
        <v>9.0221639853351049E-2</v>
      </c>
      <c r="X3" s="6">
        <f t="shared" ref="X3" si="1">(F3-E3)/E3</f>
        <v>-1.7362798821006355E-2</v>
      </c>
      <c r="Y3" s="6">
        <f t="shared" ref="Y3" si="2">(G3-F3)/F3</f>
        <v>-6.5319557779860107E-2</v>
      </c>
      <c r="Z3" s="59">
        <f t="shared" ref="Z3" si="3">AVERAGE(V3:Y3)</f>
        <v>-5.912295432207313E-3</v>
      </c>
    </row>
    <row r="4" spans="1:26" x14ac:dyDescent="0.25">
      <c r="B4" s="5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/>
      <c r="O4" s="6"/>
      <c r="P4" s="6"/>
      <c r="Q4" s="6"/>
      <c r="R4" s="3"/>
      <c r="S4" s="3"/>
      <c r="T4" s="3"/>
      <c r="U4" s="3"/>
      <c r="V4" s="6"/>
      <c r="W4" s="6"/>
      <c r="X4" s="6"/>
      <c r="Y4" s="6"/>
      <c r="Z4" s="59"/>
    </row>
    <row r="5" spans="1:26" x14ac:dyDescent="0.25">
      <c r="B5" s="5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6"/>
      <c r="Q5" s="6"/>
      <c r="R5" s="3"/>
      <c r="S5" s="3"/>
      <c r="T5" s="3"/>
      <c r="U5" s="3"/>
      <c r="V5" s="6"/>
      <c r="W5" s="6"/>
      <c r="X5" s="6"/>
      <c r="Y5" s="6"/>
      <c r="Z5" s="59"/>
    </row>
    <row r="6" spans="1:26" x14ac:dyDescent="0.25">
      <c r="B6" s="5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6"/>
      <c r="O6" s="6"/>
      <c r="P6" s="6"/>
      <c r="Q6" s="6"/>
      <c r="R6" s="3"/>
      <c r="S6" s="3"/>
      <c r="T6" s="3"/>
      <c r="U6" s="3"/>
      <c r="V6" s="6"/>
      <c r="W6" s="6"/>
      <c r="X6" s="6"/>
      <c r="Y6" s="6"/>
      <c r="Z6" s="59"/>
    </row>
    <row r="7" spans="1:26" x14ac:dyDescent="0.25">
      <c r="B7" s="5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6"/>
      <c r="O7" s="6"/>
      <c r="P7" s="6"/>
      <c r="Q7" s="6"/>
      <c r="R7" s="3"/>
      <c r="S7" s="3"/>
      <c r="T7" s="3"/>
      <c r="U7" s="3"/>
      <c r="V7" s="6"/>
      <c r="W7" s="6"/>
      <c r="X7" s="6"/>
      <c r="Y7" s="6"/>
      <c r="Z7" s="59"/>
    </row>
    <row r="8" spans="1:26" x14ac:dyDescent="0.25">
      <c r="A8" s="4" t="s">
        <v>9</v>
      </c>
      <c r="B8" s="4"/>
      <c r="C8" s="3">
        <f>SUM(C3:C7)</f>
        <v>305892387</v>
      </c>
      <c r="D8" s="5">
        <f>SUM(D3:D7)</f>
        <v>296352073</v>
      </c>
      <c r="E8" s="5">
        <f t="shared" ref="E8:G8" si="4">SUM(E3:E7)</f>
        <v>323089443</v>
      </c>
      <c r="F8" s="5">
        <f t="shared" si="4"/>
        <v>317479706</v>
      </c>
      <c r="G8" s="5">
        <f t="shared" si="4"/>
        <v>296742072</v>
      </c>
      <c r="H8" s="5">
        <f t="shared" ref="H8" si="5">SUM(H3:H7)</f>
        <v>341451411</v>
      </c>
      <c r="I8" s="5">
        <f t="shared" ref="I8" si="6">SUM(I3:I7)</f>
        <v>337326043</v>
      </c>
      <c r="J8" s="5">
        <f t="shared" ref="J8" si="7">SUM(J3:J7)</f>
        <v>335334551</v>
      </c>
      <c r="K8" s="5">
        <f t="shared" ref="K8" si="8">SUM(K3:K7)</f>
        <v>342935201</v>
      </c>
      <c r="L8" s="5">
        <f t="shared" ref="L8" si="9">SUM(L3:L7)</f>
        <v>336344506</v>
      </c>
      <c r="M8" s="5">
        <f t="shared" ref="M8" si="10">SUM(M3:M7)</f>
        <v>334169779</v>
      </c>
      <c r="N8" s="6">
        <f t="shared" ref="N8" si="11">(H8-K8)/H8</f>
        <v>-4.3455377608616766E-3</v>
      </c>
      <c r="O8" s="6">
        <f t="shared" ref="O8" si="12">(I8-L8)/I8</f>
        <v>2.909757548722676E-3</v>
      </c>
      <c r="P8" s="6">
        <f t="shared" ref="P8" si="13">(J8-M8)/J8</f>
        <v>3.473462536224011E-3</v>
      </c>
      <c r="Q8" s="6">
        <f t="shared" ref="Q8" si="14">AVERAGE(N8:P8)</f>
        <v>6.7922744136167011E-4</v>
      </c>
      <c r="R8" s="3">
        <f t="shared" ref="R8" si="15">SUM(R3:R7)</f>
        <v>17715771</v>
      </c>
      <c r="S8" s="3">
        <f t="shared" ref="S8" si="16">SUM(S3:S7)</f>
        <v>24211077</v>
      </c>
      <c r="T8" s="3">
        <f t="shared" ref="T8" si="17">SUM(T3:T7)</f>
        <v>19697282</v>
      </c>
      <c r="U8" s="3">
        <f t="shared" ref="U8" si="18">AVERAGE(R8:T8)</f>
        <v>20541376.666666668</v>
      </c>
      <c r="V8" s="6">
        <f>(D8-C8)/C8</f>
        <v>-3.1188464981313838E-2</v>
      </c>
      <c r="W8" s="6">
        <f t="shared" ref="W8" si="19">(E8-D8)/D8</f>
        <v>9.0221639853351049E-2</v>
      </c>
      <c r="X8" s="6">
        <f t="shared" ref="X8" si="20">(F8-E8)/E8</f>
        <v>-1.7362798821006355E-2</v>
      </c>
      <c r="Y8" s="6">
        <f t="shared" ref="Y8" si="21">(G8-F8)/F8</f>
        <v>-6.5319557779860107E-2</v>
      </c>
      <c r="Z8" s="59">
        <f t="shared" ref="Z8" si="22">AVERAGE(V8:Y8)</f>
        <v>-5.912295432207313E-3</v>
      </c>
    </row>
    <row r="9" spans="1:26" x14ac:dyDescent="0.25">
      <c r="Q9" s="16"/>
    </row>
  </sheetData>
  <mergeCells count="7">
    <mergeCell ref="V1:Z1"/>
    <mergeCell ref="A1:A2"/>
    <mergeCell ref="H1:J1"/>
    <mergeCell ref="K1:M1"/>
    <mergeCell ref="R1:T1"/>
    <mergeCell ref="N1:P1"/>
    <mergeCell ref="C1:G1"/>
  </mergeCells>
  <pageMargins left="0.7" right="0.7" top="0.75" bottom="0.75" header="0.3" footer="0.3"/>
  <ignoredErrors>
    <ignoredError sqref="Q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F1C8E-6784-4D6D-BE2A-F939DC7B6B89}">
  <dimension ref="B1:M32"/>
  <sheetViews>
    <sheetView showGridLines="0" tabSelected="1" topLeftCell="D1" workbookViewId="0">
      <selection activeCell="G15" sqref="G15"/>
    </sheetView>
  </sheetViews>
  <sheetFormatPr defaultRowHeight="15" x14ac:dyDescent="0.25"/>
  <cols>
    <col min="2" max="2" width="40.7109375" customWidth="1"/>
    <col min="3" max="3" width="22.7109375" customWidth="1"/>
    <col min="4" max="4" width="12.7109375" customWidth="1"/>
    <col min="6" max="6" width="56.140625" customWidth="1"/>
    <col min="7" max="10" width="22.7109375" style="37" customWidth="1"/>
    <col min="11" max="11" width="16" customWidth="1"/>
    <col min="12" max="12" width="22.7109375" customWidth="1"/>
    <col min="13" max="13" width="24.140625" customWidth="1"/>
  </cols>
  <sheetData>
    <row r="1" spans="2:13" ht="15.75" thickBot="1" x14ac:dyDescent="0.3"/>
    <row r="2" spans="2:13" ht="19.5" thickBot="1" x14ac:dyDescent="0.35">
      <c r="B2" s="72" t="s">
        <v>11</v>
      </c>
      <c r="C2" s="73"/>
      <c r="D2" s="7"/>
      <c r="F2" s="75" t="s">
        <v>16</v>
      </c>
      <c r="G2" s="76"/>
      <c r="H2" s="76"/>
      <c r="I2" s="76"/>
      <c r="J2" s="76"/>
      <c r="K2" s="76"/>
      <c r="L2" s="76"/>
      <c r="M2" s="77"/>
    </row>
    <row r="3" spans="2:13" ht="18.75" customHeight="1" x14ac:dyDescent="0.25">
      <c r="B3" s="18" t="s">
        <v>12</v>
      </c>
      <c r="C3" s="14"/>
      <c r="D3" s="9"/>
      <c r="F3" s="35" t="s">
        <v>23</v>
      </c>
      <c r="G3" s="36" t="s">
        <v>24</v>
      </c>
      <c r="H3" s="38" t="s">
        <v>25</v>
      </c>
      <c r="I3" s="38" t="s">
        <v>26</v>
      </c>
      <c r="J3" s="38" t="s">
        <v>27</v>
      </c>
      <c r="K3" s="45" t="s">
        <v>39</v>
      </c>
      <c r="L3" s="45" t="s">
        <v>29</v>
      </c>
      <c r="M3" s="46" t="s">
        <v>30</v>
      </c>
    </row>
    <row r="4" spans="2:13" x14ac:dyDescent="0.25">
      <c r="B4" s="8" t="str">
        <f>Data!A3</f>
        <v>Adventist Health Portland</v>
      </c>
      <c r="C4" s="22">
        <f>Data!U3</f>
        <v>20541376.666666668</v>
      </c>
      <c r="D4" s="21"/>
      <c r="F4" s="8" t="str">
        <f>Data!A3</f>
        <v>Adventist Health Portland</v>
      </c>
      <c r="G4" s="39">
        <f>Data!V3</f>
        <v>-3.1188464981313838E-2</v>
      </c>
      <c r="H4" s="39">
        <f>Data!W3</f>
        <v>9.0221639853351049E-2</v>
      </c>
      <c r="I4" s="39">
        <f>Data!X3</f>
        <v>-1.7362798821006355E-2</v>
      </c>
      <c r="J4" s="39">
        <f>Data!Y3</f>
        <v>-6.5319557779860107E-2</v>
      </c>
      <c r="K4" s="39">
        <f>IF(Data!Z3 &lt; 0.1, Data!Z3, 0.1)</f>
        <v>-5.912295432207313E-3</v>
      </c>
      <c r="L4" s="47">
        <f>(C4+C24)</f>
        <v>24547394.638666667</v>
      </c>
      <c r="M4" s="48">
        <f>L4+(L4*K4)</f>
        <v>24402263.189471889</v>
      </c>
    </row>
    <row r="5" spans="2:13" x14ac:dyDescent="0.25">
      <c r="B5" s="8"/>
      <c r="C5" s="22"/>
      <c r="D5" s="21"/>
      <c r="F5" s="8"/>
      <c r="G5" s="39"/>
      <c r="H5" s="39"/>
      <c r="I5" s="39"/>
      <c r="J5" s="39"/>
      <c r="K5" s="39"/>
      <c r="L5" s="47"/>
      <c r="M5" s="48"/>
    </row>
    <row r="6" spans="2:13" x14ac:dyDescent="0.25">
      <c r="B6" s="8"/>
      <c r="C6" s="22"/>
      <c r="D6" s="21"/>
      <c r="F6" s="8"/>
      <c r="G6" s="39"/>
      <c r="H6" s="39"/>
      <c r="I6" s="39"/>
      <c r="J6" s="39"/>
      <c r="K6" s="39"/>
      <c r="L6" s="47"/>
      <c r="M6" s="48"/>
    </row>
    <row r="7" spans="2:13" x14ac:dyDescent="0.25">
      <c r="B7" s="8"/>
      <c r="C7" s="22"/>
      <c r="D7" s="21"/>
      <c r="F7" s="8"/>
      <c r="G7" s="39"/>
      <c r="H7" s="39"/>
      <c r="I7" s="39"/>
      <c r="J7" s="39"/>
      <c r="K7" s="39"/>
      <c r="L7" s="47"/>
      <c r="M7" s="48"/>
    </row>
    <row r="8" spans="2:13" ht="15.75" thickBot="1" x14ac:dyDescent="0.3">
      <c r="B8" s="8"/>
      <c r="C8" s="22"/>
      <c r="D8" s="21"/>
      <c r="F8" s="43"/>
      <c r="G8" s="44"/>
      <c r="H8" s="44"/>
      <c r="I8" s="44"/>
      <c r="J8" s="44"/>
      <c r="K8" s="44"/>
      <c r="L8" s="49"/>
      <c r="M8" s="50"/>
    </row>
    <row r="9" spans="2:13" ht="16.5" thickBot="1" x14ac:dyDescent="0.3">
      <c r="B9" s="15" t="s">
        <v>18</v>
      </c>
      <c r="C9" s="30">
        <f>SUM(C4:C8)</f>
        <v>20541376.666666668</v>
      </c>
      <c r="D9" s="19"/>
      <c r="F9" s="40" t="s">
        <v>16</v>
      </c>
      <c r="G9" s="62">
        <f>SUM(M4:M8)</f>
        <v>24402263.189471889</v>
      </c>
      <c r="H9" s="41"/>
      <c r="I9" s="41"/>
      <c r="J9" s="41"/>
      <c r="K9" s="16"/>
    </row>
    <row r="10" spans="2:13" ht="15.75" x14ac:dyDescent="0.25">
      <c r="B10" s="17" t="s">
        <v>13</v>
      </c>
      <c r="C10" s="60" t="s">
        <v>35</v>
      </c>
      <c r="D10" s="56" t="s">
        <v>32</v>
      </c>
      <c r="F10" s="61" t="s">
        <v>40</v>
      </c>
      <c r="G10" s="41"/>
      <c r="H10" s="42"/>
      <c r="I10" s="42"/>
      <c r="J10" s="42"/>
    </row>
    <row r="11" spans="2:13" x14ac:dyDescent="0.25">
      <c r="B11" s="8" t="str">
        <f>Data!A3</f>
        <v>Adventist Health Portland</v>
      </c>
      <c r="C11" s="22">
        <f>Data!G3*D11</f>
        <v>4451131.08</v>
      </c>
      <c r="D11" s="55">
        <f>IF(Data!B3="DRG",0.015,0.01)</f>
        <v>1.4999999999999999E-2</v>
      </c>
    </row>
    <row r="12" spans="2:13" x14ac:dyDescent="0.25">
      <c r="B12" s="8"/>
      <c r="C12" s="22"/>
      <c r="D12" s="55"/>
    </row>
    <row r="13" spans="2:13" x14ac:dyDescent="0.25">
      <c r="B13" s="8"/>
      <c r="C13" s="22"/>
      <c r="D13" s="55"/>
    </row>
    <row r="14" spans="2:13" x14ac:dyDescent="0.25">
      <c r="B14" s="8"/>
      <c r="C14" s="22"/>
      <c r="D14" s="55"/>
    </row>
    <row r="15" spans="2:13" x14ac:dyDescent="0.25">
      <c r="B15" s="8"/>
      <c r="C15" s="22"/>
      <c r="D15" s="55"/>
    </row>
    <row r="16" spans="2:13" ht="15.75" x14ac:dyDescent="0.25">
      <c r="B16" s="8" t="s">
        <v>19</v>
      </c>
      <c r="C16" s="23">
        <f>SUM(C11:C15)</f>
        <v>4451131.08</v>
      </c>
      <c r="D16" s="10"/>
    </row>
    <row r="17" spans="2:7" ht="15" customHeight="1" x14ac:dyDescent="0.25">
      <c r="B17" s="17" t="s">
        <v>15</v>
      </c>
      <c r="C17" s="60" t="s">
        <v>36</v>
      </c>
      <c r="D17" s="26" t="s">
        <v>21</v>
      </c>
      <c r="F17" s="74"/>
      <c r="G17" s="74"/>
    </row>
    <row r="18" spans="2:7" x14ac:dyDescent="0.25">
      <c r="B18" s="8" t="str">
        <f>Data!A3</f>
        <v>Adventist Health Portland</v>
      </c>
      <c r="C18" s="24">
        <f>Data!Q3</f>
        <v>6.7922744136167011E-4</v>
      </c>
      <c r="D18" s="27">
        <f>IF(C18&lt;-0.02,0.75,IF(C18&lt;0,0.8,IF(C18&lt;0.03,0.9,IF(C18&lt;0.06,1,1.05))))</f>
        <v>0.9</v>
      </c>
    </row>
    <row r="19" spans="2:7" x14ac:dyDescent="0.25">
      <c r="B19" s="8"/>
      <c r="C19" s="24"/>
      <c r="D19" s="27"/>
    </row>
    <row r="20" spans="2:7" x14ac:dyDescent="0.25">
      <c r="B20" s="8"/>
      <c r="C20" s="24"/>
      <c r="D20" s="27"/>
    </row>
    <row r="21" spans="2:7" x14ac:dyDescent="0.25">
      <c r="B21" s="8"/>
      <c r="C21" s="24"/>
      <c r="D21" s="27"/>
    </row>
    <row r="22" spans="2:7" x14ac:dyDescent="0.25">
      <c r="B22" s="8"/>
      <c r="C22" s="24"/>
      <c r="D22" s="27"/>
    </row>
    <row r="23" spans="2:7" ht="15.75" x14ac:dyDescent="0.25">
      <c r="B23" s="28" t="s">
        <v>22</v>
      </c>
      <c r="C23" s="25" t="s">
        <v>37</v>
      </c>
      <c r="D23" s="29"/>
    </row>
    <row r="24" spans="2:7" ht="15.75" x14ac:dyDescent="0.25">
      <c r="B24" s="8" t="str">
        <f>Data!A3</f>
        <v>Adventist Health Portland</v>
      </c>
      <c r="C24" s="23">
        <f>C11*D18</f>
        <v>4006017.9720000001</v>
      </c>
      <c r="D24" s="11"/>
    </row>
    <row r="25" spans="2:7" ht="15.75" x14ac:dyDescent="0.25">
      <c r="B25" s="8"/>
      <c r="C25" s="23"/>
      <c r="D25" s="9"/>
    </row>
    <row r="26" spans="2:7" ht="15.75" x14ac:dyDescent="0.25">
      <c r="B26" s="8"/>
      <c r="C26" s="23"/>
      <c r="D26" s="9"/>
    </row>
    <row r="27" spans="2:7" ht="15.75" x14ac:dyDescent="0.25">
      <c r="B27" s="8"/>
      <c r="C27" s="23"/>
      <c r="D27" s="9"/>
    </row>
    <row r="28" spans="2:7" ht="15.75" x14ac:dyDescent="0.25">
      <c r="B28" s="8"/>
      <c r="C28" s="23"/>
      <c r="D28" s="9"/>
    </row>
    <row r="29" spans="2:7" ht="16.5" thickBot="1" x14ac:dyDescent="0.3">
      <c r="B29" s="31" t="s">
        <v>20</v>
      </c>
      <c r="C29" s="32">
        <f>SUM(C24:C28)</f>
        <v>4006017.9720000001</v>
      </c>
      <c r="D29" s="20"/>
    </row>
    <row r="30" spans="2:7" ht="16.5" thickBot="1" x14ac:dyDescent="0.3">
      <c r="B30" s="33" t="s">
        <v>11</v>
      </c>
      <c r="C30" s="34">
        <f>C9+C29</f>
        <v>24547394.638666667</v>
      </c>
      <c r="D30" s="12"/>
    </row>
    <row r="32" spans="2:7" x14ac:dyDescent="0.25">
      <c r="B32" s="13"/>
    </row>
  </sheetData>
  <mergeCells count="3">
    <mergeCell ref="B2:C2"/>
    <mergeCell ref="F17:G17"/>
    <mergeCell ref="F2:M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>https://www.oregon.gov/oha/HPA/ANALYTICS/HospitalDocuments/FY22-23%20MSF%20Calculation%20Adventist%20Health%20Portland.xlsx</Url>
      <Description>FY22-23 MSF Calculation Adventist Health Portland.xlsx</Description>
    </URL>
    <Meta_x0020_Keywords xmlns="10bab1ba-c75a-4166-8cdc-bbc3bb77138e" xsi:nil="true"/>
    <Meta_x0020_Description xmlns="10bab1ba-c75a-4166-8cdc-bbc3bb77138e" xsi:nil="true"/>
    <Hospital xmlns="10bab1ba-c75a-4166-8cdc-bbc3bb77138e">Adventist Health Portland</Hospital>
    <DocumentType xmlns="10bab1ba-c75a-4166-8cdc-bbc3bb77138e">MSF Calculation</Document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142F0E1969F140B56534D9CB82977F" ma:contentTypeVersion="18" ma:contentTypeDescription="Create a new document." ma:contentTypeScope="" ma:versionID="cee60a230065906e9cb3d4f12e29f2b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10bab1ba-c75a-4166-8cdc-bbc3bb77138e" targetNamespace="http://schemas.microsoft.com/office/2006/metadata/properties" ma:root="true" ma:fieldsID="9bbb6f419a230ca1193cc7cae8466f68" ns1:_="" ns2:_="" ns3:_="">
    <xsd:import namespace="http://schemas.microsoft.com/sharepoint/v3"/>
    <xsd:import namespace="59da1016-2a1b-4f8a-9768-d7a4932f6f16"/>
    <xsd:import namespace="10bab1ba-c75a-4166-8cdc-bbc3bb77138e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URL" minOccurs="0"/>
                <xsd:element ref="ns3:Hospital" minOccurs="0"/>
                <xsd:element ref="ns3:DocumentTyp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8" nillable="true" ma:displayName="URL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b1ba-c75a-4166-8cdc-bbc3bb77138e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  <xsd:element name="Hospital" ma:index="16" nillable="true" ma:displayName="Hospital" ma:format="Dropdown" ma:internalName="Hospital">
      <xsd:simpleType>
        <xsd:restriction base="dms:Choice">
          <xsd:enumeration value="Adventist Health Columbia Gorge"/>
          <xsd:enumeration value="Adventist Health Portland"/>
          <xsd:enumeration value="Adventist Health Tillamook"/>
          <xsd:enumeration value="Asante Ashland Community Hospital"/>
          <xsd:enumeration value="Asante Rogue Regional Medical Center"/>
          <xsd:enumeration value="Asante Three Rivers Medical Center"/>
          <xsd:enumeration value="Bay Area Hospital"/>
          <xsd:enumeration value="Blue Mountain Hospital"/>
          <xsd:enumeration value="Columbia Memorial Hospital"/>
          <xsd:enumeration value="Coquille Valley Hospital"/>
          <xsd:enumeration value="Curry General Hospital"/>
          <xsd:enumeration value="Good Samaritan Regional Medical Center"/>
          <xsd:enumeration value="Good Shepherd Medical Center"/>
          <xsd:enumeration value="Grande Ronde Hospital"/>
          <xsd:enumeration value="Harney District Hospital"/>
          <xsd:enumeration value="Hillsboro Medical Center"/>
          <xsd:enumeration value="Kaiser Sunnyside Medical Center"/>
          <xsd:enumeration value="Kaiser Westside Medical Center"/>
          <xsd:enumeration value="Lake District Hospital"/>
          <xsd:enumeration value="Legacy Emanuel Medical Center"/>
          <xsd:enumeration value="Legacy Good Samaritan Medical Center"/>
          <xsd:enumeration value="Legacy Meridian Park Medical Center"/>
          <xsd:enumeration value="Legacy Mount Hood Medical Center"/>
          <xsd:enumeration value="Legacy Silverton Medical Center"/>
          <xsd:enumeration value="Lower Umpqua Hospital"/>
          <xsd:enumeration value="McKenzie-Willamette Medical Center"/>
          <xsd:enumeration value="Mercy Medical Center"/>
          <xsd:enumeration value="OHSU Hospital"/>
          <xsd:enumeration value="PeaceHealth Cottage Grove Community Medical Center"/>
          <xsd:enumeration value="PeaceHealth Peace Harbor Medical Center"/>
          <xsd:enumeration value="PeaceHealth Sacred Heart Medical Center at RiverBend"/>
          <xsd:enumeration value="PeaceHealth Sacred Heart Medical Center University District"/>
          <xsd:enumeration value="Pioneer Memorial Hospital"/>
          <xsd:enumeration value="Providence Hood River Memorial Hospital"/>
          <xsd:enumeration value="Providence Medford Medical Center"/>
          <xsd:enumeration value="Providence Milwaukie Hospital"/>
          <xsd:enumeration value="Providence Newberg Medical Center"/>
          <xsd:enumeration value="Providence Portland Medical Center"/>
          <xsd:enumeration value="Providence Seaside Hospital"/>
          <xsd:enumeration value="Providence St Vincent Medical Center"/>
          <xsd:enumeration value="Providence Willamette Falls Medical Center"/>
          <xsd:enumeration value="Saint Alphonsus Medical Center - Baker City"/>
          <xsd:enumeration value="Saint Alphonsus Medical Center - Ontario"/>
          <xsd:enumeration value="Salem Health"/>
          <xsd:enumeration value="Salem Health West Valley"/>
          <xsd:enumeration value="Samaritan Albany General Hospital"/>
          <xsd:enumeration value="Samaritan Lebanon Community Hospital"/>
          <xsd:enumeration value="Samaritan North Lincoln Hospital"/>
          <xsd:enumeration value="Samaritan Pacific Communities Hospital"/>
          <xsd:enumeration value="Santiam Memorial Hospital"/>
          <xsd:enumeration value="Shriners Hospital for Children"/>
          <xsd:enumeration value="Sky Lakes Medical Center"/>
          <xsd:enumeration value="Southern Coos Hospital &amp; Health Center"/>
          <xsd:enumeration value="St. Anthony Hospital"/>
          <xsd:enumeration value="St. Charles Medical Center - Bend"/>
          <xsd:enumeration value="St. Charles Medical Center - Madras"/>
          <xsd:enumeration value="St. Charles Medical Center - Prineville"/>
          <xsd:enumeration value="St. Charles Medical Center - Redmond"/>
          <xsd:enumeration value="Wallowa Memorial Hospital"/>
          <xsd:enumeration value="Willamette Valley Medical Center"/>
        </xsd:restriction>
      </xsd:simpleType>
    </xsd:element>
    <xsd:element name="DocumentType" ma:index="17" nillable="true" ma:displayName="Document Type" ma:format="Dropdown" ma:internalName="DocumentType">
      <xsd:simpleType>
        <xsd:restriction base="dms:Choice">
          <xsd:enumeration value="CBR-1 Form"/>
          <xsd:enumeration value="CBR-3 Form"/>
          <xsd:enumeration value="Notification of Minimum Spending Floor"/>
          <xsd:enumeration value="FR-3 Form"/>
          <xsd:enumeration value="Audited Financial Statement"/>
          <xsd:enumeration value="CHNA-CHIP"/>
          <xsd:enumeration value="CPR-1 Form"/>
          <xsd:enumeration value="Public Comment"/>
          <xsd:enumeration value="HFAR Form"/>
          <xsd:enumeration value="HFCR Form"/>
          <xsd:enumeration value="Capital Expenditures"/>
          <xsd:enumeration value="MSF Calculation"/>
          <xsd:enumeration value="Financial Assistance Policy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DD25CA-D8B8-4855-810D-58202E254A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CDA03F5-938B-4913-BB38-27AD37789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3725FC-8015-455A-821D-6851C2D99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Calculation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FY22-23 MSF Calculation Adventist Health Portland.xlsx</dc:title>
  <dc:creator>Chris Holland</dc:creator>
  <cp:lastModifiedBy>Chris Holland</cp:lastModifiedBy>
  <dcterms:created xsi:type="dcterms:W3CDTF">2021-01-08T22:48:27Z</dcterms:created>
  <dcterms:modified xsi:type="dcterms:W3CDTF">2021-10-29T20:30:51Z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0x0101005E142F0E1969F140B56534D9CB82977F</vt:lpwstr>
  </property>
  <property fmtid="{D5CDD505-2E9C-101B-9397-08002B2CF9AE}" pid="3" name="WorkflowChangePath">
    <vt:lpwstr>cc355e29-d0b2-4625-b17b-e81e368dee1c,6;cc355e29-d0b2-4625-b17b-e81e368dee1c,8;</vt:lpwstr>
  </property>
</Properties>
</file>