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30 Providence Health System\"/>
    </mc:Choice>
  </mc:AlternateContent>
  <xr:revisionPtr revIDLastSave="0" documentId="8_{5BF0508D-4623-4373-BB3E-2DF721801773}" xr6:coauthVersionLast="46" xr6:coauthVersionMax="46" xr10:uidLastSave="{00000000-0000-0000-0000-000000000000}"/>
  <workbookProtection lockStructure="1"/>
  <bookViews>
    <workbookView xWindow="-120" yWindow="-120" windowWidth="29040" windowHeight="1584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C14" i="1"/>
  <c r="S14" i="1"/>
  <c r="C54" i="2"/>
  <c r="C53" i="2"/>
  <c r="C27" i="2"/>
  <c r="C28" i="2" s="1"/>
  <c r="V14" i="1"/>
  <c r="R14" i="1"/>
  <c r="T14" i="1"/>
  <c r="C42" i="2"/>
  <c r="Z13" i="1"/>
  <c r="K14" i="2" s="1"/>
  <c r="K13" i="2"/>
  <c r="J12" i="2"/>
  <c r="J13" i="2"/>
  <c r="J14" i="2"/>
  <c r="I12" i="2"/>
  <c r="I13" i="2"/>
  <c r="I14" i="2"/>
  <c r="H12" i="2"/>
  <c r="H13" i="2"/>
  <c r="H14" i="2"/>
  <c r="G12" i="2"/>
  <c r="G13" i="2"/>
  <c r="G14" i="2"/>
  <c r="F12" i="2"/>
  <c r="F13" i="2"/>
  <c r="F14" i="2"/>
  <c r="F11" i="2"/>
  <c r="G11" i="2"/>
  <c r="H11" i="2"/>
  <c r="I11" i="2"/>
  <c r="J11" i="2"/>
  <c r="K11" i="2"/>
  <c r="L11" i="2"/>
  <c r="M11" i="2" s="1"/>
  <c r="B50" i="2"/>
  <c r="B51" i="2"/>
  <c r="B52" i="2"/>
  <c r="C38" i="2"/>
  <c r="D38" i="2" s="1"/>
  <c r="C39" i="2"/>
  <c r="D39" i="2" s="1"/>
  <c r="C40" i="2"/>
  <c r="D40" i="2" s="1"/>
  <c r="B38" i="2"/>
  <c r="B39" i="2"/>
  <c r="B40" i="2"/>
  <c r="D25" i="2"/>
  <c r="C25" i="2" s="1"/>
  <c r="C50" i="2" s="1"/>
  <c r="D26" i="2"/>
  <c r="C26" i="2" s="1"/>
  <c r="C51" i="2" s="1"/>
  <c r="D27" i="2"/>
  <c r="C52" i="2" s="1"/>
  <c r="B25" i="2"/>
  <c r="B26" i="2"/>
  <c r="B27" i="2"/>
  <c r="B14" i="2"/>
  <c r="B12" i="2"/>
  <c r="B13" i="2"/>
  <c r="O13" i="1"/>
  <c r="P13" i="1"/>
  <c r="Q13" i="1" s="1"/>
  <c r="O12" i="1"/>
  <c r="Q12" i="1" s="1"/>
  <c r="P12" i="1"/>
  <c r="Q11" i="1"/>
  <c r="O11" i="1"/>
  <c r="P11" i="1"/>
  <c r="N13" i="1"/>
  <c r="N12" i="1"/>
  <c r="N11" i="1"/>
  <c r="U13" i="1"/>
  <c r="C14" i="2" s="1"/>
  <c r="U12" i="1"/>
  <c r="C13" i="2" s="1"/>
  <c r="U11" i="1"/>
  <c r="C12" i="2" s="1"/>
  <c r="Y13" i="1"/>
  <c r="Y12" i="1"/>
  <c r="Z12" i="1"/>
  <c r="Y11" i="1"/>
  <c r="Z11" i="1"/>
  <c r="X13" i="1"/>
  <c r="X12" i="1"/>
  <c r="X11" i="1"/>
  <c r="W13" i="1"/>
  <c r="W12" i="1"/>
  <c r="W11" i="1"/>
  <c r="V12" i="1"/>
  <c r="V11" i="1"/>
  <c r="L14" i="2" l="1"/>
  <c r="C15" i="2"/>
  <c r="L13" i="2"/>
  <c r="M13" i="2" s="1"/>
  <c r="U14" i="1"/>
  <c r="M14" i="2"/>
  <c r="L12" i="2"/>
  <c r="M12" i="2" s="1"/>
  <c r="F5" i="2"/>
  <c r="F6" i="2"/>
  <c r="F7" i="2"/>
  <c r="F8" i="2"/>
  <c r="F9" i="2"/>
  <c r="F10" i="2"/>
  <c r="B43" i="2"/>
  <c r="B44" i="2"/>
  <c r="B45" i="2"/>
  <c r="B46" i="2"/>
  <c r="B47" i="2"/>
  <c r="B48" i="2"/>
  <c r="B49" i="2"/>
  <c r="B31" i="2"/>
  <c r="B32" i="2"/>
  <c r="B33" i="2"/>
  <c r="B34" i="2"/>
  <c r="B35" i="2"/>
  <c r="B36" i="2"/>
  <c r="B37" i="2"/>
  <c r="D18" i="2"/>
  <c r="C18" i="2" s="1"/>
  <c r="D19" i="2"/>
  <c r="C19" i="2" s="1"/>
  <c r="D20" i="2"/>
  <c r="C20" i="2" s="1"/>
  <c r="D21" i="2"/>
  <c r="C21" i="2" s="1"/>
  <c r="D22" i="2"/>
  <c r="C22" i="2" s="1"/>
  <c r="D23" i="2"/>
  <c r="C23" i="2" s="1"/>
  <c r="D24" i="2"/>
  <c r="C24" i="2" s="1"/>
  <c r="B24" i="2"/>
  <c r="B18" i="2"/>
  <c r="B19" i="2"/>
  <c r="B20" i="2"/>
  <c r="B21" i="2"/>
  <c r="B22" i="2"/>
  <c r="B23" i="2"/>
  <c r="B11" i="2"/>
  <c r="B5" i="2"/>
  <c r="B6" i="2"/>
  <c r="B7" i="2"/>
  <c r="B8" i="2"/>
  <c r="B9" i="2"/>
  <c r="B10" i="2"/>
  <c r="Y10" i="1"/>
  <c r="X10" i="1"/>
  <c r="W10" i="1"/>
  <c r="V10" i="1"/>
  <c r="Y9" i="1"/>
  <c r="J10" i="2" s="1"/>
  <c r="X9" i="1"/>
  <c r="I10" i="2" s="1"/>
  <c r="W9" i="1"/>
  <c r="H10" i="2" s="1"/>
  <c r="V9" i="1"/>
  <c r="Y8" i="1"/>
  <c r="J9" i="2" s="1"/>
  <c r="X8" i="1"/>
  <c r="I9" i="2" s="1"/>
  <c r="W8" i="1"/>
  <c r="H9" i="2" s="1"/>
  <c r="V8" i="1"/>
  <c r="Y7" i="1"/>
  <c r="J8" i="2" s="1"/>
  <c r="X7" i="1"/>
  <c r="I8" i="2" s="1"/>
  <c r="W7" i="1"/>
  <c r="H8" i="2" s="1"/>
  <c r="V7" i="1"/>
  <c r="Z7" i="1" s="1"/>
  <c r="K8" i="2" s="1"/>
  <c r="Y6" i="1"/>
  <c r="J7" i="2" s="1"/>
  <c r="X6" i="1"/>
  <c r="I7" i="2" s="1"/>
  <c r="W6" i="1"/>
  <c r="H7" i="2" s="1"/>
  <c r="V6" i="1"/>
  <c r="Z6" i="1" s="1"/>
  <c r="K7" i="2" s="1"/>
  <c r="Y5" i="1"/>
  <c r="J6" i="2" s="1"/>
  <c r="X5" i="1"/>
  <c r="I6" i="2" s="1"/>
  <c r="W5" i="1"/>
  <c r="H6" i="2" s="1"/>
  <c r="V5" i="1"/>
  <c r="Z5" i="1" s="1"/>
  <c r="K6" i="2" s="1"/>
  <c r="Y4" i="1"/>
  <c r="J5" i="2" s="1"/>
  <c r="X4" i="1"/>
  <c r="I5" i="2" s="1"/>
  <c r="W4" i="1"/>
  <c r="H5" i="2" s="1"/>
  <c r="V4" i="1"/>
  <c r="Z4" i="1" s="1"/>
  <c r="K5" i="2" s="1"/>
  <c r="Y3" i="1"/>
  <c r="X3" i="1"/>
  <c r="W3" i="1"/>
  <c r="V3" i="1"/>
  <c r="Z3" i="1" s="1"/>
  <c r="K4" i="2" s="1"/>
  <c r="U4" i="1"/>
  <c r="C5" i="2" s="1"/>
  <c r="U5" i="1"/>
  <c r="C6" i="2" s="1"/>
  <c r="U6" i="1"/>
  <c r="C7" i="2" s="1"/>
  <c r="U7" i="1"/>
  <c r="C8" i="2" s="1"/>
  <c r="U8" i="1"/>
  <c r="C9" i="2" s="1"/>
  <c r="U9" i="1"/>
  <c r="C10" i="2" s="1"/>
  <c r="U10" i="1"/>
  <c r="C11" i="2" s="1"/>
  <c r="U3" i="1"/>
  <c r="Q4" i="1"/>
  <c r="C31" i="2" s="1"/>
  <c r="D31" i="2" s="1"/>
  <c r="Q5" i="1"/>
  <c r="C32" i="2" s="1"/>
  <c r="D32" i="2" s="1"/>
  <c r="Q6" i="1"/>
  <c r="C33" i="2" s="1"/>
  <c r="D33" i="2" s="1"/>
  <c r="Q7" i="1"/>
  <c r="C34" i="2" s="1"/>
  <c r="D34" i="2" s="1"/>
  <c r="Q8" i="1"/>
  <c r="C35" i="2" s="1"/>
  <c r="D35" i="2" s="1"/>
  <c r="Q9" i="1"/>
  <c r="C36" i="2" s="1"/>
  <c r="D36" i="2" s="1"/>
  <c r="Q10" i="1"/>
  <c r="C37" i="2" s="1"/>
  <c r="D37" i="2" s="1"/>
  <c r="Q3" i="1"/>
  <c r="Z8" i="1" l="1"/>
  <c r="K9" i="2" s="1"/>
  <c r="Z9" i="1"/>
  <c r="K10" i="2" s="1"/>
  <c r="Z10" i="1"/>
  <c r="G8" i="2"/>
  <c r="C48" i="2"/>
  <c r="L10" i="2" s="1"/>
  <c r="C44" i="2"/>
  <c r="G7" i="2"/>
  <c r="G10" i="2"/>
  <c r="G6" i="2"/>
  <c r="G9" i="2"/>
  <c r="G5" i="2"/>
  <c r="C47" i="2"/>
  <c r="L9" i="2" s="1"/>
  <c r="M9" i="2" s="1"/>
  <c r="C43" i="2"/>
  <c r="L5" i="2" s="1"/>
  <c r="M5" i="2" s="1"/>
  <c r="L6" i="2"/>
  <c r="M6" i="2" s="1"/>
  <c r="C45" i="2"/>
  <c r="L7" i="2" s="1"/>
  <c r="M7" i="2" s="1"/>
  <c r="C49" i="2"/>
  <c r="C46" i="2"/>
  <c r="L8" i="2" s="1"/>
  <c r="M8" i="2" s="1"/>
  <c r="H4" i="2"/>
  <c r="I4" i="2"/>
  <c r="J4" i="2"/>
  <c r="G4" i="2"/>
  <c r="F4" i="2"/>
  <c r="B42" i="2"/>
  <c r="B30" i="2"/>
  <c r="B17" i="2"/>
  <c r="B4" i="2"/>
  <c r="C4" i="2"/>
  <c r="M10" i="2" l="1"/>
  <c r="G15" i="2" s="1"/>
  <c r="D17" i="2"/>
  <c r="C17" i="2" s="1"/>
  <c r="C30" i="2" l="1"/>
  <c r="D30" i="2" s="1"/>
  <c r="X14" i="1"/>
  <c r="L4" i="2" l="1"/>
  <c r="M4" i="2" s="1"/>
  <c r="W14" i="1"/>
  <c r="N14" i="1"/>
  <c r="Y14" i="1"/>
  <c r="P14" i="1"/>
  <c r="O14" i="1"/>
  <c r="Z14" i="1" l="1"/>
  <c r="Q14" i="1"/>
</calcChain>
</file>

<file path=xl/sharedStrings.xml><?xml version="1.0" encoding="utf-8"?>
<sst xmlns="http://schemas.openxmlformats.org/spreadsheetml/2006/main" count="80" uniqueCount="53">
  <si>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</si>
  <si>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</si>
  <si>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</si>
  <si>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</si>
  <si>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</si>
  <si>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</si>
  <si>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</si>
  <si>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</si>
  <si>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</si>
  <si>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</si>
  <si>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</si>
  <si>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</si>
  <si>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</si>
  <si>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</si>
  <si>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</si>
  <si>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</si>
  <si>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</si>
  <si>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</si>
  <si>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</si>
  <si>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</si>
  <si>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</si>
  <si>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</si>
  <si>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</si>
  <si>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</si>
  <si>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</si>
  <si>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</si>
  <si>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</si>
  <si>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</si>
  <si>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</si>
  <si>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</si>
  <si>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</si>
  <si>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</si>
  <si>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</si>
  <si>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</si>
  <si>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</si>
  <si>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</si>
  <si>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</si>
  <si>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</si>
  <si>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4-Year Average*</t>
  </si>
  <si>
    <t>* 4-year average is capped at +/- 10%</t>
  </si>
  <si>
    <t>Providence Hood River Memorial Hospital</t>
  </si>
  <si>
    <t>Providence Medford Medical Center</t>
  </si>
  <si>
    <t>Providence Milwaukie Hospital</t>
  </si>
  <si>
    <t>Providence Newberg Medical Center</t>
  </si>
  <si>
    <t>Providence Portland Medical Center</t>
  </si>
  <si>
    <t>Providence Seaside Hospital</t>
  </si>
  <si>
    <t>Providence St. Vincent Medical Center</t>
  </si>
  <si>
    <t>Providence Willamette Falls Medical Center</t>
  </si>
  <si>
    <t>Type B</t>
  </si>
  <si>
    <t>DRG</t>
  </si>
  <si>
    <t>PMG - North - 610</t>
  </si>
  <si>
    <t>PMG - South - 611</t>
  </si>
  <si>
    <t>Clinical Programs - 612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</si>
</sst>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Fill="1" applyBorder="1"/>
    <xf numFmtId="164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8" xfId="0" applyFont="1" applyBorder="1"/>
    <xf numFmtId="165" fontId="0" fillId="0" borderId="19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164" fontId="5" fillId="3" borderId="2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46</xdr:row>
      <xdr:rowOff>28575</xdr:rowOff>
    </xdr:from>
    <xdr:to>
      <xdr:col>7</xdr:col>
      <xdr:colOff>1086750</xdr:colOff>
      <xdr:row>51</xdr:row>
      <xdr:rowOff>47771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workbookViewId="0">
      <selection activeCell="G28" sqref="G2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7" t="s">
        <v>0</v>
      </c>
      <c r="B1" s="45"/>
      <c r="C1" s="72" t="s">
        <v>1</v>
      </c>
      <c r="D1" s="73"/>
      <c r="E1" s="73"/>
      <c r="F1" s="73"/>
      <c r="G1" s="74"/>
      <c r="H1" s="66" t="s">
        <v>2</v>
      </c>
      <c r="I1" s="66"/>
      <c r="J1" s="66"/>
      <c r="K1" s="66" t="s">
        <v>3</v>
      </c>
      <c r="L1" s="66"/>
      <c r="M1" s="66"/>
      <c r="N1" s="69" t="s">
        <v>14</v>
      </c>
      <c r="O1" s="70"/>
      <c r="P1" s="71"/>
      <c r="Q1" s="1"/>
      <c r="R1" s="66" t="s">
        <v>10</v>
      </c>
      <c r="S1" s="66"/>
      <c r="T1" s="66"/>
      <c r="U1" s="44"/>
      <c r="V1" s="66" t="s">
        <v>34</v>
      </c>
      <c r="W1" s="66"/>
      <c r="X1" s="66"/>
      <c r="Y1" s="66"/>
      <c r="Z1" s="66"/>
    </row>
    <row r="2" spans="1:26" x14ac:dyDescent="0.25">
      <c r="A2" s="68"/>
      <c r="B2" s="43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44" t="s">
        <v>33</v>
      </c>
      <c r="V2" s="48" t="s">
        <v>24</v>
      </c>
      <c r="W2" s="49" t="s">
        <v>25</v>
      </c>
      <c r="X2" s="49" t="s">
        <v>26</v>
      </c>
      <c r="Y2" s="49" t="s">
        <v>27</v>
      </c>
      <c r="Z2" s="49" t="s">
        <v>28</v>
      </c>
    </row>
    <row r="3" spans="1:26" x14ac:dyDescent="0.25">
      <c r="A3" t="s">
        <v>40</v>
      </c>
      <c r="B3" s="46" t="s">
        <v>48</v>
      </c>
      <c r="C3" s="3">
        <v>83184345</v>
      </c>
      <c r="D3" s="3">
        <v>86483474</v>
      </c>
      <c r="E3" s="3">
        <v>95225524</v>
      </c>
      <c r="F3" s="3">
        <v>100026613</v>
      </c>
      <c r="G3" s="3">
        <v>94354193</v>
      </c>
      <c r="H3" s="3">
        <v>97544206</v>
      </c>
      <c r="I3" s="3">
        <v>102884570</v>
      </c>
      <c r="J3" s="3">
        <v>106815633</v>
      </c>
      <c r="K3" s="3">
        <v>102260878</v>
      </c>
      <c r="L3" s="3">
        <v>104832151</v>
      </c>
      <c r="M3" s="3">
        <v>100181989</v>
      </c>
      <c r="N3" s="6">
        <v>-4.8354199530826057E-2</v>
      </c>
      <c r="O3" s="6">
        <v>-1.8929757883033384E-2</v>
      </c>
      <c r="P3" s="6">
        <v>6.210369038397217E-2</v>
      </c>
      <c r="Q3" s="6">
        <f t="shared" ref="Q3:Q13" si="0">AVERAGE(N3:P3)</f>
        <v>-1.7267556766290895E-3</v>
      </c>
      <c r="R3" s="3">
        <v>5419391.4989173384</v>
      </c>
      <c r="S3" s="3">
        <v>5184900</v>
      </c>
      <c r="T3" s="3">
        <v>5091417</v>
      </c>
      <c r="U3" s="3">
        <f t="shared" ref="U3:U13" si="1">AVERAGE(R3:T3)</f>
        <v>5231902.8329724455</v>
      </c>
      <c r="V3" s="6">
        <f t="shared" ref="V3:V12" si="2">(D3-C3)/C3</f>
        <v>3.966045534168719E-2</v>
      </c>
      <c r="W3" s="6">
        <f t="shared" ref="W3:W13" si="3">(E3-D3)/D3</f>
        <v>0.10108347405193274</v>
      </c>
      <c r="X3" s="6">
        <f t="shared" ref="X3:X13" si="4">(F3-E3)/E3</f>
        <v>5.0418089586989304E-2</v>
      </c>
      <c r="Y3" s="6">
        <f t="shared" ref="Y3:Y13" si="5">(G3-F3)/F3</f>
        <v>-5.6709108005086606E-2</v>
      </c>
      <c r="Z3" s="50">
        <f t="shared" ref="Z3:Z13" si="6">AVERAGE(V3:Y3)</f>
        <v>3.3613227743880661E-2</v>
      </c>
    </row>
    <row r="4" spans="1:26" x14ac:dyDescent="0.25">
      <c r="A4" t="s">
        <v>41</v>
      </c>
      <c r="B4" s="46" t="s">
        <v>49</v>
      </c>
      <c r="C4" s="3">
        <v>189125931</v>
      </c>
      <c r="D4" s="3">
        <v>206246968</v>
      </c>
      <c r="E4" s="3">
        <v>207588219</v>
      </c>
      <c r="F4" s="3">
        <v>221876688</v>
      </c>
      <c r="G4" s="3">
        <v>196143147</v>
      </c>
      <c r="H4" s="3">
        <v>211930677</v>
      </c>
      <c r="I4" s="3">
        <v>226507612</v>
      </c>
      <c r="J4" s="3">
        <v>215269027</v>
      </c>
      <c r="K4" s="3">
        <v>259672311</v>
      </c>
      <c r="L4" s="3">
        <v>239010856</v>
      </c>
      <c r="M4" s="3">
        <v>221907507</v>
      </c>
      <c r="N4" s="6">
        <v>-0.22527004903589298</v>
      </c>
      <c r="O4" s="6">
        <v>-5.520010515143306E-2</v>
      </c>
      <c r="P4" s="6">
        <v>-3.0838068497424851E-2</v>
      </c>
      <c r="Q4" s="6">
        <f t="shared" si="0"/>
        <v>-0.10376940756158363</v>
      </c>
      <c r="R4" s="3">
        <v>29861309.537020378</v>
      </c>
      <c r="S4" s="3">
        <v>24548227</v>
      </c>
      <c r="T4" s="3">
        <v>22494183</v>
      </c>
      <c r="U4" s="3">
        <f t="shared" si="1"/>
        <v>25634573.179006796</v>
      </c>
      <c r="V4" s="6">
        <f t="shared" si="2"/>
        <v>9.0527178951468057E-2</v>
      </c>
      <c r="W4" s="6">
        <f t="shared" si="3"/>
        <v>6.5031307514784899E-3</v>
      </c>
      <c r="X4" s="6">
        <f t="shared" si="4"/>
        <v>6.883082801534128E-2</v>
      </c>
      <c r="Y4" s="6">
        <f t="shared" si="5"/>
        <v>-0.11598127424725214</v>
      </c>
      <c r="Z4" s="50">
        <f t="shared" si="6"/>
        <v>1.2469965867758916E-2</v>
      </c>
    </row>
    <row r="5" spans="1:26" x14ac:dyDescent="0.25">
      <c r="A5" t="s">
        <v>42</v>
      </c>
      <c r="B5" s="46" t="s">
        <v>49</v>
      </c>
      <c r="C5" s="3">
        <v>98743630</v>
      </c>
      <c r="D5" s="3">
        <v>106159895</v>
      </c>
      <c r="E5" s="3">
        <v>113954173</v>
      </c>
      <c r="F5" s="3">
        <v>121341845</v>
      </c>
      <c r="G5" s="3">
        <v>104457652</v>
      </c>
      <c r="H5" s="3">
        <v>115380082</v>
      </c>
      <c r="I5" s="3">
        <v>122351298</v>
      </c>
      <c r="J5" s="3">
        <v>113279521</v>
      </c>
      <c r="K5" s="3">
        <v>121770729</v>
      </c>
      <c r="L5" s="3">
        <v>130482739</v>
      </c>
      <c r="M5" s="3">
        <v>114849878</v>
      </c>
      <c r="N5" s="6">
        <v>-5.5387800816435545E-2</v>
      </c>
      <c r="O5" s="6">
        <v>-6.6459801676971172E-2</v>
      </c>
      <c r="P5" s="6">
        <v>-1.3862699860815971E-2</v>
      </c>
      <c r="Q5" s="6">
        <f t="shared" si="0"/>
        <v>-4.5236767451407561E-2</v>
      </c>
      <c r="R5" s="3">
        <v>11499427.696174838</v>
      </c>
      <c r="S5" s="3">
        <v>14527195</v>
      </c>
      <c r="T5" s="3">
        <v>16772782</v>
      </c>
      <c r="U5" s="3">
        <f t="shared" si="1"/>
        <v>14266468.232058279</v>
      </c>
      <c r="V5" s="6">
        <f t="shared" si="2"/>
        <v>7.5106262550809613E-2</v>
      </c>
      <c r="W5" s="6">
        <f t="shared" si="3"/>
        <v>7.3420174351152098E-2</v>
      </c>
      <c r="X5" s="6">
        <f t="shared" si="4"/>
        <v>6.483020152320354E-2</v>
      </c>
      <c r="Y5" s="6">
        <f t="shared" si="5"/>
        <v>-0.13914567559113675</v>
      </c>
      <c r="Z5" s="50">
        <f t="shared" si="6"/>
        <v>1.8552740708507126E-2</v>
      </c>
    </row>
    <row r="6" spans="1:26" x14ac:dyDescent="0.25">
      <c r="A6" t="s">
        <v>43</v>
      </c>
      <c r="B6" s="46" t="s">
        <v>48</v>
      </c>
      <c r="C6" s="3">
        <v>110941054</v>
      </c>
      <c r="D6" s="3">
        <v>114275285</v>
      </c>
      <c r="E6" s="3">
        <v>123204165</v>
      </c>
      <c r="F6" s="3">
        <v>131351620</v>
      </c>
      <c r="G6" s="3">
        <v>123569597</v>
      </c>
      <c r="H6" s="3">
        <v>124353313</v>
      </c>
      <c r="I6" s="3">
        <v>132483125</v>
      </c>
      <c r="J6" s="3">
        <v>127161615</v>
      </c>
      <c r="K6" s="3">
        <v>114174708</v>
      </c>
      <c r="L6" s="3">
        <v>118573525</v>
      </c>
      <c r="M6" s="3">
        <v>110049550</v>
      </c>
      <c r="N6" s="6">
        <v>8.1852302559884349E-2</v>
      </c>
      <c r="O6" s="6">
        <v>0.10499148476456907</v>
      </c>
      <c r="P6" s="6">
        <v>0.13456942175514208</v>
      </c>
      <c r="Q6" s="6">
        <f t="shared" si="0"/>
        <v>0.10713773635986516</v>
      </c>
      <c r="R6" s="3">
        <v>6856909.3646859108</v>
      </c>
      <c r="S6" s="3">
        <v>8191009</v>
      </c>
      <c r="T6" s="3">
        <v>7218324</v>
      </c>
      <c r="U6" s="3">
        <f t="shared" si="1"/>
        <v>7422080.7882286375</v>
      </c>
      <c r="V6" s="6">
        <f t="shared" si="2"/>
        <v>3.0054077185890087E-2</v>
      </c>
      <c r="W6" s="6">
        <f t="shared" si="3"/>
        <v>7.8134830291606797E-2</v>
      </c>
      <c r="X6" s="6">
        <f t="shared" si="4"/>
        <v>6.6129704300175243E-2</v>
      </c>
      <c r="Y6" s="6">
        <f t="shared" si="5"/>
        <v>-5.9245732941854846E-2</v>
      </c>
      <c r="Z6" s="50">
        <f t="shared" si="6"/>
        <v>2.8768219708954317E-2</v>
      </c>
    </row>
    <row r="7" spans="1:26" x14ac:dyDescent="0.25">
      <c r="A7" t="s">
        <v>44</v>
      </c>
      <c r="B7" s="46" t="s">
        <v>49</v>
      </c>
      <c r="C7" s="3">
        <v>732768296</v>
      </c>
      <c r="D7" s="3">
        <v>757863724</v>
      </c>
      <c r="E7" s="3">
        <v>793830250</v>
      </c>
      <c r="F7" s="3">
        <v>814151100</v>
      </c>
      <c r="G7" s="3">
        <v>805314415</v>
      </c>
      <c r="H7" s="3">
        <v>902855281</v>
      </c>
      <c r="I7" s="3">
        <v>915401667</v>
      </c>
      <c r="J7" s="3">
        <v>967176354</v>
      </c>
      <c r="K7" s="3">
        <v>910990763</v>
      </c>
      <c r="L7" s="3">
        <v>922410847</v>
      </c>
      <c r="M7" s="3">
        <v>913399446</v>
      </c>
      <c r="N7" s="6">
        <v>-9.0108372528863792E-3</v>
      </c>
      <c r="O7" s="6">
        <v>-7.6569447628065113E-3</v>
      </c>
      <c r="P7" s="6">
        <v>5.5601968325209902E-2</v>
      </c>
      <c r="Q7" s="6">
        <f t="shared" si="0"/>
        <v>1.2978062103172337E-2</v>
      </c>
      <c r="R7" s="3">
        <v>72882719.522536695</v>
      </c>
      <c r="S7" s="3">
        <v>72304580</v>
      </c>
      <c r="T7" s="3">
        <v>69210506</v>
      </c>
      <c r="U7" s="3">
        <f t="shared" si="1"/>
        <v>71465935.174178898</v>
      </c>
      <c r="V7" s="6">
        <f t="shared" si="2"/>
        <v>3.4247426010363312E-2</v>
      </c>
      <c r="W7" s="6">
        <f t="shared" si="3"/>
        <v>4.745777487563186E-2</v>
      </c>
      <c r="X7" s="6">
        <f t="shared" si="4"/>
        <v>2.5598482799061892E-2</v>
      </c>
      <c r="Y7" s="6">
        <f t="shared" si="5"/>
        <v>-1.0853863613277682E-2</v>
      </c>
      <c r="Z7" s="50">
        <f t="shared" si="6"/>
        <v>2.4112455017944845E-2</v>
      </c>
    </row>
    <row r="8" spans="1:26" x14ac:dyDescent="0.25">
      <c r="A8" t="s">
        <v>45</v>
      </c>
      <c r="B8" s="46" t="s">
        <v>48</v>
      </c>
      <c r="C8" s="3">
        <v>58624271</v>
      </c>
      <c r="D8" s="3">
        <v>65233203</v>
      </c>
      <c r="E8" s="3">
        <v>63615756</v>
      </c>
      <c r="F8" s="3">
        <v>62877686</v>
      </c>
      <c r="G8" s="3">
        <v>61928313</v>
      </c>
      <c r="H8" s="3">
        <v>66415016</v>
      </c>
      <c r="I8" s="3">
        <v>65869020</v>
      </c>
      <c r="J8" s="3">
        <v>71508335</v>
      </c>
      <c r="K8" s="3">
        <v>75103621</v>
      </c>
      <c r="L8" s="3">
        <v>77514256</v>
      </c>
      <c r="M8" s="3">
        <v>76488991</v>
      </c>
      <c r="N8" s="6">
        <v>-0.13082290005019348</v>
      </c>
      <c r="O8" s="6">
        <v>-0.17679382507892177</v>
      </c>
      <c r="P8" s="6">
        <v>-6.9651404972581168E-2</v>
      </c>
      <c r="Q8" s="6">
        <f t="shared" si="0"/>
        <v>-0.12575604336723215</v>
      </c>
      <c r="R8" s="3">
        <v>2794385.3629369</v>
      </c>
      <c r="S8" s="3">
        <v>6222322</v>
      </c>
      <c r="T8" s="3">
        <v>6164305</v>
      </c>
      <c r="U8" s="3">
        <f t="shared" si="1"/>
        <v>5060337.4543122994</v>
      </c>
      <c r="V8" s="6">
        <f t="shared" si="2"/>
        <v>0.11273371740520235</v>
      </c>
      <c r="W8" s="6">
        <f t="shared" si="3"/>
        <v>-2.4794842589593524E-2</v>
      </c>
      <c r="X8" s="6">
        <f t="shared" si="4"/>
        <v>-1.1601999982520053E-2</v>
      </c>
      <c r="Y8" s="6">
        <f t="shared" si="5"/>
        <v>-1.5098726756579433E-2</v>
      </c>
      <c r="Z8" s="50">
        <f t="shared" si="6"/>
        <v>1.5309537019127337E-2</v>
      </c>
    </row>
    <row r="9" spans="1:26" x14ac:dyDescent="0.25">
      <c r="A9" t="s">
        <v>46</v>
      </c>
      <c r="B9" s="46" t="s">
        <v>49</v>
      </c>
      <c r="C9" s="3">
        <v>861680736</v>
      </c>
      <c r="D9" s="3">
        <v>906433775</v>
      </c>
      <c r="E9" s="3">
        <v>941278933</v>
      </c>
      <c r="F9" s="3">
        <v>996893365</v>
      </c>
      <c r="G9" s="3">
        <v>917217734</v>
      </c>
      <c r="H9" s="3">
        <v>967739780</v>
      </c>
      <c r="I9" s="3">
        <v>1025270087</v>
      </c>
      <c r="J9" s="3">
        <v>996622830</v>
      </c>
      <c r="K9" s="3">
        <v>924686065</v>
      </c>
      <c r="L9" s="3">
        <v>944270068</v>
      </c>
      <c r="M9" s="3">
        <v>878779913</v>
      </c>
      <c r="N9" s="6">
        <v>4.4488937925027741E-2</v>
      </c>
      <c r="O9" s="6">
        <v>7.9003591372699439E-2</v>
      </c>
      <c r="P9" s="6">
        <v>0.118242241149543</v>
      </c>
      <c r="Q9" s="6">
        <f t="shared" si="0"/>
        <v>8.0578256815756727E-2</v>
      </c>
      <c r="R9" s="3">
        <v>75797289.854835331</v>
      </c>
      <c r="S9" s="3">
        <v>80349208</v>
      </c>
      <c r="T9" s="3">
        <v>76647723</v>
      </c>
      <c r="U9" s="3">
        <f t="shared" si="1"/>
        <v>77598073.618278444</v>
      </c>
      <c r="V9" s="6">
        <f t="shared" si="2"/>
        <v>5.1936914834312835E-2</v>
      </c>
      <c r="W9" s="6">
        <f t="shared" si="3"/>
        <v>3.8442034002980525E-2</v>
      </c>
      <c r="X9" s="6">
        <f t="shared" si="4"/>
        <v>5.9083901753487988E-2</v>
      </c>
      <c r="Y9" s="6">
        <f t="shared" si="5"/>
        <v>-7.992392546418442E-2</v>
      </c>
      <c r="Z9" s="50">
        <f t="shared" si="6"/>
        <v>1.7384731281649232E-2</v>
      </c>
    </row>
    <row r="10" spans="1:26" x14ac:dyDescent="0.25">
      <c r="A10" t="s">
        <v>47</v>
      </c>
      <c r="B10" s="46" t="s">
        <v>49</v>
      </c>
      <c r="C10" s="3">
        <v>129973307</v>
      </c>
      <c r="D10" s="3">
        <v>130949877</v>
      </c>
      <c r="E10" s="3">
        <v>137734490</v>
      </c>
      <c r="F10" s="3">
        <v>141990865</v>
      </c>
      <c r="G10" s="3">
        <v>125586898</v>
      </c>
      <c r="H10" s="3">
        <v>140476247</v>
      </c>
      <c r="I10" s="3">
        <v>143919632</v>
      </c>
      <c r="J10" s="3">
        <v>138658356</v>
      </c>
      <c r="K10" s="3">
        <v>141642550</v>
      </c>
      <c r="L10" s="3">
        <v>143340495</v>
      </c>
      <c r="M10" s="3">
        <v>131591258</v>
      </c>
      <c r="N10" s="6">
        <v>-8.3024925915055232E-3</v>
      </c>
      <c r="O10" s="6">
        <v>4.0240305783994781E-3</v>
      </c>
      <c r="P10" s="6">
        <v>5.0967696458192539E-2</v>
      </c>
      <c r="Q10" s="6">
        <f t="shared" si="0"/>
        <v>1.5563078148362164E-2</v>
      </c>
      <c r="R10" s="3">
        <v>16755735.162892632</v>
      </c>
      <c r="S10" s="3">
        <v>17533040</v>
      </c>
      <c r="T10" s="3">
        <v>17425104</v>
      </c>
      <c r="U10" s="3">
        <f t="shared" si="1"/>
        <v>17237959.720964212</v>
      </c>
      <c r="V10" s="6">
        <f t="shared" si="2"/>
        <v>7.5136197003897115E-3</v>
      </c>
      <c r="W10" s="6">
        <f t="shared" si="3"/>
        <v>5.1810762678303243E-2</v>
      </c>
      <c r="X10" s="6">
        <f t="shared" si="4"/>
        <v>3.0902753551416206E-2</v>
      </c>
      <c r="Y10" s="6">
        <f t="shared" si="5"/>
        <v>-0.11552832641733678</v>
      </c>
      <c r="Z10" s="50">
        <f t="shared" si="6"/>
        <v>-6.3252976218069051E-3</v>
      </c>
    </row>
    <row r="11" spans="1:26" x14ac:dyDescent="0.25">
      <c r="A11" t="s">
        <v>50</v>
      </c>
      <c r="B11" s="46" t="s">
        <v>48</v>
      </c>
      <c r="C11" s="3">
        <v>307744217</v>
      </c>
      <c r="D11" s="3">
        <v>198101447</v>
      </c>
      <c r="E11" s="3">
        <v>205583444</v>
      </c>
      <c r="F11" s="3">
        <v>205583444</v>
      </c>
      <c r="G11" s="3">
        <v>187098314</v>
      </c>
      <c r="H11" s="3">
        <v>232019124</v>
      </c>
      <c r="I11" s="3">
        <v>240710015</v>
      </c>
      <c r="J11" s="3">
        <v>249767318</v>
      </c>
      <c r="K11" s="3">
        <v>261631017</v>
      </c>
      <c r="L11" s="3">
        <v>257514169</v>
      </c>
      <c r="M11" s="3">
        <v>270203537</v>
      </c>
      <c r="N11" s="6">
        <f t="shared" ref="N11" si="7">(H11-K11)/H11</f>
        <v>-0.12762694940611879</v>
      </c>
      <c r="O11" s="6">
        <f t="shared" ref="O11:O13" si="8">(I11-L11)/I11</f>
        <v>-6.9810780411442369E-2</v>
      </c>
      <c r="P11" s="6">
        <f t="shared" ref="P11:P13" si="9">(J11-M11)/J11</f>
        <v>-8.1821029122793404E-2</v>
      </c>
      <c r="Q11" s="6">
        <f t="shared" si="0"/>
        <v>-9.3086252980118189E-2</v>
      </c>
      <c r="R11" s="3">
        <v>0</v>
      </c>
      <c r="S11" s="3">
        <v>0</v>
      </c>
      <c r="T11" s="3">
        <v>0</v>
      </c>
      <c r="U11" s="3">
        <f t="shared" si="1"/>
        <v>0</v>
      </c>
      <c r="V11" s="6">
        <f t="shared" si="2"/>
        <v>-0.35627889637971655</v>
      </c>
      <c r="W11" s="6">
        <f t="shared" si="3"/>
        <v>3.7768512614650411E-2</v>
      </c>
      <c r="X11" s="6">
        <f t="shared" si="4"/>
        <v>0</v>
      </c>
      <c r="Y11" s="6">
        <f t="shared" si="5"/>
        <v>-8.9915460313039611E-2</v>
      </c>
      <c r="Z11" s="50">
        <f t="shared" si="6"/>
        <v>-0.10210646101952643</v>
      </c>
    </row>
    <row r="12" spans="1:26" x14ac:dyDescent="0.25">
      <c r="A12" t="s">
        <v>51</v>
      </c>
      <c r="B12" s="46" t="s">
        <v>48</v>
      </c>
      <c r="C12" s="3">
        <v>41249920</v>
      </c>
      <c r="D12" s="3">
        <v>45216491</v>
      </c>
      <c r="E12" s="3">
        <v>46592684</v>
      </c>
      <c r="F12" s="3">
        <v>46592684</v>
      </c>
      <c r="G12" s="3">
        <v>39486108</v>
      </c>
      <c r="H12" s="3">
        <v>49338053</v>
      </c>
      <c r="I12" s="3">
        <v>50753247</v>
      </c>
      <c r="J12" s="3">
        <v>50859751</v>
      </c>
      <c r="K12" s="3">
        <v>72518623</v>
      </c>
      <c r="L12" s="3">
        <v>81962299</v>
      </c>
      <c r="M12" s="3">
        <v>76941215</v>
      </c>
      <c r="N12" s="6">
        <f>(H12-K12)/H12</f>
        <v>-0.46983147065004777</v>
      </c>
      <c r="O12" s="6">
        <f t="shared" si="8"/>
        <v>-0.61491734706155843</v>
      </c>
      <c r="P12" s="6">
        <f t="shared" si="9"/>
        <v>-0.5128114764069529</v>
      </c>
      <c r="Q12" s="6">
        <f t="shared" si="0"/>
        <v>-0.53252009803951972</v>
      </c>
      <c r="R12" s="3">
        <v>0</v>
      </c>
      <c r="S12" s="3">
        <v>0</v>
      </c>
      <c r="T12" s="3">
        <v>0</v>
      </c>
      <c r="U12" s="3">
        <f t="shared" si="1"/>
        <v>0</v>
      </c>
      <c r="V12" s="6">
        <f t="shared" si="2"/>
        <v>9.6159483460816403E-2</v>
      </c>
      <c r="W12" s="6">
        <f t="shared" si="3"/>
        <v>3.0435643491220934E-2</v>
      </c>
      <c r="X12" s="6">
        <f t="shared" si="4"/>
        <v>0</v>
      </c>
      <c r="Y12" s="6">
        <f t="shared" si="5"/>
        <v>-0.152525576762223</v>
      </c>
      <c r="Z12" s="50">
        <f t="shared" si="6"/>
        <v>-6.4826124525464157E-3</v>
      </c>
    </row>
    <row r="13" spans="1:26" x14ac:dyDescent="0.25">
      <c r="A13" t="s">
        <v>52</v>
      </c>
      <c r="B13" s="46" t="s">
        <v>48</v>
      </c>
      <c r="C13" s="3"/>
      <c r="D13" s="3">
        <v>131139084</v>
      </c>
      <c r="E13" s="3">
        <v>145363556</v>
      </c>
      <c r="F13" s="3">
        <v>145363556</v>
      </c>
      <c r="G13" s="3">
        <v>122927699</v>
      </c>
      <c r="H13" s="3">
        <v>145486601</v>
      </c>
      <c r="I13" s="3">
        <v>163171786</v>
      </c>
      <c r="J13" s="3">
        <v>166222411</v>
      </c>
      <c r="K13" s="3">
        <v>208433319</v>
      </c>
      <c r="L13" s="3">
        <v>239963231</v>
      </c>
      <c r="M13" s="3">
        <v>228595989</v>
      </c>
      <c r="N13" s="6">
        <f>(H13-K13)/H13</f>
        <v>-0.43266333509296845</v>
      </c>
      <c r="O13" s="6">
        <f t="shared" si="8"/>
        <v>-0.4706171752020904</v>
      </c>
      <c r="P13" s="6">
        <f t="shared" si="9"/>
        <v>-0.37524168747618514</v>
      </c>
      <c r="Q13" s="6">
        <f t="shared" si="0"/>
        <v>-0.42617406592374801</v>
      </c>
      <c r="R13" s="3">
        <v>0</v>
      </c>
      <c r="S13" s="3">
        <v>0</v>
      </c>
      <c r="T13" s="3">
        <v>0</v>
      </c>
      <c r="U13" s="3">
        <f t="shared" si="1"/>
        <v>0</v>
      </c>
      <c r="V13" s="6"/>
      <c r="W13" s="6">
        <f t="shared" si="3"/>
        <v>0.10846859354302033</v>
      </c>
      <c r="X13" s="6">
        <f t="shared" si="4"/>
        <v>0</v>
      </c>
      <c r="Y13" s="6">
        <f t="shared" si="5"/>
        <v>-0.15434306656614813</v>
      </c>
      <c r="Z13" s="50">
        <f t="shared" si="6"/>
        <v>-1.5291491007709268E-2</v>
      </c>
    </row>
    <row r="14" spans="1:26" x14ac:dyDescent="0.25">
      <c r="A14" s="4" t="s">
        <v>9</v>
      </c>
      <c r="B14" s="4"/>
      <c r="C14" s="3">
        <f t="shared" ref="C14:M14" si="10">SUM(C3:C13)</f>
        <v>2614035707</v>
      </c>
      <c r="D14" s="5">
        <f t="shared" si="10"/>
        <v>2748103223</v>
      </c>
      <c r="E14" s="5">
        <f t="shared" si="10"/>
        <v>2873971194</v>
      </c>
      <c r="F14" s="5">
        <f t="shared" si="10"/>
        <v>2988049466</v>
      </c>
      <c r="G14" s="5">
        <f t="shared" si="10"/>
        <v>2778084070</v>
      </c>
      <c r="H14" s="5">
        <f t="shared" si="10"/>
        <v>3053538380</v>
      </c>
      <c r="I14" s="5">
        <f t="shared" si="10"/>
        <v>3189322059</v>
      </c>
      <c r="J14" s="5">
        <f t="shared" si="10"/>
        <v>3203341151</v>
      </c>
      <c r="K14" s="5">
        <f t="shared" si="10"/>
        <v>3192884584</v>
      </c>
      <c r="L14" s="5">
        <f t="shared" si="10"/>
        <v>3259874636</v>
      </c>
      <c r="M14" s="5">
        <f t="shared" si="10"/>
        <v>3122989273</v>
      </c>
      <c r="N14" s="6">
        <f t="shared" ref="N14" si="11">(H14-K14)/H14</f>
        <v>-4.5634338481771432E-2</v>
      </c>
      <c r="O14" s="6">
        <f t="shared" ref="O14" si="12">(I14-L14)/I14</f>
        <v>-2.2121496573513651E-2</v>
      </c>
      <c r="P14" s="6">
        <f t="shared" ref="P14" si="13">(J14-M14)/J14</f>
        <v>2.5083771666004485E-2</v>
      </c>
      <c r="Q14" s="6">
        <f t="shared" ref="Q14" si="14">AVERAGE(N14:P14)</f>
        <v>-1.4224021129760199E-2</v>
      </c>
      <c r="R14" s="3">
        <f>SUM(R3:R13)</f>
        <v>221867168.00000003</v>
      </c>
      <c r="S14" s="3">
        <f>SUM(S3:S13)</f>
        <v>228860481</v>
      </c>
      <c r="T14" s="3">
        <f>SUM(T3:T13)</f>
        <v>221024344</v>
      </c>
      <c r="U14" s="3">
        <f>AVERAGE(R14:T14)</f>
        <v>223917331</v>
      </c>
      <c r="V14" s="6">
        <f>(D14-C14)/C14</f>
        <v>5.1287561084566315E-2</v>
      </c>
      <c r="W14" s="6">
        <f t="shared" ref="W14" si="15">(E14-D14)/D14</f>
        <v>4.5801762447116055E-2</v>
      </c>
      <c r="X14" s="6">
        <f t="shared" ref="X14" si="16">(F14-E14)/E14</f>
        <v>3.9693603136371589E-2</v>
      </c>
      <c r="Y14" s="6">
        <f t="shared" ref="Y14" si="17">(G14-F14)/F14</f>
        <v>-7.0268380222323942E-2</v>
      </c>
      <c r="Z14" s="50">
        <f>AVERAGE(V14:Y14)</f>
        <v>1.6628636611432508E-2</v>
      </c>
    </row>
    <row r="15" spans="1:26" x14ac:dyDescent="0.25">
      <c r="Q15" s="15"/>
    </row>
  </sheetData>
  <sheetProtection sheet="1" objects="1" scenarios="1"/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:Q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56"/>
  <sheetViews>
    <sheetView showGridLines="0" tabSelected="1" workbookViewId="0">
      <selection activeCell="G21" sqref="G21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4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5" t="s">
        <v>11</v>
      </c>
      <c r="C2" s="76"/>
      <c r="D2" s="7"/>
      <c r="F2" s="78" t="s">
        <v>16</v>
      </c>
      <c r="G2" s="79"/>
      <c r="H2" s="79"/>
      <c r="I2" s="79"/>
      <c r="J2" s="79"/>
      <c r="K2" s="79"/>
      <c r="L2" s="79"/>
      <c r="M2" s="80"/>
    </row>
    <row r="3" spans="2:13" ht="18.75" customHeight="1" x14ac:dyDescent="0.25">
      <c r="B3" s="16" t="s">
        <v>12</v>
      </c>
      <c r="C3" s="13"/>
      <c r="D3" s="9"/>
      <c r="F3" s="32" t="s">
        <v>23</v>
      </c>
      <c r="G3" s="33" t="s">
        <v>24</v>
      </c>
      <c r="H3" s="35" t="s">
        <v>25</v>
      </c>
      <c r="I3" s="35" t="s">
        <v>26</v>
      </c>
      <c r="J3" s="35" t="s">
        <v>27</v>
      </c>
      <c r="K3" s="41" t="s">
        <v>38</v>
      </c>
      <c r="L3" s="41" t="s">
        <v>29</v>
      </c>
      <c r="M3" s="42" t="s">
        <v>30</v>
      </c>
    </row>
    <row r="4" spans="2:13" x14ac:dyDescent="0.25">
      <c r="B4" s="8" t="str">
        <f>Data!A3</f>
        <v>Providence Hood River Memorial Hospital</v>
      </c>
      <c r="C4" s="20">
        <f>Data!U3</f>
        <v>5231902.8329724455</v>
      </c>
      <c r="D4" s="19"/>
      <c r="F4" s="8" t="str">
        <f>Data!A3</f>
        <v>Providence Hood River Memorial Hospital</v>
      </c>
      <c r="G4" s="36">
        <f>Data!V3</f>
        <v>3.966045534168719E-2</v>
      </c>
      <c r="H4" s="36">
        <f>Data!W3</f>
        <v>0.10108347405193274</v>
      </c>
      <c r="I4" s="36">
        <f>Data!X3</f>
        <v>5.0418089586989304E-2</v>
      </c>
      <c r="J4" s="36">
        <f>Data!Y3</f>
        <v>-5.6709108005086606E-2</v>
      </c>
      <c r="K4" s="36">
        <f>IF(Data!Z3 &lt; 0.1, Data!Z3, 0.1)</f>
        <v>3.3613227743880661E-2</v>
      </c>
      <c r="L4" s="52">
        <f t="shared" ref="L4:L11" si="0">(C4+C42)</f>
        <v>5986736.3769724453</v>
      </c>
      <c r="M4" s="53">
        <f>L4+(L4*K4)</f>
        <v>6187969.9102541953</v>
      </c>
    </row>
    <row r="5" spans="2:13" x14ac:dyDescent="0.25">
      <c r="B5" s="8" t="str">
        <f>Data!A4</f>
        <v>Providence Medford Medical Center</v>
      </c>
      <c r="C5" s="20">
        <f>Data!U4</f>
        <v>25634573.179006796</v>
      </c>
      <c r="D5" s="19"/>
      <c r="F5" s="8" t="str">
        <f>Data!A4</f>
        <v>Providence Medford Medical Center</v>
      </c>
      <c r="G5" s="36">
        <f>Data!V4</f>
        <v>9.0527178951468057E-2</v>
      </c>
      <c r="H5" s="36">
        <f>Data!W4</f>
        <v>6.5031307514784899E-3</v>
      </c>
      <c r="I5" s="36">
        <f>Data!X4</f>
        <v>6.883082801534128E-2</v>
      </c>
      <c r="J5" s="36">
        <f>Data!Y4</f>
        <v>-0.11598127424725214</v>
      </c>
      <c r="K5" s="36">
        <f>IF(Data!Z4 &lt; 0.1, Data!Z4, 0.1)</f>
        <v>1.2469965867758916E-2</v>
      </c>
      <c r="L5" s="52">
        <f t="shared" si="0"/>
        <v>27841183.582756795</v>
      </c>
      <c r="M5" s="53">
        <f t="shared" ref="M5:M9" si="1">L5+(L5*K5)</f>
        <v>28188362.191751782</v>
      </c>
    </row>
    <row r="6" spans="2:13" x14ac:dyDescent="0.25">
      <c r="B6" s="8" t="str">
        <f>Data!A5</f>
        <v>Providence Milwaukie Hospital</v>
      </c>
      <c r="C6" s="20">
        <f>Data!U5</f>
        <v>14266468.232058279</v>
      </c>
      <c r="D6" s="19"/>
      <c r="F6" s="8" t="str">
        <f>Data!A5</f>
        <v>Providence Milwaukie Hospital</v>
      </c>
      <c r="G6" s="36">
        <f>Data!V5</f>
        <v>7.5106262550809613E-2</v>
      </c>
      <c r="H6" s="36">
        <f>Data!W5</f>
        <v>7.3420174351152098E-2</v>
      </c>
      <c r="I6" s="36">
        <f>Data!X5</f>
        <v>6.483020152320354E-2</v>
      </c>
      <c r="J6" s="36">
        <f>Data!Y5</f>
        <v>-0.13914567559113675</v>
      </c>
      <c r="K6" s="36">
        <f>IF(Data!Z5 &lt; 0.1, Data!Z5, 0.1)</f>
        <v>1.8552740708507126E-2</v>
      </c>
      <c r="L6" s="52">
        <f t="shared" si="0"/>
        <v>15441616.81705828</v>
      </c>
      <c r="M6" s="53">
        <f t="shared" si="1"/>
        <v>15728101.129985286</v>
      </c>
    </row>
    <row r="7" spans="2:13" x14ac:dyDescent="0.25">
      <c r="B7" s="8" t="str">
        <f>Data!A6</f>
        <v>Providence Newberg Medical Center</v>
      </c>
      <c r="C7" s="20">
        <f>Data!U6</f>
        <v>7422080.7882286375</v>
      </c>
      <c r="D7" s="19"/>
      <c r="F7" s="8" t="str">
        <f>Data!A6</f>
        <v>Providence Newberg Medical Center</v>
      </c>
      <c r="G7" s="36">
        <f>Data!V6</f>
        <v>3.0054077185890087E-2</v>
      </c>
      <c r="H7" s="36">
        <f>Data!W6</f>
        <v>7.8134830291606797E-2</v>
      </c>
      <c r="I7" s="36">
        <f>Data!X6</f>
        <v>6.6129704300175243E-2</v>
      </c>
      <c r="J7" s="36">
        <f>Data!Y6</f>
        <v>-5.9245732941854846E-2</v>
      </c>
      <c r="K7" s="36">
        <f>IF(Data!Z6 &lt; 0.1, Data!Z6, 0.1)</f>
        <v>2.8768219708954317E-2</v>
      </c>
      <c r="L7" s="52">
        <f t="shared" si="0"/>
        <v>8719561.5567286368</v>
      </c>
      <c r="M7" s="53">
        <f t="shared" si="1"/>
        <v>8970407.8193583582</v>
      </c>
    </row>
    <row r="8" spans="2:13" x14ac:dyDescent="0.25">
      <c r="B8" s="8" t="str">
        <f>Data!A7</f>
        <v>Providence Portland Medical Center</v>
      </c>
      <c r="C8" s="20">
        <f>Data!U7</f>
        <v>71465935.174178898</v>
      </c>
      <c r="D8" s="19"/>
      <c r="F8" s="8" t="str">
        <f>Data!A7</f>
        <v>Providence Portland Medical Center</v>
      </c>
      <c r="G8" s="36">
        <f>Data!V7</f>
        <v>3.4247426010363312E-2</v>
      </c>
      <c r="H8" s="36">
        <f>Data!W7</f>
        <v>4.745777487563186E-2</v>
      </c>
      <c r="I8" s="36">
        <f>Data!X7</f>
        <v>2.5598482799061892E-2</v>
      </c>
      <c r="J8" s="36">
        <f>Data!Y7</f>
        <v>-1.0853863613277682E-2</v>
      </c>
      <c r="K8" s="36">
        <f>IF(Data!Z7 &lt; 0.1, Data!Z7, 0.1)</f>
        <v>2.4112455017944845E-2</v>
      </c>
      <c r="L8" s="52">
        <f t="shared" si="0"/>
        <v>82337679.77667889</v>
      </c>
      <c r="M8" s="53">
        <f t="shared" si="1"/>
        <v>84323043.376576006</v>
      </c>
    </row>
    <row r="9" spans="2:13" x14ac:dyDescent="0.25">
      <c r="B9" s="8" t="str">
        <f>Data!A8</f>
        <v>Providence Seaside Hospital</v>
      </c>
      <c r="C9" s="20">
        <f>Data!U8</f>
        <v>5060337.4543122994</v>
      </c>
      <c r="D9" s="19"/>
      <c r="F9" s="8" t="str">
        <f>Data!A8</f>
        <v>Providence Seaside Hospital</v>
      </c>
      <c r="G9" s="36">
        <f>Data!V8</f>
        <v>0.11273371740520235</v>
      </c>
      <c r="H9" s="36">
        <f>Data!W8</f>
        <v>-2.4794842589593524E-2</v>
      </c>
      <c r="I9" s="36">
        <f>Data!X8</f>
        <v>-1.1601999982520053E-2</v>
      </c>
      <c r="J9" s="36">
        <f>Data!Y8</f>
        <v>-1.5098726756579433E-2</v>
      </c>
      <c r="K9" s="36">
        <f>IF(Data!Z8 &lt; 0.1, Data!Z8, 0.1)</f>
        <v>1.5309537019127337E-2</v>
      </c>
      <c r="L9" s="52">
        <f t="shared" si="0"/>
        <v>5524799.8018122995</v>
      </c>
      <c r="M9" s="53">
        <f t="shared" si="1"/>
        <v>5609381.9289014125</v>
      </c>
    </row>
    <row r="10" spans="2:13" x14ac:dyDescent="0.25">
      <c r="B10" s="8" t="str">
        <f>Data!A9</f>
        <v>Providence St. Vincent Medical Center</v>
      </c>
      <c r="C10" s="20">
        <f>Data!U9</f>
        <v>77598073.618278444</v>
      </c>
      <c r="D10" s="19"/>
      <c r="F10" s="8" t="str">
        <f>Data!A9</f>
        <v>Providence St. Vincent Medical Center</v>
      </c>
      <c r="G10" s="36">
        <f>Data!V9</f>
        <v>5.1936914834312835E-2</v>
      </c>
      <c r="H10" s="36">
        <f>Data!W9</f>
        <v>3.8442034002980525E-2</v>
      </c>
      <c r="I10" s="36">
        <f>Data!X9</f>
        <v>5.9083901753487988E-2</v>
      </c>
      <c r="J10" s="36">
        <f>Data!Y9</f>
        <v>-7.992392546418442E-2</v>
      </c>
      <c r="K10" s="36">
        <f>IF(Data!Z9 &lt; 0.1, Data!Z9, 0.1)</f>
        <v>1.7384731281649232E-2</v>
      </c>
      <c r="L10" s="52">
        <f t="shared" si="0"/>
        <v>92044252.92877844</v>
      </c>
      <c r="M10" s="53">
        <f>L10+(L10*K10)</f>
        <v>93644417.531965405</v>
      </c>
    </row>
    <row r="11" spans="2:13" x14ac:dyDescent="0.25">
      <c r="B11" s="8" t="str">
        <f>Data!A10</f>
        <v>Providence Willamette Falls Medical Center</v>
      </c>
      <c r="C11" s="20">
        <f>Data!U10</f>
        <v>17237959.720964212</v>
      </c>
      <c r="D11" s="19"/>
      <c r="F11" s="8" t="str">
        <f>Data!A10</f>
        <v>Providence Willamette Falls Medical Center</v>
      </c>
      <c r="G11" s="55">
        <f>Data!V10</f>
        <v>7.5136197003897115E-3</v>
      </c>
      <c r="H11" s="55">
        <f>Data!W10</f>
        <v>5.1810762678303243E-2</v>
      </c>
      <c r="I11" s="55">
        <f>Data!X10</f>
        <v>3.0902753551416206E-2</v>
      </c>
      <c r="J11" s="55">
        <f>Data!Y10</f>
        <v>-0.11552832641733678</v>
      </c>
      <c r="K11" s="55">
        <f>IF(Data!Z10 &lt; 0.1, Data!Z10, 0.1)</f>
        <v>-6.3252976218069051E-3</v>
      </c>
      <c r="L11" s="52">
        <f t="shared" si="0"/>
        <v>18933382.843964212</v>
      </c>
      <c r="M11" s="53">
        <f>L11+(L11*K11)</f>
        <v>18813623.562488526</v>
      </c>
    </row>
    <row r="12" spans="2:13" x14ac:dyDescent="0.25">
      <c r="B12" s="8" t="str">
        <f>Data!A11</f>
        <v>PMG - North - 610</v>
      </c>
      <c r="C12" s="20">
        <f>Data!U11</f>
        <v>0</v>
      </c>
      <c r="D12" s="19"/>
      <c r="F12" s="8" t="str">
        <f>Data!A11</f>
        <v>PMG - North - 610</v>
      </c>
      <c r="G12" s="55">
        <f>Data!V11</f>
        <v>-0.35627889637971655</v>
      </c>
      <c r="H12" s="55">
        <f>Data!W11</f>
        <v>3.7768512614650411E-2</v>
      </c>
      <c r="I12" s="55">
        <f>Data!X11</f>
        <v>0</v>
      </c>
      <c r="J12" s="55">
        <f>Data!Y11</f>
        <v>-8.9915460313039611E-2</v>
      </c>
      <c r="K12" s="55">
        <v>-0.1</v>
      </c>
      <c r="L12" s="52">
        <f t="shared" ref="L12:L14" si="2">(C12+C50)</f>
        <v>1403237.355</v>
      </c>
      <c r="M12" s="53">
        <f t="shared" ref="M12:M14" si="3">L12+(L12*K12)</f>
        <v>1262913.6195</v>
      </c>
    </row>
    <row r="13" spans="2:13" x14ac:dyDescent="0.25">
      <c r="B13" s="8" t="str">
        <f>Data!A12</f>
        <v>PMG - South - 611</v>
      </c>
      <c r="C13" s="20">
        <f>Data!U12</f>
        <v>0</v>
      </c>
      <c r="D13" s="19"/>
      <c r="F13" s="8" t="str">
        <f>Data!A12</f>
        <v>PMG - South - 611</v>
      </c>
      <c r="G13" s="55">
        <f>Data!V12</f>
        <v>9.6159483460816403E-2</v>
      </c>
      <c r="H13" s="55">
        <f>Data!W12</f>
        <v>3.0435643491220934E-2</v>
      </c>
      <c r="I13" s="55">
        <f>Data!X12</f>
        <v>0</v>
      </c>
      <c r="J13" s="55">
        <f>Data!Y12</f>
        <v>-0.152525576762223</v>
      </c>
      <c r="K13" s="55">
        <f>IF(Data!Z12 &lt; 0.1, Data!Z12, 0.1)</f>
        <v>-6.4826124525464157E-3</v>
      </c>
      <c r="L13" s="52">
        <f t="shared" si="2"/>
        <v>296145.81</v>
      </c>
      <c r="M13" s="53">
        <f t="shared" si="3"/>
        <v>294226.01148432452</v>
      </c>
    </row>
    <row r="14" spans="2:13" ht="15.75" thickBot="1" x14ac:dyDescent="0.3">
      <c r="B14" s="8" t="str">
        <f>Data!A13</f>
        <v>Clinical Programs - 612</v>
      </c>
      <c r="C14" s="20">
        <f>Data!U13</f>
        <v>0</v>
      </c>
      <c r="D14" s="19"/>
      <c r="F14" s="39" t="str">
        <f>Data!A13</f>
        <v>Clinical Programs - 612</v>
      </c>
      <c r="G14" s="56">
        <f>Data!V13</f>
        <v>0</v>
      </c>
      <c r="H14" s="56">
        <f>Data!W13</f>
        <v>0.10846859354302033</v>
      </c>
      <c r="I14" s="56">
        <f>Data!X13</f>
        <v>0</v>
      </c>
      <c r="J14" s="56">
        <f>Data!Y13</f>
        <v>-0.15434306656614813</v>
      </c>
      <c r="K14" s="56">
        <f>IF(Data!Z13 &lt; 0.1, Data!Z13, 0.1)</f>
        <v>-1.5291491007709268E-2</v>
      </c>
      <c r="L14" s="57">
        <f t="shared" si="2"/>
        <v>921957.74249999993</v>
      </c>
      <c r="M14" s="58">
        <f t="shared" si="3"/>
        <v>907859.6339710732</v>
      </c>
    </row>
    <row r="15" spans="2:13" ht="16.5" thickBot="1" x14ac:dyDescent="0.3">
      <c r="B15" s="14" t="s">
        <v>18</v>
      </c>
      <c r="C15" s="27">
        <f>SUM(C4:C14)</f>
        <v>223917331.00000003</v>
      </c>
      <c r="D15" s="17"/>
      <c r="F15" s="54" t="s">
        <v>16</v>
      </c>
      <c r="G15" s="65">
        <f>SUM(M4:M14)</f>
        <v>263930306.71623635</v>
      </c>
      <c r="H15"/>
      <c r="I15"/>
      <c r="J15"/>
    </row>
    <row r="16" spans="2:13" ht="15.75" x14ac:dyDescent="0.25">
      <c r="B16" s="59" t="s">
        <v>13</v>
      </c>
      <c r="C16" s="60" t="s">
        <v>35</v>
      </c>
      <c r="D16" s="61" t="s">
        <v>32</v>
      </c>
      <c r="F16" s="51" t="s">
        <v>39</v>
      </c>
      <c r="G16" s="37"/>
      <c r="H16" s="38"/>
      <c r="I16" s="38"/>
      <c r="J16" s="38"/>
    </row>
    <row r="17" spans="2:7" x14ac:dyDescent="0.25">
      <c r="B17" s="8" t="str">
        <f>Data!A3</f>
        <v>Providence Hood River Memorial Hospital</v>
      </c>
      <c r="C17" s="20">
        <f>Data!G3*D17</f>
        <v>943541.93</v>
      </c>
      <c r="D17" s="47">
        <f>IF(Data!B3="DRG",0.015,0.01)</f>
        <v>0.01</v>
      </c>
    </row>
    <row r="18" spans="2:7" x14ac:dyDescent="0.25">
      <c r="B18" s="8" t="str">
        <f>Data!A4</f>
        <v>Providence Medford Medical Center</v>
      </c>
      <c r="C18" s="20">
        <f>Data!G4*D18</f>
        <v>2942147.2050000001</v>
      </c>
      <c r="D18" s="47">
        <f>IF(Data!B4="DRG",0.015,0.01)</f>
        <v>1.4999999999999999E-2</v>
      </c>
    </row>
    <row r="19" spans="2:7" x14ac:dyDescent="0.25">
      <c r="B19" s="8" t="str">
        <f>Data!A5</f>
        <v>Providence Milwaukie Hospital</v>
      </c>
      <c r="C19" s="20">
        <f>Data!G5*D19</f>
        <v>1566864.78</v>
      </c>
      <c r="D19" s="47">
        <f>IF(Data!B5="DRG",0.015,0.01)</f>
        <v>1.4999999999999999E-2</v>
      </c>
    </row>
    <row r="20" spans="2:7" x14ac:dyDescent="0.25">
      <c r="B20" s="8" t="str">
        <f>Data!A6</f>
        <v>Providence Newberg Medical Center</v>
      </c>
      <c r="C20" s="20">
        <f>Data!G6*D20</f>
        <v>1235695.97</v>
      </c>
      <c r="D20" s="47">
        <f>IF(Data!B6="DRG",0.015,0.01)</f>
        <v>0.01</v>
      </c>
    </row>
    <row r="21" spans="2:7" x14ac:dyDescent="0.25">
      <c r="B21" s="8" t="str">
        <f>Data!A7</f>
        <v>Providence Portland Medical Center</v>
      </c>
      <c r="C21" s="20">
        <f>Data!G7*D21</f>
        <v>12079716.225</v>
      </c>
      <c r="D21" s="47">
        <f>IF(Data!B7="DRG",0.015,0.01)</f>
        <v>1.4999999999999999E-2</v>
      </c>
    </row>
    <row r="22" spans="2:7" x14ac:dyDescent="0.25">
      <c r="B22" s="8" t="str">
        <f>Data!A8</f>
        <v>Providence Seaside Hospital</v>
      </c>
      <c r="C22" s="20">
        <f>Data!G8*D22</f>
        <v>619283.13</v>
      </c>
      <c r="D22" s="47">
        <f>IF(Data!B8="DRG",0.015,0.01)</f>
        <v>0.01</v>
      </c>
    </row>
    <row r="23" spans="2:7" x14ac:dyDescent="0.25">
      <c r="B23" s="8" t="str">
        <f>Data!A9</f>
        <v>Providence St. Vincent Medical Center</v>
      </c>
      <c r="C23" s="20">
        <f>Data!G9*D23</f>
        <v>13758266.01</v>
      </c>
      <c r="D23" s="47">
        <f>IF(Data!B9="DRG",0.015,0.01)</f>
        <v>1.4999999999999999E-2</v>
      </c>
    </row>
    <row r="24" spans="2:7" x14ac:dyDescent="0.25">
      <c r="B24" s="8" t="str">
        <f>Data!A10</f>
        <v>Providence Willamette Falls Medical Center</v>
      </c>
      <c r="C24" s="20">
        <f>Data!G10*D24</f>
        <v>1883803.47</v>
      </c>
      <c r="D24" s="47">
        <f>IF(Data!B10="DRG",0.015,0.01)</f>
        <v>1.4999999999999999E-2</v>
      </c>
    </row>
    <row r="25" spans="2:7" x14ac:dyDescent="0.25">
      <c r="B25" s="8" t="str">
        <f>Data!A11</f>
        <v>PMG - North - 610</v>
      </c>
      <c r="C25" s="20">
        <f>Data!G11*D25</f>
        <v>1870983.1400000001</v>
      </c>
      <c r="D25" s="47">
        <f>IF(Data!B11="DRG",0.015,0.01)</f>
        <v>0.01</v>
      </c>
    </row>
    <row r="26" spans="2:7" x14ac:dyDescent="0.25">
      <c r="B26" s="8" t="str">
        <f>Data!A12</f>
        <v>PMG - South - 611</v>
      </c>
      <c r="C26" s="20">
        <f>Data!G12*D26</f>
        <v>394861.08</v>
      </c>
      <c r="D26" s="47">
        <f>IF(Data!B12="DRG",0.015,0.01)</f>
        <v>0.01</v>
      </c>
    </row>
    <row r="27" spans="2:7" x14ac:dyDescent="0.25">
      <c r="B27" s="8" t="str">
        <f>Data!A13</f>
        <v>Clinical Programs - 612</v>
      </c>
      <c r="C27" s="20">
        <f>Data!G13*D27</f>
        <v>1229276.99</v>
      </c>
      <c r="D27" s="47">
        <f>IF(Data!B13="DRG",0.015,0.01)</f>
        <v>0.01</v>
      </c>
    </row>
    <row r="28" spans="2:7" ht="16.5" thickBot="1" x14ac:dyDescent="0.3">
      <c r="B28" s="14" t="s">
        <v>19</v>
      </c>
      <c r="C28" s="27">
        <f>SUM(C17:C27)</f>
        <v>38524439.93</v>
      </c>
      <c r="D28" s="62"/>
    </row>
    <row r="29" spans="2:7" ht="15" customHeight="1" x14ac:dyDescent="0.25">
      <c r="B29" s="59" t="s">
        <v>15</v>
      </c>
      <c r="C29" s="60" t="s">
        <v>36</v>
      </c>
      <c r="D29" s="63" t="s">
        <v>21</v>
      </c>
      <c r="F29" s="77"/>
      <c r="G29" s="77"/>
    </row>
    <row r="30" spans="2:7" x14ac:dyDescent="0.25">
      <c r="B30" s="8" t="str">
        <f>Data!A3</f>
        <v>Providence Hood River Memorial Hospital</v>
      </c>
      <c r="C30" s="22">
        <f>Data!Q3</f>
        <v>-1.7267556766290895E-3</v>
      </c>
      <c r="D30" s="24">
        <f>IF(C30&lt;-0.02,0.75,IF(C30&lt;0,0.8,IF(C30&lt;0.03,0.9,IF(C30&lt;0.06,1,1.05))))</f>
        <v>0.8</v>
      </c>
    </row>
    <row r="31" spans="2:7" x14ac:dyDescent="0.25">
      <c r="B31" s="8" t="str">
        <f>Data!A4</f>
        <v>Providence Medford Medical Center</v>
      </c>
      <c r="C31" s="22">
        <f>Data!Q4</f>
        <v>-0.10376940756158363</v>
      </c>
      <c r="D31" s="24">
        <f t="shared" ref="D31:D40" si="4">IF(C31&lt;-0.02,0.75,IF(C31&lt;0,0.8,IF(C31&lt;0.03,0.9,IF(C31&lt;0.06,1,1.05))))</f>
        <v>0.75</v>
      </c>
    </row>
    <row r="32" spans="2:7" x14ac:dyDescent="0.25">
      <c r="B32" s="8" t="str">
        <f>Data!A5</f>
        <v>Providence Milwaukie Hospital</v>
      </c>
      <c r="C32" s="22">
        <f>Data!Q5</f>
        <v>-4.5236767451407561E-2</v>
      </c>
      <c r="D32" s="24">
        <f t="shared" si="4"/>
        <v>0.75</v>
      </c>
    </row>
    <row r="33" spans="2:4" x14ac:dyDescent="0.25">
      <c r="B33" s="8" t="str">
        <f>Data!A6</f>
        <v>Providence Newberg Medical Center</v>
      </c>
      <c r="C33" s="22">
        <f>Data!Q6</f>
        <v>0.10713773635986516</v>
      </c>
      <c r="D33" s="24">
        <f t="shared" si="4"/>
        <v>1.05</v>
      </c>
    </row>
    <row r="34" spans="2:4" x14ac:dyDescent="0.25">
      <c r="B34" s="8" t="str">
        <f>Data!A7</f>
        <v>Providence Portland Medical Center</v>
      </c>
      <c r="C34" s="22">
        <f>Data!Q7</f>
        <v>1.2978062103172337E-2</v>
      </c>
      <c r="D34" s="24">
        <f t="shared" si="4"/>
        <v>0.9</v>
      </c>
    </row>
    <row r="35" spans="2:4" x14ac:dyDescent="0.25">
      <c r="B35" s="8" t="str">
        <f>Data!A8</f>
        <v>Providence Seaside Hospital</v>
      </c>
      <c r="C35" s="22">
        <f>Data!Q8</f>
        <v>-0.12575604336723215</v>
      </c>
      <c r="D35" s="24">
        <f t="shared" si="4"/>
        <v>0.75</v>
      </c>
    </row>
    <row r="36" spans="2:4" x14ac:dyDescent="0.25">
      <c r="B36" s="8" t="str">
        <f>Data!A9</f>
        <v>Providence St. Vincent Medical Center</v>
      </c>
      <c r="C36" s="22">
        <f>Data!Q9</f>
        <v>8.0578256815756727E-2</v>
      </c>
      <c r="D36" s="24">
        <f t="shared" si="4"/>
        <v>1.05</v>
      </c>
    </row>
    <row r="37" spans="2:4" x14ac:dyDescent="0.25">
      <c r="B37" s="8" t="str">
        <f>Data!A10</f>
        <v>Providence Willamette Falls Medical Center</v>
      </c>
      <c r="C37" s="22">
        <f>Data!Q10</f>
        <v>1.5563078148362164E-2</v>
      </c>
      <c r="D37" s="24">
        <f t="shared" si="4"/>
        <v>0.9</v>
      </c>
    </row>
    <row r="38" spans="2:4" x14ac:dyDescent="0.25">
      <c r="B38" s="8" t="str">
        <f>Data!A11</f>
        <v>PMG - North - 610</v>
      </c>
      <c r="C38" s="22">
        <f>Data!Q11</f>
        <v>-9.3086252980118189E-2</v>
      </c>
      <c r="D38" s="24">
        <f t="shared" si="4"/>
        <v>0.75</v>
      </c>
    </row>
    <row r="39" spans="2:4" x14ac:dyDescent="0.25">
      <c r="B39" s="8" t="str">
        <f>Data!A12</f>
        <v>PMG - South - 611</v>
      </c>
      <c r="C39" s="22">
        <f>Data!Q12</f>
        <v>-0.53252009803951972</v>
      </c>
      <c r="D39" s="24">
        <f t="shared" si="4"/>
        <v>0.75</v>
      </c>
    </row>
    <row r="40" spans="2:4" ht="15.75" thickBot="1" x14ac:dyDescent="0.3">
      <c r="B40" s="39" t="str">
        <f>Data!A13</f>
        <v>Clinical Programs - 612</v>
      </c>
      <c r="C40" s="40">
        <f>Data!Q13</f>
        <v>-0.42617406592374801</v>
      </c>
      <c r="D40" s="64">
        <f t="shared" si="4"/>
        <v>0.75</v>
      </c>
    </row>
    <row r="41" spans="2:4" ht="15.75" x14ac:dyDescent="0.25">
      <c r="B41" s="25" t="s">
        <v>22</v>
      </c>
      <c r="C41" s="23" t="s">
        <v>37</v>
      </c>
      <c r="D41" s="26"/>
    </row>
    <row r="42" spans="2:4" ht="15.75" x14ac:dyDescent="0.25">
      <c r="B42" s="8" t="str">
        <f>Data!A3</f>
        <v>Providence Hood River Memorial Hospital</v>
      </c>
      <c r="C42" s="21">
        <f t="shared" ref="C42:C49" si="5">C17*D30</f>
        <v>754833.54400000011</v>
      </c>
      <c r="D42" s="10"/>
    </row>
    <row r="43" spans="2:4" ht="15.75" x14ac:dyDescent="0.25">
      <c r="B43" s="8" t="str">
        <f>Data!A4</f>
        <v>Providence Medford Medical Center</v>
      </c>
      <c r="C43" s="21">
        <f t="shared" si="5"/>
        <v>2206610.4037500001</v>
      </c>
      <c r="D43" s="9"/>
    </row>
    <row r="44" spans="2:4" ht="15.75" x14ac:dyDescent="0.25">
      <c r="B44" s="8" t="str">
        <f>Data!A5</f>
        <v>Providence Milwaukie Hospital</v>
      </c>
      <c r="C44" s="21">
        <f t="shared" si="5"/>
        <v>1175148.585</v>
      </c>
      <c r="D44" s="9"/>
    </row>
    <row r="45" spans="2:4" ht="15.75" x14ac:dyDescent="0.25">
      <c r="B45" s="8" t="str">
        <f>Data!A6</f>
        <v>Providence Newberg Medical Center</v>
      </c>
      <c r="C45" s="21">
        <f t="shared" si="5"/>
        <v>1297480.7685</v>
      </c>
      <c r="D45" s="9"/>
    </row>
    <row r="46" spans="2:4" ht="15.75" x14ac:dyDescent="0.25">
      <c r="B46" s="8" t="str">
        <f>Data!A7</f>
        <v>Providence Portland Medical Center</v>
      </c>
      <c r="C46" s="21">
        <f t="shared" si="5"/>
        <v>10871744.602499999</v>
      </c>
      <c r="D46" s="9"/>
    </row>
    <row r="47" spans="2:4" ht="15.75" x14ac:dyDescent="0.25">
      <c r="B47" s="8" t="str">
        <f>Data!A8</f>
        <v>Providence Seaside Hospital</v>
      </c>
      <c r="C47" s="21">
        <f t="shared" si="5"/>
        <v>464462.34750000003</v>
      </c>
      <c r="D47" s="9"/>
    </row>
    <row r="48" spans="2:4" ht="18" customHeight="1" x14ac:dyDescent="0.25">
      <c r="B48" s="8" t="str">
        <f>Data!A9</f>
        <v>Providence St. Vincent Medical Center</v>
      </c>
      <c r="C48" s="21">
        <f t="shared" si="5"/>
        <v>14446179.3105</v>
      </c>
      <c r="D48" s="9"/>
    </row>
    <row r="49" spans="2:4" ht="15.75" x14ac:dyDescent="0.25">
      <c r="B49" s="8" t="str">
        <f>Data!A10</f>
        <v>Providence Willamette Falls Medical Center</v>
      </c>
      <c r="C49" s="21">
        <f t="shared" si="5"/>
        <v>1695423.1229999999</v>
      </c>
      <c r="D49" s="9"/>
    </row>
    <row r="50" spans="2:4" ht="15.75" x14ac:dyDescent="0.25">
      <c r="B50" s="8" t="str">
        <f>Data!A11</f>
        <v>PMG - North - 610</v>
      </c>
      <c r="C50" s="21">
        <f t="shared" ref="C50:C51" si="6">C25*D38</f>
        <v>1403237.355</v>
      </c>
      <c r="D50" s="9"/>
    </row>
    <row r="51" spans="2:4" ht="15.75" x14ac:dyDescent="0.25">
      <c r="B51" s="8" t="str">
        <f>Data!A12</f>
        <v>PMG - South - 611</v>
      </c>
      <c r="C51" s="21">
        <f t="shared" si="6"/>
        <v>296145.81</v>
      </c>
      <c r="D51" s="9"/>
    </row>
    <row r="52" spans="2:4" ht="15.75" x14ac:dyDescent="0.25">
      <c r="B52" s="8" t="str">
        <f>Data!A13</f>
        <v>Clinical Programs - 612</v>
      </c>
      <c r="C52" s="21">
        <f>C27*D40</f>
        <v>921957.74249999993</v>
      </c>
      <c r="D52" s="9"/>
    </row>
    <row r="53" spans="2:4" ht="16.5" thickBot="1" x14ac:dyDescent="0.3">
      <c r="B53" s="28" t="s">
        <v>20</v>
      </c>
      <c r="C53" s="29">
        <f>SUM(C42:C52)</f>
        <v>35533223.592249997</v>
      </c>
      <c r="D53" s="18"/>
    </row>
    <row r="54" spans="2:4" ht="16.5" thickBot="1" x14ac:dyDescent="0.3">
      <c r="B54" s="30" t="s">
        <v>11</v>
      </c>
      <c r="C54" s="31">
        <f>C15+C53</f>
        <v>259450554.59225002</v>
      </c>
      <c r="D54" s="11"/>
    </row>
    <row r="56" spans="2:4" x14ac:dyDescent="0.25">
      <c r="B56" s="12"/>
    </row>
  </sheetData>
  <sheetProtection sheet="1" objects="1" scenarios="1"/>
  <mergeCells count="3">
    <mergeCell ref="B2:C2"/>
    <mergeCell ref="F29:G29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https://www.oregon.gov/oha/HPA/ANALYTICS/HospitalDocuments/FY22-23%20MSF%20Calculation%20Providence%20Health%20System%20Providence%20Portland%20Med%20Ctr.xlsx</Url>
      <Description>FY22-23 MSF Calculation Providence Health System Providence Portland Med Ctr.xlsx</Description>
    </URL>
    <Meta_x0020_Keywords xmlns="10bab1ba-c75a-4166-8cdc-bbc3bb77138e" xsi:nil="true"/>
    <Meta_x0020_Description xmlns="10bab1ba-c75a-4166-8cdc-bbc3bb77138e" xsi:nil="true"/>
    <Hospital xmlns="10bab1ba-c75a-4166-8cdc-bbc3bb77138e">Providence Portland Medical Center</Hospital>
    <DocumentType xmlns="10bab1ba-c75a-4166-8cdc-bbc3bb77138e">MSF Calculation</DocumentType>
  </documentManagement>
</p:properties>
</file>

<file path=customXml/itemProps1.xml><?xml version="1.0" encoding="utf-8"?>
<ds:datastoreItem xmlns:ds="http://schemas.openxmlformats.org/officeDocument/2006/customXml" ds:itemID="{4A6F6A27-511A-434E-AEF7-13631A6F1393}"/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Providence Health System Providence Portland Med Ctr.xlsx</dc:title>
  <dc:creator>Chris Holland</dc:creator>
  <cp:lastModifiedBy>Clark Cypress</cp:lastModifiedBy>
  <dcterms:created xsi:type="dcterms:W3CDTF">2021-01-08T22:48:27Z</dcterms:created>
  <dcterms:modified xsi:type="dcterms:W3CDTF">2021-12-29T19:52:35Z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