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33 Samaritan North Lincoln Hospital\"/>
    </mc:Choice>
  </mc:AlternateContent>
  <xr:revisionPtr revIDLastSave="0" documentId="13_ncr:1_{5727CCBB-C258-4FB9-82BD-0682566BA33E}" xr6:coauthVersionLast="46" xr6:coauthVersionMax="46" xr10:uidLastSave="{00000000-0000-0000-0000-000000000000}"/>
  <workbookProtection lockStructure="1"/>
  <bookViews>
    <workbookView xWindow="-120" yWindow="480" windowWidth="29040" windowHeight="1584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2" l="1"/>
  <c r="C24" i="2"/>
  <c r="Q3" i="1"/>
  <c r="C18" i="2"/>
  <c r="C11" i="2"/>
  <c r="Z3" i="1"/>
  <c r="K4" i="2" s="1"/>
  <c r="Y3" i="1"/>
  <c r="X3" i="1"/>
  <c r="W3" i="1"/>
  <c r="V3" i="1"/>
  <c r="U3" i="1"/>
  <c r="H4" i="2" l="1"/>
  <c r="I4" i="2"/>
  <c r="J4" i="2"/>
  <c r="G4" i="2"/>
  <c r="F4" i="2"/>
  <c r="B24" i="2"/>
  <c r="B18" i="2"/>
  <c r="B11" i="2"/>
  <c r="B4" i="2"/>
  <c r="C4" i="2"/>
  <c r="D11" i="2" l="1"/>
  <c r="C16" i="2" l="1"/>
  <c r="C9" i="2" l="1"/>
  <c r="C8" i="1" l="1"/>
  <c r="R8" i="1" l="1"/>
  <c r="S8" i="1"/>
  <c r="T8" i="1"/>
  <c r="U8" i="1" l="1"/>
  <c r="D18" i="2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N8" i="1"/>
  <c r="C29" i="2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<sst xmlns="http://schemas.openxmlformats.org/spreadsheetml/2006/main" count="60" uniqueCount="42">
  <si>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</si>
  <si>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</si>
  <si>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</si>
  <si>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</si>
  <si>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</si>
  <si>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</si>
  <si>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</si>
  <si>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</si>
  <si>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</si>
  <si>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</si>
  <si>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</si>
  <si>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</si>
  <si>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</si>
  <si>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</si>
  <si>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</si>
  <si>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</si>
  <si>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</si>
  <si>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</si>
  <si>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</si>
  <si>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</si>
  <si>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</si>
  <si>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</si>
  <si>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</si>
  <si>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</si>
  <si>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</si>
  <si>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</si>
  <si>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</si>
  <si>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</si>
  <si>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</si>
  <si>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</si>
  <si>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</si>
  <si>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</si>
  <si>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</si>
  <si>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</si>
  <si>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</si>
  <si>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</si>
  <si>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</si>
  <si>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</si>
  <si>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4-Year Average*</t>
  </si>
  <si>
    <t>* 4-year average is capped at +/- 10%</t>
  </si>
  <si>
    <t>Type B</t>
  </si>
  <si>
    <t>Samaritan North Lincoln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</si>
</sst>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abSelected="1" workbookViewId="0">
      <selection activeCell="A15" sqref="A15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3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14</v>
      </c>
      <c r="O1" s="67"/>
      <c r="P1" s="68"/>
      <c r="Q1" s="1"/>
      <c r="R1" s="63" t="s">
        <v>10</v>
      </c>
      <c r="S1" s="63"/>
      <c r="T1" s="63"/>
      <c r="U1" s="52"/>
      <c r="V1" s="63" t="s">
        <v>34</v>
      </c>
      <c r="W1" s="63"/>
      <c r="X1" s="63"/>
      <c r="Y1" s="63"/>
      <c r="Z1" s="63"/>
    </row>
    <row r="2" spans="1:26" x14ac:dyDescent="0.25">
      <c r="A2" s="65"/>
      <c r="B2" s="51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2" t="s">
        <v>33</v>
      </c>
      <c r="V2" s="57" t="s">
        <v>24</v>
      </c>
      <c r="W2" s="58" t="s">
        <v>25</v>
      </c>
      <c r="X2" s="58" t="s">
        <v>26</v>
      </c>
      <c r="Y2" s="58" t="s">
        <v>27</v>
      </c>
      <c r="Z2" s="58" t="s">
        <v>28</v>
      </c>
    </row>
    <row r="3" spans="1:26" x14ac:dyDescent="0.25">
      <c r="A3" t="s">
        <v>41</v>
      </c>
      <c r="B3" s="54" t="s">
        <v>40</v>
      </c>
      <c r="C3" s="3">
        <v>57661356</v>
      </c>
      <c r="D3" s="3">
        <v>59563352</v>
      </c>
      <c r="E3" s="3">
        <v>65176549</v>
      </c>
      <c r="F3" s="3">
        <v>64165990</v>
      </c>
      <c r="G3" s="3">
        <v>60910020</v>
      </c>
      <c r="H3" s="3">
        <v>68721896</v>
      </c>
      <c r="I3" s="3">
        <v>67861896</v>
      </c>
      <c r="J3" s="3">
        <v>70947836</v>
      </c>
      <c r="K3" s="3">
        <v>65358988</v>
      </c>
      <c r="L3" s="3">
        <v>66697512</v>
      </c>
      <c r="M3" s="3">
        <v>71629180</v>
      </c>
      <c r="N3" s="6">
        <v>4.8935029382774886E-2</v>
      </c>
      <c r="O3" s="6">
        <v>1.7158156029121262E-2</v>
      </c>
      <c r="P3" s="6">
        <v>-9.603450061535351E-3</v>
      </c>
      <c r="Q3" s="6">
        <f t="shared" ref="Q3" si="0">AVERAGE(N3:P3)</f>
        <v>1.8829911783453602E-2</v>
      </c>
      <c r="R3" s="3">
        <v>2843253.091</v>
      </c>
      <c r="S3" s="3">
        <v>3434637</v>
      </c>
      <c r="T3" s="3">
        <v>8428236</v>
      </c>
      <c r="U3" s="3">
        <f t="shared" ref="U3" si="1">AVERAGE(R3:T3)</f>
        <v>4902042.0303333336</v>
      </c>
      <c r="V3" s="6">
        <f t="shared" ref="V3" si="2">(D3-C3)/C3</f>
        <v>3.2985627323783365E-2</v>
      </c>
      <c r="W3" s="6">
        <f t="shared" ref="W3" si="3">(E3-D3)/D3</f>
        <v>9.4239105280710195E-2</v>
      </c>
      <c r="X3" s="6">
        <f t="shared" ref="X3" si="4">(F3-E3)/E3</f>
        <v>-1.5504947952982292E-2</v>
      </c>
      <c r="Y3" s="6">
        <f t="shared" ref="Y3" si="5">(G3-F3)/F3</f>
        <v>-5.0742924717595721E-2</v>
      </c>
      <c r="Z3" s="59">
        <f t="shared" ref="Z3" si="6">AVERAGE(V3:Y3)</f>
        <v>1.5244214983478889E-2</v>
      </c>
    </row>
    <row r="4" spans="1:26" x14ac:dyDescent="0.25">
      <c r="B4" s="5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59"/>
    </row>
    <row r="5" spans="1:26" x14ac:dyDescent="0.25">
      <c r="B5" s="5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59"/>
    </row>
    <row r="6" spans="1:26" x14ac:dyDescent="0.25">
      <c r="B6" s="5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59"/>
    </row>
    <row r="7" spans="1:26" x14ac:dyDescent="0.25">
      <c r="B7" s="5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59"/>
    </row>
    <row r="8" spans="1:26" x14ac:dyDescent="0.25">
      <c r="A8" s="4" t="s">
        <v>9</v>
      </c>
      <c r="B8" s="4"/>
      <c r="C8" s="3">
        <f>SUM(C3:C7)</f>
        <v>57661356</v>
      </c>
      <c r="D8" s="5">
        <f>SUM(D3:D7)</f>
        <v>59563352</v>
      </c>
      <c r="E8" s="5">
        <f t="shared" ref="E8:G8" si="7">SUM(E3:E7)</f>
        <v>65176549</v>
      </c>
      <c r="F8" s="5">
        <f t="shared" si="7"/>
        <v>64165990</v>
      </c>
      <c r="G8" s="5">
        <f t="shared" si="7"/>
        <v>60910020</v>
      </c>
      <c r="H8" s="5">
        <f t="shared" ref="H8" si="8">SUM(H3:H7)</f>
        <v>68721896</v>
      </c>
      <c r="I8" s="5">
        <f t="shared" ref="I8" si="9">SUM(I3:I7)</f>
        <v>67861896</v>
      </c>
      <c r="J8" s="5">
        <f t="shared" ref="J8" si="10">SUM(J3:J7)</f>
        <v>70947836</v>
      </c>
      <c r="K8" s="5">
        <f t="shared" ref="K8" si="11">SUM(K3:K7)</f>
        <v>65358988</v>
      </c>
      <c r="L8" s="5">
        <f t="shared" ref="L8" si="12">SUM(L3:L7)</f>
        <v>66697512</v>
      </c>
      <c r="M8" s="5">
        <f t="shared" ref="M8" si="13">SUM(M3:M7)</f>
        <v>71629180</v>
      </c>
      <c r="N8" s="6">
        <f t="shared" ref="N8" si="14">(H8-K8)/H8</f>
        <v>4.8935029382774886E-2</v>
      </c>
      <c r="O8" s="6">
        <f t="shared" ref="O8" si="15">(I8-L8)/I8</f>
        <v>1.7158141293311346E-2</v>
      </c>
      <c r="P8" s="6">
        <f t="shared" ref="P8" si="16">(J8-M8)/J8</f>
        <v>-9.603450061535351E-3</v>
      </c>
      <c r="Q8" s="6">
        <f t="shared" ref="Q8" si="17">AVERAGE(N8:P8)</f>
        <v>1.882990687151696E-2</v>
      </c>
      <c r="R8" s="3">
        <f t="shared" ref="R8" si="18">SUM(R3:R7)</f>
        <v>2843253.091</v>
      </c>
      <c r="S8" s="3">
        <f t="shared" ref="S8" si="19">SUM(S3:S7)</f>
        <v>3434637</v>
      </c>
      <c r="T8" s="3">
        <f t="shared" ref="T8" si="20">SUM(T3:T7)</f>
        <v>8428236</v>
      </c>
      <c r="U8" s="3">
        <f t="shared" ref="U8" si="21">AVERAGE(R8:T8)</f>
        <v>4902042.0303333336</v>
      </c>
      <c r="V8" s="6">
        <f t="shared" ref="V8" si="22">(D8-C8)/C8</f>
        <v>3.2985627323783365E-2</v>
      </c>
      <c r="W8" s="6">
        <f t="shared" ref="W8" si="23">(E8-D8)/D8</f>
        <v>9.4239105280710195E-2</v>
      </c>
      <c r="X8" s="6">
        <f t="shared" ref="X8" si="24">(F8-E8)/E8</f>
        <v>-1.5504947952982292E-2</v>
      </c>
      <c r="Y8" s="6">
        <f t="shared" ref="Y8" si="25">(G8-F8)/F8</f>
        <v>-5.0742924717595721E-2</v>
      </c>
      <c r="Z8" s="59">
        <f t="shared" ref="Z8" si="26">AVERAGE(V8:Y8)</f>
        <v>1.5244214983478889E-2</v>
      </c>
    </row>
    <row r="9" spans="1:26" x14ac:dyDescent="0.25">
      <c r="Q9" s="16"/>
    </row>
  </sheetData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workbookViewId="0">
      <selection activeCell="G20" sqref="G20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11</v>
      </c>
      <c r="C2" s="73"/>
      <c r="D2" s="7"/>
      <c r="F2" s="75" t="s">
        <v>16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5" t="s">
        <v>38</v>
      </c>
      <c r="L3" s="45" t="s">
        <v>29</v>
      </c>
      <c r="M3" s="46" t="s">
        <v>30</v>
      </c>
    </row>
    <row r="4" spans="2:13" x14ac:dyDescent="0.25">
      <c r="B4" s="8" t="str">
        <f>Data!A3</f>
        <v>Samaritan North Lincoln Hospital</v>
      </c>
      <c r="C4" s="22">
        <f>Data!U3</f>
        <v>4902042.0303333336</v>
      </c>
      <c r="D4" s="21"/>
      <c r="F4" s="8" t="str">
        <f>Data!A3</f>
        <v>Samaritan North Lincoln Hospital</v>
      </c>
      <c r="G4" s="39">
        <f>Data!V3</f>
        <v>3.2985627323783365E-2</v>
      </c>
      <c r="H4" s="39">
        <f>Data!W3</f>
        <v>9.4239105280710195E-2</v>
      </c>
      <c r="I4" s="39">
        <f>Data!X3</f>
        <v>-1.5504947952982292E-2</v>
      </c>
      <c r="J4" s="39">
        <f>Data!Y3</f>
        <v>-5.0742924717595721E-2</v>
      </c>
      <c r="K4" s="39">
        <f>IF(Data!Z3 &lt; 0.1, Data!Z3, 0.1)</f>
        <v>1.5244214983478889E-2</v>
      </c>
      <c r="L4" s="47">
        <f>(C4+C24)</f>
        <v>5450232.2103333334</v>
      </c>
      <c r="M4" s="48">
        <f>L4+(L4*K4)</f>
        <v>5533316.7218575357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7"/>
      <c r="M5" s="48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7"/>
      <c r="M6" s="48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7"/>
      <c r="M7" s="48"/>
    </row>
    <row r="8" spans="2:13" ht="15.75" thickBot="1" x14ac:dyDescent="0.3">
      <c r="B8" s="8"/>
      <c r="C8" s="22"/>
      <c r="D8" s="21"/>
      <c r="F8" s="43"/>
      <c r="G8" s="44"/>
      <c r="H8" s="44"/>
      <c r="I8" s="44"/>
      <c r="J8" s="44"/>
      <c r="K8" s="44"/>
      <c r="L8" s="49"/>
      <c r="M8" s="50"/>
    </row>
    <row r="9" spans="2:13" ht="16.5" thickBot="1" x14ac:dyDescent="0.3">
      <c r="B9" s="15" t="s">
        <v>18</v>
      </c>
      <c r="C9" s="30">
        <f>SUM(C4:C8)</f>
        <v>4902042.0303333336</v>
      </c>
      <c r="D9" s="19"/>
      <c r="F9" s="40" t="s">
        <v>16</v>
      </c>
      <c r="G9" s="62">
        <f>SUM(M4:M8)</f>
        <v>5533316.7218575357</v>
      </c>
      <c r="H9" s="41"/>
      <c r="I9" s="41"/>
      <c r="J9" s="41"/>
      <c r="K9" s="16"/>
    </row>
    <row r="10" spans="2:13" ht="15.75" x14ac:dyDescent="0.25">
      <c r="B10" s="17" t="s">
        <v>13</v>
      </c>
      <c r="C10" s="60" t="s">
        <v>35</v>
      </c>
      <c r="D10" s="56" t="s">
        <v>32</v>
      </c>
      <c r="F10" s="61" t="s">
        <v>39</v>
      </c>
      <c r="G10" s="41"/>
      <c r="H10" s="42"/>
      <c r="I10" s="42"/>
      <c r="J10" s="42"/>
    </row>
    <row r="11" spans="2:13" x14ac:dyDescent="0.25">
      <c r="B11" s="8" t="str">
        <f>Data!A3</f>
        <v>Samaritan North Lincoln Hospital</v>
      </c>
      <c r="C11" s="22">
        <f>Data!G3*D11</f>
        <v>609100.20000000007</v>
      </c>
      <c r="D11" s="55">
        <f>IF(Data!B3="DRG",0.015,0.01)</f>
        <v>0.01</v>
      </c>
    </row>
    <row r="12" spans="2:13" x14ac:dyDescent="0.25">
      <c r="B12" s="8"/>
      <c r="C12" s="22"/>
      <c r="D12" s="55"/>
    </row>
    <row r="13" spans="2:13" x14ac:dyDescent="0.25">
      <c r="B13" s="8"/>
      <c r="C13" s="22"/>
      <c r="D13" s="55"/>
    </row>
    <row r="14" spans="2:13" x14ac:dyDescent="0.25">
      <c r="B14" s="8"/>
      <c r="C14" s="22"/>
      <c r="D14" s="55"/>
    </row>
    <row r="15" spans="2:13" x14ac:dyDescent="0.25">
      <c r="B15" s="8"/>
      <c r="C15" s="22"/>
      <c r="D15" s="55"/>
    </row>
    <row r="16" spans="2:13" ht="15.75" x14ac:dyDescent="0.25">
      <c r="B16" s="8" t="s">
        <v>19</v>
      </c>
      <c r="C16" s="23">
        <f>SUM(C11:C15)</f>
        <v>609100.20000000007</v>
      </c>
      <c r="D16" s="10"/>
    </row>
    <row r="17" spans="2:7" ht="15" customHeight="1" x14ac:dyDescent="0.25">
      <c r="B17" s="17" t="s">
        <v>15</v>
      </c>
      <c r="C17" s="60" t="s">
        <v>36</v>
      </c>
      <c r="D17" s="26" t="s">
        <v>21</v>
      </c>
      <c r="F17" s="74"/>
      <c r="G17" s="74"/>
    </row>
    <row r="18" spans="2:7" x14ac:dyDescent="0.25">
      <c r="B18" s="8" t="str">
        <f>Data!A3</f>
        <v>Samaritan North Lincoln Hospital</v>
      </c>
      <c r="C18" s="24">
        <f>Data!Q3</f>
        <v>1.8829911783453602E-2</v>
      </c>
      <c r="D18" s="27">
        <f>IF(C18&lt;-0.02,0.75,IF(C18&lt;0,0.8,IF(C18&lt;0.03,0.9,IF(C18&lt;0.06,1,1.05))))</f>
        <v>0.9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Samaritan North Lincoln Hospital</v>
      </c>
      <c r="C24" s="23">
        <f>C11*D18</f>
        <v>548190.18000000005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548190.18000000005</v>
      </c>
      <c r="D29" s="20"/>
    </row>
    <row r="30" spans="2:7" ht="16.5" thickBot="1" x14ac:dyDescent="0.3">
      <c r="B30" s="33" t="s">
        <v>11</v>
      </c>
      <c r="C30" s="34">
        <f>C9+C29</f>
        <v>5450232.2103333334</v>
      </c>
      <c r="D30" s="12"/>
    </row>
    <row r="32" spans="2:7" x14ac:dyDescent="0.25">
      <c r="B32" s="13"/>
    </row>
  </sheetData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https://www.oregon.gov/oha/HPA/ANALYTICS/HospitalDocuments/FY22-23%20MSF%20Calculation%20Samaritan%20North%20Lincoln%20Hospital.xlsx</Url>
      <Description>FY22-23 MSF Calculation Samaritan North Lincoln Hospital.xlsx</Description>
    </URL>
    <Meta_x0020_Keywords xmlns="10bab1ba-c75a-4166-8cdc-bbc3bb77138e" xsi:nil="true"/>
    <Meta_x0020_Description xmlns="10bab1ba-c75a-4166-8cdc-bbc3bb77138e" xsi:nil="true"/>
    <Hospital xmlns="10bab1ba-c75a-4166-8cdc-bbc3bb77138e">Samaritan North Lincoln Hospital</Hospital>
    <DocumentType xmlns="10bab1ba-c75a-4166-8cdc-bbc3bb77138e">MSF Calculation</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2D525D-00C4-46F8-81C9-9A3E2F174C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Samaritan North Lincoln Hospital.xlsx</dc:title>
  <dc:creator>Chris Holland</dc:creator>
  <cp:lastModifiedBy>Chris Holland</cp:lastModifiedBy>
  <dcterms:created xsi:type="dcterms:W3CDTF">2021-01-08T22:48:27Z</dcterms:created>
  <dcterms:modified xsi:type="dcterms:W3CDTF">2021-10-28T17:11:38Z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</vt:lpwstr>
  </property>
</Properties>
</file>