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5\Adventist Health Portland\"/>
    </mc:Choice>
  </mc:AlternateContent>
  <xr:revisionPtr revIDLastSave="0" documentId="13_ncr:1_{700940AA-DEB9-4011-BCB8-7A3C23C9A2C3}" xr6:coauthVersionLast="47" xr6:coauthVersionMax="47" xr10:uidLastSave="{00000000-0000-0000-0000-000000000000}"/>
  <bookViews>
    <workbookView xWindow="90" yWindow="75" windowWidth="28320" windowHeight="153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9" i="1" l="1"/>
  <c r="AE19" i="1" s="1"/>
  <c r="X13" i="1"/>
  <c r="Y26" i="1"/>
  <c r="AD23" i="1" l="1"/>
  <c r="AD22" i="1"/>
  <c r="AD21" i="1"/>
  <c r="AD20" i="1"/>
  <c r="Z13" i="1"/>
  <c r="Y13" i="1"/>
  <c r="V13" i="1"/>
  <c r="U3" i="1"/>
  <c r="W13" i="1" l="1"/>
  <c r="G8" i="1" l="1"/>
  <c r="Q8" i="1"/>
  <c r="Q3" i="1"/>
  <c r="I4" i="2"/>
  <c r="J4" i="2"/>
  <c r="V8" i="1"/>
  <c r="V3" i="1"/>
  <c r="Y8" i="1"/>
  <c r="Z8" i="1" s="1"/>
  <c r="Z3" i="1"/>
  <c r="Y3" i="1"/>
  <c r="I8" i="1"/>
  <c r="P3" i="1" l="1"/>
  <c r="O3" i="1"/>
  <c r="N3" i="1"/>
  <c r="T8" i="1" l="1"/>
  <c r="S8" i="1"/>
  <c r="R8" i="1"/>
  <c r="X3" i="1"/>
  <c r="W3" i="1"/>
  <c r="C8" i="1"/>
  <c r="D8" i="1"/>
  <c r="E8" i="1"/>
  <c r="H8" i="1"/>
  <c r="N8" i="1" s="1"/>
  <c r="K8" i="1"/>
  <c r="D11" i="2"/>
  <c r="C11" i="2" s="1"/>
  <c r="U8" i="1" l="1"/>
  <c r="K4" i="2"/>
  <c r="G4" i="2" l="1"/>
  <c r="H4" i="2"/>
  <c r="F4" i="2"/>
  <c r="B24" i="2"/>
  <c r="B18" i="2"/>
  <c r="B11" i="2"/>
  <c r="B4" i="2"/>
  <c r="C4" i="2"/>
  <c r="C9" i="2" l="1"/>
  <c r="C16" i="2"/>
  <c r="C18" i="2" l="1"/>
  <c r="D18" i="2" s="1"/>
  <c r="C24" i="2" s="1"/>
  <c r="L4" i="2" s="1"/>
  <c r="M4" i="2" s="1"/>
  <c r="L8" i="1"/>
  <c r="O8" i="1" s="1"/>
  <c r="M8" i="1"/>
  <c r="J8" i="1"/>
  <c r="F8" i="1"/>
  <c r="X8" i="1" s="1"/>
  <c r="W8" i="1" l="1"/>
  <c r="C29" i="2"/>
  <c r="C30" i="2" s="1"/>
  <c r="G9" i="2"/>
  <c r="P8" i="1"/>
</calcChain>
</file>

<file path=xl/sharedStrings.xml><?xml version="1.0" encoding="utf-8"?>
<sst xmlns="http://schemas.openxmlformats.org/spreadsheetml/2006/main" count="87" uniqueCount="63">
  <si>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</si>
  <si>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</si>
  <si>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</si>
  <si>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</si>
  <si>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</si>
  <si>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</si>
  <si>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</si>
  <si>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</si>
  <si>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</si>
  <si>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</si>
  <si>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</si>
  <si>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</si>
  <si>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</si>
  <si>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</si>
  <si>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</si>
  <si>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</si>
  <si>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</si>
  <si>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</si>
  <si>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</si>
  <si>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</si>
  <si>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</si>
  <si>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</si>
  <si>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</si>
  <si>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</si>
  <si>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</si>
  <si>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</si>
  <si>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</si>
  <si>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</si>
  <si>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</si>
  <si>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</si>
  <si>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</si>
  <si>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4-Year Average*</t>
  </si>
  <si>
    <t>* 4-year average is capped at +/- 10%</t>
  </si>
  <si>
    <t>Adventist Health Portland</t>
  </si>
  <si>
    <t>FY21</t>
  </si>
  <si>
    <t>FY22</t>
  </si>
  <si>
    <t>FY20-FY21</t>
  </si>
  <si>
    <t>FY21-FY22</t>
  </si>
  <si>
    <t>FY25 Minimum Spending Floor</t>
  </si>
  <si>
    <t>FY24 Minimum Spending Floor</t>
  </si>
  <si>
    <t>FY22 NPR</t>
  </si>
  <si>
    <t>Year</t>
  </si>
  <si>
    <t>Charity Care Net Cost</t>
  </si>
  <si>
    <t>Medicaid Net Cost</t>
  </si>
  <si>
    <t>Other Public Programs</t>
  </si>
  <si>
    <t>Subsidized Health Services</t>
  </si>
  <si>
    <t>Unreimbursed Care</t>
  </si>
  <si>
    <t>2024 MSF</t>
  </si>
  <si>
    <t>2025 MSF</t>
  </si>
  <si>
    <t>2022 (original)</t>
  </si>
  <si>
    <t>2022  (reduction)</t>
  </si>
  <si>
    <t>difference</t>
  </si>
  <si>
    <t>Total Community Benefit</t>
  </si>
  <si>
    <t>Charity Care</t>
  </si>
  <si>
    <t>Medicaid</t>
  </si>
  <si>
    <t>Community Health Improvement</t>
  </si>
  <si>
    <t>Research</t>
  </si>
  <si>
    <t>Health Professions Education</t>
  </si>
  <si>
    <t>Cash and In-Kind</t>
  </si>
  <si>
    <t>Community Building</t>
  </si>
  <si>
    <t>Community Benefit Operations</t>
  </si>
  <si>
    <t>3-Year Average Unreimbused Care</t>
  </si>
  <si>
    <t>Average SHS 2018-2021 (replaces 2022):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</si>
</sst>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7FB97"/>
        <bgColor indexed="64"/>
      </patternFill>
    </fill>
    <fill>
      <patternFill patternType="solid">
        <fgColor rgb="FF7DFFB8"/>
        <bgColor indexed="64"/>
      </patternFill>
    </fill>
    <fill>
      <patternFill patternType="solid">
        <fgColor rgb="FF7979FF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6" fontId="0" fillId="0" borderId="0" xfId="0" applyNumberFormat="1"/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6" xfId="0" applyBorder="1" applyAlignment="1">
      <alignment horizontal="right"/>
    </xf>
    <xf numFmtId="164" fontId="0" fillId="0" borderId="22" xfId="0" applyNumberFormat="1" applyBorder="1"/>
    <xf numFmtId="164" fontId="0" fillId="0" borderId="17" xfId="0" applyNumberFormat="1" applyBorder="1"/>
    <xf numFmtId="0" fontId="0" fillId="0" borderId="0" xfId="0" applyFill="1"/>
    <xf numFmtId="164" fontId="0" fillId="7" borderId="0" xfId="0" applyNumberFormat="1" applyFill="1"/>
    <xf numFmtId="164" fontId="0" fillId="0" borderId="10" xfId="0" applyNumberFormat="1" applyFill="1" applyBorder="1"/>
    <xf numFmtId="164" fontId="0" fillId="0" borderId="0" xfId="0" applyNumberFormat="1" applyFill="1" applyBorder="1"/>
    <xf numFmtId="164" fontId="9" fillId="0" borderId="0" xfId="0" applyNumberFormat="1" applyFont="1" applyFill="1" applyBorder="1"/>
    <xf numFmtId="0" fontId="0" fillId="0" borderId="9" xfId="0" applyBorder="1" applyAlignment="1">
      <alignment horizontal="left"/>
    </xf>
    <xf numFmtId="164" fontId="9" fillId="0" borderId="10" xfId="0" applyNumberFormat="1" applyFont="1" applyFill="1" applyBorder="1"/>
    <xf numFmtId="0" fontId="0" fillId="6" borderId="0" xfId="0" applyFill="1"/>
    <xf numFmtId="0" fontId="10" fillId="6" borderId="0" xfId="0" applyFont="1" applyFill="1"/>
    <xf numFmtId="0" fontId="10" fillId="5" borderId="7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164" fontId="0" fillId="9" borderId="0" xfId="0" applyNumberFormat="1" applyFill="1" applyBorder="1"/>
    <xf numFmtId="164" fontId="0" fillId="9" borderId="0" xfId="0" applyNumberFormat="1" applyFill="1"/>
    <xf numFmtId="164" fontId="9" fillId="10" borderId="0" xfId="0" applyNumberFormat="1" applyFont="1" applyFill="1" applyBorder="1"/>
    <xf numFmtId="164" fontId="0" fillId="10" borderId="0" xfId="0" applyNumberFormat="1" applyFill="1"/>
    <xf numFmtId="164" fontId="9" fillId="7" borderId="0" xfId="0" applyNumberFormat="1" applyFont="1" applyFill="1" applyBorder="1"/>
    <xf numFmtId="0" fontId="11" fillId="11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979FF"/>
      <color rgb="FF9999FF"/>
      <color rgb="FFCCCCFF"/>
      <color rgb="FF7DFFB8"/>
      <color rgb="FFC7FB97"/>
      <color rgb="FFF7FED4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24</xdr:row>
      <xdr:rowOff>19050</xdr:rowOff>
    </xdr:from>
    <xdr:to>
      <xdr:col>8</xdr:col>
      <xdr:colOff>7323</xdr:colOff>
      <xdr:row>29</xdr:row>
      <xdr:rowOff>197014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DAD44-FB0D-4872-A771-3943DDAB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4772025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AF29"/>
  <sheetViews>
    <sheetView tabSelected="1" topLeftCell="P1" workbookViewId="0">
      <selection activeCell="R10" sqref="R10"/>
    </sheetView>
  </sheetViews>
  <sheetFormatPr defaultRowHeight="15" x14ac:dyDescent="0.25"/>
  <cols>
    <col min="1" max="1" width="59.85546875" customWidth="1"/>
    <col min="2" max="2" width="23.42578125" customWidth="1"/>
    <col min="3" max="27" width="15.7109375" customWidth="1"/>
    <col min="28" max="28" width="15.5703125" customWidth="1"/>
    <col min="29" max="29" width="17.5703125" customWidth="1"/>
    <col min="30" max="30" width="16.42578125" customWidth="1"/>
    <col min="31" max="31" width="15.7109375" customWidth="1"/>
    <col min="32" max="32" width="15.28515625" customWidth="1"/>
  </cols>
  <sheetData>
    <row r="1" spans="1:26" x14ac:dyDescent="0.25">
      <c r="A1" s="69" t="s">
        <v>0</v>
      </c>
      <c r="B1" s="52"/>
      <c r="C1" s="74" t="s">
        <v>1</v>
      </c>
      <c r="D1" s="75"/>
      <c r="E1" s="75"/>
      <c r="F1" s="75"/>
      <c r="G1" s="76"/>
      <c r="H1" s="68" t="s">
        <v>2</v>
      </c>
      <c r="I1" s="68"/>
      <c r="J1" s="68"/>
      <c r="K1" s="68" t="s">
        <v>3</v>
      </c>
      <c r="L1" s="68"/>
      <c r="M1" s="68"/>
      <c r="N1" s="71" t="s">
        <v>11</v>
      </c>
      <c r="O1" s="72"/>
      <c r="P1" s="73"/>
      <c r="Q1" s="1"/>
      <c r="R1" s="68" t="s">
        <v>8</v>
      </c>
      <c r="S1" s="68"/>
      <c r="T1" s="68"/>
      <c r="U1" s="51"/>
      <c r="V1" s="68" t="s">
        <v>27</v>
      </c>
      <c r="W1" s="68"/>
      <c r="X1" s="68"/>
      <c r="Y1" s="68"/>
      <c r="Z1" s="68"/>
    </row>
    <row r="2" spans="1:26" x14ac:dyDescent="0.25">
      <c r="A2" s="70"/>
      <c r="B2" s="50" t="s">
        <v>24</v>
      </c>
      <c r="C2" s="2" t="s">
        <v>4</v>
      </c>
      <c r="D2" s="2" t="s">
        <v>6</v>
      </c>
      <c r="E2" s="2" t="s">
        <v>5</v>
      </c>
      <c r="F2" s="61" t="s">
        <v>34</v>
      </c>
      <c r="G2" s="61" t="s">
        <v>35</v>
      </c>
      <c r="H2" s="2" t="s">
        <v>5</v>
      </c>
      <c r="I2" s="61" t="s">
        <v>34</v>
      </c>
      <c r="J2" s="61" t="s">
        <v>35</v>
      </c>
      <c r="K2" s="2" t="s">
        <v>5</v>
      </c>
      <c r="L2" s="61" t="s">
        <v>34</v>
      </c>
      <c r="M2" s="61" t="s">
        <v>35</v>
      </c>
      <c r="N2" s="2" t="s">
        <v>5</v>
      </c>
      <c r="O2" s="61" t="s">
        <v>34</v>
      </c>
      <c r="P2" s="61" t="s">
        <v>35</v>
      </c>
      <c r="Q2" s="2" t="s">
        <v>26</v>
      </c>
      <c r="R2" s="2" t="s">
        <v>5</v>
      </c>
      <c r="S2" s="61" t="s">
        <v>34</v>
      </c>
      <c r="T2" s="61" t="s">
        <v>35</v>
      </c>
      <c r="U2" s="51" t="s">
        <v>26</v>
      </c>
      <c r="V2" s="56" t="s">
        <v>19</v>
      </c>
      <c r="W2" s="56" t="s">
        <v>20</v>
      </c>
      <c r="X2" s="56" t="s">
        <v>36</v>
      </c>
      <c r="Y2" s="56" t="s">
        <v>37</v>
      </c>
      <c r="Z2" s="56" t="s">
        <v>21</v>
      </c>
    </row>
    <row r="3" spans="1:26" x14ac:dyDescent="0.25">
      <c r="A3" t="s">
        <v>33</v>
      </c>
      <c r="B3" s="53" t="s">
        <v>30</v>
      </c>
      <c r="C3" s="3">
        <v>323089443</v>
      </c>
      <c r="D3" s="3">
        <v>317479706</v>
      </c>
      <c r="E3" s="3">
        <v>296742072</v>
      </c>
      <c r="F3" s="3">
        <v>331088920</v>
      </c>
      <c r="G3" s="62">
        <v>339086938</v>
      </c>
      <c r="H3" s="3">
        <v>335334551</v>
      </c>
      <c r="I3" s="3">
        <v>353221771</v>
      </c>
      <c r="J3" s="62">
        <v>364285600</v>
      </c>
      <c r="K3" s="3">
        <v>334169779</v>
      </c>
      <c r="L3" s="3">
        <v>351691148</v>
      </c>
      <c r="M3" s="62">
        <v>381135505</v>
      </c>
      <c r="N3" s="63">
        <f>(H3-K3)/H3</f>
        <v>3.473462536224011E-3</v>
      </c>
      <c r="O3" s="63">
        <f>(I3-L3)/I3</f>
        <v>4.3333200999096967E-3</v>
      </c>
      <c r="P3" s="64">
        <f>(J3-M3)/J3</f>
        <v>-4.6254655687735118E-2</v>
      </c>
      <c r="Q3" s="6">
        <f>AVERAGE(N3:P3)</f>
        <v>-1.2815957683867138E-2</v>
      </c>
      <c r="R3" s="65">
        <v>19697282</v>
      </c>
      <c r="S3" s="65">
        <v>19962730</v>
      </c>
      <c r="T3" s="66">
        <v>20235747.662583396</v>
      </c>
      <c r="U3" s="67">
        <f>AVERAGE(R3:T3)</f>
        <v>19965253.220861133</v>
      </c>
      <c r="V3" s="63">
        <f>(D3-C3)/C3</f>
        <v>-1.7362798821006355E-2</v>
      </c>
      <c r="W3" s="63">
        <f>(E3-D3)/D3</f>
        <v>-6.5319557779860107E-2</v>
      </c>
      <c r="X3" s="64">
        <f>(F3-E3)/E3</f>
        <v>0.11574647224273611</v>
      </c>
      <c r="Y3" s="64">
        <f>(G3-F3)/F3</f>
        <v>2.4156706905202385E-2</v>
      </c>
      <c r="Z3" s="57">
        <f>AVERAGE(V3:Y3)</f>
        <v>1.4305205636768008E-2</v>
      </c>
    </row>
    <row r="4" spans="1:26" x14ac:dyDescent="0.25"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3"/>
      <c r="O4" s="63"/>
      <c r="P4" s="63"/>
      <c r="Q4" s="6"/>
      <c r="R4" s="3"/>
      <c r="S4" s="3"/>
      <c r="T4" s="3"/>
      <c r="U4" s="3"/>
      <c r="V4" s="63"/>
      <c r="W4" s="63"/>
      <c r="X4" s="63"/>
      <c r="Y4" s="63"/>
      <c r="Z4" s="57"/>
    </row>
    <row r="5" spans="1:26" x14ac:dyDescent="0.25">
      <c r="B5" s="5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3"/>
      <c r="O5" s="63"/>
      <c r="P5" s="63"/>
      <c r="Q5" s="6"/>
      <c r="R5" s="3"/>
      <c r="S5" s="3"/>
      <c r="T5" s="3"/>
      <c r="U5" s="3"/>
      <c r="V5" s="63"/>
      <c r="W5" s="63"/>
      <c r="X5" s="63"/>
      <c r="Y5" s="63"/>
      <c r="Z5" s="57"/>
    </row>
    <row r="6" spans="1:26" x14ac:dyDescent="0.25">
      <c r="B6" s="5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3"/>
      <c r="O6" s="63"/>
      <c r="P6" s="63"/>
      <c r="Q6" s="6"/>
      <c r="R6" s="3"/>
      <c r="S6" s="3"/>
      <c r="T6" s="3"/>
      <c r="U6" s="3"/>
      <c r="V6" s="63"/>
      <c r="W6" s="63"/>
      <c r="X6" s="63"/>
      <c r="Y6" s="63"/>
      <c r="Z6" s="57"/>
    </row>
    <row r="7" spans="1:26" x14ac:dyDescent="0.25">
      <c r="B7" s="5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3"/>
      <c r="O7" s="63"/>
      <c r="P7" s="63"/>
      <c r="Q7" s="6"/>
      <c r="R7" s="3"/>
      <c r="S7" s="3"/>
      <c r="T7" s="3"/>
      <c r="U7" s="3"/>
      <c r="V7" s="63"/>
      <c r="W7" s="63"/>
      <c r="X7" s="63"/>
      <c r="Y7" s="63"/>
      <c r="Z7" s="57"/>
    </row>
    <row r="8" spans="1:26" x14ac:dyDescent="0.25">
      <c r="A8" s="4" t="s">
        <v>7</v>
      </c>
      <c r="B8" s="4"/>
      <c r="C8" s="3">
        <f>SUM(C3:C7)</f>
        <v>323089443</v>
      </c>
      <c r="D8" s="5">
        <f>SUM(D3:D7)</f>
        <v>317479706</v>
      </c>
      <c r="E8" s="5">
        <f>SUM(E3:E7)</f>
        <v>296742072</v>
      </c>
      <c r="F8" s="5">
        <f t="shared" ref="F8" si="0">SUM(F3:F7)</f>
        <v>331088920</v>
      </c>
      <c r="G8" s="5">
        <f>SUM(G3:G7)</f>
        <v>339086938</v>
      </c>
      <c r="H8" s="5">
        <f>SUM(H3:H7)</f>
        <v>335334551</v>
      </c>
      <c r="I8" s="5">
        <f t="shared" ref="I8" si="1">SUM(I3:I7)</f>
        <v>353221771</v>
      </c>
      <c r="J8" s="5">
        <f t="shared" ref="J8" si="2">SUM(J3:J7)</f>
        <v>364285600</v>
      </c>
      <c r="K8" s="5">
        <f>SUM(K3:K7)</f>
        <v>334169779</v>
      </c>
      <c r="L8" s="5">
        <f t="shared" ref="L8" si="3">SUM(L3:L7)</f>
        <v>351691148</v>
      </c>
      <c r="M8" s="5">
        <f t="shared" ref="M8" si="4">SUM(M3:M7)</f>
        <v>381135505</v>
      </c>
      <c r="N8" s="63">
        <f>(H8-K8)/H8</f>
        <v>3.473462536224011E-3</v>
      </c>
      <c r="O8" s="63">
        <f>(I8-L8)/I8</f>
        <v>4.3333200999096967E-3</v>
      </c>
      <c r="P8" s="63">
        <f t="shared" ref="P8" si="5">(J8-M8)/J8</f>
        <v>-4.6254655687735118E-2</v>
      </c>
      <c r="Q8" s="6">
        <f>AVERAGE(N8:P8)</f>
        <v>-1.2815957683867138E-2</v>
      </c>
      <c r="R8" s="3">
        <f>SUM(R3:R7)</f>
        <v>19697282</v>
      </c>
      <c r="S8" s="3">
        <f>SUM(S3:S7)</f>
        <v>19962730</v>
      </c>
      <c r="T8" s="3">
        <f>SUM(T3:T7)</f>
        <v>20235747.662583396</v>
      </c>
      <c r="U8" s="3">
        <f>AVERAGE(R8:T8)</f>
        <v>19965253.220861133</v>
      </c>
      <c r="V8" s="63">
        <f>(D8-C8)/C8</f>
        <v>-1.7362798821006355E-2</v>
      </c>
      <c r="W8" s="63">
        <f t="shared" ref="W8" si="6">(E8-D8)/D8</f>
        <v>-6.5319557779860107E-2</v>
      </c>
      <c r="X8" s="63">
        <f t="shared" ref="X8" si="7">(F8-E8)/E8</f>
        <v>0.11574647224273611</v>
      </c>
      <c r="Y8" s="63">
        <f>(G8-F8)/F8</f>
        <v>2.4156706905202385E-2</v>
      </c>
      <c r="Z8" s="57">
        <f>AVERAGE(V8:Y8)</f>
        <v>1.4305205636768008E-2</v>
      </c>
    </row>
    <row r="9" spans="1:26" ht="15.75" thickBot="1" x14ac:dyDescent="0.3">
      <c r="Q9" s="16"/>
    </row>
    <row r="10" spans="1:26" ht="25.5" x14ac:dyDescent="0.25">
      <c r="R10" s="95" t="s">
        <v>41</v>
      </c>
      <c r="S10" s="96" t="s">
        <v>42</v>
      </c>
      <c r="T10" s="96" t="s">
        <v>43</v>
      </c>
      <c r="U10" s="96" t="s">
        <v>44</v>
      </c>
      <c r="V10" s="96" t="s">
        <v>45</v>
      </c>
      <c r="W10" s="97" t="s">
        <v>46</v>
      </c>
      <c r="X10" s="103" t="s">
        <v>61</v>
      </c>
      <c r="Y10" s="109" t="s">
        <v>47</v>
      </c>
      <c r="Z10" s="110" t="s">
        <v>48</v>
      </c>
    </row>
    <row r="11" spans="1:26" x14ac:dyDescent="0.25">
      <c r="R11" s="8" t="s">
        <v>49</v>
      </c>
      <c r="S11" s="89">
        <v>2922233.6610888555</v>
      </c>
      <c r="T11" s="89">
        <v>17140174.001494542</v>
      </c>
      <c r="U11" s="89">
        <v>0</v>
      </c>
      <c r="V11" s="89">
        <v>2905081</v>
      </c>
      <c r="W11" s="89">
        <v>26109493.452884797</v>
      </c>
      <c r="X11" s="89">
        <v>20875833.554194465</v>
      </c>
      <c r="Y11" s="89">
        <v>25992211.740294933</v>
      </c>
      <c r="Z11" s="88">
        <v>26364035.674194269</v>
      </c>
    </row>
    <row r="12" spans="1:26" x14ac:dyDescent="0.25">
      <c r="R12" s="91" t="s">
        <v>50</v>
      </c>
      <c r="S12" s="89">
        <v>0</v>
      </c>
      <c r="T12" s="89">
        <v>0</v>
      </c>
      <c r="U12" s="89">
        <v>0</v>
      </c>
      <c r="V12" s="98">
        <v>173340</v>
      </c>
      <c r="W12" s="100">
        <v>20235747.662583396</v>
      </c>
      <c r="X12" s="102">
        <v>19965253.220861133</v>
      </c>
      <c r="Y12" s="90">
        <v>24034296</v>
      </c>
      <c r="Z12" s="92">
        <v>24378112</v>
      </c>
    </row>
    <row r="13" spans="1:26" ht="15.75" thickBot="1" x14ac:dyDescent="0.3">
      <c r="R13" s="83" t="s">
        <v>51</v>
      </c>
      <c r="S13" s="84">
        <v>0</v>
      </c>
      <c r="T13" s="84">
        <v>0</v>
      </c>
      <c r="U13" s="84">
        <v>0</v>
      </c>
      <c r="V13" s="84">
        <f t="shared" ref="T13:Z13" si="8">V12-V11</f>
        <v>-2731741</v>
      </c>
      <c r="W13" s="84">
        <f t="shared" si="8"/>
        <v>-5873745.7903014012</v>
      </c>
      <c r="X13" s="84">
        <f t="shared" si="8"/>
        <v>-910580.33333333209</v>
      </c>
      <c r="Y13" s="84">
        <f t="shared" si="8"/>
        <v>-1957915.7402949333</v>
      </c>
      <c r="Z13" s="85">
        <f t="shared" si="8"/>
        <v>-1985923.6741942689</v>
      </c>
    </row>
    <row r="18" spans="18:32" ht="34.5" customHeight="1" x14ac:dyDescent="0.25">
      <c r="R18" s="104" t="s">
        <v>41</v>
      </c>
      <c r="S18" s="105" t="s">
        <v>53</v>
      </c>
      <c r="T18" s="105" t="s">
        <v>54</v>
      </c>
      <c r="U18" s="105" t="s">
        <v>44</v>
      </c>
      <c r="V18" s="104" t="s">
        <v>55</v>
      </c>
      <c r="W18" s="104" t="s">
        <v>56</v>
      </c>
      <c r="X18" s="104" t="s">
        <v>57</v>
      </c>
      <c r="Y18" s="105" t="s">
        <v>45</v>
      </c>
      <c r="Z18" s="104" t="s">
        <v>58</v>
      </c>
      <c r="AA18" s="104" t="s">
        <v>59</v>
      </c>
      <c r="AB18" s="104" t="s">
        <v>60</v>
      </c>
      <c r="AC18" s="104" t="s">
        <v>52</v>
      </c>
      <c r="AD18" s="106" t="s">
        <v>46</v>
      </c>
      <c r="AE18" s="107" t="s">
        <v>61</v>
      </c>
      <c r="AF18" s="108"/>
    </row>
    <row r="19" spans="18:32" x14ac:dyDescent="0.25">
      <c r="R19">
        <v>2022</v>
      </c>
      <c r="S19" s="5">
        <v>2922233.6610888555</v>
      </c>
      <c r="T19" s="5">
        <v>17140174.001494542</v>
      </c>
      <c r="U19" s="5">
        <v>0</v>
      </c>
      <c r="V19" s="5">
        <v>827093</v>
      </c>
      <c r="W19" s="5">
        <v>0</v>
      </c>
      <c r="X19" s="5">
        <v>280433</v>
      </c>
      <c r="Y19" s="99">
        <v>173340</v>
      </c>
      <c r="Z19" s="5">
        <v>8480</v>
      </c>
      <c r="AA19" s="5">
        <v>210627</v>
      </c>
      <c r="AB19" s="5">
        <v>306031</v>
      </c>
      <c r="AC19" s="5">
        <v>24600152.6625834</v>
      </c>
      <c r="AD19" s="101">
        <f>SUM(S19:U19,Y19)</f>
        <v>20235747.662583396</v>
      </c>
      <c r="AE19" s="87">
        <f>AVERAGE(AD19:AD21)</f>
        <v>19965253.220861133</v>
      </c>
    </row>
    <row r="20" spans="18:32" x14ac:dyDescent="0.25">
      <c r="R20">
        <v>2021</v>
      </c>
      <c r="S20" s="5">
        <v>4409890</v>
      </c>
      <c r="T20" s="5">
        <v>15552840</v>
      </c>
      <c r="U20" s="5">
        <v>0</v>
      </c>
      <c r="V20" s="5">
        <v>4238624</v>
      </c>
      <c r="W20" s="5">
        <v>0</v>
      </c>
      <c r="X20" s="5">
        <v>235449</v>
      </c>
      <c r="Y20" s="5">
        <v>0</v>
      </c>
      <c r="Z20" s="5">
        <v>10307</v>
      </c>
      <c r="AA20" s="5">
        <v>0</v>
      </c>
      <c r="AB20" s="5">
        <v>194454</v>
      </c>
      <c r="AC20" s="5">
        <v>24641564</v>
      </c>
      <c r="AD20" s="5">
        <f t="shared" ref="AD20:AD23" si="9">SUM(S20:U20,Y20)</f>
        <v>19962730</v>
      </c>
      <c r="AE20" s="86"/>
    </row>
    <row r="21" spans="18:32" x14ac:dyDescent="0.25">
      <c r="R21">
        <v>2020</v>
      </c>
      <c r="S21" s="5">
        <v>5925351</v>
      </c>
      <c r="T21" s="5">
        <v>13771931</v>
      </c>
      <c r="U21" s="5">
        <v>0</v>
      </c>
      <c r="V21" s="5">
        <v>4928636</v>
      </c>
      <c r="W21" s="5">
        <v>0</v>
      </c>
      <c r="X21" s="5">
        <v>198564</v>
      </c>
      <c r="Y21" s="5">
        <v>0</v>
      </c>
      <c r="Z21" s="5">
        <v>19685</v>
      </c>
      <c r="AA21" s="5">
        <v>343654</v>
      </c>
      <c r="AB21" s="5">
        <v>266282</v>
      </c>
      <c r="AC21" s="5">
        <v>25454103</v>
      </c>
      <c r="AD21" s="5">
        <f t="shared" si="9"/>
        <v>19697282</v>
      </c>
    </row>
    <row r="22" spans="18:32" x14ac:dyDescent="0.25">
      <c r="R22">
        <v>2019</v>
      </c>
      <c r="S22" s="5">
        <v>6170992</v>
      </c>
      <c r="T22" s="5">
        <v>17615079</v>
      </c>
      <c r="U22" s="5">
        <v>0</v>
      </c>
      <c r="V22" s="5">
        <v>4941673</v>
      </c>
      <c r="W22" s="5">
        <v>8476</v>
      </c>
      <c r="X22" s="5">
        <v>297070</v>
      </c>
      <c r="Y22" s="5">
        <v>425006</v>
      </c>
      <c r="Z22" s="5">
        <v>67819</v>
      </c>
      <c r="AA22" s="5">
        <v>10113</v>
      </c>
      <c r="AB22" s="5">
        <v>168725</v>
      </c>
      <c r="AC22" s="5">
        <v>29704953</v>
      </c>
      <c r="AD22" s="5">
        <f t="shared" si="9"/>
        <v>24211077</v>
      </c>
    </row>
    <row r="23" spans="18:32" x14ac:dyDescent="0.25">
      <c r="R23">
        <v>2018</v>
      </c>
      <c r="S23" s="5">
        <v>4386389</v>
      </c>
      <c r="T23" s="5">
        <v>13061028</v>
      </c>
      <c r="U23" s="5">
        <v>0</v>
      </c>
      <c r="V23" s="5">
        <v>6171819</v>
      </c>
      <c r="W23" s="5">
        <v>0</v>
      </c>
      <c r="X23" s="5">
        <v>339385</v>
      </c>
      <c r="Y23" s="5">
        <v>268354</v>
      </c>
      <c r="Z23" s="5">
        <v>70178</v>
      </c>
      <c r="AA23" s="5">
        <v>11977</v>
      </c>
      <c r="AB23" s="5">
        <v>33179</v>
      </c>
      <c r="AC23" s="5">
        <v>24342309</v>
      </c>
      <c r="AD23" s="5">
        <f t="shared" si="9"/>
        <v>17715771</v>
      </c>
    </row>
    <row r="25" spans="18:32" x14ac:dyDescent="0.25">
      <c r="Y25" s="94" t="s">
        <v>62</v>
      </c>
      <c r="Z25" s="93"/>
    </row>
    <row r="26" spans="18:32" x14ac:dyDescent="0.25">
      <c r="Y26" s="99">
        <f>AVERAGE(Y20:Y23)</f>
        <v>173340</v>
      </c>
    </row>
    <row r="28" spans="18:32" x14ac:dyDescent="0.25">
      <c r="AA28" s="4"/>
      <c r="AB28" s="5"/>
    </row>
    <row r="29" spans="18:32" x14ac:dyDescent="0.25">
      <c r="AA29" s="4"/>
      <c r="AB29" s="5"/>
      <c r="AC29" s="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workbookViewId="0"/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6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7" t="s">
        <v>39</v>
      </c>
      <c r="C2" s="78"/>
      <c r="D2" s="7"/>
      <c r="F2" s="80" t="s">
        <v>38</v>
      </c>
      <c r="G2" s="81"/>
      <c r="H2" s="81"/>
      <c r="I2" s="81"/>
      <c r="J2" s="81"/>
      <c r="K2" s="81"/>
      <c r="L2" s="81"/>
      <c r="M2" s="82"/>
    </row>
    <row r="3" spans="2:13" ht="18.75" customHeight="1" x14ac:dyDescent="0.25">
      <c r="B3" s="18" t="s">
        <v>9</v>
      </c>
      <c r="C3" s="14"/>
      <c r="D3" s="9"/>
      <c r="F3" s="35" t="s">
        <v>18</v>
      </c>
      <c r="G3" s="37" t="s">
        <v>19</v>
      </c>
      <c r="H3" s="37" t="s">
        <v>20</v>
      </c>
      <c r="I3" s="37" t="s">
        <v>36</v>
      </c>
      <c r="J3" s="37" t="s">
        <v>37</v>
      </c>
      <c r="K3" s="44" t="s">
        <v>31</v>
      </c>
      <c r="L3" s="44" t="s">
        <v>22</v>
      </c>
      <c r="M3" s="45" t="s">
        <v>23</v>
      </c>
    </row>
    <row r="4" spans="2:13" x14ac:dyDescent="0.25">
      <c r="B4" s="8" t="str">
        <f>Data!A3</f>
        <v>Adventist Health Portland</v>
      </c>
      <c r="C4" s="22">
        <f>Data!U3</f>
        <v>19965253.220861133</v>
      </c>
      <c r="D4" s="21"/>
      <c r="F4" s="8" t="str">
        <f>Data!A3</f>
        <v>Adventist Health Portland</v>
      </c>
      <c r="G4" s="38">
        <f>Data!V3</f>
        <v>-1.7362798821006355E-2</v>
      </c>
      <c r="H4" s="38">
        <f>Data!W3</f>
        <v>-6.5319557779860107E-2</v>
      </c>
      <c r="I4" s="38">
        <f>Data!X3</f>
        <v>0.11574647224273611</v>
      </c>
      <c r="J4" s="38">
        <f>Data!Y3</f>
        <v>2.4156706905202385E-2</v>
      </c>
      <c r="K4" s="38">
        <f>IF(Data!Z3 &lt; 0.1, Data!Z3, 0.1)</f>
        <v>1.4305205636768008E-2</v>
      </c>
      <c r="L4" s="46">
        <f>(C4+C24)</f>
        <v>24034296.476861134</v>
      </c>
      <c r="M4" s="47">
        <f>L4+(L4*K4)</f>
        <v>24378112.030297682</v>
      </c>
    </row>
    <row r="5" spans="2:13" x14ac:dyDescent="0.25">
      <c r="B5" s="8"/>
      <c r="C5" s="22"/>
      <c r="D5" s="21"/>
      <c r="F5" s="8"/>
      <c r="G5" s="38"/>
      <c r="H5" s="38"/>
      <c r="I5" s="38"/>
      <c r="J5" s="38"/>
      <c r="K5" s="38"/>
      <c r="L5" s="46"/>
      <c r="M5" s="47"/>
    </row>
    <row r="6" spans="2:13" x14ac:dyDescent="0.25">
      <c r="B6" s="8"/>
      <c r="C6" s="22"/>
      <c r="D6" s="21"/>
      <c r="F6" s="8"/>
      <c r="G6" s="38"/>
      <c r="H6" s="38"/>
      <c r="I6" s="38"/>
      <c r="J6" s="38"/>
      <c r="K6" s="38"/>
      <c r="L6" s="46"/>
      <c r="M6" s="47"/>
    </row>
    <row r="7" spans="2:13" x14ac:dyDescent="0.25">
      <c r="B7" s="8"/>
      <c r="C7" s="22"/>
      <c r="D7" s="21"/>
      <c r="F7" s="8"/>
      <c r="G7" s="38"/>
      <c r="H7" s="38"/>
      <c r="I7" s="38"/>
      <c r="J7" s="38"/>
      <c r="K7" s="38"/>
      <c r="L7" s="46"/>
      <c r="M7" s="47"/>
    </row>
    <row r="8" spans="2:13" ht="15.75" thickBot="1" x14ac:dyDescent="0.3">
      <c r="B8" s="8"/>
      <c r="C8" s="22"/>
      <c r="D8" s="21"/>
      <c r="F8" s="42"/>
      <c r="G8" s="43"/>
      <c r="H8" s="43"/>
      <c r="I8" s="43"/>
      <c r="J8" s="43"/>
      <c r="K8" s="43"/>
      <c r="L8" s="48"/>
      <c r="M8" s="49"/>
    </row>
    <row r="9" spans="2:13" ht="16.5" thickBot="1" x14ac:dyDescent="0.3">
      <c r="B9" s="15" t="s">
        <v>13</v>
      </c>
      <c r="C9" s="30">
        <f>SUM(C4:C8)</f>
        <v>19965253.220861133</v>
      </c>
      <c r="D9" s="19"/>
      <c r="F9" s="39" t="s">
        <v>38</v>
      </c>
      <c r="G9" s="60">
        <f>SUM(M4:M8)</f>
        <v>24378112.030297682</v>
      </c>
      <c r="H9" s="40"/>
      <c r="I9" s="40"/>
      <c r="J9" s="40"/>
      <c r="K9" s="16"/>
    </row>
    <row r="10" spans="2:13" ht="15.75" x14ac:dyDescent="0.25">
      <c r="B10" s="17" t="s">
        <v>10</v>
      </c>
      <c r="C10" s="58" t="s">
        <v>40</v>
      </c>
      <c r="D10" s="55" t="s">
        <v>25</v>
      </c>
      <c r="F10" s="59" t="s">
        <v>32</v>
      </c>
      <c r="G10" s="40"/>
      <c r="H10" s="41"/>
      <c r="I10" s="41"/>
      <c r="J10" s="41"/>
    </row>
    <row r="11" spans="2:13" x14ac:dyDescent="0.25">
      <c r="B11" s="8" t="str">
        <f>Data!A3</f>
        <v>Adventist Health Portland</v>
      </c>
      <c r="C11" s="22">
        <f>Data!G3*D11</f>
        <v>5086304.0699999994</v>
      </c>
      <c r="D11" s="54">
        <f>IF(Data!B3="DRG",0.015,0.01)</f>
        <v>1.4999999999999999E-2</v>
      </c>
    </row>
    <row r="12" spans="2:13" x14ac:dyDescent="0.25">
      <c r="B12" s="8"/>
      <c r="C12" s="22"/>
      <c r="D12" s="54"/>
    </row>
    <row r="13" spans="2:13" x14ac:dyDescent="0.25">
      <c r="B13" s="8"/>
      <c r="C13" s="22"/>
      <c r="D13" s="54"/>
    </row>
    <row r="14" spans="2:13" x14ac:dyDescent="0.25">
      <c r="B14" s="8"/>
      <c r="C14" s="22"/>
      <c r="D14" s="54"/>
    </row>
    <row r="15" spans="2:13" x14ac:dyDescent="0.25">
      <c r="B15" s="8"/>
      <c r="C15" s="22"/>
      <c r="D15" s="54"/>
    </row>
    <row r="16" spans="2:13" ht="15.75" x14ac:dyDescent="0.25">
      <c r="B16" s="8" t="s">
        <v>14</v>
      </c>
      <c r="C16" s="23">
        <f>SUM(C11:C15)</f>
        <v>5086304.0699999994</v>
      </c>
      <c r="D16" s="10"/>
    </row>
    <row r="17" spans="2:7" ht="15" customHeight="1" x14ac:dyDescent="0.25">
      <c r="B17" s="17" t="s">
        <v>12</v>
      </c>
      <c r="C17" s="58" t="s">
        <v>28</v>
      </c>
      <c r="D17" s="26" t="s">
        <v>16</v>
      </c>
      <c r="F17" s="79"/>
      <c r="G17" s="79"/>
    </row>
    <row r="18" spans="2:7" x14ac:dyDescent="0.25">
      <c r="B18" s="8" t="str">
        <f>Data!A3</f>
        <v>Adventist Health Portland</v>
      </c>
      <c r="C18" s="24">
        <f>Data!Q3</f>
        <v>-1.2815957683867138E-2</v>
      </c>
      <c r="D18" s="27">
        <f>IF(C18&lt;-0.02,0.75,IF(C18&lt;0,0.8,IF(C18&lt;0.03,0.9,IF(C18&lt;0.06,1,1.05))))</f>
        <v>0.8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17</v>
      </c>
      <c r="C23" s="25" t="s">
        <v>29</v>
      </c>
      <c r="D23" s="29"/>
    </row>
    <row r="24" spans="2:7" ht="15.75" x14ac:dyDescent="0.25">
      <c r="B24" s="8" t="str">
        <f>Data!A3</f>
        <v>Adventist Health Portland</v>
      </c>
      <c r="C24" s="23">
        <f>C11*D18</f>
        <v>4069043.2559999996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15</v>
      </c>
      <c r="C29" s="32">
        <f>SUM(C24:C28)</f>
        <v>4069043.2559999996</v>
      </c>
      <c r="D29" s="20"/>
    </row>
    <row r="30" spans="2:7" ht="16.5" thickBot="1" x14ac:dyDescent="0.3">
      <c r="B30" s="33" t="s">
        <v>39</v>
      </c>
      <c r="C30" s="34">
        <f>C9+C29</f>
        <v>24034296.476861134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https://www.oregon.gov/oha/HPA/ANALYTICS/HospitalDocuments/FY24-25%20MSF%20Calculation%20Adventist%20Health%20Portland.xlsx</Url>
      <Description>FY24-25 MSF Calculation Adventist Health Portland.xlsx</Description>
    </URL>
    <Meta_x0020_Keywords xmlns="10bab1ba-c75a-4166-8cdc-bbc3bb77138e" xsi:nil="true"/>
    <Meta_x0020_Description xmlns="10bab1ba-c75a-4166-8cdc-bbc3bb77138e" xsi:nil="true"/>
    <Hospital xmlns="10bab1ba-c75a-4166-8cdc-bbc3bb77138e">Adventist Health Portland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EC628-1EA2-4A51-8792-3A1D151431FD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Adventist Health Portland.xlsx</dc:title>
  <dc:creator>Chris Holland</dc:creator>
  <cp:lastModifiedBy>Rachel Higgins</cp:lastModifiedBy>
  <dcterms:created xsi:type="dcterms:W3CDTF">2021-01-08T22:48:27Z</dcterms:created>
  <dcterms:modified xsi:type="dcterms:W3CDTF">2023-12-08T20:37:14Z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2023-12-05T22:45:23Z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03ed5cd9-a22c-457e-bb33-33504082ca96</vt:lpwstr>
  </property>
  <property fmtid="{D5CDD505-2E9C-101B-9397-08002B2CF9AE}" pid="9" name="MSIP_Label_ebdd6eeb-0dd0-4927-947e-a759f08fcf55_ContentBits">
    <vt:lpwstr>0</vt:lpwstr>
  </property>
  <property fmtid="{D5CDD505-2E9C-101B-9397-08002B2CF9AE}" pid="10" name="WorkflowChangePath">
    <vt:lpwstr>cc355e29-d0b2-4625-b17b-e81e368dee1c,3;</vt:lpwstr>
  </property>
</Properties>
</file>