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HS.SDC.PVT\Root\Offices\Salem (500 Summer St)\Health Analytics\Hospital Reporting Program\Community Benefit\Spending Floor Letters and Calculations\FY 24 - 25\Group 3\PeaceHealth Health System\"/>
    </mc:Choice>
  </mc:AlternateContent>
  <xr:revisionPtr revIDLastSave="0" documentId="8_{E4075161-8509-47DB-A85D-F7A6A392E3FF}" xr6:coauthVersionLast="47" xr6:coauthVersionMax="47" xr10:uidLastSave="{00000000-0000-0000-0000-000000000000}"/>
  <bookViews>
    <workbookView xWindow="0" yWindow="0" windowWidth="19200" windowHeight="21000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  <c r="C12" i="2"/>
  <c r="C11" i="2"/>
  <c r="Q3" i="1"/>
  <c r="Q4" i="1"/>
  <c r="Q5" i="1"/>
  <c r="N8" i="1"/>
  <c r="Q8" i="1" s="1"/>
  <c r="M8" i="1"/>
  <c r="P8" i="1" s="1"/>
  <c r="L8" i="1"/>
  <c r="O8" i="1" s="1"/>
  <c r="K8" i="1"/>
  <c r="J8" i="1"/>
  <c r="I8" i="1"/>
  <c r="H8" i="1"/>
  <c r="G8" i="1"/>
  <c r="F8" i="1"/>
  <c r="E8" i="1"/>
  <c r="D8" i="1"/>
  <c r="V8" i="1" s="1"/>
  <c r="C8" i="1"/>
  <c r="Z5" i="1"/>
  <c r="Y5" i="1"/>
  <c r="U3" i="1"/>
  <c r="U4" i="1"/>
  <c r="U5" i="1"/>
  <c r="K4" i="2"/>
  <c r="I4" i="2"/>
  <c r="J4" i="2"/>
  <c r="I5" i="2"/>
  <c r="J5" i="2"/>
  <c r="Y4" i="1"/>
  <c r="Z4" i="1"/>
  <c r="V5" i="1"/>
  <c r="W5" i="1"/>
  <c r="X5" i="1"/>
  <c r="I6" i="2" s="1"/>
  <c r="J6" i="2"/>
  <c r="J7" i="2"/>
  <c r="V4" i="1"/>
  <c r="W4" i="1"/>
  <c r="X4" i="1"/>
  <c r="T8" i="1"/>
  <c r="R8" i="1"/>
  <c r="S8" i="1"/>
  <c r="Z3" i="1"/>
  <c r="Y3" i="1"/>
  <c r="X3" i="1"/>
  <c r="W3" i="1"/>
  <c r="V3" i="1"/>
  <c r="N5" i="1"/>
  <c r="O5" i="1"/>
  <c r="P5" i="1"/>
  <c r="P4" i="1"/>
  <c r="P3" i="1"/>
  <c r="O4" i="1"/>
  <c r="O3" i="1"/>
  <c r="N4" i="1"/>
  <c r="N3" i="1"/>
  <c r="U8" i="1" l="1"/>
  <c r="I7" i="2"/>
  <c r="H7" i="2" l="1"/>
  <c r="G5" i="2"/>
  <c r="G6" i="2"/>
  <c r="G7" i="2"/>
  <c r="F5" i="2"/>
  <c r="F6" i="2"/>
  <c r="F7" i="2"/>
  <c r="B25" i="2"/>
  <c r="B26" i="2"/>
  <c r="B27" i="2"/>
  <c r="B19" i="2"/>
  <c r="B20" i="2"/>
  <c r="B21" i="2"/>
  <c r="D12" i="2"/>
  <c r="D13" i="2"/>
  <c r="D14" i="2"/>
  <c r="C14" i="2" s="1"/>
  <c r="B12" i="2"/>
  <c r="B13" i="2"/>
  <c r="B14" i="2"/>
  <c r="B5" i="2"/>
  <c r="B6" i="2"/>
  <c r="B7" i="2"/>
  <c r="H5" i="2"/>
  <c r="H6" i="2"/>
  <c r="K5" i="2"/>
  <c r="K6" i="2"/>
  <c r="K7" i="2"/>
  <c r="C5" i="2"/>
  <c r="C6" i="2"/>
  <c r="C7" i="2"/>
  <c r="C19" i="2"/>
  <c r="D19" i="2" s="1"/>
  <c r="C20" i="2"/>
  <c r="D20" i="2" s="1"/>
  <c r="C21" i="2"/>
  <c r="D21" i="2" s="1"/>
  <c r="C26" i="2" l="1"/>
  <c r="L6" i="2" s="1"/>
  <c r="M6" i="2" s="1"/>
  <c r="C27" i="2"/>
  <c r="L7" i="2" s="1"/>
  <c r="M7" i="2" s="1"/>
  <c r="C25" i="2"/>
  <c r="L5" i="2" s="1"/>
  <c r="M5" i="2" s="1"/>
  <c r="G4" i="2" l="1"/>
  <c r="H4" i="2"/>
  <c r="F4" i="2"/>
  <c r="B24" i="2"/>
  <c r="B18" i="2"/>
  <c r="B11" i="2"/>
  <c r="B4" i="2"/>
  <c r="C4" i="2"/>
  <c r="D11" i="2" l="1"/>
  <c r="C16" i="2" s="1"/>
  <c r="C9" i="2" l="1"/>
  <c r="C18" i="2" l="1"/>
  <c r="D18" i="2" s="1"/>
  <c r="C24" i="2" s="1"/>
  <c r="C29" i="2" s="1"/>
  <c r="C30" i="2" s="1"/>
  <c r="X8" i="1" l="1"/>
  <c r="W8" i="1"/>
  <c r="Z8" i="1" s="1"/>
  <c r="L4" i="2"/>
  <c r="M4" i="2" s="1"/>
  <c r="G9" i="2" s="1"/>
  <c r="Y8" i="1"/>
</calcChain>
</file>

<file path=xl/sharedStrings.xml><?xml version="1.0" encoding="utf-8"?>
<sst xmlns="http://schemas.openxmlformats.org/spreadsheetml/2006/main" count="64" uniqueCount="44">
  <si>
    <t>Facility</t>
  </si>
  <si>
    <t>Net Patient Revenue</t>
  </si>
  <si>
    <t>Operating Revenue</t>
  </si>
  <si>
    <t>Total Operating Expense</t>
  </si>
  <si>
    <t>FY18</t>
  </si>
  <si>
    <t>F19</t>
  </si>
  <si>
    <t>FY20</t>
  </si>
  <si>
    <t>Group Total</t>
  </si>
  <si>
    <t>Unreimbursed Cost of Care</t>
  </si>
  <si>
    <t>3-year Average of Unreimbursed Care</t>
  </si>
  <si>
    <t>Direct Spending Net Patient Revenue %</t>
  </si>
  <si>
    <t>Operating Margin</t>
  </si>
  <si>
    <t>3-Year Average Operating Margin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</si>
  <si>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</si>
  <si>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</si>
  <si>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</si>
  <si>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</si>
  <si>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</si>
  <si>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</si>
  <si>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</si>
  <si>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</si>
  <si>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</si>
  <si>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</si>
  <si>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</si>
  <si>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</si>
  <si>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</si>
  <si>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</si>
  <si>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</si>
  <si>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3-Year Avg OpMarg</t>
  </si>
  <si>
    <t>Adj Direct Spending</t>
  </si>
  <si>
    <t>DRG</t>
  </si>
  <si>
    <t>PeaceHealth Cottage Grove Community Hospital</t>
  </si>
  <si>
    <t>PeaceHealth Peace Harbor Medical Center</t>
  </si>
  <si>
    <t>PeaceHealth Sacred Heart Medical Center - Riverbend</t>
  </si>
  <si>
    <t>Type B</t>
  </si>
  <si>
    <t>4-Year Average*</t>
  </si>
  <si>
    <t>*4-year average is capped at +/- 10%</t>
  </si>
  <si>
    <t>FY21</t>
  </si>
  <si>
    <t>FY22</t>
  </si>
  <si>
    <t>FY21-FY22</t>
  </si>
  <si>
    <t>FY20-FY21</t>
  </si>
  <si>
    <t>FY24 Minimum Spending Floor</t>
  </si>
  <si>
    <t>FY25 Minimum Spending Floor</t>
  </si>
  <si>
    <t>FY22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</si>
</sst>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0.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2" fillId="2" borderId="5" xfId="0" applyFont="1" applyFill="1" applyBorder="1" applyAlignment="1">
      <alignment horizontal="center"/>
    </xf>
    <xf numFmtId="164" fontId="5" fillId="4" borderId="17" xfId="0" applyNumberFormat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1" applyNumberFormat="1" applyFont="1" applyFill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6" fontId="0" fillId="0" borderId="0" xfId="0" applyNumberFormat="1" applyFill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24</xdr:row>
      <xdr:rowOff>38100</xdr:rowOff>
    </xdr:from>
    <xdr:to>
      <xdr:col>8</xdr:col>
      <xdr:colOff>64473</xdr:colOff>
      <xdr:row>30</xdr:row>
      <xdr:rowOff>6514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E2D5DF-BE53-40D5-ADDD-028619FC7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4791075"/>
          <a:ext cx="6989148" cy="1187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A6" sqref="A6:Z6"/>
    </sheetView>
  </sheetViews>
  <sheetFormatPr defaultRowHeight="14.5" x14ac:dyDescent="0.35"/>
  <cols>
    <col min="1" max="1" width="59.81640625" customWidth="1"/>
    <col min="2" max="2" width="23.453125" customWidth="1"/>
    <col min="3" max="26" width="15.7265625" customWidth="1"/>
  </cols>
  <sheetData>
    <row r="1" spans="1:26" x14ac:dyDescent="0.35">
      <c r="A1" s="70" t="s">
        <v>0</v>
      </c>
      <c r="B1" s="49"/>
      <c r="C1" s="75" t="s">
        <v>1</v>
      </c>
      <c r="D1" s="76"/>
      <c r="E1" s="76"/>
      <c r="F1" s="76"/>
      <c r="G1" s="77"/>
      <c r="H1" s="69" t="s">
        <v>2</v>
      </c>
      <c r="I1" s="69"/>
      <c r="J1" s="69"/>
      <c r="K1" s="69" t="s">
        <v>3</v>
      </c>
      <c r="L1" s="69"/>
      <c r="M1" s="69"/>
      <c r="N1" s="72" t="s">
        <v>11</v>
      </c>
      <c r="O1" s="73"/>
      <c r="P1" s="74"/>
      <c r="Q1" s="1"/>
      <c r="R1" s="69" t="s">
        <v>8</v>
      </c>
      <c r="S1" s="69"/>
      <c r="T1" s="69"/>
      <c r="U1" s="48"/>
      <c r="V1" s="69" t="s">
        <v>27</v>
      </c>
      <c r="W1" s="69"/>
      <c r="X1" s="69"/>
      <c r="Y1" s="69"/>
      <c r="Z1" s="69"/>
    </row>
    <row r="2" spans="1:26" x14ac:dyDescent="0.35">
      <c r="A2" s="71"/>
      <c r="B2" s="47" t="s">
        <v>24</v>
      </c>
      <c r="C2" s="2" t="s">
        <v>4</v>
      </c>
      <c r="D2" s="2" t="s">
        <v>5</v>
      </c>
      <c r="E2" s="2" t="s">
        <v>6</v>
      </c>
      <c r="F2" s="56" t="s">
        <v>37</v>
      </c>
      <c r="G2" s="56" t="s">
        <v>38</v>
      </c>
      <c r="H2" s="2" t="s">
        <v>6</v>
      </c>
      <c r="I2" s="56" t="s">
        <v>37</v>
      </c>
      <c r="J2" s="56" t="s">
        <v>38</v>
      </c>
      <c r="K2" s="2" t="s">
        <v>6</v>
      </c>
      <c r="L2" s="56" t="s">
        <v>37</v>
      </c>
      <c r="M2" s="56" t="s">
        <v>38</v>
      </c>
      <c r="N2" s="2" t="s">
        <v>6</v>
      </c>
      <c r="O2" s="56" t="s">
        <v>37</v>
      </c>
      <c r="P2" s="56" t="s">
        <v>38</v>
      </c>
      <c r="Q2" s="2" t="s">
        <v>26</v>
      </c>
      <c r="R2" s="2" t="s">
        <v>6</v>
      </c>
      <c r="S2" s="56" t="s">
        <v>37</v>
      </c>
      <c r="T2" s="56" t="s">
        <v>38</v>
      </c>
      <c r="U2" s="48" t="s">
        <v>26</v>
      </c>
      <c r="V2" s="53" t="s">
        <v>19</v>
      </c>
      <c r="W2" s="53" t="s">
        <v>20</v>
      </c>
      <c r="X2" s="53" t="s">
        <v>40</v>
      </c>
      <c r="Y2" s="53" t="s">
        <v>39</v>
      </c>
      <c r="Z2" s="53" t="s">
        <v>21</v>
      </c>
    </row>
    <row r="3" spans="1:26" s="58" customFormat="1" x14ac:dyDescent="0.35">
      <c r="A3" s="58" t="s">
        <v>31</v>
      </c>
      <c r="B3" s="64" t="s">
        <v>34</v>
      </c>
      <c r="C3" s="65">
        <v>35794076</v>
      </c>
      <c r="D3" s="65">
        <v>45155821</v>
      </c>
      <c r="E3" s="65">
        <v>44295046</v>
      </c>
      <c r="F3" s="66">
        <v>52007315</v>
      </c>
      <c r="G3" s="66">
        <v>53030427</v>
      </c>
      <c r="H3" s="65">
        <v>43810932</v>
      </c>
      <c r="I3" s="67">
        <v>52721197</v>
      </c>
      <c r="J3" s="66">
        <v>54352950</v>
      </c>
      <c r="K3" s="65">
        <v>43228301</v>
      </c>
      <c r="L3" s="65">
        <v>44274397</v>
      </c>
      <c r="M3" s="66">
        <v>49313197</v>
      </c>
      <c r="N3" s="62">
        <f t="shared" ref="N3:P6" si="0">(H3-K3)/H3</f>
        <v>1.3298758401213652E-2</v>
      </c>
      <c r="O3" s="62">
        <f t="shared" si="0"/>
        <v>0.16021639265891477</v>
      </c>
      <c r="P3" s="63">
        <f t="shared" si="0"/>
        <v>9.2722713302589826E-2</v>
      </c>
      <c r="Q3" s="62">
        <f>AVERAGE(N3:P3)</f>
        <v>8.8745954787572745E-2</v>
      </c>
      <c r="R3" s="65">
        <v>1348696</v>
      </c>
      <c r="S3" s="65">
        <v>745625.22479999997</v>
      </c>
      <c r="T3" s="67">
        <v>926221.0017379201</v>
      </c>
      <c r="U3" s="65">
        <f>AVERAGE(R3:T3)</f>
        <v>1006847.4088459733</v>
      </c>
      <c r="V3" s="62">
        <f t="shared" ref="V3:Y6" si="1">(D3-C3)/C3</f>
        <v>0.261544536028811</v>
      </c>
      <c r="W3" s="62">
        <f t="shared" si="1"/>
        <v>-1.9062326427416745E-2</v>
      </c>
      <c r="X3" s="63">
        <f t="shared" si="1"/>
        <v>0.17411132161370824</v>
      </c>
      <c r="Y3" s="63">
        <f t="shared" si="1"/>
        <v>1.9672463383275988E-2</v>
      </c>
      <c r="Z3" s="63">
        <f>AVERAGE(V3:Y3)</f>
        <v>0.10906649864959463</v>
      </c>
    </row>
    <row r="4" spans="1:26" s="58" customFormat="1" x14ac:dyDescent="0.35">
      <c r="A4" s="58" t="s">
        <v>32</v>
      </c>
      <c r="B4" s="64" t="s">
        <v>34</v>
      </c>
      <c r="C4" s="65">
        <v>70806751</v>
      </c>
      <c r="D4" s="65">
        <v>90998255</v>
      </c>
      <c r="E4" s="65">
        <v>84208998</v>
      </c>
      <c r="F4" s="66">
        <v>92136992</v>
      </c>
      <c r="G4" s="66">
        <v>97562395</v>
      </c>
      <c r="H4" s="65">
        <v>92269589</v>
      </c>
      <c r="I4" s="67">
        <v>97171485</v>
      </c>
      <c r="J4" s="66">
        <v>100252110</v>
      </c>
      <c r="K4" s="65">
        <v>92490612</v>
      </c>
      <c r="L4" s="65">
        <v>103499042</v>
      </c>
      <c r="M4" s="66">
        <v>113196860</v>
      </c>
      <c r="N4" s="62">
        <f t="shared" si="0"/>
        <v>-2.3954046224265724E-3</v>
      </c>
      <c r="O4" s="62">
        <f t="shared" si="0"/>
        <v>-6.5117426166740169E-2</v>
      </c>
      <c r="P4" s="63">
        <f t="shared" si="0"/>
        <v>-0.12912197059992053</v>
      </c>
      <c r="Q4" s="62">
        <f>AVERAGE(N4:P4)</f>
        <v>-6.5544933796362434E-2</v>
      </c>
      <c r="R4" s="65">
        <v>2442313</v>
      </c>
      <c r="S4" s="65">
        <v>1627772.6259999999</v>
      </c>
      <c r="T4" s="67">
        <v>6622995.1336302506</v>
      </c>
      <c r="U4" s="65">
        <f>AVERAGE(R4:T4)</f>
        <v>3564360.253210084</v>
      </c>
      <c r="V4" s="62">
        <f t="shared" si="1"/>
        <v>0.28516354323332815</v>
      </c>
      <c r="W4" s="62">
        <f t="shared" si="1"/>
        <v>-7.460865046258304E-2</v>
      </c>
      <c r="X4" s="63">
        <f t="shared" si="1"/>
        <v>9.4146637393785398E-2</v>
      </c>
      <c r="Y4" s="63">
        <f t="shared" si="1"/>
        <v>5.8884090767799324E-2</v>
      </c>
      <c r="Z4" s="63">
        <f>AVERAGE(V4:Y4)</f>
        <v>9.0896405233082456E-2</v>
      </c>
    </row>
    <row r="5" spans="1:26" s="58" customFormat="1" x14ac:dyDescent="0.35">
      <c r="A5" s="58" t="s">
        <v>33</v>
      </c>
      <c r="B5" s="64" t="s">
        <v>30</v>
      </c>
      <c r="C5" s="65">
        <v>690548902</v>
      </c>
      <c r="D5" s="65">
        <v>741832154</v>
      </c>
      <c r="E5" s="65">
        <v>715281006</v>
      </c>
      <c r="F5" s="68">
        <v>767835761</v>
      </c>
      <c r="G5" s="66">
        <v>807975800</v>
      </c>
      <c r="H5" s="65">
        <v>743019647</v>
      </c>
      <c r="I5" s="65">
        <v>772159295</v>
      </c>
      <c r="J5" s="66">
        <v>812538087</v>
      </c>
      <c r="K5" s="65">
        <v>671823588</v>
      </c>
      <c r="L5" s="65">
        <v>708094683</v>
      </c>
      <c r="M5" s="66">
        <v>805302070</v>
      </c>
      <c r="N5" s="62">
        <f t="shared" si="0"/>
        <v>9.5819887519071209E-2</v>
      </c>
      <c r="O5" s="62">
        <f t="shared" si="0"/>
        <v>8.296812900503904E-2</v>
      </c>
      <c r="P5" s="63">
        <f t="shared" si="0"/>
        <v>8.9054496223264432E-3</v>
      </c>
      <c r="Q5" s="62">
        <f>AVERAGE(N5:P5)</f>
        <v>6.25644887154789E-2</v>
      </c>
      <c r="R5" s="65">
        <v>79731508</v>
      </c>
      <c r="S5" s="65">
        <v>87975828.989999995</v>
      </c>
      <c r="T5" s="67">
        <v>97587225.562947273</v>
      </c>
      <c r="U5" s="65">
        <f>AVERAGE(R5:T5)</f>
        <v>88431520.850982428</v>
      </c>
      <c r="V5" s="62">
        <f t="shared" si="1"/>
        <v>7.4264475479536712E-2</v>
      </c>
      <c r="W5" s="62">
        <f t="shared" si="1"/>
        <v>-3.5791314594325337E-2</v>
      </c>
      <c r="X5" s="63">
        <f t="shared" si="1"/>
        <v>7.3474277324791712E-2</v>
      </c>
      <c r="Y5" s="63">
        <f t="shared" si="1"/>
        <v>5.2276855336515125E-2</v>
      </c>
      <c r="Z5" s="63">
        <f>AVERAGE(V5:Y5)</f>
        <v>4.1056073386629553E-2</v>
      </c>
    </row>
    <row r="6" spans="1:26" s="58" customFormat="1" x14ac:dyDescent="0.35">
      <c r="B6" s="64"/>
      <c r="C6" s="65"/>
      <c r="D6" s="65"/>
      <c r="E6" s="65"/>
      <c r="F6" s="68"/>
      <c r="G6" s="66"/>
      <c r="H6" s="65"/>
      <c r="I6" s="65"/>
      <c r="J6" s="66"/>
      <c r="K6" s="65"/>
      <c r="L6" s="65"/>
      <c r="M6" s="66"/>
      <c r="N6" s="62"/>
      <c r="O6" s="62"/>
      <c r="P6" s="63"/>
      <c r="Q6" s="62"/>
      <c r="R6" s="65"/>
      <c r="S6" s="65"/>
      <c r="T6" s="67"/>
      <c r="U6" s="65"/>
      <c r="V6" s="62"/>
      <c r="W6" s="62"/>
      <c r="X6" s="63"/>
      <c r="Y6" s="63"/>
      <c r="Z6" s="63"/>
    </row>
    <row r="7" spans="1:26" x14ac:dyDescent="0.35">
      <c r="B7" s="5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3"/>
      <c r="S7" s="3"/>
      <c r="T7" s="3"/>
      <c r="U7" s="3"/>
      <c r="V7" s="60"/>
      <c r="W7" s="60"/>
      <c r="X7" s="60"/>
      <c r="Y7" s="60"/>
      <c r="Z7" s="61"/>
    </row>
    <row r="8" spans="1:26" x14ac:dyDescent="0.35">
      <c r="A8" s="4" t="s">
        <v>7</v>
      </c>
      <c r="B8" s="4"/>
      <c r="C8" s="59">
        <f t="shared" ref="C8:M8" si="2">SUM(C3:C7)</f>
        <v>797149729</v>
      </c>
      <c r="D8" s="59">
        <f t="shared" si="2"/>
        <v>877986230</v>
      </c>
      <c r="E8" s="59">
        <f t="shared" si="2"/>
        <v>843785050</v>
      </c>
      <c r="F8" s="59">
        <f t="shared" si="2"/>
        <v>911980068</v>
      </c>
      <c r="G8" s="59">
        <f t="shared" si="2"/>
        <v>958568622</v>
      </c>
      <c r="H8" s="59">
        <f t="shared" si="2"/>
        <v>879100168</v>
      </c>
      <c r="I8" s="59">
        <f t="shared" si="2"/>
        <v>922051977</v>
      </c>
      <c r="J8" s="59">
        <f t="shared" si="2"/>
        <v>967143147</v>
      </c>
      <c r="K8" s="59">
        <f t="shared" si="2"/>
        <v>807542501</v>
      </c>
      <c r="L8" s="59">
        <f t="shared" si="2"/>
        <v>855868122</v>
      </c>
      <c r="M8" s="59">
        <f t="shared" si="2"/>
        <v>967812127</v>
      </c>
      <c r="N8" s="60">
        <f>(H8-K8)/H8</f>
        <v>8.1398763877838315E-2</v>
      </c>
      <c r="O8" s="60">
        <f>(I8-L8)/I8</f>
        <v>7.177887651771718E-2</v>
      </c>
      <c r="P8" s="60">
        <f>(J8-M8)/J8</f>
        <v>-6.917073259270068E-4</v>
      </c>
      <c r="Q8" s="60">
        <f>AVERAGE(N8:P8)</f>
        <v>5.0828644356542829E-2</v>
      </c>
      <c r="R8" s="59">
        <f>SUM(R3:R7)</f>
        <v>83522517</v>
      </c>
      <c r="S8" s="59">
        <f>SUM(S3:S7)</f>
        <v>90349226.840799987</v>
      </c>
      <c r="T8" s="59">
        <f>SUM(T3:T7)</f>
        <v>105136441.69831544</v>
      </c>
      <c r="U8" s="59">
        <f>AVERAGE(R8:T8)</f>
        <v>93002728.513038471</v>
      </c>
      <c r="V8" s="60">
        <f>(D8-C8)/C8</f>
        <v>0.10140692276394163</v>
      </c>
      <c r="W8" s="60">
        <f t="shared" ref="W8" si="3">(E8-D8)/D8</f>
        <v>-3.8954118904575528E-2</v>
      </c>
      <c r="X8" s="60">
        <f t="shared" ref="X8" si="4">(F8-E8)/E8</f>
        <v>8.0820367699095882E-2</v>
      </c>
      <c r="Y8" s="60">
        <f t="shared" ref="Y8" si="5">(G8-F8)/F8</f>
        <v>5.1085057266843689E-2</v>
      </c>
      <c r="Z8" s="61">
        <f>AVERAGE(V8:Y8)</f>
        <v>4.858955720632642E-2</v>
      </c>
    </row>
    <row r="9" spans="1:26" x14ac:dyDescent="0.35">
      <c r="Q9" s="15"/>
      <c r="V9" s="35"/>
      <c r="W9" s="35"/>
      <c r="X9" s="35"/>
      <c r="Y9" s="35"/>
      <c r="Z9" s="35"/>
    </row>
  </sheetData>
  <mergeCells count="7">
    <mergeCell ref="V1:Z1"/>
    <mergeCell ref="A1:A2"/>
    <mergeCell ref="H1:J1"/>
    <mergeCell ref="K1:M1"/>
    <mergeCell ref="R1:T1"/>
    <mergeCell ref="N1:P1"/>
    <mergeCell ref="C1:G1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B1" workbookViewId="0">
      <selection activeCell="C14" sqref="C14"/>
    </sheetView>
  </sheetViews>
  <sheetFormatPr defaultRowHeight="14.5" x14ac:dyDescent="0.35"/>
  <cols>
    <col min="2" max="2" width="56.453125" customWidth="1"/>
    <col min="3" max="3" width="22.7265625" customWidth="1"/>
    <col min="4" max="4" width="12.7265625" customWidth="1"/>
    <col min="6" max="6" width="56.1796875" customWidth="1"/>
    <col min="7" max="10" width="22.7265625" style="35" customWidth="1"/>
    <col min="11" max="11" width="16" customWidth="1"/>
    <col min="12" max="12" width="22.7265625" customWidth="1"/>
    <col min="13" max="13" width="24.1796875" customWidth="1"/>
  </cols>
  <sheetData>
    <row r="1" spans="2:13" ht="15" thickBot="1" x14ac:dyDescent="0.4"/>
    <row r="2" spans="2:13" ht="19" thickBot="1" x14ac:dyDescent="0.5">
      <c r="B2" s="78" t="s">
        <v>41</v>
      </c>
      <c r="C2" s="79"/>
      <c r="D2" s="6"/>
      <c r="F2" s="81" t="s">
        <v>42</v>
      </c>
      <c r="G2" s="82"/>
      <c r="H2" s="82"/>
      <c r="I2" s="82"/>
      <c r="J2" s="82"/>
      <c r="K2" s="82"/>
      <c r="L2" s="82"/>
      <c r="M2" s="83"/>
    </row>
    <row r="3" spans="2:13" ht="18.75" customHeight="1" x14ac:dyDescent="0.35">
      <c r="B3" s="17" t="s">
        <v>9</v>
      </c>
      <c r="C3" s="13"/>
      <c r="D3" s="8"/>
      <c r="F3" s="34" t="s">
        <v>18</v>
      </c>
      <c r="G3" s="36" t="s">
        <v>19</v>
      </c>
      <c r="H3" s="36" t="s">
        <v>20</v>
      </c>
      <c r="I3" s="36" t="s">
        <v>40</v>
      </c>
      <c r="J3" s="36" t="s">
        <v>39</v>
      </c>
      <c r="K3" s="43" t="s">
        <v>35</v>
      </c>
      <c r="L3" s="43" t="s">
        <v>22</v>
      </c>
      <c r="M3" s="44" t="s">
        <v>23</v>
      </c>
    </row>
    <row r="4" spans="2:13" x14ac:dyDescent="0.35">
      <c r="B4" s="7" t="str">
        <f>Data!A3</f>
        <v>PeaceHealth Cottage Grove Community Hospital</v>
      </c>
      <c r="C4" s="21">
        <f>Data!U3</f>
        <v>1006847.4088459733</v>
      </c>
      <c r="D4" s="20"/>
      <c r="F4" s="7" t="str">
        <f>Data!A3</f>
        <v>PeaceHealth Cottage Grove Community Hospital</v>
      </c>
      <c r="G4" s="37">
        <f>Data!V3</f>
        <v>0.261544536028811</v>
      </c>
      <c r="H4" s="37">
        <f>Data!W3</f>
        <v>-1.9062326427416745E-2</v>
      </c>
      <c r="I4" s="37">
        <f>Data!X3</f>
        <v>0.17411132161370824</v>
      </c>
      <c r="J4" s="37">
        <f>Data!Y3</f>
        <v>1.9672463383275988E-2</v>
      </c>
      <c r="K4" s="37">
        <f>IF(Data!Z3&lt;0.1,Data!Z3, 0.1)</f>
        <v>0.1</v>
      </c>
      <c r="L4" s="21">
        <f>(C4+C24)</f>
        <v>1563666.8923459733</v>
      </c>
      <c r="M4" s="20">
        <f>L4+(L4*K4)</f>
        <v>1720033.5815805707</v>
      </c>
    </row>
    <row r="5" spans="2:13" x14ac:dyDescent="0.35">
      <c r="B5" s="7" t="str">
        <f>Data!A4</f>
        <v>PeaceHealth Peace Harbor Medical Center</v>
      </c>
      <c r="C5" s="21">
        <f>Data!U4</f>
        <v>3564360.253210084</v>
      </c>
      <c r="D5" s="20"/>
      <c r="F5" s="7" t="str">
        <f>Data!A4</f>
        <v>PeaceHealth Peace Harbor Medical Center</v>
      </c>
      <c r="G5" s="37">
        <f>Data!V4</f>
        <v>0.28516354323332815</v>
      </c>
      <c r="H5" s="37">
        <f>Data!W4</f>
        <v>-7.460865046258304E-2</v>
      </c>
      <c r="I5" s="37">
        <f>Data!X4</f>
        <v>9.4146637393785398E-2</v>
      </c>
      <c r="J5" s="37">
        <f>Data!Y4</f>
        <v>5.8884090767799324E-2</v>
      </c>
      <c r="K5" s="37">
        <f>IF(Data!Z4&lt;0.1,Data!Z4, 0.1)</f>
        <v>9.0896405233082456E-2</v>
      </c>
      <c r="L5" s="21">
        <f t="shared" ref="L5:L7" si="0">(C5+C25)</f>
        <v>4296078.215710084</v>
      </c>
      <c r="M5" s="20">
        <f t="shared" ref="M5:M7" si="1">L5+(L5*K5)</f>
        <v>4686576.2821182851</v>
      </c>
    </row>
    <row r="6" spans="2:13" x14ac:dyDescent="0.35">
      <c r="B6" s="7" t="str">
        <f>Data!A5</f>
        <v>PeaceHealth Sacred Heart Medical Center - Riverbend</v>
      </c>
      <c r="C6" s="21">
        <f>Data!U5</f>
        <v>88431520.850982428</v>
      </c>
      <c r="D6" s="20"/>
      <c r="F6" s="7" t="str">
        <f>Data!A5</f>
        <v>PeaceHealth Sacred Heart Medical Center - Riverbend</v>
      </c>
      <c r="G6" s="37">
        <f>Data!V5</f>
        <v>7.4264475479536712E-2</v>
      </c>
      <c r="H6" s="37">
        <f>Data!W5</f>
        <v>-3.5791314594325337E-2</v>
      </c>
      <c r="I6" s="37">
        <f>Data!X5</f>
        <v>7.3474277324791712E-2</v>
      </c>
      <c r="J6" s="37">
        <f>Data!Y5</f>
        <v>5.2276855336515125E-2</v>
      </c>
      <c r="K6" s="37">
        <f>IF(Data!Z5&lt;0.1,Data!Z5, 0.1)</f>
        <v>4.1056073386629553E-2</v>
      </c>
      <c r="L6" s="21">
        <f t="shared" si="0"/>
        <v>101157139.70098242</v>
      </c>
      <c r="M6" s="20">
        <f t="shared" si="1"/>
        <v>105310254.65212749</v>
      </c>
    </row>
    <row r="7" spans="2:13" x14ac:dyDescent="0.35">
      <c r="B7" s="7">
        <f>Data!A6</f>
        <v>0</v>
      </c>
      <c r="C7" s="21">
        <f>Data!U6</f>
        <v>0</v>
      </c>
      <c r="D7" s="20"/>
      <c r="F7" s="7">
        <f>Data!A6</f>
        <v>0</v>
      </c>
      <c r="G7" s="37">
        <f>Data!V6</f>
        <v>0</v>
      </c>
      <c r="H7" s="37">
        <f>Data!W6</f>
        <v>0</v>
      </c>
      <c r="I7" s="37">
        <f>Data!X6</f>
        <v>0</v>
      </c>
      <c r="J7" s="37">
        <f>Data!Y6</f>
        <v>0</v>
      </c>
      <c r="K7" s="37">
        <f>IF(Data!Z6&lt;0.1,Data!Z6, 0.1)</f>
        <v>0</v>
      </c>
      <c r="L7" s="21">
        <f t="shared" si="0"/>
        <v>0</v>
      </c>
      <c r="M7" s="20">
        <f t="shared" si="1"/>
        <v>0</v>
      </c>
    </row>
    <row r="8" spans="2:13" ht="15" thickBot="1" x14ac:dyDescent="0.4">
      <c r="B8" s="7"/>
      <c r="C8" s="21"/>
      <c r="D8" s="20"/>
      <c r="F8" s="41"/>
      <c r="G8" s="42"/>
      <c r="H8" s="42"/>
      <c r="I8" s="42"/>
      <c r="J8" s="42"/>
      <c r="K8" s="42"/>
      <c r="L8" s="45"/>
      <c r="M8" s="46"/>
    </row>
    <row r="9" spans="2:13" ht="16" thickBot="1" x14ac:dyDescent="0.4">
      <c r="B9" s="14" t="s">
        <v>13</v>
      </c>
      <c r="C9" s="29">
        <f>SUM(C4:C8)</f>
        <v>93002728.513038486</v>
      </c>
      <c r="D9" s="18"/>
      <c r="F9" s="38" t="s">
        <v>42</v>
      </c>
      <c r="G9" s="57">
        <f>SUM(M4:M8)</f>
        <v>111716864.51582634</v>
      </c>
      <c r="H9" s="39"/>
      <c r="I9" s="39"/>
      <c r="J9" s="39"/>
      <c r="K9" s="15"/>
    </row>
    <row r="10" spans="2:13" ht="15.5" x14ac:dyDescent="0.35">
      <c r="B10" s="16" t="s">
        <v>10</v>
      </c>
      <c r="C10" s="54" t="s">
        <v>43</v>
      </c>
      <c r="D10" s="52" t="s">
        <v>25</v>
      </c>
      <c r="F10" s="55" t="s">
        <v>36</v>
      </c>
      <c r="G10" s="39"/>
      <c r="H10" s="40"/>
      <c r="I10" s="40"/>
      <c r="J10" s="40"/>
    </row>
    <row r="11" spans="2:13" x14ac:dyDescent="0.35">
      <c r="B11" s="7" t="str">
        <f>Data!A3</f>
        <v>PeaceHealth Cottage Grove Community Hospital</v>
      </c>
      <c r="C11" s="21">
        <f>Data!G3*D11</f>
        <v>530304.27</v>
      </c>
      <c r="D11" s="51">
        <f>IF(Data!B3="DRG",0.015,0.01)</f>
        <v>0.01</v>
      </c>
    </row>
    <row r="12" spans="2:13" x14ac:dyDescent="0.35">
      <c r="B12" s="7" t="str">
        <f>Data!A4</f>
        <v>PeaceHealth Peace Harbor Medical Center</v>
      </c>
      <c r="C12" s="21">
        <f>Data!G4*D12</f>
        <v>975623.95000000007</v>
      </c>
      <c r="D12" s="51">
        <f>IF(Data!B4="DRG",0.015,0.01)</f>
        <v>0.01</v>
      </c>
    </row>
    <row r="13" spans="2:13" x14ac:dyDescent="0.35">
      <c r="B13" s="7" t="str">
        <f>Data!A5</f>
        <v>PeaceHealth Sacred Heart Medical Center - Riverbend</v>
      </c>
      <c r="C13" s="21">
        <f>Data!G5*D13</f>
        <v>12119637</v>
      </c>
      <c r="D13" s="51">
        <f>IF(Data!B5="DRG",0.015,0.01)</f>
        <v>1.4999999999999999E-2</v>
      </c>
    </row>
    <row r="14" spans="2:13" x14ac:dyDescent="0.35">
      <c r="B14" s="7">
        <f>Data!A6</f>
        <v>0</v>
      </c>
      <c r="C14" s="21">
        <f>Data!G6*D14</f>
        <v>0</v>
      </c>
      <c r="D14" s="51">
        <f>IF(Data!B6="DRG",0.015,0.01)</f>
        <v>0.01</v>
      </c>
    </row>
    <row r="15" spans="2:13" x14ac:dyDescent="0.35">
      <c r="B15" s="7"/>
      <c r="C15" s="21"/>
      <c r="D15" s="51"/>
    </row>
    <row r="16" spans="2:13" ht="15.5" x14ac:dyDescent="0.35">
      <c r="B16" s="7" t="s">
        <v>14</v>
      </c>
      <c r="C16" s="22">
        <f>SUM(C11:C15)</f>
        <v>13625565.220000001</v>
      </c>
      <c r="D16" s="9"/>
    </row>
    <row r="17" spans="2:7" ht="15" customHeight="1" x14ac:dyDescent="0.35">
      <c r="B17" s="16" t="s">
        <v>12</v>
      </c>
      <c r="C17" s="54" t="s">
        <v>28</v>
      </c>
      <c r="D17" s="25" t="s">
        <v>16</v>
      </c>
      <c r="F17" s="80"/>
      <c r="G17" s="80"/>
    </row>
    <row r="18" spans="2:7" x14ac:dyDescent="0.35">
      <c r="B18" s="7" t="str">
        <f>Data!A3</f>
        <v>PeaceHealth Cottage Grove Community Hospital</v>
      </c>
      <c r="C18" s="23">
        <f>Data!Q3</f>
        <v>8.8745954787572745E-2</v>
      </c>
      <c r="D18" s="26">
        <f>IF(C18&lt;-0.02,0.75,IF(C18&lt;0,0.8,IF(C18&lt;0.03,0.9,IF(C18&lt;0.06,1,1.05))))</f>
        <v>1.05</v>
      </c>
    </row>
    <row r="19" spans="2:7" x14ac:dyDescent="0.35">
      <c r="B19" s="7" t="str">
        <f>Data!A4</f>
        <v>PeaceHealth Peace Harbor Medical Center</v>
      </c>
      <c r="C19" s="23">
        <f>Data!Q4</f>
        <v>-6.5544933796362434E-2</v>
      </c>
      <c r="D19" s="26">
        <f t="shared" ref="D19:D21" si="2">IF(C19&lt;-0.02,0.75,IF(C19&lt;0,0.8,IF(C19&lt;0.03,0.9,IF(C19&lt;0.06,1,1.05))))</f>
        <v>0.75</v>
      </c>
    </row>
    <row r="20" spans="2:7" x14ac:dyDescent="0.35">
      <c r="B20" s="7" t="str">
        <f>Data!A5</f>
        <v>PeaceHealth Sacred Heart Medical Center - Riverbend</v>
      </c>
      <c r="C20" s="23">
        <f>Data!Q5</f>
        <v>6.25644887154789E-2</v>
      </c>
      <c r="D20" s="26">
        <f t="shared" si="2"/>
        <v>1.05</v>
      </c>
    </row>
    <row r="21" spans="2:7" x14ac:dyDescent="0.35">
      <c r="B21" s="7">
        <f>Data!A6</f>
        <v>0</v>
      </c>
      <c r="C21" s="23">
        <f>Data!Q6</f>
        <v>0</v>
      </c>
      <c r="D21" s="26">
        <f t="shared" si="2"/>
        <v>0.9</v>
      </c>
    </row>
    <row r="22" spans="2:7" x14ac:dyDescent="0.35">
      <c r="B22" s="7"/>
      <c r="C22" s="23"/>
      <c r="D22" s="26"/>
    </row>
    <row r="23" spans="2:7" ht="15.5" x14ac:dyDescent="0.35">
      <c r="B23" s="27" t="s">
        <v>17</v>
      </c>
      <c r="C23" s="24" t="s">
        <v>29</v>
      </c>
      <c r="D23" s="28"/>
    </row>
    <row r="24" spans="2:7" ht="15.5" x14ac:dyDescent="0.35">
      <c r="B24" s="7" t="str">
        <f>Data!A3</f>
        <v>PeaceHealth Cottage Grove Community Hospital</v>
      </c>
      <c r="C24" s="22">
        <f>C11*D18</f>
        <v>556819.48350000009</v>
      </c>
      <c r="D24" s="10"/>
    </row>
    <row r="25" spans="2:7" ht="15.5" x14ac:dyDescent="0.35">
      <c r="B25" s="7" t="str">
        <f>Data!A4</f>
        <v>PeaceHealth Peace Harbor Medical Center</v>
      </c>
      <c r="C25" s="22">
        <f t="shared" ref="C25:C27" si="3">C12*D19</f>
        <v>731717.96250000002</v>
      </c>
      <c r="D25" s="8"/>
    </row>
    <row r="26" spans="2:7" ht="15.5" x14ac:dyDescent="0.35">
      <c r="B26" s="7" t="str">
        <f>Data!A5</f>
        <v>PeaceHealth Sacred Heart Medical Center - Riverbend</v>
      </c>
      <c r="C26" s="22">
        <f t="shared" si="3"/>
        <v>12725618.85</v>
      </c>
      <c r="D26" s="8"/>
    </row>
    <row r="27" spans="2:7" ht="15.5" x14ac:dyDescent="0.35">
      <c r="B27" s="7">
        <f>Data!A6</f>
        <v>0</v>
      </c>
      <c r="C27" s="22">
        <f t="shared" si="3"/>
        <v>0</v>
      </c>
      <c r="D27" s="8"/>
    </row>
    <row r="28" spans="2:7" ht="15.5" x14ac:dyDescent="0.35">
      <c r="B28" s="7"/>
      <c r="C28" s="22"/>
      <c r="D28" s="8"/>
    </row>
    <row r="29" spans="2:7" ht="16" thickBot="1" x14ac:dyDescent="0.4">
      <c r="B29" s="30" t="s">
        <v>15</v>
      </c>
      <c r="C29" s="31">
        <f>SUM(C24:C28)</f>
        <v>14014156.296</v>
      </c>
      <c r="D29" s="19"/>
    </row>
    <row r="30" spans="2:7" ht="16" thickBot="1" x14ac:dyDescent="0.4">
      <c r="B30" s="32" t="s">
        <v>41</v>
      </c>
      <c r="C30" s="33">
        <f>C9+C29</f>
        <v>107016884.80903849</v>
      </c>
      <c r="D30" s="11"/>
    </row>
    <row r="32" spans="2:7" x14ac:dyDescent="0.35">
      <c r="B32" s="12"/>
    </row>
  </sheetData>
  <mergeCells count="3">
    <mergeCell ref="B2:C2"/>
    <mergeCell ref="F17:G17"/>
    <mergeCell ref="F2:M2"/>
  </mergeCells>
  <phoneticPr fontId="7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https://www.oregon.gov/oha/HPA/ANALYTICS/HospitalDocuments/FY24-25%20MSF%20Calculation%20Modification%20PeaceHealth%20System%20PeaceHealth%20Peace%20Harbor%20Med%20Ctr.xlsx</Url>
      <Description>FY24-25 MSF Calculation Modification PeaceHealth System PeaceHealth Peace Harbor Med Ctr.xlsx</Description>
    </URL>
    <Meta_x0020_Keywords xmlns="10bab1ba-c75a-4166-8cdc-bbc3bb77138e" xsi:nil="true"/>
    <Meta_x0020_Description xmlns="10bab1ba-c75a-4166-8cdc-bbc3bb77138e" xsi:nil="true"/>
    <Hospital xmlns="10bab1ba-c75a-4166-8cdc-bbc3bb77138e">PeaceHealth Peace Harbor Medical Center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4802EF-B82A-42D7-BE3F-7246467D3516}"/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FY24-25 MSF Calculation Modification PeaceHealth System PeaceHealth Peace Harbor Med Ctr.xlsx</dc:title>
  <dc:creator>Chris Holland</dc:creator>
  <cp:lastModifiedBy>Ranzoni Steven</cp:lastModifiedBy>
  <dcterms:created xsi:type="dcterms:W3CDTF">2021-01-08T22:48:27Z</dcterms:created>
  <dcterms:modified xsi:type="dcterms:W3CDTF">2025-05-06T20:42:18Z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cc355e29-d0b2-4625-b17b-e81e368dee1c,3;cc355e29-d0b2-4625-b17b-e81e368dee1c,5;cc355e29-d0b2-4625-b17b-e81e368dee1c,7;</vt:lpwstr>
  </property>
</Properties>
</file>