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4 - 25\Group 5\Providence Health System\"/>
    </mc:Choice>
  </mc:AlternateContent>
  <xr:revisionPtr revIDLastSave="0" documentId="8_{4A15D60F-8289-4696-A178-69FD70D16D1F}" xr6:coauthVersionLast="47" xr6:coauthVersionMax="47" xr10:uidLastSave="{00000000-0000-0000-0000-000000000000}"/>
  <bookViews>
    <workbookView xWindow="28860" yWindow="45" windowWidth="28605" windowHeight="15315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3" i="2" l="1"/>
  <c r="C54" i="2" s="1"/>
  <c r="G15" i="2"/>
  <c r="K12" i="2"/>
  <c r="C18" i="2"/>
  <c r="C43" i="2" s="1"/>
  <c r="C17" i="2"/>
  <c r="C42" i="2" s="1"/>
  <c r="K5" i="2"/>
  <c r="K6" i="2"/>
  <c r="K7" i="2"/>
  <c r="K8" i="2"/>
  <c r="K9" i="2"/>
  <c r="K10" i="2"/>
  <c r="K11" i="2"/>
  <c r="K13" i="2"/>
  <c r="K14" i="2"/>
  <c r="G5" i="2"/>
  <c r="H5" i="2"/>
  <c r="I5" i="2"/>
  <c r="J5" i="2"/>
  <c r="G6" i="2"/>
  <c r="H6" i="2"/>
  <c r="I6" i="2"/>
  <c r="J6" i="2"/>
  <c r="G7" i="2"/>
  <c r="H7" i="2"/>
  <c r="I7" i="2"/>
  <c r="J7" i="2"/>
  <c r="G8" i="2"/>
  <c r="H8" i="2"/>
  <c r="I8" i="2"/>
  <c r="J8" i="2"/>
  <c r="G9" i="2"/>
  <c r="H9" i="2"/>
  <c r="I9" i="2"/>
  <c r="J9" i="2"/>
  <c r="G10" i="2"/>
  <c r="H10" i="2"/>
  <c r="I10" i="2"/>
  <c r="J10" i="2"/>
  <c r="G11" i="2"/>
  <c r="H11" i="2"/>
  <c r="I11" i="2"/>
  <c r="J11" i="2"/>
  <c r="G12" i="2"/>
  <c r="H12" i="2"/>
  <c r="I12" i="2"/>
  <c r="J12" i="2"/>
  <c r="G13" i="2"/>
  <c r="H13" i="2"/>
  <c r="I13" i="2"/>
  <c r="J13" i="2"/>
  <c r="G14" i="2"/>
  <c r="H14" i="2"/>
  <c r="I14" i="2"/>
  <c r="J14" i="2"/>
  <c r="H4" i="2"/>
  <c r="I4" i="2"/>
  <c r="J4" i="2"/>
  <c r="C44" i="2"/>
  <c r="C19" i="2"/>
  <c r="C20" i="2"/>
  <c r="C21" i="2"/>
  <c r="C22" i="2"/>
  <c r="C23" i="2"/>
  <c r="C24" i="2"/>
  <c r="C25" i="2"/>
  <c r="C26" i="2"/>
  <c r="C27" i="2"/>
  <c r="Z14" i="1"/>
  <c r="Z4" i="1"/>
  <c r="Z5" i="1"/>
  <c r="Z6" i="1"/>
  <c r="Z7" i="1"/>
  <c r="Z8" i="1"/>
  <c r="Z9" i="1"/>
  <c r="Z10" i="1"/>
  <c r="Z11" i="1"/>
  <c r="Z12" i="1"/>
  <c r="Z13" i="1"/>
  <c r="Z3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V13" i="1"/>
  <c r="W13" i="1"/>
  <c r="X13" i="1"/>
  <c r="Y13" i="1"/>
  <c r="W3" i="1"/>
  <c r="X3" i="1"/>
  <c r="Y3" i="1"/>
  <c r="V3" i="1"/>
  <c r="N14" i="1"/>
  <c r="P14" i="1"/>
  <c r="O14" i="1"/>
  <c r="Q14" i="1"/>
  <c r="C14" i="1" l="1"/>
  <c r="J14" i="1" l="1"/>
  <c r="Q4" i="1"/>
  <c r="Q5" i="1"/>
  <c r="Q6" i="1"/>
  <c r="Q7" i="1"/>
  <c r="Q8" i="1"/>
  <c r="Q9" i="1"/>
  <c r="Q10" i="1"/>
  <c r="Q3" i="1"/>
  <c r="N4" i="1"/>
  <c r="O4" i="1"/>
  <c r="P4" i="1"/>
  <c r="N5" i="1"/>
  <c r="O5" i="1"/>
  <c r="P5" i="1"/>
  <c r="N6" i="1"/>
  <c r="O6" i="1"/>
  <c r="P6" i="1"/>
  <c r="N7" i="1"/>
  <c r="O7" i="1"/>
  <c r="P7" i="1"/>
  <c r="N8" i="1"/>
  <c r="O8" i="1"/>
  <c r="P8" i="1"/>
  <c r="N9" i="1"/>
  <c r="O9" i="1"/>
  <c r="P9" i="1"/>
  <c r="N10" i="1"/>
  <c r="O10" i="1"/>
  <c r="P10" i="1"/>
  <c r="N11" i="1"/>
  <c r="O11" i="1"/>
  <c r="P11" i="1"/>
  <c r="N12" i="1"/>
  <c r="O12" i="1"/>
  <c r="Q12" i="1" s="1"/>
  <c r="P12" i="1"/>
  <c r="N13" i="1"/>
  <c r="O13" i="1"/>
  <c r="Q13" i="1" s="1"/>
  <c r="P13" i="1"/>
  <c r="O3" i="1"/>
  <c r="P3" i="1"/>
  <c r="M14" i="1"/>
  <c r="L14" i="1"/>
  <c r="K14" i="1"/>
  <c r="I14" i="1"/>
  <c r="H14" i="1"/>
  <c r="G14" i="1"/>
  <c r="F14" i="1"/>
  <c r="E14" i="1"/>
  <c r="D14" i="1"/>
  <c r="U3" i="1"/>
  <c r="R14" i="1"/>
  <c r="S14" i="1"/>
  <c r="T14" i="1"/>
  <c r="U4" i="1"/>
  <c r="U5" i="1"/>
  <c r="U6" i="1"/>
  <c r="U7" i="1"/>
  <c r="U8" i="1"/>
  <c r="U9" i="1"/>
  <c r="U10" i="1"/>
  <c r="U11" i="1"/>
  <c r="C12" i="2" s="1"/>
  <c r="U12" i="1"/>
  <c r="C13" i="2" s="1"/>
  <c r="U13" i="1"/>
  <c r="C14" i="2" s="1"/>
  <c r="N3" i="1"/>
  <c r="F12" i="2"/>
  <c r="F13" i="2"/>
  <c r="F14" i="2"/>
  <c r="F11" i="2"/>
  <c r="B50" i="2"/>
  <c r="B51" i="2"/>
  <c r="B52" i="2"/>
  <c r="B38" i="2"/>
  <c r="B39" i="2"/>
  <c r="B40" i="2"/>
  <c r="D25" i="2"/>
  <c r="D26" i="2"/>
  <c r="D27" i="2"/>
  <c r="B25" i="2"/>
  <c r="B26" i="2"/>
  <c r="B27" i="2"/>
  <c r="B14" i="2"/>
  <c r="B12" i="2"/>
  <c r="B13" i="2"/>
  <c r="Q11" i="1" l="1"/>
  <c r="K4" i="2"/>
  <c r="C36" i="2"/>
  <c r="D36" i="2" s="1"/>
  <c r="C33" i="2"/>
  <c r="D33" i="2" s="1"/>
  <c r="C38" i="2"/>
  <c r="D38" i="2" s="1"/>
  <c r="C50" i="2" s="1"/>
  <c r="L12" i="2" s="1"/>
  <c r="M12" i="2" s="1"/>
  <c r="C35" i="2"/>
  <c r="D35" i="2" s="1"/>
  <c r="C40" i="2"/>
  <c r="D40" i="2" s="1"/>
  <c r="C52" i="2" s="1"/>
  <c r="L14" i="2" s="1"/>
  <c r="C32" i="2"/>
  <c r="D32" i="2" s="1"/>
  <c r="C34" i="2"/>
  <c r="D34" i="2" s="1"/>
  <c r="U14" i="1"/>
  <c r="C39" i="2"/>
  <c r="D39" i="2" s="1"/>
  <c r="C51" i="2" s="1"/>
  <c r="L13" i="2" s="1"/>
  <c r="V14" i="1"/>
  <c r="F5" i="2"/>
  <c r="F6" i="2"/>
  <c r="F7" i="2"/>
  <c r="F8" i="2"/>
  <c r="F9" i="2"/>
  <c r="F10" i="2"/>
  <c r="B43" i="2"/>
  <c r="B44" i="2"/>
  <c r="B45" i="2"/>
  <c r="B46" i="2"/>
  <c r="B47" i="2"/>
  <c r="B48" i="2"/>
  <c r="B49" i="2"/>
  <c r="B31" i="2"/>
  <c r="B32" i="2"/>
  <c r="B33" i="2"/>
  <c r="B34" i="2"/>
  <c r="B35" i="2"/>
  <c r="B36" i="2"/>
  <c r="B37" i="2"/>
  <c r="D18" i="2"/>
  <c r="D19" i="2"/>
  <c r="D20" i="2"/>
  <c r="D21" i="2"/>
  <c r="D22" i="2"/>
  <c r="D23" i="2"/>
  <c r="D24" i="2"/>
  <c r="B24" i="2"/>
  <c r="B18" i="2"/>
  <c r="B19" i="2"/>
  <c r="B20" i="2"/>
  <c r="B21" i="2"/>
  <c r="B22" i="2"/>
  <c r="B23" i="2"/>
  <c r="B11" i="2"/>
  <c r="B5" i="2"/>
  <c r="B6" i="2"/>
  <c r="B7" i="2"/>
  <c r="B8" i="2"/>
  <c r="B9" i="2"/>
  <c r="B10" i="2"/>
  <c r="C5" i="2"/>
  <c r="C6" i="2"/>
  <c r="C7" i="2"/>
  <c r="C8" i="2"/>
  <c r="C9" i="2"/>
  <c r="C10" i="2"/>
  <c r="C11" i="2"/>
  <c r="C31" i="2"/>
  <c r="D31" i="2" s="1"/>
  <c r="C37" i="2"/>
  <c r="D37" i="2" s="1"/>
  <c r="M14" i="2" l="1"/>
  <c r="M13" i="2"/>
  <c r="C48" i="2"/>
  <c r="L10" i="2" s="1"/>
  <c r="L6" i="2"/>
  <c r="M6" i="2" s="1"/>
  <c r="C47" i="2"/>
  <c r="L9" i="2" s="1"/>
  <c r="L5" i="2"/>
  <c r="M5" i="2" s="1"/>
  <c r="C45" i="2"/>
  <c r="L7" i="2" s="1"/>
  <c r="M7" i="2" s="1"/>
  <c r="C49" i="2"/>
  <c r="L11" i="2" s="1"/>
  <c r="C46" i="2"/>
  <c r="L8" i="2" s="1"/>
  <c r="M8" i="2" s="1"/>
  <c r="G4" i="2"/>
  <c r="F4" i="2"/>
  <c r="B42" i="2"/>
  <c r="B30" i="2"/>
  <c r="B17" i="2"/>
  <c r="B4" i="2"/>
  <c r="C4" i="2"/>
  <c r="C15" i="2" s="1"/>
  <c r="M11" i="2" l="1"/>
  <c r="M9" i="2"/>
  <c r="M10" i="2"/>
  <c r="D17" i="2"/>
  <c r="C28" i="2" l="1"/>
  <c r="C30" i="2"/>
  <c r="D30" i="2" s="1"/>
  <c r="X14" i="1"/>
  <c r="L4" i="2" l="1"/>
  <c r="M4" i="2" s="1"/>
  <c r="W14" i="1"/>
  <c r="Y14" i="1"/>
</calcChain>
</file>

<file path=xl/sharedStrings.xml><?xml version="1.0" encoding="utf-8"?>
<sst xmlns="http://schemas.openxmlformats.org/spreadsheetml/2006/main" count="80" uniqueCount="52">
  <si>
    <t>Facility</t>
  </si>
  <si>
    <t>Net Patient Revenue</t>
  </si>
  <si>
    <t>Operating Revenue</t>
  </si>
  <si>
    <t>Total Operating Expense</t>
  </si>
  <si>
    <t>FY18</t>
  </si>
  <si>
    <t>FY20</t>
  </si>
  <si>
    <t>FY19</t>
  </si>
  <si>
    <t>Group Total</t>
  </si>
  <si>
    <t>Unreimbursed Cost of Care</t>
  </si>
  <si>
    <t>3-year Average of Unreimbursed Care</t>
  </si>
  <si>
    <t>Direct Spending Net Patient Revenue %</t>
  </si>
  <si>
    <t>Operating Margin</t>
  </si>
  <si>
    <t>3-Year Average Operating Margin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</si>
  <si>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</si>
  <si>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</si>
  <si>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</si>
  <si>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</si>
  <si>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</si>
  <si>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</si>
  <si>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</si>
  <si>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</si>
  <si>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</si>
  <si>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</si>
  <si>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</si>
  <si>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</si>
  <si>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</si>
  <si>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</si>
  <si>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</si>
  <si>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3-Year Avg OpMarg</t>
  </si>
  <si>
    <t>Adj Direct Spending</t>
  </si>
  <si>
    <t>4-Year Average*</t>
  </si>
  <si>
    <t>* 4-year average is capped at +/- 10%</t>
  </si>
  <si>
    <t>Providence Hood River Memorial Hospital</t>
  </si>
  <si>
    <t>Providence Medford Medical Center</t>
  </si>
  <si>
    <t>Providence Milwaukie Hospital</t>
  </si>
  <si>
    <t>Providence Newberg Medical Center</t>
  </si>
  <si>
    <t>Providence Portland Medical Center</t>
  </si>
  <si>
    <t>Providence Seaside Hospital</t>
  </si>
  <si>
    <t>Providence St. Vincent Medical Center</t>
  </si>
  <si>
    <t>Providence Willamette Falls Medical Center</t>
  </si>
  <si>
    <t>Type B</t>
  </si>
  <si>
    <t>DRG</t>
  </si>
  <si>
    <t>PMG - North - 610</t>
  </si>
  <si>
    <t>PMG - South - 611</t>
  </si>
  <si>
    <t>Clinical Programs - 612</t>
  </si>
  <si>
    <t>FY24 Minimum Spending Floor</t>
  </si>
  <si>
    <t>FY25 Minimum Spending Floor</t>
  </si>
  <si>
    <t>FY22 NPR</t>
  </si>
  <si>
    <t>FY20-FY21</t>
  </si>
  <si>
    <t>FY21-FY22</t>
  </si>
  <si>
    <t>FY21</t>
  </si>
  <si>
    <t>FY22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</si>
</sst>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Fill="1" applyBorder="1"/>
    <xf numFmtId="164" fontId="0" fillId="0" borderId="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/>
    </xf>
    <xf numFmtId="165" fontId="0" fillId="0" borderId="22" xfId="1" applyNumberFormat="1" applyFont="1" applyBorder="1" applyAlignment="1">
      <alignment horizontal="center"/>
    </xf>
    <xf numFmtId="164" fontId="0" fillId="0" borderId="22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5" fillId="0" borderId="20" xfId="0" applyFont="1" applyBorder="1" applyAlignment="1">
      <alignment horizontal="center"/>
    </xf>
    <xf numFmtId="0" fontId="5" fillId="0" borderId="8" xfId="0" applyFont="1" applyBorder="1"/>
    <xf numFmtId="165" fontId="0" fillId="0" borderId="19" xfId="1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165" fontId="0" fillId="0" borderId="0" xfId="1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0" fillId="0" borderId="0" xfId="2" applyNumberFormat="1" applyFont="1" applyFill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64" fontId="5" fillId="4" borderId="12" xfId="0" applyNumberFormat="1" applyFont="1" applyFill="1" applyBorder="1" applyAlignment="1">
      <alignment horizontal="center"/>
    </xf>
    <xf numFmtId="0" fontId="5" fillId="4" borderId="16" xfId="0" applyFont="1" applyFill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47</xdr:row>
      <xdr:rowOff>209550</xdr:rowOff>
    </xdr:from>
    <xdr:to>
      <xdr:col>8</xdr:col>
      <xdr:colOff>83523</xdr:colOff>
      <xdr:row>53</xdr:row>
      <xdr:rowOff>158914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80BFBD-64E2-44BB-93C1-D06F88256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5" y="9410700"/>
          <a:ext cx="6989148" cy="1187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15"/>
  <sheetViews>
    <sheetView tabSelected="1" workbookViewId="0">
      <selection activeCell="R18" sqref="R18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66" t="s">
        <v>0</v>
      </c>
      <c r="B1" s="43"/>
      <c r="C1" s="71" t="s">
        <v>1</v>
      </c>
      <c r="D1" s="72"/>
      <c r="E1" s="72"/>
      <c r="F1" s="72"/>
      <c r="G1" s="73"/>
      <c r="H1" s="65" t="s">
        <v>2</v>
      </c>
      <c r="I1" s="65"/>
      <c r="J1" s="65"/>
      <c r="K1" s="65" t="s">
        <v>3</v>
      </c>
      <c r="L1" s="65"/>
      <c r="M1" s="65"/>
      <c r="N1" s="68" t="s">
        <v>11</v>
      </c>
      <c r="O1" s="69"/>
      <c r="P1" s="70"/>
      <c r="Q1" s="1"/>
      <c r="R1" s="65" t="s">
        <v>8</v>
      </c>
      <c r="S1" s="65"/>
      <c r="T1" s="65"/>
      <c r="U1" s="42"/>
      <c r="V1" s="65" t="s">
        <v>27</v>
      </c>
      <c r="W1" s="65"/>
      <c r="X1" s="65"/>
      <c r="Y1" s="65"/>
      <c r="Z1" s="65"/>
    </row>
    <row r="2" spans="1:26" x14ac:dyDescent="0.25">
      <c r="A2" s="67"/>
      <c r="B2" s="41" t="s">
        <v>24</v>
      </c>
      <c r="C2" s="2" t="s">
        <v>4</v>
      </c>
      <c r="D2" s="2" t="s">
        <v>6</v>
      </c>
      <c r="E2" s="2" t="s">
        <v>5</v>
      </c>
      <c r="F2" s="62" t="s">
        <v>50</v>
      </c>
      <c r="G2" s="62" t="s">
        <v>51</v>
      </c>
      <c r="H2" s="2" t="s">
        <v>5</v>
      </c>
      <c r="I2" s="62" t="s">
        <v>50</v>
      </c>
      <c r="J2" s="62" t="s">
        <v>51</v>
      </c>
      <c r="K2" s="2" t="s">
        <v>5</v>
      </c>
      <c r="L2" s="62" t="s">
        <v>50</v>
      </c>
      <c r="M2" s="62" t="s">
        <v>51</v>
      </c>
      <c r="N2" s="2" t="s">
        <v>5</v>
      </c>
      <c r="O2" s="62" t="s">
        <v>50</v>
      </c>
      <c r="P2" s="62" t="s">
        <v>51</v>
      </c>
      <c r="Q2" s="2" t="s">
        <v>26</v>
      </c>
      <c r="R2" s="2" t="s">
        <v>5</v>
      </c>
      <c r="S2" s="62" t="s">
        <v>50</v>
      </c>
      <c r="T2" s="62" t="s">
        <v>51</v>
      </c>
      <c r="U2" s="42" t="s">
        <v>26</v>
      </c>
      <c r="V2" s="46" t="s">
        <v>19</v>
      </c>
      <c r="W2" s="47" t="s">
        <v>20</v>
      </c>
      <c r="X2" s="47" t="s">
        <v>48</v>
      </c>
      <c r="Y2" s="47" t="s">
        <v>49</v>
      </c>
      <c r="Z2" s="47" t="s">
        <v>21</v>
      </c>
    </row>
    <row r="3" spans="1:26" x14ac:dyDescent="0.25">
      <c r="A3" t="s">
        <v>32</v>
      </c>
      <c r="B3" s="44" t="s">
        <v>40</v>
      </c>
      <c r="C3" s="64">
        <v>95225524</v>
      </c>
      <c r="D3" s="64">
        <v>100026613</v>
      </c>
      <c r="E3" s="64">
        <v>94354193</v>
      </c>
      <c r="F3" s="64">
        <v>110448158.34000011</v>
      </c>
      <c r="G3" s="64">
        <v>113024905.08</v>
      </c>
      <c r="H3" s="64">
        <v>115601651.81999999</v>
      </c>
      <c r="I3" s="64">
        <v>118505250.54000011</v>
      </c>
      <c r="J3" s="80">
        <v>115107695.76000001</v>
      </c>
      <c r="K3" s="64">
        <v>100181989</v>
      </c>
      <c r="L3" s="64">
        <v>112640680.26405945</v>
      </c>
      <c r="M3" s="80">
        <v>126154182.76193678</v>
      </c>
      <c r="N3" s="63">
        <f>(H3-K3)/H3</f>
        <v>0.1333861807096797</v>
      </c>
      <c r="O3" s="63">
        <f t="shared" ref="O3:P3" si="0">(I3-L3)/I3</f>
        <v>4.9487851797428477E-2</v>
      </c>
      <c r="P3" s="63">
        <f t="shared" si="0"/>
        <v>-9.5966537502138405E-2</v>
      </c>
      <c r="Q3" s="63">
        <f>AVERAGE(N3:P3)</f>
        <v>2.8969165001656593E-2</v>
      </c>
      <c r="R3" s="3">
        <v>5091417</v>
      </c>
      <c r="S3" s="64">
        <v>5763716.7885639705</v>
      </c>
      <c r="T3" s="64">
        <v>6761821</v>
      </c>
      <c r="U3" s="3">
        <f>AVERAGE(R3:T3)</f>
        <v>5872318.2628546571</v>
      </c>
      <c r="V3" s="5">
        <f>(D3-C3)/C3</f>
        <v>5.0418089586989304E-2</v>
      </c>
      <c r="W3" s="5">
        <f t="shared" ref="W3:Y3" si="1">(E3-D3)/D3</f>
        <v>-5.6709108005086606E-2</v>
      </c>
      <c r="X3" s="5">
        <f t="shared" si="1"/>
        <v>0.17056968883195375</v>
      </c>
      <c r="Y3" s="5">
        <f t="shared" si="1"/>
        <v>2.3329920378280234E-2</v>
      </c>
      <c r="Z3" s="48">
        <f>AVERAGE(V3:Y3)</f>
        <v>4.6902147698034177E-2</v>
      </c>
    </row>
    <row r="4" spans="1:26" x14ac:dyDescent="0.25">
      <c r="A4" t="s">
        <v>33</v>
      </c>
      <c r="B4" s="44" t="s">
        <v>41</v>
      </c>
      <c r="C4" s="64">
        <v>207588219</v>
      </c>
      <c r="D4" s="64">
        <v>221876688</v>
      </c>
      <c r="E4" s="64">
        <v>196143147</v>
      </c>
      <c r="F4" s="64">
        <v>217573722.05000019</v>
      </c>
      <c r="G4" s="64">
        <v>239757760.56999999</v>
      </c>
      <c r="H4" s="64">
        <v>261941799.09</v>
      </c>
      <c r="I4" s="64">
        <v>226661453.03000018</v>
      </c>
      <c r="J4" s="64">
        <v>246777597.69999999</v>
      </c>
      <c r="K4" s="64">
        <v>221907507</v>
      </c>
      <c r="L4" s="64">
        <v>239872792.86882442</v>
      </c>
      <c r="M4" s="64">
        <v>281315781.64394319</v>
      </c>
      <c r="N4" s="63">
        <f t="shared" ref="N4:N14" si="2">(H4-K4)/H4</f>
        <v>0.15283659281978401</v>
      </c>
      <c r="O4" s="63">
        <f t="shared" ref="O4:O14" si="3">(I4-L4)/I4</f>
        <v>-5.8286663489603728E-2</v>
      </c>
      <c r="P4" s="63">
        <f t="shared" ref="P4:P14" si="4">(J4-M4)/J4</f>
        <v>-0.13995672324329139</v>
      </c>
      <c r="Q4" s="63">
        <f t="shared" ref="Q4:Q14" si="5">AVERAGE(N4:P4)</f>
        <v>-1.5135597971037038E-2</v>
      </c>
      <c r="R4" s="3">
        <v>22494183</v>
      </c>
      <c r="S4" s="64">
        <v>27545859.981064033</v>
      </c>
      <c r="T4" s="64">
        <v>34967660</v>
      </c>
      <c r="U4" s="3">
        <f t="shared" ref="U4:U13" si="6">AVERAGE(R4:T4)</f>
        <v>28335900.993688013</v>
      </c>
      <c r="V4" s="5">
        <f t="shared" ref="V4:V13" si="7">(D4-C4)/C4</f>
        <v>6.883082801534128E-2</v>
      </c>
      <c r="W4" s="5">
        <f t="shared" ref="W4:W13" si="8">(E4-D4)/D4</f>
        <v>-0.11598127424725214</v>
      </c>
      <c r="X4" s="5">
        <f t="shared" ref="X4:X13" si="9">(F4-E4)/E4</f>
        <v>0.1092598715671682</v>
      </c>
      <c r="Y4" s="5">
        <f t="shared" ref="Y4:Y13" si="10">(G4-F4)/F4</f>
        <v>0.10196101951549889</v>
      </c>
      <c r="Z4" s="48">
        <f t="shared" ref="Z4:Z13" si="11">AVERAGE(V4:Y4)</f>
        <v>4.1017611212689056E-2</v>
      </c>
    </row>
    <row r="5" spans="1:26" x14ac:dyDescent="0.25">
      <c r="A5" t="s">
        <v>34</v>
      </c>
      <c r="B5" s="44" t="s">
        <v>41</v>
      </c>
      <c r="C5" s="64">
        <v>113954173</v>
      </c>
      <c r="D5" s="64">
        <v>121341845</v>
      </c>
      <c r="E5" s="64">
        <v>104457652</v>
      </c>
      <c r="F5" s="64">
        <v>118666784.16000015</v>
      </c>
      <c r="G5" s="64">
        <v>128791640.34999996</v>
      </c>
      <c r="H5" s="64">
        <v>138916496.53999999</v>
      </c>
      <c r="I5" s="64">
        <v>121942847.12000014</v>
      </c>
      <c r="J5" s="64">
        <v>129798822.22999996</v>
      </c>
      <c r="K5" s="64">
        <v>114849878</v>
      </c>
      <c r="L5" s="64">
        <v>123452543.47269145</v>
      </c>
      <c r="M5" s="64">
        <v>141117706.2333712</v>
      </c>
      <c r="N5" s="63">
        <f t="shared" si="2"/>
        <v>0.17324521665481382</v>
      </c>
      <c r="O5" s="63">
        <f t="shared" si="3"/>
        <v>-1.2380360048553423E-2</v>
      </c>
      <c r="P5" s="63">
        <f t="shared" si="4"/>
        <v>-8.7203287432874282E-2</v>
      </c>
      <c r="Q5" s="63">
        <f t="shared" si="5"/>
        <v>2.4553856391128708E-2</v>
      </c>
      <c r="R5" s="3">
        <v>16772782</v>
      </c>
      <c r="S5" s="64">
        <v>16850877.173123639</v>
      </c>
      <c r="T5" s="64">
        <v>14365419</v>
      </c>
      <c r="U5" s="3">
        <f t="shared" si="6"/>
        <v>15996359.391041214</v>
      </c>
      <c r="V5" s="5">
        <f t="shared" si="7"/>
        <v>6.483020152320354E-2</v>
      </c>
      <c r="W5" s="5">
        <f t="shared" si="8"/>
        <v>-0.13914567559113675</v>
      </c>
      <c r="X5" s="5">
        <f t="shared" si="9"/>
        <v>0.13602768095917134</v>
      </c>
      <c r="Y5" s="5">
        <f t="shared" si="10"/>
        <v>8.5321737347734378E-2</v>
      </c>
      <c r="Z5" s="48">
        <f t="shared" si="11"/>
        <v>3.6758486059743127E-2</v>
      </c>
    </row>
    <row r="6" spans="1:26" x14ac:dyDescent="0.25">
      <c r="A6" t="s">
        <v>35</v>
      </c>
      <c r="B6" s="44" t="s">
        <v>40</v>
      </c>
      <c r="C6" s="64">
        <v>123204165</v>
      </c>
      <c r="D6" s="64">
        <v>131351620</v>
      </c>
      <c r="E6" s="64">
        <v>123569597</v>
      </c>
      <c r="F6" s="64">
        <v>142995410.25000003</v>
      </c>
      <c r="G6" s="64">
        <v>151518735.67000008</v>
      </c>
      <c r="H6" s="64">
        <v>160042061.09</v>
      </c>
      <c r="I6" s="64">
        <v>144457784.97000003</v>
      </c>
      <c r="J6" s="64">
        <v>159489803.31000006</v>
      </c>
      <c r="K6" s="64">
        <v>110049550</v>
      </c>
      <c r="L6" s="64">
        <v>119160483.52540272</v>
      </c>
      <c r="M6" s="64">
        <v>136401839.36832631</v>
      </c>
      <c r="N6" s="63">
        <f t="shared" si="2"/>
        <v>0.3123710776374381</v>
      </c>
      <c r="O6" s="63">
        <f t="shared" si="3"/>
        <v>0.17511899029775979</v>
      </c>
      <c r="P6" s="63">
        <f t="shared" si="4"/>
        <v>0.1447613794895572</v>
      </c>
      <c r="Q6" s="63">
        <f t="shared" si="5"/>
        <v>0.21075048247491837</v>
      </c>
      <c r="R6" s="3">
        <v>7218324</v>
      </c>
      <c r="S6" s="64">
        <v>6188922.6698590182</v>
      </c>
      <c r="T6" s="64">
        <v>6427535</v>
      </c>
      <c r="U6" s="3">
        <f t="shared" si="6"/>
        <v>6611593.8899530061</v>
      </c>
      <c r="V6" s="5">
        <f t="shared" si="7"/>
        <v>6.6129704300175243E-2</v>
      </c>
      <c r="W6" s="5">
        <f t="shared" si="8"/>
        <v>-5.9245732941854846E-2</v>
      </c>
      <c r="X6" s="5">
        <f t="shared" si="9"/>
        <v>0.15720544309940598</v>
      </c>
      <c r="Y6" s="5">
        <f t="shared" si="10"/>
        <v>5.9605587375837085E-2</v>
      </c>
      <c r="Z6" s="48">
        <f t="shared" si="11"/>
        <v>5.5923750458390861E-2</v>
      </c>
    </row>
    <row r="7" spans="1:26" x14ac:dyDescent="0.25">
      <c r="A7" t="s">
        <v>36</v>
      </c>
      <c r="B7" s="44" t="s">
        <v>41</v>
      </c>
      <c r="C7" s="64">
        <v>793830250</v>
      </c>
      <c r="D7" s="64">
        <v>814151100</v>
      </c>
      <c r="E7" s="64">
        <v>805314415</v>
      </c>
      <c r="F7" s="64">
        <v>895888723.7300005</v>
      </c>
      <c r="G7" s="64">
        <v>927799890.5599997</v>
      </c>
      <c r="H7" s="64">
        <v>959711057.38999903</v>
      </c>
      <c r="I7" s="64">
        <v>1040380567.3300005</v>
      </c>
      <c r="J7" s="64">
        <v>1079304686.2099998</v>
      </c>
      <c r="K7" s="64">
        <v>913399446</v>
      </c>
      <c r="L7" s="64">
        <v>1008564058.9481027</v>
      </c>
      <c r="M7" s="64">
        <v>1122211941.242573</v>
      </c>
      <c r="N7" s="63">
        <f t="shared" si="2"/>
        <v>4.8255785982029509E-2</v>
      </c>
      <c r="O7" s="63">
        <f t="shared" si="3"/>
        <v>3.0581605790226049E-2</v>
      </c>
      <c r="P7" s="63">
        <f t="shared" si="4"/>
        <v>-3.975453417444421E-2</v>
      </c>
      <c r="Q7" s="63">
        <f t="shared" si="5"/>
        <v>1.302761919927045E-2</v>
      </c>
      <c r="R7" s="3">
        <v>69210506</v>
      </c>
      <c r="S7" s="64">
        <v>78639081.247680753</v>
      </c>
      <c r="T7" s="64">
        <v>81947929</v>
      </c>
      <c r="U7" s="3">
        <f t="shared" si="6"/>
        <v>76599172.082560256</v>
      </c>
      <c r="V7" s="5">
        <f t="shared" si="7"/>
        <v>2.5598482799061892E-2</v>
      </c>
      <c r="W7" s="5">
        <f t="shared" si="8"/>
        <v>-1.0853863613277682E-2</v>
      </c>
      <c r="X7" s="5">
        <f t="shared" si="9"/>
        <v>0.11247074067338096</v>
      </c>
      <c r="Y7" s="5">
        <f t="shared" si="10"/>
        <v>3.5619565225844356E-2</v>
      </c>
      <c r="Z7" s="48">
        <f t="shared" si="11"/>
        <v>4.0708731271252387E-2</v>
      </c>
    </row>
    <row r="8" spans="1:26" x14ac:dyDescent="0.25">
      <c r="A8" t="s">
        <v>37</v>
      </c>
      <c r="B8" s="44" t="s">
        <v>40</v>
      </c>
      <c r="C8" s="64">
        <v>63615756</v>
      </c>
      <c r="D8" s="64">
        <v>62877686</v>
      </c>
      <c r="E8" s="64">
        <v>61928313</v>
      </c>
      <c r="F8" s="64">
        <v>69213199.450000018</v>
      </c>
      <c r="G8" s="64">
        <v>80487018.290000007</v>
      </c>
      <c r="H8" s="64">
        <v>91760837.129999995</v>
      </c>
      <c r="I8" s="64">
        <v>74197666.980000019</v>
      </c>
      <c r="J8" s="64">
        <v>81995000.900000006</v>
      </c>
      <c r="K8" s="64">
        <v>76488991</v>
      </c>
      <c r="L8" s="64">
        <v>83528375.45476532</v>
      </c>
      <c r="M8" s="64">
        <v>94809169.630790412</v>
      </c>
      <c r="N8" s="63">
        <f t="shared" si="2"/>
        <v>0.16643098088091729</v>
      </c>
      <c r="O8" s="63">
        <f t="shared" si="3"/>
        <v>-0.12575474209021145</v>
      </c>
      <c r="P8" s="63">
        <f t="shared" si="4"/>
        <v>-0.15627987792107464</v>
      </c>
      <c r="Q8" s="63">
        <f t="shared" si="5"/>
        <v>-3.8534546376789602E-2</v>
      </c>
      <c r="R8" s="3">
        <v>6164305</v>
      </c>
      <c r="S8" s="64">
        <v>5533052.3061854001</v>
      </c>
      <c r="T8" s="64">
        <v>4257585</v>
      </c>
      <c r="U8" s="3">
        <f t="shared" si="6"/>
        <v>5318314.1020617997</v>
      </c>
      <c r="V8" s="5">
        <f t="shared" si="7"/>
        <v>-1.1601999982520053E-2</v>
      </c>
      <c r="W8" s="5">
        <f t="shared" si="8"/>
        <v>-1.5098726756579433E-2</v>
      </c>
      <c r="X8" s="5">
        <f t="shared" si="9"/>
        <v>0.11763418212280412</v>
      </c>
      <c r="Y8" s="5">
        <f t="shared" si="10"/>
        <v>0.16288538789691778</v>
      </c>
      <c r="Z8" s="48">
        <f t="shared" si="11"/>
        <v>6.3454710820155608E-2</v>
      </c>
    </row>
    <row r="9" spans="1:26" x14ac:dyDescent="0.25">
      <c r="A9" t="s">
        <v>38</v>
      </c>
      <c r="B9" s="44" t="s">
        <v>41</v>
      </c>
      <c r="C9" s="64">
        <v>941278933</v>
      </c>
      <c r="D9" s="64">
        <v>996893365</v>
      </c>
      <c r="E9" s="64">
        <v>917217734</v>
      </c>
      <c r="F9" s="64">
        <v>1011516141.0200005</v>
      </c>
      <c r="G9" s="64">
        <v>1004380792.9799998</v>
      </c>
      <c r="H9" s="64">
        <v>997245444.93999898</v>
      </c>
      <c r="I9" s="64">
        <v>1051139289.2400005</v>
      </c>
      <c r="J9" s="64">
        <v>1048694015.3999997</v>
      </c>
      <c r="K9" s="64">
        <v>878779913</v>
      </c>
      <c r="L9" s="64">
        <v>964302553.45782459</v>
      </c>
      <c r="M9" s="64">
        <v>1066812560.279572</v>
      </c>
      <c r="N9" s="63">
        <f t="shared" si="2"/>
        <v>0.11879275311919492</v>
      </c>
      <c r="O9" s="63">
        <f t="shared" si="3"/>
        <v>8.2612016001191418E-2</v>
      </c>
      <c r="P9" s="63">
        <f t="shared" si="4"/>
        <v>-1.7277246378355062E-2</v>
      </c>
      <c r="Q9" s="63">
        <f t="shared" si="5"/>
        <v>6.1375840914010431E-2</v>
      </c>
      <c r="R9" s="3">
        <v>76647723</v>
      </c>
      <c r="S9" s="64">
        <v>83180061.04820931</v>
      </c>
      <c r="T9" s="64">
        <v>95404443</v>
      </c>
      <c r="U9" s="3">
        <f t="shared" si="6"/>
        <v>85077409.01606977</v>
      </c>
      <c r="V9" s="5">
        <f t="shared" si="7"/>
        <v>5.9083901753487988E-2</v>
      </c>
      <c r="W9" s="5">
        <f t="shared" si="8"/>
        <v>-7.992392546418442E-2</v>
      </c>
      <c r="X9" s="5">
        <f t="shared" si="9"/>
        <v>0.10280918425853339</v>
      </c>
      <c r="Y9" s="5">
        <f t="shared" si="10"/>
        <v>-7.0541118926737839E-3</v>
      </c>
      <c r="Z9" s="48">
        <f t="shared" si="11"/>
        <v>1.8728762163790793E-2</v>
      </c>
    </row>
    <row r="10" spans="1:26" x14ac:dyDescent="0.25">
      <c r="A10" t="s">
        <v>39</v>
      </c>
      <c r="B10" s="44" t="s">
        <v>41</v>
      </c>
      <c r="C10" s="64">
        <v>137734490</v>
      </c>
      <c r="D10" s="64">
        <v>141990865</v>
      </c>
      <c r="E10" s="64">
        <v>125586898</v>
      </c>
      <c r="F10" s="64">
        <v>139018183.13000005</v>
      </c>
      <c r="G10" s="64">
        <v>157769536.79999998</v>
      </c>
      <c r="H10" s="64">
        <v>176520890.47</v>
      </c>
      <c r="I10" s="64">
        <v>144639950.97000006</v>
      </c>
      <c r="J10" s="64">
        <v>163106923.34999999</v>
      </c>
      <c r="K10" s="64">
        <v>131591258</v>
      </c>
      <c r="L10" s="64">
        <v>142388892.60842943</v>
      </c>
      <c r="M10" s="64">
        <v>175944865.21991569</v>
      </c>
      <c r="N10" s="63">
        <f t="shared" si="2"/>
        <v>0.25452869827685276</v>
      </c>
      <c r="O10" s="63">
        <f t="shared" si="3"/>
        <v>1.556318531964603E-2</v>
      </c>
      <c r="P10" s="63">
        <f t="shared" si="4"/>
        <v>-7.8708748876144471E-2</v>
      </c>
      <c r="Q10" s="63">
        <f t="shared" si="5"/>
        <v>6.3794378240118091E-2</v>
      </c>
      <c r="R10" s="3">
        <v>17425104</v>
      </c>
      <c r="S10" s="64">
        <v>17042498.108988017</v>
      </c>
      <c r="T10" s="64">
        <v>20783547</v>
      </c>
      <c r="U10" s="3">
        <f t="shared" si="6"/>
        <v>18417049.702996004</v>
      </c>
      <c r="V10" s="5">
        <f t="shared" si="7"/>
        <v>3.0902753551416206E-2</v>
      </c>
      <c r="W10" s="5">
        <f t="shared" si="8"/>
        <v>-0.11552832641733678</v>
      </c>
      <c r="X10" s="5">
        <f t="shared" si="9"/>
        <v>0.10694813984497058</v>
      </c>
      <c r="Y10" s="5">
        <f t="shared" si="10"/>
        <v>0.13488418024040047</v>
      </c>
      <c r="Z10" s="48">
        <f t="shared" si="11"/>
        <v>3.9301686804862623E-2</v>
      </c>
    </row>
    <row r="11" spans="1:26" x14ac:dyDescent="0.25">
      <c r="A11" t="s">
        <v>42</v>
      </c>
      <c r="B11" s="44" t="s">
        <v>40</v>
      </c>
      <c r="C11" s="64">
        <v>198101447.16999999</v>
      </c>
      <c r="D11" s="64">
        <v>205583443.55999997</v>
      </c>
      <c r="E11" s="64">
        <v>187098314.16000003</v>
      </c>
      <c r="F11" s="64">
        <v>163444100.59999999</v>
      </c>
      <c r="G11" s="64">
        <v>166924177.05000001</v>
      </c>
      <c r="H11" s="64">
        <v>249767318</v>
      </c>
      <c r="I11" s="64">
        <v>261098147.61000001</v>
      </c>
      <c r="J11" s="64">
        <v>253183351.53999999</v>
      </c>
      <c r="K11" s="64">
        <v>270203537</v>
      </c>
      <c r="L11" s="64">
        <v>261880367.53999999</v>
      </c>
      <c r="M11" s="64">
        <v>273228211.31</v>
      </c>
      <c r="N11" s="63">
        <f t="shared" si="2"/>
        <v>-8.1821029122793404E-2</v>
      </c>
      <c r="O11" s="63">
        <f t="shared" si="3"/>
        <v>-2.9958846401636381E-3</v>
      </c>
      <c r="P11" s="63">
        <f t="shared" si="4"/>
        <v>-7.9171318524998507E-2</v>
      </c>
      <c r="Q11" s="63">
        <f t="shared" si="5"/>
        <v>-5.4662744095985184E-2</v>
      </c>
      <c r="R11" s="3">
        <v>0</v>
      </c>
      <c r="S11" s="3">
        <v>0</v>
      </c>
      <c r="T11" s="3">
        <v>0</v>
      </c>
      <c r="U11" s="3">
        <f t="shared" si="6"/>
        <v>0</v>
      </c>
      <c r="V11" s="5">
        <f t="shared" si="7"/>
        <v>3.7768509503009029E-2</v>
      </c>
      <c r="W11" s="5">
        <f t="shared" si="8"/>
        <v>-8.9915457586957973E-2</v>
      </c>
      <c r="X11" s="5">
        <f t="shared" si="9"/>
        <v>-0.12642665256605018</v>
      </c>
      <c r="Y11" s="5">
        <f t="shared" si="10"/>
        <v>2.1292150877423702E-2</v>
      </c>
      <c r="Z11" s="48">
        <f t="shared" si="11"/>
        <v>-3.9320362443143853E-2</v>
      </c>
    </row>
    <row r="12" spans="1:26" x14ac:dyDescent="0.25">
      <c r="A12" t="s">
        <v>43</v>
      </c>
      <c r="B12" s="44" t="s">
        <v>40</v>
      </c>
      <c r="C12" s="64">
        <v>45216491.289999992</v>
      </c>
      <c r="D12" s="64">
        <v>46592683.920000017</v>
      </c>
      <c r="E12" s="64">
        <v>39486107.530000001</v>
      </c>
      <c r="F12" s="64">
        <v>39266825.200000003</v>
      </c>
      <c r="G12" s="64">
        <v>38869618.490000002</v>
      </c>
      <c r="H12" s="64">
        <v>50859751</v>
      </c>
      <c r="I12" s="64">
        <v>52474276.789999999</v>
      </c>
      <c r="J12" s="64">
        <v>56728102.280000001</v>
      </c>
      <c r="K12" s="64">
        <v>76941215</v>
      </c>
      <c r="L12" s="64">
        <v>77260211.010000005</v>
      </c>
      <c r="M12" s="64">
        <v>78149682.650000006</v>
      </c>
      <c r="N12" s="63">
        <f t="shared" si="2"/>
        <v>-0.5128114764069529</v>
      </c>
      <c r="O12" s="63">
        <f t="shared" si="3"/>
        <v>-0.47234446544527608</v>
      </c>
      <c r="P12" s="63">
        <f t="shared" si="4"/>
        <v>-0.37761849081900939</v>
      </c>
      <c r="Q12" s="63">
        <f t="shared" si="5"/>
        <v>-0.45425814422374611</v>
      </c>
      <c r="R12" s="3">
        <v>0</v>
      </c>
      <c r="S12" s="3">
        <v>0</v>
      </c>
      <c r="T12" s="3">
        <v>0</v>
      </c>
      <c r="U12" s="3">
        <f t="shared" si="6"/>
        <v>0</v>
      </c>
      <c r="V12" s="5">
        <f t="shared" si="7"/>
        <v>3.0435635113164598E-2</v>
      </c>
      <c r="W12" s="5">
        <f t="shared" si="8"/>
        <v>-0.15252558539452374</v>
      </c>
      <c r="X12" s="5">
        <f t="shared" si="9"/>
        <v>-5.5534045697818168E-3</v>
      </c>
      <c r="Y12" s="5">
        <f t="shared" si="10"/>
        <v>-1.011557995781133E-2</v>
      </c>
      <c r="Z12" s="48">
        <f t="shared" si="11"/>
        <v>-3.4439733702238073E-2</v>
      </c>
    </row>
    <row r="13" spans="1:26" x14ac:dyDescent="0.25">
      <c r="A13" t="s">
        <v>44</v>
      </c>
      <c r="B13" s="44" t="s">
        <v>40</v>
      </c>
      <c r="C13" s="64">
        <v>131139084.33000001</v>
      </c>
      <c r="D13" s="64">
        <v>145363555.74000001</v>
      </c>
      <c r="E13" s="64">
        <v>122927698.63000003</v>
      </c>
      <c r="F13" s="64">
        <v>141917417.62</v>
      </c>
      <c r="G13" s="64">
        <v>150570730.88999999</v>
      </c>
      <c r="H13" s="64">
        <v>166222411</v>
      </c>
      <c r="I13" s="64">
        <v>186819931.44</v>
      </c>
      <c r="J13" s="64">
        <v>205913615.28999999</v>
      </c>
      <c r="K13" s="64">
        <v>228595989</v>
      </c>
      <c r="L13" s="64">
        <v>250170476.46000001</v>
      </c>
      <c r="M13" s="64">
        <v>272761519.04000002</v>
      </c>
      <c r="N13" s="63">
        <f t="shared" si="2"/>
        <v>-0.37524168747618514</v>
      </c>
      <c r="O13" s="63">
        <f t="shared" si="3"/>
        <v>-0.33909949827995722</v>
      </c>
      <c r="P13" s="63">
        <f t="shared" si="4"/>
        <v>-0.32464052294868545</v>
      </c>
      <c r="Q13" s="63">
        <f t="shared" si="5"/>
        <v>-0.3463272362349426</v>
      </c>
      <c r="R13" s="3">
        <v>0</v>
      </c>
      <c r="S13" s="3">
        <v>0</v>
      </c>
      <c r="T13" s="3">
        <v>0</v>
      </c>
      <c r="U13" s="3">
        <f t="shared" si="6"/>
        <v>0</v>
      </c>
      <c r="V13" s="5">
        <f t="shared" si="7"/>
        <v>0.10846858877102848</v>
      </c>
      <c r="W13" s="5">
        <f t="shared" si="8"/>
        <v>-0.15434306759893229</v>
      </c>
      <c r="X13" s="5">
        <f t="shared" si="9"/>
        <v>0.15447876436015548</v>
      </c>
      <c r="Y13" s="5">
        <f t="shared" si="10"/>
        <v>6.0974286420361803E-2</v>
      </c>
      <c r="Z13" s="48">
        <f t="shared" si="11"/>
        <v>4.2394642988153368E-2</v>
      </c>
    </row>
    <row r="14" spans="1:26" x14ac:dyDescent="0.25">
      <c r="A14" s="4" t="s">
        <v>7</v>
      </c>
      <c r="B14" s="4"/>
      <c r="C14" s="64">
        <f>SUM(C3:C13)</f>
        <v>2850888532.79</v>
      </c>
      <c r="D14" s="64">
        <f t="shared" ref="C14:M14" si="12">SUM(D3:D13)</f>
        <v>2988049465.2200003</v>
      </c>
      <c r="E14" s="64">
        <f t="shared" si="12"/>
        <v>2778084069.3200002</v>
      </c>
      <c r="F14" s="64">
        <f t="shared" si="12"/>
        <v>3049948665.5500011</v>
      </c>
      <c r="G14" s="64">
        <f t="shared" si="12"/>
        <v>3159894806.7299995</v>
      </c>
      <c r="H14" s="64">
        <f t="shared" si="12"/>
        <v>3368589718.4699979</v>
      </c>
      <c r="I14" s="64">
        <f t="shared" si="12"/>
        <v>3422317166.0200019</v>
      </c>
      <c r="J14" s="64">
        <f t="shared" si="12"/>
        <v>3540099613.9699998</v>
      </c>
      <c r="K14" s="64">
        <f t="shared" si="12"/>
        <v>3122989273</v>
      </c>
      <c r="L14" s="64">
        <f t="shared" si="12"/>
        <v>3383221435.6101003</v>
      </c>
      <c r="M14" s="64">
        <f t="shared" si="12"/>
        <v>3768907459.3804288</v>
      </c>
      <c r="N14" s="5">
        <f>(H14-K14)/H14</f>
        <v>7.2908981501477954E-2</v>
      </c>
      <c r="O14" s="5">
        <f t="shared" si="3"/>
        <v>1.1423760134823553E-2</v>
      </c>
      <c r="P14" s="5">
        <f t="shared" si="4"/>
        <v>-6.4633165831691194E-2</v>
      </c>
      <c r="Q14" s="5">
        <f t="shared" si="5"/>
        <v>6.5665252682034353E-3</v>
      </c>
      <c r="R14" s="3">
        <f>SUM(R3:R13)</f>
        <v>221024344</v>
      </c>
      <c r="S14" s="3">
        <f>SUM(S3:S13)</f>
        <v>240744069.32367414</v>
      </c>
      <c r="T14" s="3">
        <f>SUM(T3:T13)</f>
        <v>264915939</v>
      </c>
      <c r="U14" s="3">
        <f>AVERAGE(R14:T14)</f>
        <v>242228117.44122472</v>
      </c>
      <c r="V14" s="5">
        <f>(D14-C14)/C14</f>
        <v>4.8111643388515375E-2</v>
      </c>
      <c r="W14" s="5">
        <f t="shared" ref="W14" si="13">(E14-D14)/D14</f>
        <v>-7.0268380207200165E-2</v>
      </c>
      <c r="X14" s="5">
        <f t="shared" ref="X14" si="14">(F14-E14)/E14</f>
        <v>9.7860464063114577E-2</v>
      </c>
      <c r="Y14" s="5">
        <f t="shared" ref="Y14" si="15">(G14-F14)/F14</f>
        <v>3.6048521872472782E-2</v>
      </c>
      <c r="Z14" s="48">
        <f>AVERAGE(V14:Y14)</f>
        <v>2.7938062279225642E-2</v>
      </c>
    </row>
    <row r="15" spans="1:26" x14ac:dyDescent="0.25">
      <c r="Q15" s="14"/>
    </row>
  </sheetData>
  <mergeCells count="7">
    <mergeCell ref="V1:Z1"/>
    <mergeCell ref="A1:A2"/>
    <mergeCell ref="H1:J1"/>
    <mergeCell ref="K1:M1"/>
    <mergeCell ref="R1:T1"/>
    <mergeCell ref="N1:P1"/>
    <mergeCell ref="C1:G1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56"/>
  <sheetViews>
    <sheetView showGridLines="0" workbookViewId="0">
      <selection activeCell="F30" sqref="F30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3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4" t="s">
        <v>45</v>
      </c>
      <c r="C2" s="75"/>
      <c r="D2" s="6"/>
      <c r="F2" s="77" t="s">
        <v>46</v>
      </c>
      <c r="G2" s="78"/>
      <c r="H2" s="78"/>
      <c r="I2" s="78"/>
      <c r="J2" s="78"/>
      <c r="K2" s="78"/>
      <c r="L2" s="78"/>
      <c r="M2" s="79"/>
    </row>
    <row r="3" spans="2:13" ht="18.75" customHeight="1" x14ac:dyDescent="0.25">
      <c r="B3" s="15" t="s">
        <v>9</v>
      </c>
      <c r="C3" s="12"/>
      <c r="D3" s="8"/>
      <c r="F3" s="31" t="s">
        <v>18</v>
      </c>
      <c r="G3" s="32" t="s">
        <v>19</v>
      </c>
      <c r="H3" s="81" t="s">
        <v>20</v>
      </c>
      <c r="I3" s="81" t="s">
        <v>48</v>
      </c>
      <c r="J3" s="81" t="s">
        <v>49</v>
      </c>
      <c r="K3" s="39" t="s">
        <v>30</v>
      </c>
      <c r="L3" s="39" t="s">
        <v>22</v>
      </c>
      <c r="M3" s="40" t="s">
        <v>23</v>
      </c>
    </row>
    <row r="4" spans="2:13" x14ac:dyDescent="0.25">
      <c r="B4" s="7" t="str">
        <f>Data!A3</f>
        <v>Providence Hood River Memorial Hospital</v>
      </c>
      <c r="C4" s="19">
        <f>Data!U3</f>
        <v>5872318.2628546571</v>
      </c>
      <c r="D4" s="18"/>
      <c r="F4" s="7" t="str">
        <f>Data!A3</f>
        <v>Providence Hood River Memorial Hospital</v>
      </c>
      <c r="G4" s="34">
        <f>Data!V3</f>
        <v>5.0418089586989304E-2</v>
      </c>
      <c r="H4" s="34">
        <f>Data!W3</f>
        <v>-5.6709108005086606E-2</v>
      </c>
      <c r="I4" s="34">
        <f>Data!X3</f>
        <v>0.17056968883195375</v>
      </c>
      <c r="J4" s="34">
        <f>Data!Y3</f>
        <v>2.3329920378280234E-2</v>
      </c>
      <c r="K4" s="34">
        <f>IF(Data!Z3 &lt; 0.1, Data!Z3, 0.1)</f>
        <v>4.6902147698034177E-2</v>
      </c>
      <c r="L4" s="50">
        <f t="shared" ref="L4:L11" si="0">(C4+C42)</f>
        <v>6889542.4085746575</v>
      </c>
      <c r="M4" s="51">
        <f>L4+(L4*K4)</f>
        <v>7212676.7441934962</v>
      </c>
    </row>
    <row r="5" spans="2:13" x14ac:dyDescent="0.25">
      <c r="B5" s="7" t="str">
        <f>Data!A4</f>
        <v>Providence Medford Medical Center</v>
      </c>
      <c r="C5" s="19">
        <f>Data!U4</f>
        <v>28335900.993688013</v>
      </c>
      <c r="D5" s="18"/>
      <c r="F5" s="7" t="str">
        <f>Data!A4</f>
        <v>Providence Medford Medical Center</v>
      </c>
      <c r="G5" s="34">
        <f>Data!V4</f>
        <v>6.883082801534128E-2</v>
      </c>
      <c r="H5" s="34">
        <f>Data!W4</f>
        <v>-0.11598127424725214</v>
      </c>
      <c r="I5" s="34">
        <f>Data!X4</f>
        <v>0.1092598715671682</v>
      </c>
      <c r="J5" s="34">
        <f>Data!Y4</f>
        <v>0.10196101951549889</v>
      </c>
      <c r="K5" s="34">
        <f>IF(Data!Z4 &lt; 0.1, Data!Z4, 0.1)</f>
        <v>4.1017611212689056E-2</v>
      </c>
      <c r="L5" s="50">
        <f t="shared" si="0"/>
        <v>31212994.120528013</v>
      </c>
      <c r="M5" s="51">
        <f t="shared" ref="M5:M9" si="1">L5+(L5*K5)</f>
        <v>32493276.57814778</v>
      </c>
    </row>
    <row r="6" spans="2:13" x14ac:dyDescent="0.25">
      <c r="B6" s="7" t="str">
        <f>Data!A5</f>
        <v>Providence Milwaukie Hospital</v>
      </c>
      <c r="C6" s="19">
        <f>Data!U5</f>
        <v>15996359.391041214</v>
      </c>
      <c r="D6" s="18"/>
      <c r="F6" s="7" t="str">
        <f>Data!A5</f>
        <v>Providence Milwaukie Hospital</v>
      </c>
      <c r="G6" s="34">
        <f>Data!V5</f>
        <v>6.483020152320354E-2</v>
      </c>
      <c r="H6" s="34">
        <f>Data!W5</f>
        <v>-0.13914567559113675</v>
      </c>
      <c r="I6" s="34">
        <f>Data!X5</f>
        <v>0.13602768095917134</v>
      </c>
      <c r="J6" s="34">
        <f>Data!Y5</f>
        <v>8.5321737347734378E-2</v>
      </c>
      <c r="K6" s="34">
        <f>IF(Data!Z5 &lt; 0.1, Data!Z5, 0.1)</f>
        <v>3.6758486059743127E-2</v>
      </c>
      <c r="L6" s="50">
        <f t="shared" si="0"/>
        <v>17735046.535766214</v>
      </c>
      <c r="M6" s="51">
        <f t="shared" si="1"/>
        <v>18386959.996620074</v>
      </c>
    </row>
    <row r="7" spans="2:13" x14ac:dyDescent="0.25">
      <c r="B7" s="7" t="str">
        <f>Data!A6</f>
        <v>Providence Newberg Medical Center</v>
      </c>
      <c r="C7" s="19">
        <f>Data!U6</f>
        <v>6611593.8899530061</v>
      </c>
      <c r="D7" s="18"/>
      <c r="F7" s="7" t="str">
        <f>Data!A6</f>
        <v>Providence Newberg Medical Center</v>
      </c>
      <c r="G7" s="34">
        <f>Data!V6</f>
        <v>6.6129704300175243E-2</v>
      </c>
      <c r="H7" s="34">
        <f>Data!W6</f>
        <v>-5.9245732941854846E-2</v>
      </c>
      <c r="I7" s="34">
        <f>Data!X6</f>
        <v>0.15720544309940598</v>
      </c>
      <c r="J7" s="34">
        <f>Data!Y6</f>
        <v>5.9605587375837085E-2</v>
      </c>
      <c r="K7" s="34">
        <f>IF(Data!Z6 &lt; 0.1, Data!Z6, 0.1)</f>
        <v>5.5923750458390861E-2</v>
      </c>
      <c r="L7" s="50">
        <f t="shared" si="0"/>
        <v>8202540.6144880075</v>
      </c>
      <c r="M7" s="51">
        <f t="shared" si="1"/>
        <v>8661257.4489374515</v>
      </c>
    </row>
    <row r="8" spans="2:13" x14ac:dyDescent="0.25">
      <c r="B8" s="7" t="str">
        <f>Data!A7</f>
        <v>Providence Portland Medical Center</v>
      </c>
      <c r="C8" s="19">
        <f>Data!U7</f>
        <v>76599172.082560256</v>
      </c>
      <c r="D8" s="18"/>
      <c r="F8" s="7" t="str">
        <f>Data!A7</f>
        <v>Providence Portland Medical Center</v>
      </c>
      <c r="G8" s="34">
        <f>Data!V7</f>
        <v>2.5598482799061892E-2</v>
      </c>
      <c r="H8" s="34">
        <f>Data!W7</f>
        <v>-1.0853863613277682E-2</v>
      </c>
      <c r="I8" s="34">
        <f>Data!X7</f>
        <v>0.11247074067338096</v>
      </c>
      <c r="J8" s="34">
        <f>Data!Y7</f>
        <v>3.5619565225844356E-2</v>
      </c>
      <c r="K8" s="34">
        <f>IF(Data!Z7 &lt; 0.1, Data!Z7, 0.1)</f>
        <v>4.0708731271252387E-2</v>
      </c>
      <c r="L8" s="50">
        <f t="shared" si="0"/>
        <v>89124470.605120257</v>
      </c>
      <c r="M8" s="51">
        <f t="shared" si="1"/>
        <v>92752614.728676736</v>
      </c>
    </row>
    <row r="9" spans="2:13" x14ac:dyDescent="0.25">
      <c r="B9" s="7" t="str">
        <f>Data!A8</f>
        <v>Providence Seaside Hospital</v>
      </c>
      <c r="C9" s="19">
        <f>Data!U8</f>
        <v>5318314.1020617997</v>
      </c>
      <c r="D9" s="18"/>
      <c r="F9" s="7" t="str">
        <f>Data!A8</f>
        <v>Providence Seaside Hospital</v>
      </c>
      <c r="G9" s="34">
        <f>Data!V8</f>
        <v>-1.1601999982520053E-2</v>
      </c>
      <c r="H9" s="34">
        <f>Data!W8</f>
        <v>-1.5098726756579433E-2</v>
      </c>
      <c r="I9" s="34">
        <f>Data!X8</f>
        <v>0.11763418212280412</v>
      </c>
      <c r="J9" s="34">
        <f>Data!Y8</f>
        <v>0.16288538789691778</v>
      </c>
      <c r="K9" s="34">
        <f>IF(Data!Z8 &lt; 0.1, Data!Z8, 0.1)</f>
        <v>6.3454710820155608E-2</v>
      </c>
      <c r="L9" s="50">
        <f t="shared" si="0"/>
        <v>5921966.7392368</v>
      </c>
      <c r="M9" s="51">
        <f t="shared" si="1"/>
        <v>6297743.4261616506</v>
      </c>
    </row>
    <row r="10" spans="2:13" x14ac:dyDescent="0.25">
      <c r="B10" s="7" t="str">
        <f>Data!A9</f>
        <v>Providence St. Vincent Medical Center</v>
      </c>
      <c r="C10" s="19">
        <f>Data!U9</f>
        <v>85077409.01606977</v>
      </c>
      <c r="D10" s="18"/>
      <c r="F10" s="7" t="str">
        <f>Data!A9</f>
        <v>Providence St. Vincent Medical Center</v>
      </c>
      <c r="G10" s="34">
        <f>Data!V9</f>
        <v>5.9083901753487988E-2</v>
      </c>
      <c r="H10" s="34">
        <f>Data!W9</f>
        <v>-7.992392546418442E-2</v>
      </c>
      <c r="I10" s="34">
        <f>Data!X9</f>
        <v>0.10280918425853339</v>
      </c>
      <c r="J10" s="34">
        <f>Data!Y9</f>
        <v>-7.0541118926737839E-3</v>
      </c>
      <c r="K10" s="34">
        <f>IF(Data!Z9 &lt; 0.1, Data!Z9, 0.1)</f>
        <v>1.8728762163790793E-2</v>
      </c>
      <c r="L10" s="50">
        <f t="shared" si="0"/>
        <v>100896406.50550477</v>
      </c>
      <c r="M10" s="51">
        <f>L10+(L10*K10)</f>
        <v>102786071.30612752</v>
      </c>
    </row>
    <row r="11" spans="2:13" x14ac:dyDescent="0.25">
      <c r="B11" s="7" t="str">
        <f>Data!A10</f>
        <v>Providence Willamette Falls Medical Center</v>
      </c>
      <c r="C11" s="19">
        <f>Data!U10</f>
        <v>18417049.702996004</v>
      </c>
      <c r="D11" s="18"/>
      <c r="F11" s="7" t="str">
        <f>Data!A10</f>
        <v>Providence Willamette Falls Medical Center</v>
      </c>
      <c r="G11" s="52">
        <f>Data!V10</f>
        <v>3.0902753551416206E-2</v>
      </c>
      <c r="H11" s="52">
        <f>Data!W10</f>
        <v>-0.11552832641733678</v>
      </c>
      <c r="I11" s="52">
        <f>Data!X10</f>
        <v>0.10694813984497058</v>
      </c>
      <c r="J11" s="52">
        <f>Data!Y10</f>
        <v>0.13488418024040047</v>
      </c>
      <c r="K11" s="34">
        <f>IF(Data!Z10 &lt; 0.1, Data!Z10, 0.1)</f>
        <v>3.9301686804862623E-2</v>
      </c>
      <c r="L11" s="50">
        <f t="shared" si="0"/>
        <v>20901919.907596003</v>
      </c>
      <c r="M11" s="51">
        <f>L11+(L11*K11)</f>
        <v>21723400.617424663</v>
      </c>
    </row>
    <row r="12" spans="2:13" x14ac:dyDescent="0.25">
      <c r="B12" s="7" t="str">
        <f>Data!A11</f>
        <v>PMG - North - 610</v>
      </c>
      <c r="C12" s="19">
        <f>Data!U11</f>
        <v>0</v>
      </c>
      <c r="D12" s="18"/>
      <c r="F12" s="7" t="str">
        <f>Data!A11</f>
        <v>PMG - North - 610</v>
      </c>
      <c r="G12" s="52">
        <f>Data!V11</f>
        <v>3.7768509503009029E-2</v>
      </c>
      <c r="H12" s="52">
        <f>Data!W11</f>
        <v>-8.9915457586957973E-2</v>
      </c>
      <c r="I12" s="52">
        <f>Data!X11</f>
        <v>-0.12642665256605018</v>
      </c>
      <c r="J12" s="52">
        <f>Data!Y11</f>
        <v>2.1292150877423702E-2</v>
      </c>
      <c r="K12" s="34">
        <f>IF(Data!Z11 &lt; 0.1, Data!Z11, 0.1)</f>
        <v>-3.9320362443143853E-2</v>
      </c>
      <c r="L12" s="50">
        <f t="shared" ref="L12:L14" si="2">(C12+C50)</f>
        <v>1251931.327875</v>
      </c>
      <c r="M12" s="51">
        <f t="shared" ref="M12:M14" si="3">L12+(L12*K12)</f>
        <v>1202704.9343090286</v>
      </c>
    </row>
    <row r="13" spans="2:13" x14ac:dyDescent="0.25">
      <c r="B13" s="7" t="str">
        <f>Data!A12</f>
        <v>PMG - South - 611</v>
      </c>
      <c r="C13" s="19">
        <f>Data!U12</f>
        <v>0</v>
      </c>
      <c r="D13" s="18"/>
      <c r="F13" s="7" t="str">
        <f>Data!A12</f>
        <v>PMG - South - 611</v>
      </c>
      <c r="G13" s="52">
        <f>Data!V12</f>
        <v>3.0435635113164598E-2</v>
      </c>
      <c r="H13" s="52">
        <f>Data!W12</f>
        <v>-0.15252558539452374</v>
      </c>
      <c r="I13" s="52">
        <f>Data!X12</f>
        <v>-5.5534045697818168E-3</v>
      </c>
      <c r="J13" s="52">
        <f>Data!Y12</f>
        <v>-1.011557995781133E-2</v>
      </c>
      <c r="K13" s="34">
        <f>IF(Data!Z12 &lt; 0.1, Data!Z12, 0.1)</f>
        <v>-3.4439733702238073E-2</v>
      </c>
      <c r="L13" s="50">
        <f t="shared" si="2"/>
        <v>291522.13867500005</v>
      </c>
      <c r="M13" s="51">
        <f t="shared" si="3"/>
        <v>281482.19385072612</v>
      </c>
    </row>
    <row r="14" spans="2:13" ht="15.75" thickBot="1" x14ac:dyDescent="0.3">
      <c r="B14" s="7" t="str">
        <f>Data!A13</f>
        <v>Clinical Programs - 612</v>
      </c>
      <c r="C14" s="19">
        <f>Data!U13</f>
        <v>0</v>
      </c>
      <c r="D14" s="18"/>
      <c r="F14" s="37" t="str">
        <f>Data!A13</f>
        <v>Clinical Programs - 612</v>
      </c>
      <c r="G14" s="53">
        <f>Data!V13</f>
        <v>0.10846858877102848</v>
      </c>
      <c r="H14" s="53">
        <f>Data!W13</f>
        <v>-0.15434306759893229</v>
      </c>
      <c r="I14" s="53">
        <f>Data!X13</f>
        <v>0.15447876436015548</v>
      </c>
      <c r="J14" s="53">
        <f>Data!Y13</f>
        <v>6.0974286420361803E-2</v>
      </c>
      <c r="K14" s="53">
        <f>IF(Data!Z13 &lt; 0.1, Data!Z13, 0.1)</f>
        <v>4.2394642988153368E-2</v>
      </c>
      <c r="L14" s="54">
        <f t="shared" si="2"/>
        <v>1129280.4816749999</v>
      </c>
      <c r="M14" s="55">
        <f t="shared" si="3"/>
        <v>1177155.9245291015</v>
      </c>
    </row>
    <row r="15" spans="2:13" ht="16.5" thickBot="1" x14ac:dyDescent="0.3">
      <c r="B15" s="13" t="s">
        <v>13</v>
      </c>
      <c r="C15" s="26">
        <f>SUM(C4:C14)</f>
        <v>242228117.44122472</v>
      </c>
      <c r="D15" s="16"/>
      <c r="F15" s="83" t="s">
        <v>46</v>
      </c>
      <c r="G15" s="82">
        <f>SUM(M4:M14)</f>
        <v>292975343.89897817</v>
      </c>
      <c r="H15"/>
      <c r="I15"/>
      <c r="J15"/>
    </row>
    <row r="16" spans="2:13" ht="15.75" x14ac:dyDescent="0.25">
      <c r="B16" s="56" t="s">
        <v>10</v>
      </c>
      <c r="C16" s="57" t="s">
        <v>47</v>
      </c>
      <c r="D16" s="58" t="s">
        <v>25</v>
      </c>
      <c r="F16" s="49" t="s">
        <v>31</v>
      </c>
      <c r="G16" s="35"/>
      <c r="H16" s="36"/>
      <c r="I16" s="36"/>
      <c r="J16" s="36"/>
    </row>
    <row r="17" spans="2:7" x14ac:dyDescent="0.25">
      <c r="B17" s="7" t="str">
        <f>Data!A3</f>
        <v>Providence Hood River Memorial Hospital</v>
      </c>
      <c r="C17" s="19">
        <f>Data!G3*D17</f>
        <v>1130249.0508000001</v>
      </c>
      <c r="D17" s="45">
        <f>IF(Data!B3="DRG",0.015,0.01)</f>
        <v>0.01</v>
      </c>
    </row>
    <row r="18" spans="2:7" x14ac:dyDescent="0.25">
      <c r="B18" s="7" t="str">
        <f>Data!A4</f>
        <v>Providence Medford Medical Center</v>
      </c>
      <c r="C18" s="19">
        <f>Data!G4*D18</f>
        <v>3596366.4085499998</v>
      </c>
      <c r="D18" s="45">
        <f>IF(Data!B4="DRG",0.015,0.01)</f>
        <v>1.4999999999999999E-2</v>
      </c>
    </row>
    <row r="19" spans="2:7" x14ac:dyDescent="0.25">
      <c r="B19" s="7" t="str">
        <f>Data!A5</f>
        <v>Providence Milwaukie Hospital</v>
      </c>
      <c r="C19" s="19">
        <f>Data!G5*D19</f>
        <v>1931874.6052499993</v>
      </c>
      <c r="D19" s="45">
        <f>IF(Data!B5="DRG",0.015,0.01)</f>
        <v>1.4999999999999999E-2</v>
      </c>
    </row>
    <row r="20" spans="2:7" x14ac:dyDescent="0.25">
      <c r="B20" s="7" t="str">
        <f>Data!A6</f>
        <v>Providence Newberg Medical Center</v>
      </c>
      <c r="C20" s="19">
        <f>Data!G6*D20</f>
        <v>1515187.3567000008</v>
      </c>
      <c r="D20" s="45">
        <f>IF(Data!B6="DRG",0.015,0.01)</f>
        <v>0.01</v>
      </c>
    </row>
    <row r="21" spans="2:7" x14ac:dyDescent="0.25">
      <c r="B21" s="7" t="str">
        <f>Data!A7</f>
        <v>Providence Portland Medical Center</v>
      </c>
      <c r="C21" s="19">
        <f>Data!G7*D21</f>
        <v>13916998.358399995</v>
      </c>
      <c r="D21" s="45">
        <f>IF(Data!B7="DRG",0.015,0.01)</f>
        <v>1.4999999999999999E-2</v>
      </c>
    </row>
    <row r="22" spans="2:7" x14ac:dyDescent="0.25">
      <c r="B22" s="7" t="str">
        <f>Data!A8</f>
        <v>Providence Seaside Hospital</v>
      </c>
      <c r="C22" s="19">
        <f>Data!G8*D22</f>
        <v>804870.18290000013</v>
      </c>
      <c r="D22" s="45">
        <f>IF(Data!B8="DRG",0.015,0.01)</f>
        <v>0.01</v>
      </c>
    </row>
    <row r="23" spans="2:7" x14ac:dyDescent="0.25">
      <c r="B23" s="7" t="str">
        <f>Data!A9</f>
        <v>Providence St. Vincent Medical Center</v>
      </c>
      <c r="C23" s="19">
        <f>Data!G9*D23</f>
        <v>15065711.894699996</v>
      </c>
      <c r="D23" s="45">
        <f>IF(Data!B9="DRG",0.015,0.01)</f>
        <v>1.4999999999999999E-2</v>
      </c>
    </row>
    <row r="24" spans="2:7" x14ac:dyDescent="0.25">
      <c r="B24" s="7" t="str">
        <f>Data!A10</f>
        <v>Providence Willamette Falls Medical Center</v>
      </c>
      <c r="C24" s="19">
        <f>Data!G10*D24</f>
        <v>2366543.0519999997</v>
      </c>
      <c r="D24" s="45">
        <f>IF(Data!B10="DRG",0.015,0.01)</f>
        <v>1.4999999999999999E-2</v>
      </c>
    </row>
    <row r="25" spans="2:7" x14ac:dyDescent="0.25">
      <c r="B25" s="7" t="str">
        <f>Data!A11</f>
        <v>PMG - North - 610</v>
      </c>
      <c r="C25" s="19">
        <f>Data!G11*D25</f>
        <v>1669241.7705000001</v>
      </c>
      <c r="D25" s="45">
        <f>IF(Data!B11="DRG",0.015,0.01)</f>
        <v>0.01</v>
      </c>
    </row>
    <row r="26" spans="2:7" x14ac:dyDescent="0.25">
      <c r="B26" s="7" t="str">
        <f>Data!A12</f>
        <v>PMG - South - 611</v>
      </c>
      <c r="C26" s="19">
        <f>Data!G12*D26</f>
        <v>388696.18490000005</v>
      </c>
      <c r="D26" s="45">
        <f>IF(Data!B12="DRG",0.015,0.01)</f>
        <v>0.01</v>
      </c>
    </row>
    <row r="27" spans="2:7" x14ac:dyDescent="0.25">
      <c r="B27" s="7" t="str">
        <f>Data!A13</f>
        <v>Clinical Programs - 612</v>
      </c>
      <c r="C27" s="19">
        <f>Data!G13*D27</f>
        <v>1505707.3088999998</v>
      </c>
      <c r="D27" s="45">
        <f>IF(Data!B13="DRG",0.015,0.01)</f>
        <v>0.01</v>
      </c>
    </row>
    <row r="28" spans="2:7" ht="16.5" thickBot="1" x14ac:dyDescent="0.3">
      <c r="B28" s="13" t="s">
        <v>14</v>
      </c>
      <c r="C28" s="26">
        <f>SUM(C17:C27)</f>
        <v>43891446.173599988</v>
      </c>
      <c r="D28" s="59"/>
    </row>
    <row r="29" spans="2:7" ht="15" customHeight="1" x14ac:dyDescent="0.25">
      <c r="B29" s="56" t="s">
        <v>12</v>
      </c>
      <c r="C29" s="57" t="s">
        <v>28</v>
      </c>
      <c r="D29" s="60" t="s">
        <v>16</v>
      </c>
      <c r="F29" s="76"/>
      <c r="G29" s="76"/>
    </row>
    <row r="30" spans="2:7" x14ac:dyDescent="0.25">
      <c r="B30" s="7" t="str">
        <f>Data!A3</f>
        <v>Providence Hood River Memorial Hospital</v>
      </c>
      <c r="C30" s="21">
        <f>Data!Q3</f>
        <v>2.8969165001656593E-2</v>
      </c>
      <c r="D30" s="23">
        <f>IF(C30&lt;-0.02,0.75,IF(C30&lt;0,0.8,IF(C30&lt;0.03,0.9,IF(C30&lt;0.06,1,1.05))))</f>
        <v>0.9</v>
      </c>
    </row>
    <row r="31" spans="2:7" x14ac:dyDescent="0.25">
      <c r="B31" s="7" t="str">
        <f>Data!A4</f>
        <v>Providence Medford Medical Center</v>
      </c>
      <c r="C31" s="21">
        <f>Data!Q4</f>
        <v>-1.5135597971037038E-2</v>
      </c>
      <c r="D31" s="23">
        <f t="shared" ref="D31:D40" si="4">IF(C31&lt;-0.02,0.75,IF(C31&lt;0,0.8,IF(C31&lt;0.03,0.9,IF(C31&lt;0.06,1,1.05))))</f>
        <v>0.8</v>
      </c>
    </row>
    <row r="32" spans="2:7" x14ac:dyDescent="0.25">
      <c r="B32" s="7" t="str">
        <f>Data!A5</f>
        <v>Providence Milwaukie Hospital</v>
      </c>
      <c r="C32" s="21">
        <f>Data!Q5</f>
        <v>2.4553856391128708E-2</v>
      </c>
      <c r="D32" s="23">
        <f t="shared" si="4"/>
        <v>0.9</v>
      </c>
    </row>
    <row r="33" spans="2:4" x14ac:dyDescent="0.25">
      <c r="B33" s="7" t="str">
        <f>Data!A6</f>
        <v>Providence Newberg Medical Center</v>
      </c>
      <c r="C33" s="21">
        <f>Data!Q6</f>
        <v>0.21075048247491837</v>
      </c>
      <c r="D33" s="23">
        <f t="shared" si="4"/>
        <v>1.05</v>
      </c>
    </row>
    <row r="34" spans="2:4" x14ac:dyDescent="0.25">
      <c r="B34" s="7" t="str">
        <f>Data!A7</f>
        <v>Providence Portland Medical Center</v>
      </c>
      <c r="C34" s="21">
        <f>Data!Q7</f>
        <v>1.302761919927045E-2</v>
      </c>
      <c r="D34" s="23">
        <f t="shared" si="4"/>
        <v>0.9</v>
      </c>
    </row>
    <row r="35" spans="2:4" x14ac:dyDescent="0.25">
      <c r="B35" s="7" t="str">
        <f>Data!A8</f>
        <v>Providence Seaside Hospital</v>
      </c>
      <c r="C35" s="21">
        <f>Data!Q8</f>
        <v>-3.8534546376789602E-2</v>
      </c>
      <c r="D35" s="23">
        <f t="shared" si="4"/>
        <v>0.75</v>
      </c>
    </row>
    <row r="36" spans="2:4" x14ac:dyDescent="0.25">
      <c r="B36" s="7" t="str">
        <f>Data!A9</f>
        <v>Providence St. Vincent Medical Center</v>
      </c>
      <c r="C36" s="21">
        <f>Data!Q9</f>
        <v>6.1375840914010431E-2</v>
      </c>
      <c r="D36" s="23">
        <f t="shared" si="4"/>
        <v>1.05</v>
      </c>
    </row>
    <row r="37" spans="2:4" x14ac:dyDescent="0.25">
      <c r="B37" s="7" t="str">
        <f>Data!A10</f>
        <v>Providence Willamette Falls Medical Center</v>
      </c>
      <c r="C37" s="21">
        <f>Data!Q10</f>
        <v>6.3794378240118091E-2</v>
      </c>
      <c r="D37" s="23">
        <f t="shared" si="4"/>
        <v>1.05</v>
      </c>
    </row>
    <row r="38" spans="2:4" x14ac:dyDescent="0.25">
      <c r="B38" s="7" t="str">
        <f>Data!A11</f>
        <v>PMG - North - 610</v>
      </c>
      <c r="C38" s="21">
        <f>Data!Q11</f>
        <v>-5.4662744095985184E-2</v>
      </c>
      <c r="D38" s="23">
        <f t="shared" si="4"/>
        <v>0.75</v>
      </c>
    </row>
    <row r="39" spans="2:4" x14ac:dyDescent="0.25">
      <c r="B39" s="7" t="str">
        <f>Data!A12</f>
        <v>PMG - South - 611</v>
      </c>
      <c r="C39" s="21">
        <f>Data!Q12</f>
        <v>-0.45425814422374611</v>
      </c>
      <c r="D39" s="23">
        <f t="shared" si="4"/>
        <v>0.75</v>
      </c>
    </row>
    <row r="40" spans="2:4" ht="15.75" thickBot="1" x14ac:dyDescent="0.3">
      <c r="B40" s="37" t="str">
        <f>Data!A13</f>
        <v>Clinical Programs - 612</v>
      </c>
      <c r="C40" s="38">
        <f>Data!Q13</f>
        <v>-0.3463272362349426</v>
      </c>
      <c r="D40" s="61">
        <f t="shared" si="4"/>
        <v>0.75</v>
      </c>
    </row>
    <row r="41" spans="2:4" ht="15.75" x14ac:dyDescent="0.25">
      <c r="B41" s="24" t="s">
        <v>17</v>
      </c>
      <c r="C41" s="22" t="s">
        <v>29</v>
      </c>
      <c r="D41" s="25"/>
    </row>
    <row r="42" spans="2:4" ht="15.75" x14ac:dyDescent="0.25">
      <c r="B42" s="7" t="str">
        <f>Data!A3</f>
        <v>Providence Hood River Memorial Hospital</v>
      </c>
      <c r="C42" s="20">
        <f>C17*D30</f>
        <v>1017224.1457200001</v>
      </c>
      <c r="D42" s="9"/>
    </row>
    <row r="43" spans="2:4" ht="15.75" x14ac:dyDescent="0.25">
      <c r="B43" s="7" t="str">
        <f>Data!A4</f>
        <v>Providence Medford Medical Center</v>
      </c>
      <c r="C43" s="20">
        <f>C18*D31</f>
        <v>2877093.12684</v>
      </c>
      <c r="D43" s="8"/>
    </row>
    <row r="44" spans="2:4" ht="15.75" x14ac:dyDescent="0.25">
      <c r="B44" s="7" t="str">
        <f>Data!A5</f>
        <v>Providence Milwaukie Hospital</v>
      </c>
      <c r="C44" s="20">
        <f t="shared" ref="C42:C49" si="5">C19*D32</f>
        <v>1738687.1447249993</v>
      </c>
      <c r="D44" s="8"/>
    </row>
    <row r="45" spans="2:4" ht="15.75" x14ac:dyDescent="0.25">
      <c r="B45" s="7" t="str">
        <f>Data!A6</f>
        <v>Providence Newberg Medical Center</v>
      </c>
      <c r="C45" s="20">
        <f t="shared" si="5"/>
        <v>1590946.724535001</v>
      </c>
      <c r="D45" s="8"/>
    </row>
    <row r="46" spans="2:4" ht="15.75" x14ac:dyDescent="0.25">
      <c r="B46" s="7" t="str">
        <f>Data!A7</f>
        <v>Providence Portland Medical Center</v>
      </c>
      <c r="C46" s="20">
        <f t="shared" si="5"/>
        <v>12525298.522559995</v>
      </c>
      <c r="D46" s="8"/>
    </row>
    <row r="47" spans="2:4" ht="15.75" x14ac:dyDescent="0.25">
      <c r="B47" s="7" t="str">
        <f>Data!A8</f>
        <v>Providence Seaside Hospital</v>
      </c>
      <c r="C47" s="20">
        <f t="shared" si="5"/>
        <v>603652.63717500004</v>
      </c>
      <c r="D47" s="8"/>
    </row>
    <row r="48" spans="2:4" ht="18" customHeight="1" x14ac:dyDescent="0.25">
      <c r="B48" s="7" t="str">
        <f>Data!A9</f>
        <v>Providence St. Vincent Medical Center</v>
      </c>
      <c r="C48" s="20">
        <f t="shared" si="5"/>
        <v>15818997.489434997</v>
      </c>
      <c r="D48" s="8"/>
    </row>
    <row r="49" spans="2:4" ht="15.75" x14ac:dyDescent="0.25">
      <c r="B49" s="7" t="str">
        <f>Data!A10</f>
        <v>Providence Willamette Falls Medical Center</v>
      </c>
      <c r="C49" s="20">
        <f t="shared" si="5"/>
        <v>2484870.2045999998</v>
      </c>
      <c r="D49" s="8"/>
    </row>
    <row r="50" spans="2:4" ht="15.75" x14ac:dyDescent="0.25">
      <c r="B50" s="7" t="str">
        <f>Data!A11</f>
        <v>PMG - North - 610</v>
      </c>
      <c r="C50" s="20">
        <f t="shared" ref="C50:C51" si="6">C25*D38</f>
        <v>1251931.327875</v>
      </c>
      <c r="D50" s="8"/>
    </row>
    <row r="51" spans="2:4" ht="15.75" x14ac:dyDescent="0.25">
      <c r="B51" s="7" t="str">
        <f>Data!A12</f>
        <v>PMG - South - 611</v>
      </c>
      <c r="C51" s="20">
        <f t="shared" si="6"/>
        <v>291522.13867500005</v>
      </c>
      <c r="D51" s="8"/>
    </row>
    <row r="52" spans="2:4" ht="15.75" x14ac:dyDescent="0.25">
      <c r="B52" s="7" t="str">
        <f>Data!A13</f>
        <v>Clinical Programs - 612</v>
      </c>
      <c r="C52" s="20">
        <f>C27*D40</f>
        <v>1129280.4816749999</v>
      </c>
      <c r="D52" s="8"/>
    </row>
    <row r="53" spans="2:4" ht="16.5" thickBot="1" x14ac:dyDescent="0.3">
      <c r="B53" s="27" t="s">
        <v>15</v>
      </c>
      <c r="C53" s="28">
        <f>SUM(C42:C52)</f>
        <v>41329503.943814993</v>
      </c>
      <c r="D53" s="17"/>
    </row>
    <row r="54" spans="2:4" ht="16.5" thickBot="1" x14ac:dyDescent="0.3">
      <c r="B54" s="29" t="s">
        <v>45</v>
      </c>
      <c r="C54" s="30">
        <f>C15+C53</f>
        <v>283557621.38503969</v>
      </c>
      <c r="D54" s="10"/>
    </row>
    <row r="56" spans="2:4" x14ac:dyDescent="0.25">
      <c r="B56" s="11"/>
    </row>
  </sheetData>
  <mergeCells count="3">
    <mergeCell ref="B2:C2"/>
    <mergeCell ref="F29:G29"/>
    <mergeCell ref="F2:M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https://www.oregon.gov/oha/HPA/ANALYTICS/HospitalDocuments/FY24-25%20MSF%20Calculation%20Providence%20Health%20System%20Providence%20Medford%20Med%20Ctr.xlsx</Url>
      <Description>FY24-25 MSF Calculation Providence Health System Providence Medford Med Ctr.xlsx</Description>
    </URL>
    <Meta_x0020_Keywords xmlns="10bab1ba-c75a-4166-8cdc-bbc3bb77138e" xsi:nil="true"/>
    <Meta_x0020_Description xmlns="10bab1ba-c75a-4166-8cdc-bbc3bb77138e" xsi:nil="true"/>
    <Hospital xmlns="10bab1ba-c75a-4166-8cdc-bbc3bb77138e">Providence Medford Medical Center</Hospital>
    <DocumentType xmlns="10bab1ba-c75a-4166-8cdc-bbc3bb77138e">MSF Calculation</Document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E3AEAC-D4E3-4721-9CE1-2B1BE9698E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FY24-25 MSF Calculation Providence Health System Providence Medford Med Ctr.xlsx</dc:title>
  <dc:creator>Chris Holland</dc:creator>
  <cp:lastModifiedBy>Higgins Rachel  Jeanette</cp:lastModifiedBy>
  <dcterms:created xsi:type="dcterms:W3CDTF">2021-01-08T22:48:27Z</dcterms:created>
  <dcterms:modified xsi:type="dcterms:W3CDTF">2023-09-19T23:13:00Z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cc355e29-d0b2-4625-b17b-e81e368dee1c,3;cc355e29-d0b2-4625-b17b-e81e368dee1c,5;</vt:lpwstr>
  </property>
</Properties>
</file>