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Lower Umpqua\"/>
    </mc:Choice>
  </mc:AlternateContent>
  <xr:revisionPtr revIDLastSave="0" documentId="13_ncr:1_{5CA45EBE-D41D-444B-8F19-D2CD41806336}" xr6:coauthVersionLast="47" xr6:coauthVersionMax="47" xr10:uidLastSave="{00000000-0000-0000-0000-000000000000}"/>
  <bookViews>
    <workbookView xWindow="1780" yWindow="2650" windowWidth="19180" windowHeight="104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0" i="2" l="1"/>
  <c r="D15" i="2"/>
  <c r="D17" i="2"/>
  <c r="D18" i="2" s="1"/>
  <c r="L4" i="2" l="1"/>
  <c r="M4" i="2" s="1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<sst xmlns="http://schemas.openxmlformats.org/spreadsheetml/2006/main" count="61" uniqueCount="44">
  <si>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</si>
  <si>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</si>
  <si>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</si>
  <si>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</si>
  <si>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</si>
  <si>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</si>
  <si>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</si>
  <si>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</si>
  <si>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</si>
  <si>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</si>
  <si>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</si>
  <si>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</si>
  <si>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</si>
  <si>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</si>
  <si>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</si>
  <si>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</si>
  <si>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</si>
  <si>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</si>
  <si>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</si>
  <si>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</si>
  <si>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</si>
  <si>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</si>
  <si>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</si>
  <si>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</si>
  <si>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</si>
  <si>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</si>
  <si>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</si>
  <si>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</si>
  <si>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</si>
  <si>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</si>
  <si>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</si>
  <si>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</si>
  <si>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</si>
  <si>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</si>
  <si>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</si>
  <si>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</si>
  <si>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</si>
  <si>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</si>
  <si>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</si>
  <si>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</si>
  <si>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</si>
  <si>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</si>
  <si>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Lower Umpqua Hospital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</si>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</sst>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42</v>
      </c>
      <c r="B3" s="62" t="s">
        <v>43</v>
      </c>
      <c r="C3" s="59">
        <v>23890927</v>
      </c>
      <c r="D3" s="59">
        <v>24652442</v>
      </c>
      <c r="E3" s="59">
        <v>28789926</v>
      </c>
      <c r="F3" s="59">
        <v>29496988</v>
      </c>
      <c r="G3" s="56">
        <v>31545136</v>
      </c>
      <c r="H3" s="63">
        <v>30805562</v>
      </c>
      <c r="I3" s="58">
        <v>32390437</v>
      </c>
      <c r="J3" s="56">
        <v>36678461</v>
      </c>
      <c r="K3" s="51">
        <v>35535834</v>
      </c>
      <c r="L3" s="51">
        <v>36960369</v>
      </c>
      <c r="M3" s="51">
        <v>39465149</v>
      </c>
      <c r="N3" s="52">
        <v>-0.15355253054626952</v>
      </c>
      <c r="O3" s="52">
        <v>-0.141088926957052</v>
      </c>
      <c r="P3" s="52">
        <v>-7.5976143055729597E-2</v>
      </c>
      <c r="Q3" s="52">
        <f t="shared" ref="Q3" si="0">AVERAGE(N3:P3)</f>
        <v>-0.12353920018635035</v>
      </c>
      <c r="R3" s="51">
        <v>7956017</v>
      </c>
      <c r="S3" s="51">
        <v>7718837.0728587322</v>
      </c>
      <c r="T3" s="56">
        <v>6215700.8341106568</v>
      </c>
      <c r="U3" s="51">
        <f>AVERAGE(R3:T3)</f>
        <v>7296851.6356564639</v>
      </c>
      <c r="V3" s="52">
        <f>(D3-C3)/C3</f>
        <v>3.1874652666261126E-2</v>
      </c>
      <c r="W3" s="52">
        <f>(E3-D3)/D3</f>
        <v>0.16783262282900818</v>
      </c>
      <c r="X3" s="52">
        <f>(F3-E3)/E3</f>
        <v>2.4559354546447948E-2</v>
      </c>
      <c r="Y3" s="52">
        <f>(G3-F3)/F3</f>
        <v>6.9435835279181721E-2</v>
      </c>
      <c r="Z3" s="53">
        <f>AVERAGE(V3:Y3)</f>
        <v>7.3425616330224749E-2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23890927</v>
      </c>
      <c r="D5" s="60">
        <f t="shared" si="1"/>
        <v>24652442</v>
      </c>
      <c r="E5" s="60">
        <f t="shared" si="1"/>
        <v>28789926</v>
      </c>
      <c r="F5" s="60">
        <f t="shared" si="1"/>
        <v>29496988</v>
      </c>
      <c r="G5" s="60">
        <f t="shared" si="1"/>
        <v>31545136</v>
      </c>
      <c r="H5" s="60">
        <f t="shared" si="1"/>
        <v>30805562</v>
      </c>
      <c r="I5" s="60">
        <f t="shared" si="1"/>
        <v>32390437</v>
      </c>
      <c r="J5" s="60">
        <f t="shared" si="1"/>
        <v>36678461</v>
      </c>
      <c r="K5" s="60">
        <f t="shared" si="1"/>
        <v>35535834</v>
      </c>
      <c r="L5" s="60">
        <f t="shared" si="1"/>
        <v>36960369</v>
      </c>
      <c r="M5" s="60">
        <f t="shared" si="1"/>
        <v>39465149</v>
      </c>
      <c r="N5" s="69">
        <f>(H5-K5)/H5</f>
        <v>-0.15355253054626952</v>
      </c>
      <c r="O5" s="69">
        <f>(I5-L5)/I5</f>
        <v>-0.14108892695705216</v>
      </c>
      <c r="P5" s="69">
        <f>(J5-M5)/J5</f>
        <v>-7.5976143055729625E-2</v>
      </c>
      <c r="Q5" s="69">
        <f>AVERAGE(N5:P5)</f>
        <v>-0.12353920018635045</v>
      </c>
      <c r="R5" s="60">
        <f>SUM(R3:R3)</f>
        <v>7956017</v>
      </c>
      <c r="S5" s="60">
        <f>SUM(S3:S3)</f>
        <v>7718837.0728587322</v>
      </c>
      <c r="T5" s="60">
        <f>SUM(T3:T3)</f>
        <v>6215700.8341106568</v>
      </c>
      <c r="U5" s="60">
        <f>AVERAGE(R5:T5)</f>
        <v>7296851.6356564639</v>
      </c>
      <c r="V5" s="69">
        <f>(D5-C5)/C5</f>
        <v>3.1874652666261126E-2</v>
      </c>
      <c r="W5" s="69">
        <f t="shared" ref="W5" si="2">(E5-D5)/D5</f>
        <v>0.16783262282900818</v>
      </c>
      <c r="X5" s="69">
        <f t="shared" ref="X5" si="3">(F5-E5)/E5</f>
        <v>2.4559354546447948E-2</v>
      </c>
      <c r="Y5" s="69">
        <f t="shared" ref="Y5" si="4">(G5-F5)/F5</f>
        <v>6.9435835279181721E-2</v>
      </c>
      <c r="Z5" s="70">
        <f>AVERAGE(V5:Y5)</f>
        <v>7.3425616330224749E-2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Lower Umpqua Hospital</v>
      </c>
      <c r="C4" s="15"/>
      <c r="D4" s="25">
        <f>Data!U3</f>
        <v>7296851.6356564639</v>
      </c>
      <c r="F4" s="10" t="str">
        <f>Data!A3</f>
        <v>Lower Umpqua Hospital</v>
      </c>
      <c r="G4" s="34">
        <f>Data!V3</f>
        <v>3.1874652666261126E-2</v>
      </c>
      <c r="H4" s="34">
        <f>Data!W3</f>
        <v>0.16783262282900818</v>
      </c>
      <c r="I4" s="34">
        <f>Data!X3</f>
        <v>2.4559354546447948E-2</v>
      </c>
      <c r="J4" s="34">
        <f>Data!Y3</f>
        <v>6.9435835279181721E-2</v>
      </c>
      <c r="K4" s="36">
        <f>IF(Data!Z3&lt;0.1,Data!Z3,IF(Data!Z3&gt;0.1,0.1,IF(Data!Z3&gt;-0.1,Data!Z3,IF(Data!Z3&lt;-0.1,-0.1,Data!Z3))))</f>
        <v>7.3425616330224749E-2</v>
      </c>
      <c r="L4" s="32">
        <f>(D4+D15)</f>
        <v>7533440.1556564635</v>
      </c>
      <c r="M4" s="45">
        <f>L4+(L4*K4)</f>
        <v>8086587.6421724036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7296851.6356564639</v>
      </c>
      <c r="F6" s="40" t="s">
        <v>25</v>
      </c>
      <c r="G6" s="39">
        <f>SUM(M4:M5)</f>
        <v>8086587.6421724036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Lower Umpqua Hospital</v>
      </c>
      <c r="C8" s="30">
        <f>IF(Data!B3="DRG",0.015,0.01)</f>
        <v>0.01</v>
      </c>
      <c r="D8" s="25">
        <f>Data!G3*C8</f>
        <v>315451.36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315451.36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Lower Umpqua Hospital</v>
      </c>
      <c r="C12" s="29">
        <f>IF(D12&lt;-0.02,0.75,IF(D12&lt;0,0.8,IF(D12&lt;0.03,0.9,IF(D12&lt;0.06,1,1.05))))</f>
        <v>0.75</v>
      </c>
      <c r="D12" s="27">
        <f>Data!Q3</f>
        <v>-0.12353920018635035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Lower Umpqua Hospital</v>
      </c>
      <c r="C15" s="21"/>
      <c r="D15" s="25">
        <f>D8*C12</f>
        <v>236588.52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236588.52</v>
      </c>
    </row>
    <row r="18" spans="2:4" ht="16.5" customHeight="1" thickBot="1" x14ac:dyDescent="0.35">
      <c r="B18" s="40" t="s">
        <v>24</v>
      </c>
      <c r="C18" s="41"/>
      <c r="D18" s="42">
        <f>D6+D17</f>
        <v>7533440.1556564635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https://www.oregon.gov/oha/HPA/ANALYTICS/HospitalDocuments/FY26-27%20MSF%20Calculation%20Lower%20Umpqua%20Hospital.xlsx</Url>
      <Description>FY26-27 MSF Calculation Lower Umpqua Hospital.xlsx</Description>
    </URL>
    <Meta_x0020_Keywords xmlns="10bab1ba-c75a-4166-8cdc-bbc3bb77138e" xsi:nil="true"/>
    <Meta_x0020_Description xmlns="10bab1ba-c75a-4166-8cdc-bbc3bb77138e" xsi:nil="true"/>
    <Hospital xmlns="10bab1ba-c75a-4166-8cdc-bbc3bb77138e">Lower Umpqua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813C3-3746-4CBF-9807-B92271509A9B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Lower Umpqua Hospital.xlsx</dc:title>
  <dc:creator>rachel.j.higgins@oha.oregon.gov</dc:creator>
  <cp:lastModifiedBy>Rachel Higgins</cp:lastModifiedBy>
  <dcterms:created xsi:type="dcterms:W3CDTF">2021-01-08T22:48:27Z</dcterms:created>
  <dcterms:modified xsi:type="dcterms:W3CDTF">2025-04-14T18:54:48Z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cc355e29-d0b2-4625-b17b-e81e368dee1c,5;cc355e29-d0b2-4625-b17b-e81e368dee1c,7;</vt:lpwstr>
  </property>
</Properties>
</file>