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Offices\Salem (500 Summer St)\Health Analytics\Hospital Reporting Program\Community Benefit\Spending Floor Letters and Calculations\FY 26 - 27\Group 3\OHSU\"/>
    </mc:Choice>
  </mc:AlternateContent>
  <xr:revisionPtr revIDLastSave="0" documentId="13_ncr:1_{078E8C7D-8E9E-4C60-A6D7-FE4BA8199190}" xr6:coauthVersionLast="47" xr6:coauthVersionMax="47" xr10:uidLastSave="{00000000-0000-0000-0000-000000000000}"/>
  <bookViews>
    <workbookView xWindow="-120" yWindow="-120" windowWidth="20730" windowHeight="1116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0" i="2" l="1"/>
  <c r="D15" i="2"/>
  <c r="D17" i="2" s="1"/>
  <c r="D18" i="2" s="1"/>
  <c r="L4" i="2" l="1"/>
  <c r="M4" i="2" s="1"/>
  <c r="G6" i="2" s="1"/>
  <c r="S5" i="1"/>
  <c r="T5" i="1"/>
  <c r="U5" i="1" l="1"/>
  <c r="K5" i="1"/>
  <c r="L5" i="1"/>
  <c r="M5" i="1"/>
  <c r="H5" i="1"/>
  <c r="I5" i="1"/>
  <c r="J5" i="1"/>
  <c r="E5" i="1"/>
  <c r="V5" i="1"/>
  <c r="N5" i="1" l="1"/>
  <c r="P5" i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<sst xmlns="http://schemas.openxmlformats.org/spreadsheetml/2006/main" count="64" uniqueCount="47">
  <si>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</si>
  <si>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</si>
  <si>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</si>
  <si>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</si>
  <si>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</si>
  <si>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</si>
  <si>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</si>
  <si>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</si>
  <si>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</si>
  <si>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</si>
  <si>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</si>
  <si>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</si>
  <si>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</si>
  <si>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</si>
  <si>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</si>
  <si>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</si>
  <si>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</si>
  <si>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</si>
  <si>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</si>
  <si>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</si>
  <si>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</si>
  <si>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</si>
  <si>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</si>
  <si>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</si>
  <si>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</si>
  <si>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</si>
  <si>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</si>
  <si>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</si>
  <si>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</si>
  <si>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</si>
  <si>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</si>
  <si>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</si>
  <si>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</si>
  <si>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</si>
  <si>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</si>
  <si>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</si>
  <si>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</si>
  <si>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</si>
  <si>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</si>
  <si>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</si>
  <si>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</si>
  <si>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</si>
  <si>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DRG</t>
  </si>
  <si>
    <t>OHSU Hospital</t>
  </si>
  <si>
    <t>A formula error on the CBR-1 form lead to the omission of direct offsetting revenue and a miscalculation of net expense for other public programs in 2024.</t>
  </si>
  <si>
    <t>This resulted to an inflated unreimbursed cost of care amount (~$203M) in FY24 which impacted MSF calculations.</t>
  </si>
  <si>
    <t>After correcting the formula error, the new unreimbursed cost of care amount decreased ~$57M to $146M.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</si>
</sst>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right" vertical="center"/>
    </xf>
    <xf numFmtId="0" fontId="4" fillId="4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topLeftCell="J1" zoomScale="90" zoomScaleNormal="90" workbookViewId="0">
      <selection activeCell="R11" sqref="R11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4" t="s">
        <v>0</v>
      </c>
      <c r="B1" s="78" t="s">
        <v>17</v>
      </c>
      <c r="C1" s="76" t="s">
        <v>1</v>
      </c>
      <c r="D1" s="77"/>
      <c r="E1" s="77"/>
      <c r="F1" s="77"/>
      <c r="G1" s="78"/>
      <c r="H1" s="74" t="s">
        <v>41</v>
      </c>
      <c r="I1" s="74"/>
      <c r="J1" s="74"/>
      <c r="K1" s="74" t="s">
        <v>2</v>
      </c>
      <c r="L1" s="74"/>
      <c r="M1" s="74"/>
      <c r="N1" s="76" t="s">
        <v>7</v>
      </c>
      <c r="O1" s="77"/>
      <c r="P1" s="77"/>
      <c r="Q1" s="78"/>
      <c r="R1" s="76" t="s">
        <v>5</v>
      </c>
      <c r="S1" s="77"/>
      <c r="T1" s="77"/>
      <c r="U1" s="78"/>
      <c r="V1" s="74" t="s">
        <v>13</v>
      </c>
      <c r="W1" s="74"/>
      <c r="X1" s="74"/>
      <c r="Y1" s="74"/>
      <c r="Z1" s="74"/>
    </row>
    <row r="2" spans="1:26" s="54" customFormat="1" ht="21.6" customHeight="1" x14ac:dyDescent="0.3">
      <c r="A2" s="75"/>
      <c r="B2" s="79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43</v>
      </c>
      <c r="B3" s="62" t="s">
        <v>42</v>
      </c>
      <c r="C3" s="59">
        <v>1779908118</v>
      </c>
      <c r="D3" s="59">
        <v>1985956941.7399993</v>
      </c>
      <c r="E3" s="59">
        <v>2194695987.2499995</v>
      </c>
      <c r="F3" s="59">
        <v>2539649184.3600001</v>
      </c>
      <c r="G3" s="56">
        <v>2862927193.0599999</v>
      </c>
      <c r="H3" s="63">
        <v>2426510002.3299994</v>
      </c>
      <c r="I3" s="58">
        <v>2789427536.1199999</v>
      </c>
      <c r="J3" s="56">
        <v>3168958204.75</v>
      </c>
      <c r="K3" s="51">
        <v>2357890779.1500001</v>
      </c>
      <c r="L3" s="51">
        <v>2676865810.73</v>
      </c>
      <c r="M3" s="51">
        <v>3067403336.8400002</v>
      </c>
      <c r="N3" s="52">
        <v>2.8278978085443433E-2</v>
      </c>
      <c r="O3" s="52">
        <v>4.0352984235098401E-2</v>
      </c>
      <c r="P3" s="52">
        <v>3.20467678487453E-2</v>
      </c>
      <c r="Q3" s="52">
        <f t="shared" ref="Q3" si="0">AVERAGE(N3:P3)</f>
        <v>3.3559576723095709E-2</v>
      </c>
      <c r="R3" s="51">
        <v>174195450</v>
      </c>
      <c r="S3" s="51">
        <v>133896241</v>
      </c>
      <c r="T3" s="72">
        <v>146044008</v>
      </c>
      <c r="U3" s="51">
        <f>AVERAGE(R3:T3)</f>
        <v>151378566.33333334</v>
      </c>
      <c r="V3" s="52">
        <f>(D3-C3)/C3</f>
        <v>0.1157637417663597</v>
      </c>
      <c r="W3" s="52">
        <f>(E3-D3)/D3</f>
        <v>0.10510753839764178</v>
      </c>
      <c r="X3" s="52">
        <f>(F3-E3)/E3</f>
        <v>0.1571758453626346</v>
      </c>
      <c r="Y3" s="52">
        <f>(G3-F3)/F3</f>
        <v>0.12729238774034332</v>
      </c>
      <c r="Z3" s="53">
        <f>AVERAGE(V3:Y3)</f>
        <v>0.12633487831674486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1779908118</v>
      </c>
      <c r="D5" s="60">
        <f t="shared" si="1"/>
        <v>1985956941.7399993</v>
      </c>
      <c r="E5" s="60">
        <f t="shared" si="1"/>
        <v>2194695987.2499995</v>
      </c>
      <c r="F5" s="60">
        <f t="shared" si="1"/>
        <v>2539649184.3600001</v>
      </c>
      <c r="G5" s="60">
        <f t="shared" si="1"/>
        <v>2862927193.0599999</v>
      </c>
      <c r="H5" s="60">
        <f t="shared" si="1"/>
        <v>2426510002.3299994</v>
      </c>
      <c r="I5" s="60">
        <f t="shared" si="1"/>
        <v>2789427536.1199999</v>
      </c>
      <c r="J5" s="60">
        <f t="shared" si="1"/>
        <v>3168958204.75</v>
      </c>
      <c r="K5" s="60">
        <f t="shared" si="1"/>
        <v>2357890779.1500001</v>
      </c>
      <c r="L5" s="60">
        <f t="shared" si="1"/>
        <v>2676865810.73</v>
      </c>
      <c r="M5" s="60">
        <f t="shared" si="1"/>
        <v>3067403336.8400002</v>
      </c>
      <c r="N5" s="69">
        <f>(H5-K5)/H5</f>
        <v>2.8278978085443433E-2</v>
      </c>
      <c r="O5" s="69">
        <f>(I5-L5)/I5</f>
        <v>4.0352984235098449E-2</v>
      </c>
      <c r="P5" s="69">
        <f>(J5-M5)/J5</f>
        <v>3.2046767848745272E-2</v>
      </c>
      <c r="Q5" s="69">
        <f>AVERAGE(N5:P5)</f>
        <v>3.3559576723095723E-2</v>
      </c>
      <c r="R5" s="60">
        <f>SUM(R3:R3)</f>
        <v>174195450</v>
      </c>
      <c r="S5" s="60">
        <f>SUM(S3:S3)</f>
        <v>133896241</v>
      </c>
      <c r="T5" s="60">
        <f>SUM(T3:T3)</f>
        <v>146044008</v>
      </c>
      <c r="U5" s="60">
        <f>AVERAGE(R5:T5)</f>
        <v>151378566.33333334</v>
      </c>
      <c r="V5" s="69">
        <f>(D5-C5)/C5</f>
        <v>0.1157637417663597</v>
      </c>
      <c r="W5" s="69">
        <f t="shared" ref="W5" si="2">(E5-D5)/D5</f>
        <v>0.10510753839764178</v>
      </c>
      <c r="X5" s="69">
        <f t="shared" ref="X5" si="3">(F5-E5)/E5</f>
        <v>0.1571758453626346</v>
      </c>
      <c r="Y5" s="69">
        <f t="shared" ref="Y5" si="4">(G5-F5)/F5</f>
        <v>0.12729238774034332</v>
      </c>
      <c r="Z5" s="70">
        <f>AVERAGE(V5:Y5)</f>
        <v>0.12633487831674486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  <c r="R9" s="73" t="s">
        <v>44</v>
      </c>
      <c r="S9" s="73"/>
      <c r="T9" s="73"/>
      <c r="U9" s="73"/>
      <c r="V9" s="73"/>
      <c r="W9" s="73"/>
      <c r="X9" s="73"/>
      <c r="Y9" s="73"/>
      <c r="Z9" s="73"/>
    </row>
    <row r="10" spans="1:26" s="6" customFormat="1" ht="15.75" x14ac:dyDescent="0.25">
      <c r="C10" s="8"/>
      <c r="D10" s="8"/>
      <c r="E10" s="8"/>
      <c r="F10" s="8"/>
      <c r="G10" s="8"/>
      <c r="R10" s="73" t="s">
        <v>45</v>
      </c>
      <c r="S10" s="73"/>
      <c r="T10" s="73"/>
      <c r="U10" s="73"/>
      <c r="V10" s="73"/>
      <c r="W10" s="73"/>
      <c r="X10" s="73"/>
    </row>
    <row r="11" spans="1:26" s="6" customFormat="1" ht="15.6" customHeight="1" x14ac:dyDescent="0.25">
      <c r="C11" s="8"/>
      <c r="D11" s="8"/>
      <c r="E11" s="8"/>
      <c r="F11" s="8"/>
      <c r="G11" s="8"/>
      <c r="R11" s="73" t="s">
        <v>46</v>
      </c>
      <c r="S11" s="73"/>
      <c r="T11" s="73"/>
      <c r="U11" s="73"/>
      <c r="V11" s="73"/>
      <c r="W11" s="73"/>
    </row>
    <row r="12" spans="1:26" s="6" customFormat="1" ht="15.75" x14ac:dyDescent="0.2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80" t="s">
        <v>29</v>
      </c>
      <c r="C2" s="83"/>
      <c r="D2" s="84"/>
      <c r="F2" s="80" t="s">
        <v>30</v>
      </c>
      <c r="G2" s="81"/>
      <c r="H2" s="81"/>
      <c r="I2" s="81"/>
      <c r="J2" s="81"/>
      <c r="K2" s="81"/>
      <c r="L2" s="81"/>
      <c r="M2" s="82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OHSU Hospital</v>
      </c>
      <c r="C4" s="15"/>
      <c r="D4" s="25">
        <f>Data!U3</f>
        <v>151378566.33333334</v>
      </c>
      <c r="F4" s="10" t="str">
        <f>Data!A3</f>
        <v>OHSU Hospital</v>
      </c>
      <c r="G4" s="34">
        <f>Data!V3</f>
        <v>0.1157637417663597</v>
      </c>
      <c r="H4" s="34">
        <f>Data!W3</f>
        <v>0.10510753839764178</v>
      </c>
      <c r="I4" s="34">
        <f>Data!X3</f>
        <v>0.1571758453626346</v>
      </c>
      <c r="J4" s="34">
        <f>Data!Y3</f>
        <v>0.12729238774034332</v>
      </c>
      <c r="K4" s="36">
        <f>IF(Data!Z3&lt;0.1,Data!Z3,IF(Data!Z3&gt;0.1,0.1,IF(Data!Z3&gt;-0.1,Data!Z3,IF(Data!Z3&lt;-0.1,-0.1,Data!Z3))))</f>
        <v>0.1</v>
      </c>
      <c r="L4" s="32">
        <f>(D4+D15)</f>
        <v>194322474.22923332</v>
      </c>
      <c r="M4" s="45">
        <f>L4+(L4*K4)</f>
        <v>213754721.65215665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5" t="s">
        <v>28</v>
      </c>
      <c r="C6" s="86"/>
      <c r="D6" s="44">
        <f>SUM(D4:D5)</f>
        <v>151378566.33333334</v>
      </c>
      <c r="F6" s="40" t="s">
        <v>25</v>
      </c>
      <c r="G6" s="39">
        <f>SUM(M4:M5)</f>
        <v>213754721.65215665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OHSU Hospital</v>
      </c>
      <c r="C8" s="30">
        <f>IF(Data!B3="DRG",0.015,0.01)</f>
        <v>1.4999999999999999E-2</v>
      </c>
      <c r="D8" s="25">
        <f>Data!G3*C8</f>
        <v>42943907.895899996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5" t="s">
        <v>9</v>
      </c>
      <c r="C10" s="86"/>
      <c r="D10" s="26">
        <f>SUM(D8:D9)</f>
        <v>42943907.895899996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OHSU Hospital</v>
      </c>
      <c r="C12" s="29">
        <f>IF(D12&lt;-0.02,0.75,IF(D12&lt;0,0.8,IF(D12&lt;0.03,0.9,IF(D12&lt;0.06,1,1.05))))</f>
        <v>1</v>
      </c>
      <c r="D12" s="27">
        <f>Data!Q3</f>
        <v>3.3559576723095709E-2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OHSU Hospital</v>
      </c>
      <c r="C15" s="21"/>
      <c r="D15" s="25">
        <f>D8*C12</f>
        <v>42943907.895899996</v>
      </c>
      <c r="F15" s="87"/>
      <c r="G15" s="87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5" t="s">
        <v>10</v>
      </c>
      <c r="C17" s="86"/>
      <c r="D17" s="44">
        <f>SUM(D15:D16)</f>
        <v>42943907.895899996</v>
      </c>
    </row>
    <row r="18" spans="2:4" ht="16.5" customHeight="1" thickBot="1" x14ac:dyDescent="0.35">
      <c r="B18" s="40" t="s">
        <v>24</v>
      </c>
      <c r="C18" s="41"/>
      <c r="D18" s="42">
        <f>D6+D17</f>
        <v>194322474.22923332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https://www.oregon.gov/oha/HPA/ANALYTICS/HospitalDocuments/FY26-27%20MSF%20Calculation%20Revised%20OHSU%20Hospital.xlsx</Url>
      <Description>FY26-27 MSF Calculation Revised OHSU Hospital.xlsx</Description>
    </URL>
    <Meta_x0020_Keywords xmlns="10bab1ba-c75a-4166-8cdc-bbc3bb77138e" xsi:nil="true"/>
    <Meta_x0020_Description xmlns="10bab1ba-c75a-4166-8cdc-bbc3bb77138e" xsi:nil="true"/>
    <Hospital xmlns="10bab1ba-c75a-4166-8cdc-bbc3bb77138e">OHSU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264AD-7729-42EC-AC68-72D5A97E637D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Revised OHSU Hospital.xlsx</dc:title>
  <dc:creator>rachel.j.higgins@oha.oregon.gov</dc:creator>
  <cp:lastModifiedBy>Sarah Grabe</cp:lastModifiedBy>
  <dcterms:created xsi:type="dcterms:W3CDTF">2021-01-08T22:48:27Z</dcterms:created>
  <dcterms:modified xsi:type="dcterms:W3CDTF">2025-07-07T17:40:31Z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</vt:lpwstr>
  </property>
</Properties>
</file>