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0C7711CA-5EF3-48AF-B9E4-5FE1EA1862EA}" xr6:coauthVersionLast="47" xr6:coauthVersionMax="47" xr10:uidLastSave="{00000000-0000-0000-0000-000000000000}"/>
  <bookViews>
    <workbookView xWindow="-110" yWindow="-110" windowWidth="19420" windowHeight="10420" tabRatio="913" xr2:uid="{00000000-000D-0000-FFFF-FFFF00000000}"/>
  </bookViews>
  <sheets>
    <sheet name="Index" sheetId="4" r:id="rId1"/>
    <sheet name="THCE_Statewide" sheetId="5" r:id="rId2"/>
    <sheet name="THCE_Comm" sheetId="71" r:id="rId3"/>
    <sheet name="THCE_Mcare" sheetId="69" r:id="rId4"/>
    <sheet name="THCE_Maid" sheetId="70" r:id="rId5"/>
    <sheet name="THCE_NCPHI" sheetId="9" r:id="rId6"/>
    <sheet name="THCE_Other" sheetId="10" r:id="rId7"/>
    <sheet name="TME_StatewideServCat" sheetId="91" r:id="rId8"/>
    <sheet name="TME_Mcare_ServCat" sheetId="81" r:id="rId9"/>
    <sheet name="TME_Comm_ServCat" sheetId="52" r:id="rId10"/>
    <sheet name="TME_Maid_ServCat" sheetId="80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52" l="1"/>
  <c r="E17" i="52"/>
  <c r="C29" i="69"/>
  <c r="F35" i="5"/>
  <c r="B35" i="5"/>
  <c r="D35" i="5"/>
  <c r="D30" i="70" l="1"/>
  <c r="F30" i="70" s="1"/>
  <c r="E30" i="70"/>
  <c r="G30" i="70" s="1"/>
  <c r="C30" i="70"/>
  <c r="D12" i="70"/>
  <c r="E12" i="70"/>
  <c r="C12" i="70"/>
  <c r="B9" i="5" s="1"/>
  <c r="P8" i="70"/>
  <c r="Q8" i="70"/>
  <c r="S8" i="70" s="1"/>
  <c r="O8" i="70"/>
  <c r="S7" i="70"/>
  <c r="R7" i="70"/>
  <c r="S6" i="70"/>
  <c r="R6" i="70"/>
  <c r="C9" i="5"/>
  <c r="D9" i="5"/>
  <c r="C29" i="70"/>
  <c r="C21" i="70"/>
  <c r="G12" i="70"/>
  <c r="C11" i="70"/>
  <c r="C13" i="70" s="1"/>
  <c r="C31" i="70" s="1"/>
  <c r="B10" i="5"/>
  <c r="D10" i="5"/>
  <c r="C10" i="5"/>
  <c r="G35" i="9"/>
  <c r="F35" i="9"/>
  <c r="G13" i="9"/>
  <c r="F13" i="9"/>
  <c r="F12" i="70" l="1"/>
  <c r="R8" i="70"/>
  <c r="E23" i="9" l="1"/>
  <c r="D23" i="9"/>
  <c r="C23" i="9"/>
  <c r="C20" i="69" l="1"/>
  <c r="D10" i="69"/>
  <c r="C8" i="5" s="1"/>
  <c r="E10" i="69"/>
  <c r="C10" i="69"/>
  <c r="B8" i="5" s="1"/>
  <c r="G10" i="69" l="1"/>
  <c r="D8" i="5"/>
  <c r="F10" i="69"/>
  <c r="J46" i="80" l="1"/>
  <c r="L33" i="80"/>
  <c r="L34" i="80"/>
  <c r="L35" i="80"/>
  <c r="L36" i="80"/>
  <c r="L37" i="80"/>
  <c r="L38" i="80"/>
  <c r="L39" i="80"/>
  <c r="L40" i="80"/>
  <c r="L41" i="80"/>
  <c r="L42" i="80"/>
  <c r="L43" i="80"/>
  <c r="L44" i="80"/>
  <c r="L45" i="80"/>
  <c r="L46" i="80"/>
  <c r="L47" i="80"/>
  <c r="L32" i="80"/>
  <c r="K33" i="80"/>
  <c r="K34" i="80"/>
  <c r="K35" i="80"/>
  <c r="K36" i="80"/>
  <c r="K37" i="80"/>
  <c r="K38" i="80"/>
  <c r="K39" i="80"/>
  <c r="K40" i="80"/>
  <c r="K41" i="80"/>
  <c r="K42" i="80"/>
  <c r="K43" i="80"/>
  <c r="K44" i="80"/>
  <c r="K45" i="80"/>
  <c r="K46" i="80"/>
  <c r="K47" i="80"/>
  <c r="K32" i="80"/>
  <c r="J33" i="80"/>
  <c r="J34" i="80"/>
  <c r="J35" i="80"/>
  <c r="J36" i="80"/>
  <c r="J37" i="80"/>
  <c r="J38" i="80"/>
  <c r="J39" i="80"/>
  <c r="J40" i="80"/>
  <c r="J41" i="80"/>
  <c r="J42" i="80"/>
  <c r="J43" i="80"/>
  <c r="J44" i="80"/>
  <c r="J45" i="80"/>
  <c r="J47" i="80"/>
  <c r="J32" i="80"/>
  <c r="B32" i="80"/>
  <c r="J25" i="80"/>
  <c r="J48" i="80" s="1"/>
  <c r="D16" i="71"/>
  <c r="E16" i="71"/>
  <c r="C16" i="71"/>
  <c r="D15" i="71"/>
  <c r="E15" i="71"/>
  <c r="C15" i="71"/>
  <c r="D19" i="69"/>
  <c r="E19" i="69"/>
  <c r="C19" i="69"/>
  <c r="D18" i="69"/>
  <c r="E18" i="69"/>
  <c r="C18" i="69"/>
  <c r="D17" i="69"/>
  <c r="E17" i="69"/>
  <c r="C17" i="69"/>
  <c r="D9" i="69"/>
  <c r="E9" i="69"/>
  <c r="C9" i="69"/>
  <c r="D8" i="69"/>
  <c r="E8" i="69"/>
  <c r="C8" i="69"/>
  <c r="E7" i="69"/>
  <c r="D7" i="69"/>
  <c r="C7" i="69"/>
  <c r="C25" i="69" s="1"/>
  <c r="B9" i="81"/>
  <c r="J47" i="52"/>
  <c r="J32" i="52"/>
  <c r="D11" i="70"/>
  <c r="E11" i="70"/>
  <c r="D21" i="70"/>
  <c r="E21" i="70"/>
  <c r="C26" i="70"/>
  <c r="E11" i="80"/>
  <c r="D13" i="70" l="1"/>
  <c r="F11" i="70"/>
  <c r="E13" i="70"/>
  <c r="G11" i="70"/>
  <c r="C26" i="69"/>
  <c r="C27" i="69"/>
  <c r="C17" i="71"/>
  <c r="S32" i="52" l="1"/>
  <c r="L33" i="52"/>
  <c r="L34" i="52"/>
  <c r="L35" i="52"/>
  <c r="L36" i="52"/>
  <c r="L37" i="52"/>
  <c r="L38" i="52"/>
  <c r="L39" i="52"/>
  <c r="L40" i="52"/>
  <c r="L41" i="52"/>
  <c r="L42" i="52"/>
  <c r="L43" i="52"/>
  <c r="L44" i="52"/>
  <c r="L45" i="52"/>
  <c r="L46" i="52"/>
  <c r="L47" i="52"/>
  <c r="L32" i="52"/>
  <c r="K32" i="52"/>
  <c r="K33" i="52"/>
  <c r="K34" i="52"/>
  <c r="K35" i="52"/>
  <c r="K36" i="52"/>
  <c r="K37" i="52"/>
  <c r="K38" i="52"/>
  <c r="K39" i="52"/>
  <c r="K40" i="52"/>
  <c r="K41" i="52"/>
  <c r="K42" i="52"/>
  <c r="K43" i="52"/>
  <c r="K44" i="52"/>
  <c r="K45" i="52"/>
  <c r="K46" i="52"/>
  <c r="K47" i="52"/>
  <c r="J33" i="52"/>
  <c r="J34" i="52"/>
  <c r="J35" i="52"/>
  <c r="J36" i="52"/>
  <c r="J37" i="52"/>
  <c r="J38" i="52"/>
  <c r="J39" i="52"/>
  <c r="J48" i="52" s="1"/>
  <c r="J40" i="52"/>
  <c r="J41" i="52"/>
  <c r="J42" i="52"/>
  <c r="J43" i="52"/>
  <c r="J44" i="52"/>
  <c r="J45" i="52"/>
  <c r="J46" i="52"/>
  <c r="F10" i="70"/>
  <c r="C34" i="9" l="1"/>
  <c r="D11" i="69"/>
  <c r="E11" i="69"/>
  <c r="C11" i="69"/>
  <c r="C28" i="69" s="1"/>
  <c r="C12" i="69" l="1"/>
  <c r="G11" i="69"/>
  <c r="F11" i="69"/>
  <c r="E28" i="69"/>
  <c r="D28" i="69"/>
  <c r="F28" i="69" s="1"/>
  <c r="N23" i="80"/>
  <c r="N19" i="80"/>
  <c r="D26" i="5"/>
  <c r="B26" i="5"/>
  <c r="C14" i="5"/>
  <c r="B14" i="5"/>
  <c r="G28" i="69" l="1"/>
  <c r="M19" i="80"/>
  <c r="N22" i="80"/>
  <c r="N16" i="80"/>
  <c r="N15" i="80"/>
  <c r="N24" i="80"/>
  <c r="N18" i="80"/>
  <c r="B39" i="5"/>
  <c r="M24" i="80"/>
  <c r="L27" i="80"/>
  <c r="L50" i="80" s="1"/>
  <c r="M23" i="80"/>
  <c r="M21" i="80"/>
  <c r="N20" i="80"/>
  <c r="M20" i="80"/>
  <c r="M17" i="80"/>
  <c r="M16" i="80"/>
  <c r="M8" i="80"/>
  <c r="N12" i="80"/>
  <c r="N8" i="80"/>
  <c r="N11" i="80"/>
  <c r="N14" i="80"/>
  <c r="M15" i="80"/>
  <c r="M13" i="80"/>
  <c r="M12" i="80"/>
  <c r="M11" i="80"/>
  <c r="N10" i="80"/>
  <c r="J26" i="80"/>
  <c r="J49" i="80" s="1"/>
  <c r="K25" i="80"/>
  <c r="K48" i="80" s="1"/>
  <c r="M9" i="80"/>
  <c r="J27" i="80"/>
  <c r="J50" i="80" s="1"/>
  <c r="L25" i="80"/>
  <c r="L48" i="80" s="1"/>
  <c r="K26" i="80"/>
  <c r="K49" i="80" s="1"/>
  <c r="L26" i="80"/>
  <c r="L49" i="80" s="1"/>
  <c r="K27" i="80"/>
  <c r="K50" i="80" s="1"/>
  <c r="N9" i="80"/>
  <c r="M10" i="80"/>
  <c r="N13" i="80"/>
  <c r="M14" i="80"/>
  <c r="N17" i="80"/>
  <c r="M18" i="80"/>
  <c r="N21" i="80"/>
  <c r="M22" i="80"/>
  <c r="E25" i="10"/>
  <c r="F17" i="10"/>
  <c r="D14" i="5"/>
  <c r="D39" i="5" s="1"/>
  <c r="E14" i="5"/>
  <c r="D25" i="10"/>
  <c r="G17" i="10"/>
  <c r="F10" i="10"/>
  <c r="C26" i="5"/>
  <c r="E26" i="5" s="1"/>
  <c r="C25" i="10"/>
  <c r="G10" i="10"/>
  <c r="N43" i="80" l="1"/>
  <c r="M40" i="80"/>
  <c r="N27" i="80"/>
  <c r="N46" i="80"/>
  <c r="M44" i="80"/>
  <c r="M47" i="80"/>
  <c r="M46" i="80"/>
  <c r="N42" i="80"/>
  <c r="N40" i="80"/>
  <c r="M43" i="80"/>
  <c r="N45" i="80"/>
  <c r="N41" i="80"/>
  <c r="M45" i="80"/>
  <c r="N47" i="80"/>
  <c r="N39" i="80"/>
  <c r="M39" i="80"/>
  <c r="N32" i="80"/>
  <c r="N34" i="80"/>
  <c r="M38" i="80"/>
  <c r="N37" i="80"/>
  <c r="N36" i="80"/>
  <c r="N38" i="80"/>
  <c r="M37" i="80"/>
  <c r="M36" i="80"/>
  <c r="M34" i="80"/>
  <c r="N33" i="80"/>
  <c r="N35" i="80"/>
  <c r="N44" i="80"/>
  <c r="M35" i="80"/>
  <c r="M41" i="80"/>
  <c r="M33" i="80"/>
  <c r="M42" i="80"/>
  <c r="M32" i="80"/>
  <c r="M25" i="80"/>
  <c r="M48" i="80"/>
  <c r="N26" i="80"/>
  <c r="M49" i="80"/>
  <c r="M26" i="80"/>
  <c r="N48" i="80"/>
  <c r="N25" i="80"/>
  <c r="M27" i="80"/>
  <c r="M50" i="80"/>
  <c r="C39" i="5"/>
  <c r="F14" i="5"/>
  <c r="F25" i="10"/>
  <c r="G25" i="10"/>
  <c r="F26" i="5"/>
  <c r="N49" i="80" l="1"/>
  <c r="N50" i="80"/>
  <c r="C31" i="9" l="1"/>
  <c r="N21" i="81"/>
  <c r="M21" i="81"/>
  <c r="G18" i="69"/>
  <c r="C8" i="81" l="1"/>
  <c r="AA33" i="81"/>
  <c r="AA34" i="81"/>
  <c r="C23" i="5"/>
  <c r="D28" i="70"/>
  <c r="D26" i="69"/>
  <c r="F26" i="69" s="1"/>
  <c r="F18" i="69"/>
  <c r="AA32" i="81"/>
  <c r="G10" i="70"/>
  <c r="Z33" i="81"/>
  <c r="Z35" i="81"/>
  <c r="Z39" i="81"/>
  <c r="Z43" i="81"/>
  <c r="Z47" i="81"/>
  <c r="AA35" i="81"/>
  <c r="AA37" i="81"/>
  <c r="AA39" i="81"/>
  <c r="AA41" i="81"/>
  <c r="AA43" i="81"/>
  <c r="AA45" i="81"/>
  <c r="AA47" i="81"/>
  <c r="AB32" i="81"/>
  <c r="Z37" i="81"/>
  <c r="Z41" i="81"/>
  <c r="Z45" i="81"/>
  <c r="AA36" i="81"/>
  <c r="AA38" i="81"/>
  <c r="AA40" i="81"/>
  <c r="AA42" i="81"/>
  <c r="AA44" i="81"/>
  <c r="Z34" i="81"/>
  <c r="Z38" i="81"/>
  <c r="Z42" i="81"/>
  <c r="AB35" i="81"/>
  <c r="AB37" i="81"/>
  <c r="AB39" i="81"/>
  <c r="AB41" i="81"/>
  <c r="AB43" i="81"/>
  <c r="AB45" i="81"/>
  <c r="AB47" i="81"/>
  <c r="D8" i="81"/>
  <c r="F8" i="81" s="1"/>
  <c r="AB33" i="81"/>
  <c r="Z36" i="81"/>
  <c r="Z40" i="81"/>
  <c r="Z44" i="81"/>
  <c r="AB34" i="81"/>
  <c r="AB36" i="81"/>
  <c r="AB38" i="81"/>
  <c r="AB40" i="81"/>
  <c r="AB42" i="81"/>
  <c r="AB44" i="81"/>
  <c r="B23" i="5"/>
  <c r="AB46" i="81"/>
  <c r="N15" i="81"/>
  <c r="B10" i="81"/>
  <c r="B14" i="81"/>
  <c r="B18" i="81"/>
  <c r="B22" i="81"/>
  <c r="C11" i="81"/>
  <c r="D13" i="81"/>
  <c r="C15" i="81"/>
  <c r="C17" i="81"/>
  <c r="C19" i="81"/>
  <c r="C21" i="81"/>
  <c r="D23" i="5"/>
  <c r="G8" i="69"/>
  <c r="AA46" i="81"/>
  <c r="B11" i="81"/>
  <c r="B15" i="81"/>
  <c r="B19" i="81"/>
  <c r="D10" i="81"/>
  <c r="D12" i="81"/>
  <c r="D14" i="81"/>
  <c r="D16" i="81"/>
  <c r="D18" i="81"/>
  <c r="D20" i="81"/>
  <c r="D22" i="81"/>
  <c r="D24" i="81"/>
  <c r="Z46" i="81"/>
  <c r="B12" i="81"/>
  <c r="B16" i="81"/>
  <c r="B20" i="81"/>
  <c r="E20" i="81" s="1"/>
  <c r="B24" i="81"/>
  <c r="C10" i="81"/>
  <c r="C12" i="81"/>
  <c r="C14" i="81"/>
  <c r="C16" i="81"/>
  <c r="C18" i="81"/>
  <c r="C20" i="81"/>
  <c r="C43" i="81" s="1"/>
  <c r="C22" i="81"/>
  <c r="C45" i="81" s="1"/>
  <c r="C24" i="81"/>
  <c r="B8" i="81"/>
  <c r="B13" i="81"/>
  <c r="B17" i="81"/>
  <c r="B21" i="81"/>
  <c r="D11" i="81"/>
  <c r="C13" i="81"/>
  <c r="D15" i="81"/>
  <c r="F15" i="81" s="1"/>
  <c r="D17" i="81"/>
  <c r="D19" i="81"/>
  <c r="D21" i="81"/>
  <c r="Z32" i="81"/>
  <c r="D23" i="81"/>
  <c r="B23" i="81"/>
  <c r="C23" i="81"/>
  <c r="D9" i="81"/>
  <c r="Z26" i="81"/>
  <c r="Z49" i="81" s="1"/>
  <c r="C9" i="81"/>
  <c r="E26" i="69"/>
  <c r="F8" i="69"/>
  <c r="M12" i="81"/>
  <c r="C33" i="9"/>
  <c r="E33" i="9"/>
  <c r="E30" i="9"/>
  <c r="D30" i="9"/>
  <c r="D33" i="9"/>
  <c r="D32" i="9"/>
  <c r="C32" i="9"/>
  <c r="C30" i="9"/>
  <c r="E32" i="9"/>
  <c r="M11" i="81"/>
  <c r="E15" i="81"/>
  <c r="M19" i="81"/>
  <c r="E13" i="81"/>
  <c r="N14" i="81"/>
  <c r="N19" i="81"/>
  <c r="N10" i="81"/>
  <c r="M15" i="81"/>
  <c r="N18" i="81"/>
  <c r="J20" i="81"/>
  <c r="M14" i="81"/>
  <c r="N9" i="81"/>
  <c r="N11" i="81"/>
  <c r="AD17" i="81"/>
  <c r="M16" i="81"/>
  <c r="N12" i="81"/>
  <c r="N17" i="81"/>
  <c r="M13" i="81"/>
  <c r="N16" i="81"/>
  <c r="M10" i="81"/>
  <c r="N13" i="81"/>
  <c r="M18" i="81"/>
  <c r="K20" i="81"/>
  <c r="L20" i="81"/>
  <c r="M9" i="81"/>
  <c r="M17" i="81"/>
  <c r="AD9" i="81"/>
  <c r="AD10" i="81"/>
  <c r="AD11" i="81"/>
  <c r="AD23" i="81"/>
  <c r="AD8" i="81"/>
  <c r="AD20" i="81"/>
  <c r="AC22" i="81"/>
  <c r="AB27" i="81"/>
  <c r="AB50" i="81" s="1"/>
  <c r="AC17" i="81"/>
  <c r="AC24" i="81"/>
  <c r="AC23" i="81"/>
  <c r="Z27" i="81"/>
  <c r="Z50" i="81" s="1"/>
  <c r="AC19" i="81"/>
  <c r="AC16" i="81"/>
  <c r="AC14" i="81"/>
  <c r="AC11" i="81"/>
  <c r="AC8" i="81"/>
  <c r="AB25" i="81"/>
  <c r="AB48" i="81" s="1"/>
  <c r="AD14" i="81"/>
  <c r="AD12" i="81"/>
  <c r="AC15" i="81"/>
  <c r="AD19" i="81"/>
  <c r="AD15" i="81"/>
  <c r="AD22" i="81"/>
  <c r="AC13" i="81"/>
  <c r="AD16" i="81"/>
  <c r="AC21" i="81"/>
  <c r="AD24" i="81"/>
  <c r="AB26" i="81"/>
  <c r="AB49" i="81" s="1"/>
  <c r="AC10" i="81"/>
  <c r="AD13" i="81"/>
  <c r="AC18" i="81"/>
  <c r="AD21" i="81"/>
  <c r="Z25" i="81"/>
  <c r="Z48" i="81" s="1"/>
  <c r="AA26" i="81"/>
  <c r="AA49" i="81" s="1"/>
  <c r="AD18" i="81"/>
  <c r="AA25" i="81"/>
  <c r="AA48" i="81" s="1"/>
  <c r="AC12" i="81"/>
  <c r="AC20" i="81"/>
  <c r="AC9" i="81"/>
  <c r="AA27" i="81"/>
  <c r="AA50" i="81" s="1"/>
  <c r="B22" i="5"/>
  <c r="E28" i="70"/>
  <c r="G28" i="70" s="1"/>
  <c r="C28" i="70"/>
  <c r="F20" i="70"/>
  <c r="G20" i="70"/>
  <c r="E29" i="70"/>
  <c r="D29" i="70"/>
  <c r="E34" i="9"/>
  <c r="D34" i="9"/>
  <c r="G29" i="70" l="1"/>
  <c r="G26" i="69"/>
  <c r="F29" i="70"/>
  <c r="B38" i="81"/>
  <c r="C44" i="81"/>
  <c r="C47" i="81"/>
  <c r="F28" i="70"/>
  <c r="D29" i="9"/>
  <c r="E29" i="9"/>
  <c r="C9" i="71"/>
  <c r="C24" i="71" s="1"/>
  <c r="D45" i="81"/>
  <c r="D46" i="81"/>
  <c r="F13" i="81"/>
  <c r="D37" i="81"/>
  <c r="E16" i="81"/>
  <c r="D32" i="81"/>
  <c r="F14" i="81"/>
  <c r="D47" i="81"/>
  <c r="F47" i="81" s="1"/>
  <c r="D44" i="81"/>
  <c r="F45" i="81"/>
  <c r="E19" i="81"/>
  <c r="F10" i="81"/>
  <c r="E12" i="81"/>
  <c r="F16" i="81"/>
  <c r="D40" i="81"/>
  <c r="F20" i="81"/>
  <c r="D42" i="81"/>
  <c r="B42" i="81"/>
  <c r="E18" i="81"/>
  <c r="E10" i="81"/>
  <c r="D43" i="81"/>
  <c r="F43" i="81" s="1"/>
  <c r="F18" i="81"/>
  <c r="D34" i="81"/>
  <c r="E21" i="81"/>
  <c r="F19" i="81"/>
  <c r="F11" i="81"/>
  <c r="F21" i="81"/>
  <c r="B25" i="81"/>
  <c r="B48" i="81" s="1"/>
  <c r="D35" i="81"/>
  <c r="E17" i="81"/>
  <c r="B45" i="81"/>
  <c r="E45" i="81" s="1"/>
  <c r="E8" i="81"/>
  <c r="B37" i="81"/>
  <c r="F12" i="81"/>
  <c r="D33" i="81"/>
  <c r="F17" i="81"/>
  <c r="F24" i="81"/>
  <c r="C26" i="81"/>
  <c r="C49" i="81" s="1"/>
  <c r="F23" i="81"/>
  <c r="E14" i="81"/>
  <c r="B40" i="81"/>
  <c r="D26" i="81"/>
  <c r="D49" i="81" s="1"/>
  <c r="E11" i="81"/>
  <c r="E24" i="81"/>
  <c r="E22" i="81"/>
  <c r="D27" i="81"/>
  <c r="D50" i="81" s="1"/>
  <c r="F22" i="81"/>
  <c r="D25" i="81"/>
  <c r="D48" i="81" s="1"/>
  <c r="B44" i="81"/>
  <c r="C39" i="81"/>
  <c r="B47" i="81"/>
  <c r="D39" i="81"/>
  <c r="C40" i="81"/>
  <c r="D38" i="81"/>
  <c r="C37" i="81"/>
  <c r="B43" i="81"/>
  <c r="E43" i="81" s="1"/>
  <c r="C38" i="81"/>
  <c r="B41" i="81"/>
  <c r="C36" i="81"/>
  <c r="B36" i="81"/>
  <c r="C35" i="81"/>
  <c r="B39" i="81"/>
  <c r="B34" i="81"/>
  <c r="D36" i="81"/>
  <c r="C29" i="9"/>
  <c r="C41" i="81"/>
  <c r="C33" i="81"/>
  <c r="B35" i="81"/>
  <c r="D41" i="81"/>
  <c r="C42" i="81"/>
  <c r="C34" i="81"/>
  <c r="B33" i="81"/>
  <c r="B46" i="81"/>
  <c r="E23" i="81"/>
  <c r="C46" i="81"/>
  <c r="B27" i="81"/>
  <c r="B50" i="81" s="1"/>
  <c r="C27" i="81"/>
  <c r="C50" i="81" s="1"/>
  <c r="F9" i="81"/>
  <c r="C25" i="81"/>
  <c r="C48" i="81" s="1"/>
  <c r="E48" i="81" s="1"/>
  <c r="C32" i="81"/>
  <c r="B32" i="81"/>
  <c r="E9" i="81"/>
  <c r="B26" i="81"/>
  <c r="B49" i="81" s="1"/>
  <c r="AD27" i="81"/>
  <c r="N20" i="81"/>
  <c r="M20" i="81"/>
  <c r="AD25" i="81"/>
  <c r="AC26" i="81"/>
  <c r="AC25" i="81"/>
  <c r="AC27" i="81"/>
  <c r="AD26" i="81"/>
  <c r="G33" i="9"/>
  <c r="F33" i="9"/>
  <c r="F30" i="9"/>
  <c r="G20" i="9"/>
  <c r="F20" i="9"/>
  <c r="F32" i="9"/>
  <c r="G21" i="9"/>
  <c r="F19" i="9"/>
  <c r="F18" i="9"/>
  <c r="F22" i="9"/>
  <c r="G22" i="9"/>
  <c r="E31" i="9"/>
  <c r="D31" i="9"/>
  <c r="G30" i="9"/>
  <c r="F29" i="9" l="1"/>
  <c r="E47" i="81"/>
  <c r="E44" i="81"/>
  <c r="F44" i="81"/>
  <c r="F46" i="81"/>
  <c r="G29" i="9"/>
  <c r="D9" i="71"/>
  <c r="E9" i="71"/>
  <c r="E40" i="81"/>
  <c r="F35" i="81"/>
  <c r="E50" i="81"/>
  <c r="E42" i="81"/>
  <c r="F34" i="81"/>
  <c r="E41" i="81"/>
  <c r="E36" i="81"/>
  <c r="E38" i="81"/>
  <c r="F26" i="81"/>
  <c r="E49" i="81"/>
  <c r="F32" i="81"/>
  <c r="F40" i="81"/>
  <c r="E35" i="81"/>
  <c r="F41" i="81"/>
  <c r="E25" i="81"/>
  <c r="F39" i="81"/>
  <c r="F42" i="81"/>
  <c r="E34" i="81"/>
  <c r="F36" i="81"/>
  <c r="E33" i="81"/>
  <c r="F37" i="81"/>
  <c r="E37" i="81"/>
  <c r="F38" i="81"/>
  <c r="E39" i="81"/>
  <c r="F33" i="81"/>
  <c r="E27" i="81"/>
  <c r="F27" i="81"/>
  <c r="E46" i="81"/>
  <c r="F25" i="81"/>
  <c r="E32" i="81"/>
  <c r="F31" i="9"/>
  <c r="G18" i="9"/>
  <c r="G31" i="9"/>
  <c r="F21" i="9"/>
  <c r="G19" i="9"/>
  <c r="E26" i="81"/>
  <c r="F49" i="81"/>
  <c r="F48" i="81"/>
  <c r="F50" i="81"/>
  <c r="F23" i="9"/>
  <c r="G23" i="9"/>
  <c r="G24" i="9"/>
  <c r="F11" i="9"/>
  <c r="G11" i="9"/>
  <c r="F10" i="9"/>
  <c r="F8" i="9"/>
  <c r="G32" i="9"/>
  <c r="F12" i="9"/>
  <c r="G9" i="9"/>
  <c r="F9" i="9"/>
  <c r="F9" i="71" l="1"/>
  <c r="G9" i="71"/>
  <c r="F34" i="9"/>
  <c r="G8" i="9"/>
  <c r="G10" i="9"/>
  <c r="G34" i="9" l="1"/>
  <c r="G12" i="9"/>
  <c r="AC32" i="81" l="1"/>
  <c r="V11" i="81"/>
  <c r="V19" i="81"/>
  <c r="U17" i="81"/>
  <c r="V20" i="81"/>
  <c r="V16" i="81"/>
  <c r="U19" i="81"/>
  <c r="V10" i="81"/>
  <c r="V18" i="81"/>
  <c r="U11" i="81"/>
  <c r="U9" i="81"/>
  <c r="U14" i="81"/>
  <c r="V17" i="81"/>
  <c r="U22" i="81"/>
  <c r="V12" i="81"/>
  <c r="V21" i="81"/>
  <c r="R26" i="81"/>
  <c r="R49" i="81" s="1"/>
  <c r="U10" i="81"/>
  <c r="U12" i="81"/>
  <c r="V15" i="81"/>
  <c r="U18" i="81"/>
  <c r="U20" i="81"/>
  <c r="V23" i="81"/>
  <c r="U15" i="81"/>
  <c r="U23" i="81"/>
  <c r="V13" i="81"/>
  <c r="U13" i="81"/>
  <c r="R27" i="81"/>
  <c r="R50" i="81" s="1"/>
  <c r="U21" i="81"/>
  <c r="U24" i="81"/>
  <c r="U16" i="81"/>
  <c r="T27" i="81"/>
  <c r="V24" i="81"/>
  <c r="T25" i="81"/>
  <c r="T48" i="81" s="1"/>
  <c r="V14" i="81"/>
  <c r="S27" i="81"/>
  <c r="V22" i="81"/>
  <c r="V9" i="81"/>
  <c r="T26" i="81"/>
  <c r="V8" i="81"/>
  <c r="S26" i="81"/>
  <c r="R32" i="81"/>
  <c r="S25" i="81"/>
  <c r="S48" i="81" s="1"/>
  <c r="U8" i="81"/>
  <c r="R25" i="81"/>
  <c r="R48" i="81" s="1"/>
  <c r="T40" i="81"/>
  <c r="T43" i="81"/>
  <c r="S43" i="81"/>
  <c r="S38" i="81"/>
  <c r="S47" i="81"/>
  <c r="S37" i="81"/>
  <c r="T35" i="81"/>
  <c r="T38" i="81"/>
  <c r="S46" i="81"/>
  <c r="T47" i="81"/>
  <c r="S45" i="81"/>
  <c r="S40" i="81"/>
  <c r="S35" i="81"/>
  <c r="T46" i="81"/>
  <c r="T33" i="81"/>
  <c r="T41" i="81"/>
  <c r="S41" i="81"/>
  <c r="T39" i="81"/>
  <c r="T34" i="81"/>
  <c r="S39" i="81"/>
  <c r="T42" i="81"/>
  <c r="S34" i="81"/>
  <c r="T37" i="81"/>
  <c r="S42" i="81"/>
  <c r="T45" i="81"/>
  <c r="R32" i="52"/>
  <c r="R43" i="81"/>
  <c r="R38" i="81"/>
  <c r="R40" i="81"/>
  <c r="R39" i="81"/>
  <c r="R47" i="81"/>
  <c r="R35" i="81"/>
  <c r="R34" i="81"/>
  <c r="R37" i="81"/>
  <c r="R45" i="81"/>
  <c r="V8" i="52"/>
  <c r="R36" i="81"/>
  <c r="R33" i="81"/>
  <c r="S36" i="81"/>
  <c r="R41" i="81"/>
  <c r="S44" i="81"/>
  <c r="S33" i="81"/>
  <c r="R46" i="81"/>
  <c r="R44" i="81"/>
  <c r="T36" i="81"/>
  <c r="T44" i="81"/>
  <c r="S32" i="81"/>
  <c r="T32" i="81"/>
  <c r="R42" i="81"/>
  <c r="D8" i="52"/>
  <c r="D8" i="91" s="1"/>
  <c r="C8" i="52"/>
  <c r="C8" i="91" s="1"/>
  <c r="B8" i="52"/>
  <c r="B8" i="91" s="1"/>
  <c r="N8" i="52"/>
  <c r="U8" i="52"/>
  <c r="M8" i="52"/>
  <c r="S40" i="52"/>
  <c r="T40" i="52"/>
  <c r="R40" i="52"/>
  <c r="R39" i="52"/>
  <c r="S41" i="52"/>
  <c r="T41" i="52"/>
  <c r="R41" i="52"/>
  <c r="AC46" i="81" l="1"/>
  <c r="AD36" i="81"/>
  <c r="AC34" i="81"/>
  <c r="AC39" i="81"/>
  <c r="AD43" i="81"/>
  <c r="AC45" i="81"/>
  <c r="AC50" i="81"/>
  <c r="AC48" i="81"/>
  <c r="AD35" i="81"/>
  <c r="AD37" i="81"/>
  <c r="AC41" i="81"/>
  <c r="AD49" i="81"/>
  <c r="AC35" i="81"/>
  <c r="AC40" i="81"/>
  <c r="AC42" i="81"/>
  <c r="AC33" i="81"/>
  <c r="AD38" i="81"/>
  <c r="AD48" i="81"/>
  <c r="AD40" i="81"/>
  <c r="AC49" i="81"/>
  <c r="AC43" i="81"/>
  <c r="AC38" i="81"/>
  <c r="AD45" i="81"/>
  <c r="AD34" i="81"/>
  <c r="AC44" i="81"/>
  <c r="AC47" i="81"/>
  <c r="AD47" i="81"/>
  <c r="AD50" i="81"/>
  <c r="AD46" i="81"/>
  <c r="AD33" i="81"/>
  <c r="AC37" i="81"/>
  <c r="AC36" i="81"/>
  <c r="AD44" i="81"/>
  <c r="AD32" i="81"/>
  <c r="AD41" i="81"/>
  <c r="AD42" i="81"/>
  <c r="AD39" i="81"/>
  <c r="U37" i="81"/>
  <c r="V38" i="81"/>
  <c r="U26" i="81"/>
  <c r="V34" i="81"/>
  <c r="U27" i="81"/>
  <c r="V37" i="81"/>
  <c r="V41" i="81"/>
  <c r="V43" i="81"/>
  <c r="U46" i="81"/>
  <c r="U34" i="81"/>
  <c r="V27" i="81"/>
  <c r="V45" i="81"/>
  <c r="V26" i="81"/>
  <c r="V35" i="81"/>
  <c r="U35" i="81"/>
  <c r="U43" i="81"/>
  <c r="U47" i="81"/>
  <c r="V39" i="81"/>
  <c r="V47" i="81"/>
  <c r="U25" i="81"/>
  <c r="V25" i="81"/>
  <c r="U42" i="81"/>
  <c r="V46" i="81"/>
  <c r="U45" i="81"/>
  <c r="U40" i="81"/>
  <c r="U38" i="81"/>
  <c r="U39" i="81"/>
  <c r="V40" i="81"/>
  <c r="U41" i="81"/>
  <c r="V42" i="81"/>
  <c r="U32" i="81"/>
  <c r="F8" i="80"/>
  <c r="F8" i="52"/>
  <c r="E8" i="80"/>
  <c r="V32" i="81"/>
  <c r="U33" i="81"/>
  <c r="V36" i="81"/>
  <c r="U48" i="81"/>
  <c r="S50" i="81"/>
  <c r="U50" i="81" s="1"/>
  <c r="S49" i="81"/>
  <c r="U49" i="81" s="1"/>
  <c r="U44" i="81"/>
  <c r="T49" i="81"/>
  <c r="V48" i="81"/>
  <c r="U36" i="81"/>
  <c r="V33" i="81"/>
  <c r="V44" i="81"/>
  <c r="T50" i="81"/>
  <c r="E8" i="52"/>
  <c r="U17" i="52"/>
  <c r="V17" i="52"/>
  <c r="V41" i="52"/>
  <c r="U41" i="52"/>
  <c r="D17" i="52"/>
  <c r="D14" i="91" s="1"/>
  <c r="C17" i="52"/>
  <c r="B17" i="52"/>
  <c r="M17" i="52"/>
  <c r="N17" i="52"/>
  <c r="B34" i="5" l="1"/>
  <c r="J17" i="91"/>
  <c r="K17" i="91"/>
  <c r="L17" i="91"/>
  <c r="B14" i="91"/>
  <c r="C14" i="91"/>
  <c r="D40" i="52"/>
  <c r="B40" i="52"/>
  <c r="C40" i="52"/>
  <c r="D40" i="80"/>
  <c r="C40" i="80"/>
  <c r="B40" i="80"/>
  <c r="C27" i="70"/>
  <c r="V49" i="81"/>
  <c r="V50" i="81"/>
  <c r="U40" i="52"/>
  <c r="V40" i="52"/>
  <c r="F17" i="80"/>
  <c r="E17" i="80"/>
  <c r="F14" i="91" l="1"/>
  <c r="E14" i="91"/>
  <c r="E40" i="80"/>
  <c r="E40" i="52"/>
  <c r="F40" i="52"/>
  <c r="F40" i="80"/>
  <c r="F9" i="70" l="1"/>
  <c r="G9" i="70"/>
  <c r="T39" i="52" l="1"/>
  <c r="T37" i="52"/>
  <c r="T36" i="52"/>
  <c r="T35" i="52"/>
  <c r="S37" i="52"/>
  <c r="S36" i="52"/>
  <c r="S35" i="52"/>
  <c r="S38" i="52"/>
  <c r="S42" i="52"/>
  <c r="S43" i="52"/>
  <c r="S44" i="52"/>
  <c r="S45" i="52"/>
  <c r="S46" i="52"/>
  <c r="S47" i="52"/>
  <c r="S34" i="52"/>
  <c r="D43" i="80" l="1"/>
  <c r="C46" i="80"/>
  <c r="C37" i="80"/>
  <c r="D34" i="80"/>
  <c r="C32" i="80"/>
  <c r="B38" i="80"/>
  <c r="B34" i="80"/>
  <c r="B44" i="80"/>
  <c r="B39" i="80"/>
  <c r="B35" i="80"/>
  <c r="B45" i="80"/>
  <c r="B41" i="80"/>
  <c r="B36" i="80"/>
  <c r="B46" i="80"/>
  <c r="B42" i="80"/>
  <c r="B37" i="80"/>
  <c r="B47" i="80"/>
  <c r="B43" i="80"/>
  <c r="B33" i="80"/>
  <c r="C44" i="80"/>
  <c r="C35" i="80"/>
  <c r="C43" i="80"/>
  <c r="D39" i="80"/>
  <c r="C34" i="80"/>
  <c r="D45" i="80"/>
  <c r="C39" i="80"/>
  <c r="D36" i="80"/>
  <c r="C45" i="80"/>
  <c r="D42" i="80"/>
  <c r="C36" i="80"/>
  <c r="D33" i="80"/>
  <c r="C47" i="80"/>
  <c r="S39" i="52"/>
  <c r="V39" i="52" s="1"/>
  <c r="D47" i="80"/>
  <c r="C42" i="80"/>
  <c r="D38" i="80"/>
  <c r="C33" i="80"/>
  <c r="C38" i="80"/>
  <c r="D35" i="80"/>
  <c r="D41" i="80"/>
  <c r="D32" i="80"/>
  <c r="D46" i="80"/>
  <c r="C41" i="80"/>
  <c r="D37" i="80"/>
  <c r="D44" i="80"/>
  <c r="V36" i="52"/>
  <c r="V35" i="52"/>
  <c r="V37" i="52"/>
  <c r="B26" i="80"/>
  <c r="B49" i="80" s="1"/>
  <c r="B25" i="80"/>
  <c r="B48" i="80" s="1"/>
  <c r="C27" i="80"/>
  <c r="C50" i="80" s="1"/>
  <c r="D27" i="80"/>
  <c r="D25" i="80"/>
  <c r="D48" i="80" s="1"/>
  <c r="D26" i="80"/>
  <c r="D49" i="80" s="1"/>
  <c r="C25" i="80"/>
  <c r="C48" i="80" s="1"/>
  <c r="C26" i="80"/>
  <c r="C49" i="80" s="1"/>
  <c r="B27" i="80"/>
  <c r="B50" i="80" s="1"/>
  <c r="F16" i="80"/>
  <c r="E23" i="80"/>
  <c r="F20" i="80"/>
  <c r="E14" i="80"/>
  <c r="F24" i="80"/>
  <c r="E21" i="80"/>
  <c r="F15" i="80"/>
  <c r="F11" i="80"/>
  <c r="E10" i="80"/>
  <c r="S27" i="52"/>
  <c r="S50" i="52" s="1"/>
  <c r="E19" i="80"/>
  <c r="E24" i="80"/>
  <c r="E15" i="80"/>
  <c r="E12" i="80"/>
  <c r="F12" i="80"/>
  <c r="E16" i="80"/>
  <c r="F21" i="80"/>
  <c r="E20" i="80"/>
  <c r="E13" i="80"/>
  <c r="F14" i="80"/>
  <c r="E18" i="80"/>
  <c r="E22" i="80"/>
  <c r="F23" i="80"/>
  <c r="F10" i="80"/>
  <c r="E37" i="80" l="1"/>
  <c r="F46" i="80"/>
  <c r="E38" i="80"/>
  <c r="E43" i="80"/>
  <c r="E46" i="80"/>
  <c r="F37" i="80"/>
  <c r="E47" i="80"/>
  <c r="E45" i="80"/>
  <c r="E34" i="80"/>
  <c r="F32" i="80"/>
  <c r="E32" i="80"/>
  <c r="E36" i="80"/>
  <c r="E39" i="80"/>
  <c r="E44" i="80"/>
  <c r="E41" i="80"/>
  <c r="E42" i="80"/>
  <c r="F36" i="80"/>
  <c r="F43" i="80"/>
  <c r="F47" i="80"/>
  <c r="F42" i="80"/>
  <c r="F35" i="80"/>
  <c r="F38" i="80"/>
  <c r="F41" i="80"/>
  <c r="F45" i="80"/>
  <c r="F44" i="80"/>
  <c r="F33" i="80"/>
  <c r="F39" i="80"/>
  <c r="U39" i="52"/>
  <c r="D50" i="80"/>
  <c r="F50" i="80" s="1"/>
  <c r="F34" i="80"/>
  <c r="E33" i="80"/>
  <c r="E35" i="80"/>
  <c r="E48" i="80"/>
  <c r="E49" i="80"/>
  <c r="F49" i="80"/>
  <c r="E50" i="80"/>
  <c r="F48" i="80"/>
  <c r="E26" i="80"/>
  <c r="F27" i="80"/>
  <c r="E27" i="80"/>
  <c r="F26" i="80"/>
  <c r="E25" i="80"/>
  <c r="E9" i="80"/>
  <c r="F9" i="80"/>
  <c r="F22" i="80"/>
  <c r="F19" i="80"/>
  <c r="F18" i="80"/>
  <c r="F13" i="80"/>
  <c r="T47" i="52"/>
  <c r="T46" i="52"/>
  <c r="T45" i="52"/>
  <c r="R45" i="52"/>
  <c r="R44" i="52"/>
  <c r="T44" i="52"/>
  <c r="R43" i="52"/>
  <c r="T43" i="52"/>
  <c r="R42" i="52"/>
  <c r="T42" i="52"/>
  <c r="R46" i="52" l="1"/>
  <c r="U46" i="52" s="1"/>
  <c r="R47" i="52"/>
  <c r="U47" i="52" s="1"/>
  <c r="C24" i="52"/>
  <c r="U21" i="52"/>
  <c r="U44" i="52"/>
  <c r="U20" i="52"/>
  <c r="U43" i="52"/>
  <c r="U22" i="52"/>
  <c r="U45" i="52"/>
  <c r="V22" i="52"/>
  <c r="V45" i="52"/>
  <c r="V20" i="52"/>
  <c r="V43" i="52"/>
  <c r="V24" i="52"/>
  <c r="V47" i="52"/>
  <c r="V42" i="52"/>
  <c r="V23" i="52"/>
  <c r="V46" i="52"/>
  <c r="C20" i="52"/>
  <c r="V21" i="52"/>
  <c r="V44" i="52"/>
  <c r="U42" i="52"/>
  <c r="C22" i="52"/>
  <c r="B22" i="52"/>
  <c r="N23" i="52"/>
  <c r="B23" i="52"/>
  <c r="B24" i="52"/>
  <c r="D21" i="52"/>
  <c r="N24" i="52"/>
  <c r="D24" i="52"/>
  <c r="D21" i="91" s="1"/>
  <c r="N21" i="52"/>
  <c r="C21" i="52"/>
  <c r="M23" i="52"/>
  <c r="C23" i="52"/>
  <c r="N22" i="52"/>
  <c r="D22" i="52"/>
  <c r="B21" i="52"/>
  <c r="D23" i="52"/>
  <c r="T27" i="52"/>
  <c r="R27" i="52"/>
  <c r="J27" i="52"/>
  <c r="N20" i="52"/>
  <c r="D20" i="52"/>
  <c r="B20" i="52"/>
  <c r="D19" i="52"/>
  <c r="L27" i="52"/>
  <c r="C19" i="52"/>
  <c r="K27" i="52"/>
  <c r="F25" i="80"/>
  <c r="M24" i="52"/>
  <c r="M22" i="52"/>
  <c r="M21" i="52"/>
  <c r="M20" i="52"/>
  <c r="U24" i="52"/>
  <c r="U23" i="52"/>
  <c r="C13" i="5"/>
  <c r="B13" i="5"/>
  <c r="C43" i="52" l="1"/>
  <c r="K20" i="91"/>
  <c r="C17" i="91"/>
  <c r="B43" i="52"/>
  <c r="B17" i="91"/>
  <c r="J20" i="91"/>
  <c r="D45" i="52"/>
  <c r="D19" i="91"/>
  <c r="L22" i="91"/>
  <c r="C44" i="52"/>
  <c r="C18" i="91"/>
  <c r="K21" i="91"/>
  <c r="D44" i="52"/>
  <c r="D18" i="91"/>
  <c r="L21" i="91"/>
  <c r="B45" i="52"/>
  <c r="J22" i="91"/>
  <c r="B19" i="91"/>
  <c r="C16" i="91"/>
  <c r="K19" i="91"/>
  <c r="D43" i="52"/>
  <c r="L20" i="91"/>
  <c r="D17" i="91"/>
  <c r="B47" i="52"/>
  <c r="J24" i="91"/>
  <c r="B21" i="91"/>
  <c r="C45" i="52"/>
  <c r="C19" i="91"/>
  <c r="K22" i="91"/>
  <c r="C47" i="52"/>
  <c r="K24" i="91"/>
  <c r="C21" i="91"/>
  <c r="D20" i="91"/>
  <c r="L23" i="91"/>
  <c r="C20" i="91"/>
  <c r="K23" i="91"/>
  <c r="D47" i="52"/>
  <c r="L24" i="91"/>
  <c r="B20" i="91"/>
  <c r="J23" i="91"/>
  <c r="D16" i="91"/>
  <c r="L19" i="91"/>
  <c r="B44" i="52"/>
  <c r="B18" i="91"/>
  <c r="J21" i="91"/>
  <c r="D42" i="52"/>
  <c r="C42" i="52"/>
  <c r="D46" i="52"/>
  <c r="C46" i="52"/>
  <c r="B46" i="52"/>
  <c r="G9" i="10"/>
  <c r="D13" i="5"/>
  <c r="E13" i="5"/>
  <c r="V27" i="52"/>
  <c r="T50" i="52"/>
  <c r="V50" i="52" s="1"/>
  <c r="U27" i="52"/>
  <c r="R50" i="52"/>
  <c r="U50" i="52" s="1"/>
  <c r="F24" i="52"/>
  <c r="E22" i="52"/>
  <c r="E20" i="52"/>
  <c r="F22" i="52"/>
  <c r="F20" i="52"/>
  <c r="F43" i="52"/>
  <c r="E24" i="52"/>
  <c r="E23" i="52"/>
  <c r="E21" i="52"/>
  <c r="M27" i="52"/>
  <c r="D27" i="52"/>
  <c r="D50" i="52" s="1"/>
  <c r="C27" i="52"/>
  <c r="C50" i="52" s="1"/>
  <c r="F23" i="52"/>
  <c r="F21" i="52"/>
  <c r="N27" i="52"/>
  <c r="F9" i="10"/>
  <c r="F44" i="52" l="1"/>
  <c r="M22" i="91"/>
  <c r="M24" i="91"/>
  <c r="E44" i="52"/>
  <c r="E43" i="52"/>
  <c r="N20" i="91"/>
  <c r="M21" i="91"/>
  <c r="E18" i="91"/>
  <c r="E17" i="91"/>
  <c r="E21" i="91"/>
  <c r="E19" i="91"/>
  <c r="F17" i="91"/>
  <c r="M23" i="91"/>
  <c r="E45" i="52"/>
  <c r="F45" i="52"/>
  <c r="K27" i="91"/>
  <c r="F19" i="91"/>
  <c r="N19" i="91"/>
  <c r="L27" i="91"/>
  <c r="F21" i="91"/>
  <c r="E20" i="91"/>
  <c r="C24" i="91"/>
  <c r="N21" i="91"/>
  <c r="F16" i="91"/>
  <c r="D24" i="91"/>
  <c r="N24" i="91"/>
  <c r="N23" i="91"/>
  <c r="F18" i="91"/>
  <c r="M20" i="91"/>
  <c r="F20" i="91"/>
  <c r="N22" i="91"/>
  <c r="E17" i="71"/>
  <c r="E46" i="52"/>
  <c r="F42" i="52"/>
  <c r="F46" i="52"/>
  <c r="D22" i="5"/>
  <c r="F13" i="5"/>
  <c r="B20" i="5"/>
  <c r="D17" i="71"/>
  <c r="D24" i="71" s="1"/>
  <c r="F24" i="71" s="1"/>
  <c r="F47" i="52"/>
  <c r="E47" i="52"/>
  <c r="F50" i="52"/>
  <c r="C22" i="5"/>
  <c r="F27" i="52"/>
  <c r="D20" i="5" l="1"/>
  <c r="E24" i="71"/>
  <c r="G24" i="71" s="1"/>
  <c r="F24" i="91"/>
  <c r="N27" i="91"/>
  <c r="G17" i="71"/>
  <c r="C20" i="5"/>
  <c r="N47" i="52"/>
  <c r="F21" i="70"/>
  <c r="N44" i="52"/>
  <c r="N45" i="52"/>
  <c r="M44" i="52"/>
  <c r="M43" i="52"/>
  <c r="M41" i="52"/>
  <c r="N46" i="52"/>
  <c r="M45" i="52"/>
  <c r="N40" i="52"/>
  <c r="M47" i="52"/>
  <c r="J50" i="52"/>
  <c r="M40" i="52"/>
  <c r="N41" i="52"/>
  <c r="M42" i="52"/>
  <c r="K50" i="52"/>
  <c r="L50" i="52"/>
  <c r="N42" i="52"/>
  <c r="N43" i="52"/>
  <c r="M46" i="52"/>
  <c r="F17" i="71"/>
  <c r="G21" i="70"/>
  <c r="D12" i="69" l="1"/>
  <c r="E12" i="69"/>
  <c r="E31" i="70"/>
  <c r="F13" i="70"/>
  <c r="D31" i="70"/>
  <c r="N50" i="52"/>
  <c r="M50" i="52"/>
  <c r="G13" i="70"/>
  <c r="T38" i="52"/>
  <c r="V19" i="52"/>
  <c r="S33" i="52"/>
  <c r="T33" i="52"/>
  <c r="R33" i="52"/>
  <c r="T32" i="52"/>
  <c r="B19" i="52"/>
  <c r="C18" i="52"/>
  <c r="V16" i="52"/>
  <c r="V14" i="52"/>
  <c r="V12" i="52"/>
  <c r="G7" i="9"/>
  <c r="F7" i="9"/>
  <c r="F23" i="5"/>
  <c r="E23" i="5"/>
  <c r="E10" i="5"/>
  <c r="F10" i="5"/>
  <c r="C35" i="5"/>
  <c r="B25" i="5"/>
  <c r="C15" i="91" l="1"/>
  <c r="K18" i="91"/>
  <c r="B16" i="91"/>
  <c r="J19" i="91"/>
  <c r="C41" i="52"/>
  <c r="B42" i="52"/>
  <c r="E42" i="52" s="1"/>
  <c r="G12" i="69"/>
  <c r="F12" i="69"/>
  <c r="G31" i="70"/>
  <c r="F31" i="70"/>
  <c r="R34" i="52"/>
  <c r="U34" i="52" s="1"/>
  <c r="T34" i="52"/>
  <c r="V34" i="52" s="1"/>
  <c r="R35" i="52"/>
  <c r="U35" i="52" s="1"/>
  <c r="R36" i="52"/>
  <c r="U36" i="52" s="1"/>
  <c r="R37" i="52"/>
  <c r="U37" i="52" s="1"/>
  <c r="R38" i="52"/>
  <c r="U38" i="52" s="1"/>
  <c r="M37" i="52"/>
  <c r="U33" i="52"/>
  <c r="V32" i="52"/>
  <c r="J49" i="52"/>
  <c r="D15" i="52"/>
  <c r="L15" i="91" s="1"/>
  <c r="N33" i="52"/>
  <c r="C15" i="52"/>
  <c r="C12" i="52"/>
  <c r="K12" i="91" s="1"/>
  <c r="M35" i="52"/>
  <c r="U32" i="52"/>
  <c r="M33" i="52"/>
  <c r="D13" i="52"/>
  <c r="L13" i="91" s="1"/>
  <c r="V33" i="52"/>
  <c r="C16" i="52"/>
  <c r="M39" i="52"/>
  <c r="V15" i="52"/>
  <c r="V38" i="52"/>
  <c r="N32" i="52"/>
  <c r="C11" i="52"/>
  <c r="K11" i="91" s="1"/>
  <c r="M34" i="52"/>
  <c r="D14" i="52"/>
  <c r="L14" i="91" s="1"/>
  <c r="N37" i="52"/>
  <c r="B27" i="52"/>
  <c r="B50" i="52" s="1"/>
  <c r="M32" i="52"/>
  <c r="C13" i="52"/>
  <c r="K13" i="91" s="1"/>
  <c r="M36" i="52"/>
  <c r="T25" i="52"/>
  <c r="T48" i="52" s="1"/>
  <c r="T26" i="52"/>
  <c r="J25" i="52"/>
  <c r="J26" i="52"/>
  <c r="C7" i="71" s="1"/>
  <c r="C22" i="71" s="1"/>
  <c r="S25" i="52"/>
  <c r="S48" i="52" s="1"/>
  <c r="S26" i="52"/>
  <c r="K26" i="52"/>
  <c r="D7" i="71" s="1"/>
  <c r="L26" i="52"/>
  <c r="E7" i="71" s="1"/>
  <c r="E22" i="71" s="1"/>
  <c r="R26" i="52"/>
  <c r="R25" i="52"/>
  <c r="R48" i="52" s="1"/>
  <c r="B15" i="52"/>
  <c r="B10" i="52"/>
  <c r="B16" i="52"/>
  <c r="D10" i="52"/>
  <c r="C10" i="52"/>
  <c r="B11" i="52"/>
  <c r="J11" i="91" s="1"/>
  <c r="M11" i="91" s="1"/>
  <c r="D11" i="52"/>
  <c r="L11" i="91" s="1"/>
  <c r="B14" i="52"/>
  <c r="J14" i="91" s="1"/>
  <c r="V10" i="52"/>
  <c r="B18" i="52"/>
  <c r="B12" i="52"/>
  <c r="J12" i="91" s="1"/>
  <c r="K25" i="52"/>
  <c r="C9" i="52"/>
  <c r="N16" i="52"/>
  <c r="D16" i="52"/>
  <c r="V9" i="52"/>
  <c r="L25" i="52"/>
  <c r="D9" i="52"/>
  <c r="N14" i="52"/>
  <c r="C14" i="52"/>
  <c r="K14" i="91" s="1"/>
  <c r="N18" i="52"/>
  <c r="D18" i="52"/>
  <c r="N12" i="52"/>
  <c r="D12" i="52"/>
  <c r="L12" i="91" s="1"/>
  <c r="B9" i="52"/>
  <c r="B13" i="52"/>
  <c r="J13" i="91" s="1"/>
  <c r="F16" i="10"/>
  <c r="G16" i="10"/>
  <c r="C25" i="5"/>
  <c r="E25" i="5" s="1"/>
  <c r="D25" i="5"/>
  <c r="E35" i="5"/>
  <c r="V18" i="52"/>
  <c r="V11" i="52"/>
  <c r="U16" i="52"/>
  <c r="V13" i="52"/>
  <c r="U12" i="52"/>
  <c r="N10" i="52"/>
  <c r="N19" i="52"/>
  <c r="U15" i="52"/>
  <c r="U19" i="52"/>
  <c r="U18" i="52"/>
  <c r="U14" i="52"/>
  <c r="U13" i="52"/>
  <c r="U11" i="52"/>
  <c r="U10" i="52"/>
  <c r="U9" i="52"/>
  <c r="M16" i="52"/>
  <c r="N9" i="52"/>
  <c r="M12" i="52"/>
  <c r="N13" i="52"/>
  <c r="N11" i="52"/>
  <c r="N15" i="52"/>
  <c r="M9" i="52"/>
  <c r="M13" i="52"/>
  <c r="M11" i="52"/>
  <c r="M15" i="52"/>
  <c r="M18" i="52"/>
  <c r="M14" i="52"/>
  <c r="M19" i="52"/>
  <c r="M10" i="52"/>
  <c r="F19" i="52"/>
  <c r="E19" i="52"/>
  <c r="D24" i="5"/>
  <c r="B32" i="52" l="1"/>
  <c r="B25" i="52"/>
  <c r="S49" i="52"/>
  <c r="D8" i="71"/>
  <c r="D23" i="71" s="1"/>
  <c r="D22" i="71"/>
  <c r="R49" i="52"/>
  <c r="U49" i="52" s="1"/>
  <c r="C8" i="71"/>
  <c r="C23" i="71" s="1"/>
  <c r="T49" i="52"/>
  <c r="E8" i="71"/>
  <c r="E23" i="71" s="1"/>
  <c r="D7" i="5"/>
  <c r="E10" i="71"/>
  <c r="M12" i="91"/>
  <c r="N11" i="91"/>
  <c r="D10" i="91"/>
  <c r="L10" i="91"/>
  <c r="J27" i="91"/>
  <c r="M27" i="91" s="1"/>
  <c r="M19" i="91"/>
  <c r="D13" i="91"/>
  <c r="L16" i="91"/>
  <c r="B13" i="91"/>
  <c r="J16" i="91"/>
  <c r="B24" i="91"/>
  <c r="E24" i="91" s="1"/>
  <c r="E16" i="91"/>
  <c r="N14" i="91"/>
  <c r="M14" i="91"/>
  <c r="C12" i="91"/>
  <c r="K15" i="91"/>
  <c r="N15" i="91" s="1"/>
  <c r="D15" i="91"/>
  <c r="F15" i="91" s="1"/>
  <c r="L18" i="91"/>
  <c r="N18" i="91" s="1"/>
  <c r="D9" i="91"/>
  <c r="L9" i="91"/>
  <c r="B15" i="91"/>
  <c r="E15" i="91" s="1"/>
  <c r="J18" i="91"/>
  <c r="M18" i="91" s="1"/>
  <c r="B10" i="91"/>
  <c r="J10" i="91"/>
  <c r="N13" i="91"/>
  <c r="N12" i="91"/>
  <c r="B9" i="91"/>
  <c r="J9" i="91"/>
  <c r="C9" i="91"/>
  <c r="K9" i="91"/>
  <c r="C10" i="91"/>
  <c r="E10" i="91" s="1"/>
  <c r="K10" i="91"/>
  <c r="B12" i="91"/>
  <c r="J15" i="91"/>
  <c r="M13" i="91"/>
  <c r="C13" i="91"/>
  <c r="K16" i="91"/>
  <c r="B11" i="91"/>
  <c r="C11" i="91"/>
  <c r="D12" i="91"/>
  <c r="D11" i="91"/>
  <c r="D35" i="52"/>
  <c r="C37" i="52"/>
  <c r="B37" i="52"/>
  <c r="D33" i="52"/>
  <c r="D37" i="52"/>
  <c r="C38" i="52"/>
  <c r="D39" i="52"/>
  <c r="B35" i="52"/>
  <c r="D34" i="52"/>
  <c r="B39" i="52"/>
  <c r="B36" i="52"/>
  <c r="D41" i="52"/>
  <c r="B41" i="52"/>
  <c r="B34" i="52"/>
  <c r="B33" i="52"/>
  <c r="C34" i="52"/>
  <c r="D36" i="52"/>
  <c r="C35" i="52"/>
  <c r="C33" i="52"/>
  <c r="B38" i="52"/>
  <c r="C36" i="52"/>
  <c r="C39" i="52"/>
  <c r="D32" i="52"/>
  <c r="E25" i="71"/>
  <c r="C32" i="52"/>
  <c r="N34" i="52"/>
  <c r="D38" i="52"/>
  <c r="N26" i="52"/>
  <c r="N39" i="52"/>
  <c r="V48" i="52"/>
  <c r="K48" i="52"/>
  <c r="M48" i="52" s="1"/>
  <c r="L48" i="52"/>
  <c r="F16" i="52"/>
  <c r="F11" i="52"/>
  <c r="U48" i="52"/>
  <c r="F12" i="52"/>
  <c r="E15" i="52"/>
  <c r="F18" i="52"/>
  <c r="E11" i="52"/>
  <c r="K49" i="52"/>
  <c r="M49" i="52" s="1"/>
  <c r="L49" i="52"/>
  <c r="N36" i="52"/>
  <c r="N38" i="52"/>
  <c r="M38" i="52"/>
  <c r="V49" i="52"/>
  <c r="F15" i="52"/>
  <c r="F13" i="52"/>
  <c r="E12" i="52"/>
  <c r="U26" i="52"/>
  <c r="F14" i="52"/>
  <c r="M26" i="52"/>
  <c r="E13" i="52"/>
  <c r="E18" i="52"/>
  <c r="E27" i="52"/>
  <c r="E50" i="52"/>
  <c r="N35" i="52"/>
  <c r="D25" i="52"/>
  <c r="D48" i="52" s="1"/>
  <c r="D26" i="52"/>
  <c r="D49" i="52" s="1"/>
  <c r="B48" i="52"/>
  <c r="B26" i="52"/>
  <c r="B49" i="52" s="1"/>
  <c r="C25" i="52"/>
  <c r="C48" i="52" s="1"/>
  <c r="C26" i="52"/>
  <c r="C49" i="52" s="1"/>
  <c r="V26" i="52"/>
  <c r="E16" i="52"/>
  <c r="F9" i="52"/>
  <c r="N25" i="52"/>
  <c r="E14" i="52"/>
  <c r="U25" i="52"/>
  <c r="V25" i="52"/>
  <c r="E9" i="52"/>
  <c r="M25" i="52"/>
  <c r="F25" i="5"/>
  <c r="C24" i="5"/>
  <c r="G15" i="10"/>
  <c r="B24" i="5"/>
  <c r="C10" i="71" l="1"/>
  <c r="C25" i="71" s="1"/>
  <c r="B7" i="5"/>
  <c r="B32" i="5" s="1"/>
  <c r="N10" i="91"/>
  <c r="D10" i="71"/>
  <c r="C7" i="5"/>
  <c r="F10" i="91"/>
  <c r="E13" i="91"/>
  <c r="F9" i="91"/>
  <c r="E12" i="91"/>
  <c r="E9" i="91"/>
  <c r="F13" i="91"/>
  <c r="C22" i="91"/>
  <c r="N16" i="91"/>
  <c r="E33" i="52"/>
  <c r="F41" i="52"/>
  <c r="K25" i="91"/>
  <c r="K26" i="91"/>
  <c r="M9" i="91"/>
  <c r="E41" i="52"/>
  <c r="M16" i="91"/>
  <c r="J26" i="91"/>
  <c r="J25" i="91"/>
  <c r="M10" i="91"/>
  <c r="L25" i="91"/>
  <c r="L26" i="91"/>
  <c r="N9" i="91"/>
  <c r="M15" i="91"/>
  <c r="E36" i="52"/>
  <c r="F36" i="52"/>
  <c r="F35" i="52"/>
  <c r="F34" i="52"/>
  <c r="C23" i="91"/>
  <c r="B23" i="91"/>
  <c r="F11" i="91"/>
  <c r="F12" i="91"/>
  <c r="B22" i="91"/>
  <c r="D22" i="91"/>
  <c r="D23" i="91"/>
  <c r="E11" i="91"/>
  <c r="F33" i="52"/>
  <c r="E32" i="52"/>
  <c r="E39" i="52"/>
  <c r="F32" i="52"/>
  <c r="E37" i="52"/>
  <c r="E35" i="52"/>
  <c r="E34" i="52"/>
  <c r="E38" i="52"/>
  <c r="F39" i="52"/>
  <c r="F38" i="52"/>
  <c r="F48" i="52"/>
  <c r="N49" i="52"/>
  <c r="E48" i="52"/>
  <c r="N48" i="52"/>
  <c r="E26" i="52"/>
  <c r="F37" i="52"/>
  <c r="F26" i="52"/>
  <c r="E25" i="52"/>
  <c r="F25" i="52"/>
  <c r="F24" i="5"/>
  <c r="F15" i="10"/>
  <c r="E24" i="5"/>
  <c r="F19" i="70"/>
  <c r="G16" i="71"/>
  <c r="G10" i="71" l="1"/>
  <c r="F10" i="71"/>
  <c r="D25" i="71"/>
  <c r="N26" i="91"/>
  <c r="M26" i="91"/>
  <c r="M25" i="91"/>
  <c r="N25" i="91"/>
  <c r="J32" i="91"/>
  <c r="J36" i="91"/>
  <c r="J40" i="91"/>
  <c r="J44" i="91"/>
  <c r="J34" i="91"/>
  <c r="J42" i="91"/>
  <c r="J8" i="91"/>
  <c r="J35" i="91"/>
  <c r="J43" i="91"/>
  <c r="B44" i="91"/>
  <c r="J49" i="91"/>
  <c r="J33" i="91"/>
  <c r="J37" i="91"/>
  <c r="J41" i="91"/>
  <c r="J45" i="91"/>
  <c r="J50" i="91"/>
  <c r="J38" i="91"/>
  <c r="J46" i="91"/>
  <c r="J48" i="91"/>
  <c r="J39" i="91"/>
  <c r="J47" i="91"/>
  <c r="B41" i="91"/>
  <c r="B36" i="91"/>
  <c r="B39" i="91"/>
  <c r="B40" i="91"/>
  <c r="B37" i="91"/>
  <c r="B38" i="91"/>
  <c r="B34" i="91"/>
  <c r="B35" i="91"/>
  <c r="B30" i="91"/>
  <c r="B33" i="91"/>
  <c r="B32" i="91"/>
  <c r="B29" i="91"/>
  <c r="D42" i="91"/>
  <c r="B31" i="91"/>
  <c r="K48" i="91"/>
  <c r="K36" i="91"/>
  <c r="K40" i="91"/>
  <c r="K44" i="91"/>
  <c r="K32" i="91"/>
  <c r="K8" i="91"/>
  <c r="C39" i="91"/>
  <c r="C44" i="91"/>
  <c r="K49" i="91"/>
  <c r="K34" i="91"/>
  <c r="M34" i="91" s="1"/>
  <c r="K42" i="91"/>
  <c r="M42" i="91" s="1"/>
  <c r="C37" i="91"/>
  <c r="C41" i="91"/>
  <c r="K50" i="91"/>
  <c r="K39" i="91"/>
  <c r="K33" i="91"/>
  <c r="K37" i="91"/>
  <c r="K41" i="91"/>
  <c r="K45" i="91"/>
  <c r="C36" i="91"/>
  <c r="E36" i="91" s="1"/>
  <c r="C40" i="91"/>
  <c r="K38" i="91"/>
  <c r="M38" i="91" s="1"/>
  <c r="K46" i="91"/>
  <c r="M46" i="91" s="1"/>
  <c r="K35" i="91"/>
  <c r="K43" i="91"/>
  <c r="K47" i="91"/>
  <c r="M47" i="91" s="1"/>
  <c r="C38" i="91"/>
  <c r="E8" i="91"/>
  <c r="C34" i="91"/>
  <c r="C35" i="91"/>
  <c r="C30" i="91"/>
  <c r="C29" i="91"/>
  <c r="C32" i="91"/>
  <c r="C33" i="91"/>
  <c r="B42" i="91"/>
  <c r="C43" i="91"/>
  <c r="L50" i="91"/>
  <c r="L36" i="91"/>
  <c r="L40" i="91"/>
  <c r="L44" i="91"/>
  <c r="L32" i="91"/>
  <c r="D40" i="91"/>
  <c r="L34" i="91"/>
  <c r="L42" i="91"/>
  <c r="D37" i="91"/>
  <c r="L48" i="91"/>
  <c r="L33" i="91"/>
  <c r="L37" i="91"/>
  <c r="L41" i="91"/>
  <c r="L45" i="91"/>
  <c r="L8" i="91"/>
  <c r="D41" i="91"/>
  <c r="L38" i="91"/>
  <c r="L46" i="91"/>
  <c r="D38" i="91"/>
  <c r="D36" i="91"/>
  <c r="D44" i="91"/>
  <c r="L49" i="91"/>
  <c r="L35" i="91"/>
  <c r="L39" i="91"/>
  <c r="L43" i="91"/>
  <c r="L47" i="91"/>
  <c r="D39" i="91"/>
  <c r="F39" i="91" s="1"/>
  <c r="F8" i="91"/>
  <c r="D34" i="91"/>
  <c r="D33" i="91"/>
  <c r="F33" i="91" s="1"/>
  <c r="D30" i="91"/>
  <c r="D29" i="91"/>
  <c r="D35" i="91"/>
  <c r="D43" i="91"/>
  <c r="D32" i="91"/>
  <c r="C31" i="91"/>
  <c r="B43" i="91"/>
  <c r="D31" i="91"/>
  <c r="C42" i="91"/>
  <c r="F23" i="91"/>
  <c r="F22" i="91"/>
  <c r="E23" i="91"/>
  <c r="E22" i="91"/>
  <c r="J39" i="81"/>
  <c r="J37" i="81"/>
  <c r="J44" i="81"/>
  <c r="J32" i="81"/>
  <c r="J40" i="81"/>
  <c r="J36" i="81"/>
  <c r="J42" i="81"/>
  <c r="J35" i="81"/>
  <c r="J34" i="81"/>
  <c r="J38" i="81"/>
  <c r="J33" i="81"/>
  <c r="J41" i="81"/>
  <c r="J43" i="81"/>
  <c r="L41" i="81"/>
  <c r="L33" i="81"/>
  <c r="L39" i="81"/>
  <c r="L44" i="81"/>
  <c r="L40" i="81"/>
  <c r="L34" i="81"/>
  <c r="L37" i="81"/>
  <c r="L35" i="81"/>
  <c r="L38" i="81"/>
  <c r="L42" i="81"/>
  <c r="L36" i="81"/>
  <c r="N8" i="81"/>
  <c r="L32" i="81"/>
  <c r="L43" i="81"/>
  <c r="K36" i="81"/>
  <c r="K44" i="81"/>
  <c r="K42" i="81"/>
  <c r="K34" i="81"/>
  <c r="K38" i="81"/>
  <c r="K35" i="81"/>
  <c r="K41" i="81"/>
  <c r="K32" i="81"/>
  <c r="K33" i="81"/>
  <c r="K37" i="81"/>
  <c r="K40" i="81"/>
  <c r="K39" i="81"/>
  <c r="M8" i="81"/>
  <c r="K43" i="81"/>
  <c r="D20" i="69"/>
  <c r="C21" i="5" s="1"/>
  <c r="C27" i="5" s="1"/>
  <c r="E20" i="69"/>
  <c r="D21" i="5" s="1"/>
  <c r="D27" i="5" s="1"/>
  <c r="F49" i="52"/>
  <c r="E49" i="52"/>
  <c r="G17" i="69"/>
  <c r="G15" i="71"/>
  <c r="G19" i="70"/>
  <c r="E20" i="5"/>
  <c r="F15" i="71"/>
  <c r="F16" i="71"/>
  <c r="F17" i="69"/>
  <c r="F18" i="70"/>
  <c r="G18" i="70"/>
  <c r="G19" i="69"/>
  <c r="F19" i="69"/>
  <c r="G25" i="71" l="1"/>
  <c r="F25" i="71"/>
  <c r="F29" i="91"/>
  <c r="F30" i="91"/>
  <c r="F42" i="91"/>
  <c r="N47" i="91"/>
  <c r="N36" i="91"/>
  <c r="B21" i="5"/>
  <c r="B27" i="5" s="1"/>
  <c r="E37" i="91"/>
  <c r="E44" i="91"/>
  <c r="N43" i="91"/>
  <c r="F34" i="91"/>
  <c r="N32" i="91"/>
  <c r="F36" i="91"/>
  <c r="N44" i="91"/>
  <c r="E32" i="91"/>
  <c r="E30" i="91"/>
  <c r="E29" i="91"/>
  <c r="F38" i="91"/>
  <c r="E34" i="91"/>
  <c r="F41" i="91"/>
  <c r="M44" i="91"/>
  <c r="E35" i="91"/>
  <c r="N40" i="91"/>
  <c r="E31" i="91"/>
  <c r="N34" i="91"/>
  <c r="F32" i="91"/>
  <c r="N37" i="91"/>
  <c r="F31" i="91"/>
  <c r="N39" i="91"/>
  <c r="N42" i="91"/>
  <c r="M35" i="91"/>
  <c r="E42" i="91"/>
  <c r="N49" i="91"/>
  <c r="N48" i="91"/>
  <c r="M33" i="91"/>
  <c r="E43" i="91"/>
  <c r="N35" i="91"/>
  <c r="N33" i="91"/>
  <c r="E38" i="91"/>
  <c r="M45" i="91"/>
  <c r="M40" i="91"/>
  <c r="F43" i="91"/>
  <c r="N46" i="91"/>
  <c r="N45" i="91"/>
  <c r="E33" i="91"/>
  <c r="M41" i="91"/>
  <c r="M36" i="91"/>
  <c r="F35" i="91"/>
  <c r="F44" i="91"/>
  <c r="N38" i="91"/>
  <c r="N41" i="91"/>
  <c r="F37" i="91"/>
  <c r="N50" i="91"/>
  <c r="M43" i="91"/>
  <c r="E40" i="91"/>
  <c r="M37" i="91"/>
  <c r="E41" i="91"/>
  <c r="M49" i="91"/>
  <c r="M32" i="91"/>
  <c r="M48" i="91"/>
  <c r="M39" i="91"/>
  <c r="E39" i="91"/>
  <c r="F40" i="91"/>
  <c r="M50" i="91"/>
  <c r="N8" i="91"/>
  <c r="M8" i="91"/>
  <c r="M39" i="81"/>
  <c r="M32" i="81"/>
  <c r="M33" i="81"/>
  <c r="M37" i="81"/>
  <c r="N42" i="81"/>
  <c r="M38" i="81"/>
  <c r="M34" i="81"/>
  <c r="N43" i="81"/>
  <c r="M40" i="81"/>
  <c r="N36" i="81"/>
  <c r="N39" i="81"/>
  <c r="N33" i="81"/>
  <c r="N41" i="81"/>
  <c r="M44" i="81"/>
  <c r="N35" i="81"/>
  <c r="M36" i="81"/>
  <c r="M43" i="81"/>
  <c r="M42" i="81"/>
  <c r="N38" i="81"/>
  <c r="N37" i="81"/>
  <c r="N34" i="81"/>
  <c r="M41" i="81"/>
  <c r="N32" i="81"/>
  <c r="N40" i="81"/>
  <c r="M35" i="81"/>
  <c r="N44" i="81"/>
  <c r="F21" i="5"/>
  <c r="F20" i="69"/>
  <c r="D29" i="69"/>
  <c r="G20" i="69"/>
  <c r="E29" i="69"/>
  <c r="F39" i="5"/>
  <c r="E22" i="5"/>
  <c r="G7" i="71"/>
  <c r="F8" i="71"/>
  <c r="F23" i="71"/>
  <c r="G7" i="70"/>
  <c r="E26" i="70"/>
  <c r="G8" i="70"/>
  <c r="E27" i="70"/>
  <c r="D34" i="5"/>
  <c r="C34" i="5"/>
  <c r="D26" i="70"/>
  <c r="F7" i="70"/>
  <c r="D27" i="70"/>
  <c r="F8" i="70"/>
  <c r="G8" i="71"/>
  <c r="F22" i="5"/>
  <c r="F20" i="5"/>
  <c r="D25" i="69"/>
  <c r="F7" i="69"/>
  <c r="G7" i="69"/>
  <c r="E25" i="69"/>
  <c r="F7" i="71"/>
  <c r="F22" i="71"/>
  <c r="F27" i="70" l="1"/>
  <c r="F25" i="69"/>
  <c r="F29" i="69"/>
  <c r="C24" i="10"/>
  <c r="E21" i="5"/>
  <c r="C38" i="5"/>
  <c r="D38" i="5"/>
  <c r="G29" i="69"/>
  <c r="E24" i="10"/>
  <c r="D24" i="10"/>
  <c r="E27" i="5"/>
  <c r="F27" i="5"/>
  <c r="D32" i="5"/>
  <c r="G27" i="70"/>
  <c r="G8" i="10"/>
  <c r="E23" i="10"/>
  <c r="D12" i="5"/>
  <c r="G7" i="10"/>
  <c r="E22" i="10"/>
  <c r="D11" i="5"/>
  <c r="C23" i="10"/>
  <c r="B12" i="5"/>
  <c r="D22" i="10"/>
  <c r="F7" i="10"/>
  <c r="C11" i="5"/>
  <c r="E9" i="5"/>
  <c r="E34" i="5"/>
  <c r="F9" i="5"/>
  <c r="B11" i="5"/>
  <c r="B15" i="5" s="1"/>
  <c r="C22" i="10"/>
  <c r="C12" i="5"/>
  <c r="D23" i="10"/>
  <c r="F8" i="10"/>
  <c r="G25" i="69"/>
  <c r="G23" i="71"/>
  <c r="G26" i="70"/>
  <c r="F26" i="70"/>
  <c r="G22" i="71"/>
  <c r="D33" i="5"/>
  <c r="B33" i="5"/>
  <c r="F9" i="69"/>
  <c r="D27" i="69"/>
  <c r="G9" i="69"/>
  <c r="E27" i="69"/>
  <c r="C15" i="5" l="1"/>
  <c r="C40" i="5" s="1"/>
  <c r="B40" i="5"/>
  <c r="E39" i="5"/>
  <c r="B38" i="5"/>
  <c r="E38" i="5" s="1"/>
  <c r="D15" i="5"/>
  <c r="D40" i="5" s="1"/>
  <c r="B37" i="5"/>
  <c r="B36" i="5"/>
  <c r="F24" i="10"/>
  <c r="F38" i="5"/>
  <c r="G24" i="10"/>
  <c r="F23" i="10"/>
  <c r="F7" i="5"/>
  <c r="C32" i="5"/>
  <c r="E32" i="5" s="1"/>
  <c r="E11" i="5"/>
  <c r="C36" i="5"/>
  <c r="F34" i="5"/>
  <c r="F22" i="10"/>
  <c r="D37" i="5"/>
  <c r="F12" i="5"/>
  <c r="E7" i="5"/>
  <c r="E12" i="5"/>
  <c r="C37" i="5"/>
  <c r="F11" i="5"/>
  <c r="D36" i="5"/>
  <c r="G23" i="10"/>
  <c r="G22" i="10"/>
  <c r="G27" i="69"/>
  <c r="E10" i="52"/>
  <c r="F10" i="52"/>
  <c r="E8" i="5"/>
  <c r="C33" i="5"/>
  <c r="E33" i="5" s="1"/>
  <c r="F27" i="69"/>
  <c r="F8" i="5"/>
  <c r="E37" i="5" l="1"/>
  <c r="E36" i="5"/>
  <c r="E40" i="5"/>
  <c r="F40" i="5"/>
  <c r="F36" i="5"/>
  <c r="F15" i="5"/>
  <c r="F32" i="5"/>
  <c r="F37" i="5"/>
  <c r="E15" i="5"/>
  <c r="F33" i="5"/>
</calcChain>
</file>

<file path=xl/sharedStrings.xml><?xml version="1.0" encoding="utf-8"?>
<sst xmlns="http://schemas.openxmlformats.org/spreadsheetml/2006/main" count="947" uniqueCount="183">
  <si>
    <t>THCE Component</t>
  </si>
  <si>
    <t>Total Expenses</t>
  </si>
  <si>
    <t>Percent Change</t>
  </si>
  <si>
    <t>Commercial</t>
  </si>
  <si>
    <t>NCPHI</t>
  </si>
  <si>
    <t>Program Type</t>
  </si>
  <si>
    <t>Medicare FFS</t>
  </si>
  <si>
    <t>Service Category</t>
  </si>
  <si>
    <t>Large Group</t>
  </si>
  <si>
    <t>Self-Insured</t>
  </si>
  <si>
    <t>VA</t>
  </si>
  <si>
    <t>Medicare Advantage</t>
  </si>
  <si>
    <t>Market Sector</t>
  </si>
  <si>
    <t>Total</t>
  </si>
  <si>
    <t>Small Group</t>
  </si>
  <si>
    <t>2018-2019</t>
  </si>
  <si>
    <t>2019-2020</t>
  </si>
  <si>
    <t>Data Source</t>
  </si>
  <si>
    <t>CGT-1</t>
  </si>
  <si>
    <t>CMS</t>
  </si>
  <si>
    <t>Oregon Department of Corrections</t>
  </si>
  <si>
    <t>Commercial (Full and Partial Claims)</t>
  </si>
  <si>
    <t>Commercial Partial Claims</t>
  </si>
  <si>
    <t>Commercial Full Claims</t>
  </si>
  <si>
    <t>Market Type</t>
  </si>
  <si>
    <t>Medicaid CCO</t>
  </si>
  <si>
    <t>Medicaid Open Card</t>
  </si>
  <si>
    <t>Member Month</t>
  </si>
  <si>
    <t>Note</t>
  </si>
  <si>
    <t>Person</t>
  </si>
  <si>
    <t>TME PMPM/TME Per Person</t>
  </si>
  <si>
    <t>Claims Hospital Inpatient</t>
  </si>
  <si>
    <t>Claims Hospital Outpatient</t>
  </si>
  <si>
    <t>Claims Professional PCPs</t>
  </si>
  <si>
    <t>Claims Professional Specialty</t>
  </si>
  <si>
    <t>Claims Professional BH</t>
  </si>
  <si>
    <t>Claims Professional Other</t>
  </si>
  <si>
    <t>Claims LTC</t>
  </si>
  <si>
    <t>Claims Other</t>
  </si>
  <si>
    <t>Year Per Person</t>
  </si>
  <si>
    <t>PMPY</t>
  </si>
  <si>
    <t>Medicare</t>
  </si>
  <si>
    <t>Medicaid</t>
  </si>
  <si>
    <t>TME PMPY/Per Person</t>
  </si>
  <si>
    <t>Member Year/Person</t>
  </si>
  <si>
    <t>Member Year</t>
  </si>
  <si>
    <t>Non-Claims Prospective Payments</t>
  </si>
  <si>
    <t>Non-Claims Performance Incentives</t>
  </si>
  <si>
    <t>Non-Claims Support Population Health</t>
  </si>
  <si>
    <t>Non-Claims Provider Salaries</t>
  </si>
  <si>
    <t>Non-Claims Recovery</t>
  </si>
  <si>
    <t>Non-Claims Other</t>
  </si>
  <si>
    <t>Denominator is the entire state.</t>
  </si>
  <si>
    <t>BH services provided by additional contracts</t>
  </si>
  <si>
    <t>Non-Claims: Total</t>
  </si>
  <si>
    <t>Medicaid Rx Rebate</t>
  </si>
  <si>
    <t>Claims Retail Pharmacy (Gross of Rebates)</t>
  </si>
  <si>
    <t>Claims Retail Pharmacy (Net of Rebates)</t>
  </si>
  <si>
    <t>Claims: Total (Gross of Rebates)</t>
  </si>
  <si>
    <t>Claims: Total (Net of Rebates)</t>
  </si>
  <si>
    <t>No Rebates</t>
  </si>
  <si>
    <t>TME Per Person</t>
  </si>
  <si>
    <t>Expenses PMPY</t>
  </si>
  <si>
    <t>Member Months</t>
  </si>
  <si>
    <t>Claims Professional Physician</t>
  </si>
  <si>
    <t>Claims Professional Other Providers</t>
  </si>
  <si>
    <t>CGT Professional</t>
  </si>
  <si>
    <t>Claims Non Hospital Outpatient</t>
  </si>
  <si>
    <t>CGT Other</t>
  </si>
  <si>
    <t>Claims Home Health Agency</t>
  </si>
  <si>
    <t>Claims Skilled Nursing Facility</t>
  </si>
  <si>
    <t>CGT LTC</t>
  </si>
  <si>
    <t>Claims Hospice</t>
  </si>
  <si>
    <t>CGT Inpatient</t>
  </si>
  <si>
    <t>CGT Outpatient</t>
  </si>
  <si>
    <t>Claims DME</t>
  </si>
  <si>
    <t>Claims Part D</t>
  </si>
  <si>
    <t>CGT Retail (Rx net of rebates)</t>
  </si>
  <si>
    <t>Claims Other Suppliers</t>
  </si>
  <si>
    <t>Individual</t>
  </si>
  <si>
    <t>Student</t>
  </si>
  <si>
    <t>MLR</t>
  </si>
  <si>
    <t>TME PMPY/TME Per Person</t>
  </si>
  <si>
    <t>Total excluding duals</t>
  </si>
  <si>
    <t>Total including duals</t>
  </si>
  <si>
    <t>Dual: Medicare Advantage</t>
  </si>
  <si>
    <t>Dual: Medicaid Expenses</t>
  </si>
  <si>
    <t>MA + FFS + MA dual</t>
  </si>
  <si>
    <t>CCO + Open Card</t>
  </si>
  <si>
    <t>Per Capita</t>
  </si>
  <si>
    <t>SHCE</t>
  </si>
  <si>
    <t>Not rolled up to statewide.</t>
  </si>
  <si>
    <t>Claims Professional</t>
  </si>
  <si>
    <t>Statewide including Medicare FFS</t>
  </si>
  <si>
    <t>Member/Person</t>
  </si>
  <si>
    <t>Statewide excluding Medicare FFS</t>
  </si>
  <si>
    <t>Medicaid duals</t>
  </si>
  <si>
    <t>Medicare Advantage only (LOB = 1)</t>
  </si>
  <si>
    <t xml:space="preserve">Dollars for Medicaid duals are also in this row. </t>
  </si>
  <si>
    <t>Exhibit L</t>
  </si>
  <si>
    <t>Commercial NCPHI</t>
  </si>
  <si>
    <t>Medicare Advantage NCPHI</t>
  </si>
  <si>
    <t>Medicaid CCO NCPHI</t>
  </si>
  <si>
    <t>THCE has duals in Medicare</t>
  </si>
  <si>
    <t>Medicaid CCO NCPHI including duals.</t>
  </si>
  <si>
    <t>Health Care Cost Growth Trends in Oregon, 2018-2020</t>
  </si>
  <si>
    <t>2022 Sustainable Health Care Cost Growth Target Annual Report - Databook</t>
  </si>
  <si>
    <t xml:space="preserve">This databook provides the detailed state and market level data underlying the 2022 Sustainable Health Care Cost Growth Target Annual Report </t>
  </si>
  <si>
    <t>THCE_Statewide</t>
  </si>
  <si>
    <t>THCE_Comm</t>
  </si>
  <si>
    <t>THCE_Mcare</t>
  </si>
  <si>
    <t>THCE_Maid</t>
  </si>
  <si>
    <t>THCE_NCPHI</t>
  </si>
  <si>
    <t>THCE_Other</t>
  </si>
  <si>
    <t>Workbook Tabs</t>
  </si>
  <si>
    <t>Description</t>
  </si>
  <si>
    <t>Total Health Care Expenditures (THCE) Statewide, 2018-2020</t>
  </si>
  <si>
    <t>THCE Commercial Market, 2018-2020</t>
  </si>
  <si>
    <t>THCE Medicare Market, 2018-2020</t>
  </si>
  <si>
    <t>THCE Medicaid Market, 2018-2020</t>
  </si>
  <si>
    <t>TME_StatewideServCat</t>
  </si>
  <si>
    <t>TME_Comm_ServCat</t>
  </si>
  <si>
    <t>TME_Mcare_ServCat</t>
  </si>
  <si>
    <t>TME_Maid_ServCat</t>
  </si>
  <si>
    <t>Includes Full + Partial Claims</t>
  </si>
  <si>
    <t>Veterans Affairs (VA)</t>
  </si>
  <si>
    <t>Total Health Care Expenditures: Statewide</t>
  </si>
  <si>
    <t>Total Health Care Expenditures: Commercial Market</t>
  </si>
  <si>
    <t>Total Health Care Expenditures: Medicare Market</t>
  </si>
  <si>
    <t>Total Health Care Expenditures: Medicaid Market</t>
  </si>
  <si>
    <t xml:space="preserve">Total Health Care Expenditures: Net Cost of Private Health Insurance </t>
  </si>
  <si>
    <t>By market sector</t>
  </si>
  <si>
    <t xml:space="preserve">Medicaid duals data is under-reported due to limitations in the initial reporting methodology. This has been corrected for future reporting. </t>
  </si>
  <si>
    <t>THCE Net Cost of Private Health Insurance by Market Sector, 2018-2020</t>
  </si>
  <si>
    <t>DOC</t>
  </si>
  <si>
    <t>OHA</t>
  </si>
  <si>
    <t>Net and gross of prescription drug rebates</t>
  </si>
  <si>
    <t xml:space="preserve">TME Spending by Service Category, Commercial </t>
  </si>
  <si>
    <t>Total Medical Expenses (TME) Spending by Service Category, Statewide</t>
  </si>
  <si>
    <t>Total Medical Expenses Spending by Service Category, Statewide</t>
  </si>
  <si>
    <t>Statewide data are presented here with and without Medicare FFS data</t>
  </si>
  <si>
    <t xml:space="preserve">Medicare FFS data is reported without the additional granularity for professional services. </t>
  </si>
  <si>
    <t>Total Medical Expenses Spending by Service Category, Medicare</t>
  </si>
  <si>
    <t xml:space="preserve">Medicare Advantage + Medicare Advantage Duals (LOB = 1 + 5) </t>
  </si>
  <si>
    <t>Medicare FFS does not report any non-claims spending.</t>
  </si>
  <si>
    <t>Total Medical Expenses Spending by Service Category, Commercial</t>
  </si>
  <si>
    <t>Total Medical Expenses Spending by Service Category, Medicaid</t>
  </si>
  <si>
    <t>Medicaid (CCO + FFS + Duals)</t>
  </si>
  <si>
    <t>Includes all rebates</t>
  </si>
  <si>
    <t>TME Spending by Service Category, Medicare</t>
  </si>
  <si>
    <t>TME Spending by Service Category, Medicaid</t>
  </si>
  <si>
    <r>
      <t xml:space="preserve">Please contact </t>
    </r>
    <r>
      <rPr>
        <b/>
        <u/>
        <sz val="11"/>
        <color theme="5"/>
        <rFont val="Calibri"/>
        <family val="2"/>
        <scheme val="minor"/>
      </rPr>
      <t>HealthCare.CostTarget@oha.oregon.gov</t>
    </r>
    <r>
      <rPr>
        <sz val="11"/>
        <color theme="1"/>
        <rFont val="Calibri"/>
        <family val="2"/>
        <scheme val="minor"/>
      </rPr>
      <t xml:space="preserve"> with any questions. </t>
    </r>
  </si>
  <si>
    <t>Dollars for Medicare duals are also in this row.</t>
  </si>
  <si>
    <t>Excludes duals (see row 10); excludes rx rebates (see row 9)</t>
  </si>
  <si>
    <t>Sum of rx rebates data are applied to the entire Medicaid market.</t>
  </si>
  <si>
    <t>Excludes rx rebates.</t>
  </si>
  <si>
    <t>Includes rx rebates.</t>
  </si>
  <si>
    <t>Dual: Medicare Advantage (LOB = 5)</t>
  </si>
  <si>
    <t>Denominator is total number of people</t>
  </si>
  <si>
    <t>Denominator is MA including duals.</t>
  </si>
  <si>
    <t>Dual: Medicaid expenses are included in Medicare THCE</t>
  </si>
  <si>
    <t>ArrayRx</t>
  </si>
  <si>
    <t>Number of discount card holders</t>
  </si>
  <si>
    <t>ArrayRx (spending by discount card holders on Rx)</t>
  </si>
  <si>
    <t>Not otherwise captured in claims</t>
  </si>
  <si>
    <t>THCE Other Spending, 2018-2020</t>
  </si>
  <si>
    <t>Total Health Care Expenditures: Other Spending</t>
  </si>
  <si>
    <t>Veterans Affairs</t>
  </si>
  <si>
    <t>THCE_NCPHI tab</t>
  </si>
  <si>
    <t>Not rolled up to Medicaid THCE. Included in Medicare THCE.</t>
  </si>
  <si>
    <t>Not rolled up to Medicaid THCE.</t>
  </si>
  <si>
    <t>Medicaid CCO Other Spending</t>
  </si>
  <si>
    <t>Includes Medicare Advantage (MA) + FFS + MA dual + Medicaid dual</t>
  </si>
  <si>
    <t>Includes CCO + Open Card + Other CCO spending</t>
  </si>
  <si>
    <t>QDP + HRA + HRS - these payments were excluded from CGT-1 data submissions and added in from Exhibit L reporting</t>
  </si>
  <si>
    <t>Notes</t>
  </si>
  <si>
    <t>Excluding case mangagement and non-benefit</t>
  </si>
  <si>
    <t>18-19</t>
  </si>
  <si>
    <t>19-20</t>
  </si>
  <si>
    <t>Qualified Directed Payments + Hospital Reimbursement Adjustment</t>
  </si>
  <si>
    <t xml:space="preserve">Total </t>
  </si>
  <si>
    <t>Health Related Services (HRS)</t>
  </si>
  <si>
    <t>Published May 2,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</si>
</sst>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  <numFmt numFmtId="166" formatCode="0.0%"/>
    <numFmt numFmtId="167" formatCode="&quot;$&quot;#,##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9"/>
      <name val="Calibri"/>
      <family val="2"/>
    </font>
    <font>
      <b/>
      <u/>
      <sz val="11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22"/>
      <color rgb="FF1F497D"/>
      <name val="Rockwell"/>
      <family val="1"/>
    </font>
    <font>
      <sz val="12"/>
      <color rgb="FF003F6F"/>
      <name val="Rockwell"/>
      <family val="1"/>
    </font>
    <font>
      <b/>
      <sz val="12"/>
      <color theme="5"/>
      <name val="Calibri"/>
      <family val="2"/>
      <scheme val="minor"/>
    </font>
    <font>
      <b/>
      <u/>
      <sz val="11"/>
      <color theme="5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B9BD5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9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12" applyNumberFormat="0" applyAlignment="0" applyProtection="0"/>
    <xf numFmtId="0" fontId="17" fillId="9" borderId="13" applyNumberFormat="0" applyAlignment="0" applyProtection="0"/>
    <xf numFmtId="0" fontId="18" fillId="9" borderId="12" applyNumberFormat="0" applyAlignment="0" applyProtection="0"/>
    <xf numFmtId="0" fontId="19" fillId="0" borderId="14" applyNumberFormat="0" applyFill="0" applyAlignment="0" applyProtection="0"/>
    <xf numFmtId="0" fontId="20" fillId="10" borderId="15" applyNumberFormat="0" applyAlignment="0" applyProtection="0"/>
    <xf numFmtId="0" fontId="21" fillId="0" borderId="0" applyNumberFormat="0" applyFill="0" applyBorder="0" applyAlignment="0" applyProtection="0"/>
    <xf numFmtId="0" fontId="1" fillId="11" borderId="16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17" applyNumberFormat="0" applyFill="0" applyAlignment="0" applyProtection="0"/>
    <xf numFmtId="0" fontId="23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3" fillId="35" borderId="0" applyNumberFormat="0" applyBorder="0" applyAlignment="0" applyProtection="0"/>
    <xf numFmtId="0" fontId="24" fillId="0" borderId="0"/>
    <xf numFmtId="0" fontId="24" fillId="0" borderId="0"/>
    <xf numFmtId="0" fontId="8" fillId="0" borderId="0"/>
    <xf numFmtId="0" fontId="25" fillId="36" borderId="0" applyNumberFormat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16" applyNumberFormat="0" applyFont="0" applyAlignment="0" applyProtection="0"/>
    <xf numFmtId="0" fontId="23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0" fillId="2" borderId="0" xfId="0" applyFill="1"/>
    <xf numFmtId="0" fontId="3" fillId="0" borderId="0" xfId="0" applyFont="1" applyFill="1" applyAlignment="1"/>
    <xf numFmtId="164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Alignment="1"/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 wrapText="1"/>
    </xf>
    <xf numFmtId="0" fontId="0" fillId="0" borderId="1" xfId="0" applyBorder="1"/>
    <xf numFmtId="166" fontId="0" fillId="0" borderId="1" xfId="0" applyNumberFormat="1" applyBorder="1"/>
    <xf numFmtId="0" fontId="0" fillId="0" borderId="0" xfId="0" applyAlignment="1">
      <alignment horizontal="center"/>
    </xf>
    <xf numFmtId="167" fontId="0" fillId="0" borderId="1" xfId="0" applyNumberFormat="1" applyBorder="1"/>
    <xf numFmtId="4" fontId="0" fillId="0" borderId="0" xfId="0" applyNumberFormat="1"/>
    <xf numFmtId="167" fontId="0" fillId="0" borderId="0" xfId="0" applyNumberFormat="1"/>
    <xf numFmtId="3" fontId="0" fillId="0" borderId="0" xfId="0" applyNumberFormat="1"/>
    <xf numFmtId="0" fontId="0" fillId="0" borderId="1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166" fontId="0" fillId="0" borderId="0" xfId="0" applyNumberFormat="1" applyBorder="1"/>
    <xf numFmtId="0" fontId="2" fillId="0" borderId="0" xfId="0" applyFont="1" applyFill="1" applyBorder="1"/>
    <xf numFmtId="0" fontId="2" fillId="3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0" borderId="1" xfId="2" applyBorder="1"/>
    <xf numFmtId="0" fontId="4" fillId="0" borderId="1" xfId="2" applyFont="1" applyBorder="1"/>
    <xf numFmtId="0" fontId="21" fillId="0" borderId="0" xfId="0" applyFont="1"/>
    <xf numFmtId="167" fontId="0" fillId="0" borderId="1" xfId="1" applyNumberFormat="1" applyFont="1" applyBorder="1"/>
    <xf numFmtId="167" fontId="6" fillId="0" borderId="1" xfId="1" applyNumberFormat="1" applyFont="1" applyBorder="1"/>
    <xf numFmtId="167" fontId="0" fillId="0" borderId="1" xfId="0" applyNumberFormat="1" applyFont="1" applyBorder="1" applyAlignment="1">
      <alignment horizontal="right"/>
    </xf>
    <xf numFmtId="0" fontId="21" fillId="0" borderId="1" xfId="0" applyFont="1" applyBorder="1"/>
    <xf numFmtId="0" fontId="3" fillId="0" borderId="0" xfId="0" applyFont="1"/>
    <xf numFmtId="164" fontId="5" fillId="0" borderId="0" xfId="0" applyNumberFormat="1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vertical="top"/>
    </xf>
    <xf numFmtId="3" fontId="0" fillId="0" borderId="1" xfId="1" applyNumberFormat="1" applyFont="1" applyBorder="1"/>
    <xf numFmtId="0" fontId="7" fillId="0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0" borderId="0" xfId="0" applyFont="1"/>
    <xf numFmtId="0" fontId="21" fillId="0" borderId="0" xfId="0" applyFont="1" applyAlignment="1">
      <alignment horizontal="left"/>
    </xf>
    <xf numFmtId="0" fontId="4" fillId="0" borderId="0" xfId="2" applyFont="1" applyBorder="1"/>
    <xf numFmtId="3" fontId="0" fillId="0" borderId="0" xfId="1" applyNumberFormat="1" applyFont="1" applyBorder="1"/>
    <xf numFmtId="0" fontId="2" fillId="4" borderId="1" xfId="0" applyFont="1" applyFill="1" applyBorder="1"/>
    <xf numFmtId="0" fontId="0" fillId="4" borderId="1" xfId="0" applyFill="1" applyBorder="1"/>
    <xf numFmtId="167" fontId="2" fillId="4" borderId="1" xfId="0" applyNumberFormat="1" applyFont="1" applyFill="1" applyBorder="1"/>
    <xf numFmtId="166" fontId="2" fillId="4" borderId="1" xfId="0" applyNumberFormat="1" applyFont="1" applyFill="1" applyBorder="1"/>
    <xf numFmtId="0" fontId="6" fillId="0" borderId="1" xfId="0" applyFont="1" applyBorder="1"/>
    <xf numFmtId="0" fontId="2" fillId="0" borderId="1" xfId="0" applyFont="1" applyBorder="1"/>
    <xf numFmtId="0" fontId="27" fillId="0" borderId="1" xfId="2" applyFont="1" applyBorder="1"/>
    <xf numFmtId="3" fontId="2" fillId="0" borderId="1" xfId="1" applyNumberFormat="1" applyFont="1" applyBorder="1"/>
    <xf numFmtId="166" fontId="2" fillId="0" borderId="1" xfId="0" applyNumberFormat="1" applyFont="1" applyBorder="1"/>
    <xf numFmtId="0" fontId="28" fillId="0" borderId="1" xfId="0" applyFont="1" applyBorder="1"/>
    <xf numFmtId="0" fontId="2" fillId="0" borderId="1" xfId="0" applyFont="1" applyFill="1" applyBorder="1"/>
    <xf numFmtId="167" fontId="2" fillId="0" borderId="1" xfId="0" applyNumberFormat="1" applyFont="1" applyBorder="1"/>
    <xf numFmtId="0" fontId="28" fillId="0" borderId="0" xfId="0" applyFont="1"/>
    <xf numFmtId="165" fontId="0" fillId="0" borderId="0" xfId="0" applyNumberFormat="1"/>
    <xf numFmtId="167" fontId="2" fillId="4" borderId="1" xfId="1" applyNumberFormat="1" applyFont="1" applyFill="1" applyBorder="1"/>
    <xf numFmtId="0" fontId="0" fillId="0" borderId="1" xfId="0" applyFont="1" applyBorder="1"/>
    <xf numFmtId="167" fontId="2" fillId="0" borderId="0" xfId="0" applyNumberFormat="1" applyFont="1" applyFill="1" applyBorder="1"/>
    <xf numFmtId="166" fontId="2" fillId="0" borderId="0" xfId="0" applyNumberFormat="1" applyFont="1" applyFill="1" applyBorder="1"/>
    <xf numFmtId="165" fontId="0" fillId="0" borderId="1" xfId="1" applyNumberFormat="1" applyFont="1" applyBorder="1"/>
    <xf numFmtId="3" fontId="2" fillId="0" borderId="1" xfId="0" applyNumberFormat="1" applyFont="1" applyBorder="1"/>
    <xf numFmtId="166" fontId="0" fillId="4" borderId="1" xfId="0" applyNumberFormat="1" applyFill="1" applyBorder="1"/>
    <xf numFmtId="3" fontId="2" fillId="4" borderId="1" xfId="0" applyNumberFormat="1" applyFont="1" applyFill="1" applyBorder="1"/>
    <xf numFmtId="0" fontId="6" fillId="0" borderId="0" xfId="0" applyFont="1"/>
    <xf numFmtId="0" fontId="2" fillId="3" borderId="1" xfId="0" applyFont="1" applyFill="1" applyBorder="1" applyAlignment="1">
      <alignment horizontal="center"/>
    </xf>
    <xf numFmtId="165" fontId="2" fillId="0" borderId="1" xfId="1" applyNumberFormat="1" applyFont="1" applyBorder="1"/>
    <xf numFmtId="0" fontId="7" fillId="4" borderId="1" xfId="0" applyFont="1" applyFill="1" applyBorder="1"/>
    <xf numFmtId="167" fontId="7" fillId="4" borderId="1" xfId="1" applyNumberFormat="1" applyFont="1" applyFill="1" applyBorder="1"/>
    <xf numFmtId="0" fontId="7" fillId="0" borderId="1" xfId="0" applyFont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9" fillId="0" borderId="0" xfId="0" applyFont="1"/>
    <xf numFmtId="167" fontId="0" fillId="0" borderId="1" xfId="0" applyNumberFormat="1" applyFill="1" applyBorder="1"/>
    <xf numFmtId="166" fontId="0" fillId="0" borderId="1" xfId="0" applyNumberFormat="1" applyFill="1" applyBorder="1"/>
    <xf numFmtId="0" fontId="6" fillId="0" borderId="1" xfId="0" applyFont="1" applyFill="1" applyBorder="1"/>
    <xf numFmtId="165" fontId="0" fillId="0" borderId="1" xfId="0" applyNumberFormat="1" applyFont="1" applyBorder="1"/>
    <xf numFmtId="165" fontId="2" fillId="0" borderId="1" xfId="0" applyNumberFormat="1" applyFont="1" applyBorder="1"/>
    <xf numFmtId="44" fontId="0" fillId="0" borderId="1" xfId="1" applyNumberFormat="1" applyFont="1" applyBorder="1"/>
    <xf numFmtId="44" fontId="2" fillId="0" borderId="1" xfId="1" applyNumberFormat="1" applyFont="1" applyBorder="1"/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" fillId="2" borderId="18" xfId="0" applyFont="1" applyFill="1" applyBorder="1"/>
    <xf numFmtId="0" fontId="0" fillId="2" borderId="18" xfId="0" applyFill="1" applyBorder="1"/>
    <xf numFmtId="164" fontId="32" fillId="0" borderId="0" xfId="0" applyNumberFormat="1" applyFont="1" applyFill="1" applyBorder="1" applyAlignment="1">
      <alignment horizontal="left" vertical="center"/>
    </xf>
    <xf numFmtId="167" fontId="6" fillId="0" borderId="1" xfId="1" applyNumberFormat="1" applyFont="1" applyFill="1" applyBorder="1"/>
    <xf numFmtId="0" fontId="28" fillId="0" borderId="1" xfId="0" applyFont="1" applyFill="1" applyBorder="1"/>
    <xf numFmtId="167" fontId="0" fillId="0" borderId="1" xfId="0" applyNumberFormat="1" applyFont="1" applyFill="1" applyBorder="1" applyAlignment="1">
      <alignment horizontal="right"/>
    </xf>
    <xf numFmtId="0" fontId="21" fillId="0" borderId="1" xfId="0" applyFont="1" applyFill="1" applyBorder="1"/>
    <xf numFmtId="3" fontId="0" fillId="0" borderId="1" xfId="0" applyNumberFormat="1" applyFill="1" applyBorder="1"/>
    <xf numFmtId="3" fontId="0" fillId="0" borderId="1" xfId="0" applyNumberFormat="1" applyFont="1" applyFill="1" applyBorder="1" applyAlignment="1">
      <alignment horizontal="right"/>
    </xf>
    <xf numFmtId="165" fontId="0" fillId="0" borderId="1" xfId="1" applyNumberFormat="1" applyFont="1" applyFill="1" applyBorder="1"/>
    <xf numFmtId="0" fontId="6" fillId="0" borderId="1" xfId="2" applyFont="1" applyFill="1" applyBorder="1"/>
    <xf numFmtId="0" fontId="0" fillId="37" borderId="1" xfId="0" applyFill="1" applyBorder="1"/>
    <xf numFmtId="0" fontId="4" fillId="37" borderId="1" xfId="2" applyFill="1" applyBorder="1"/>
    <xf numFmtId="167" fontId="0" fillId="37" borderId="1" xfId="0" applyNumberFormat="1" applyFill="1" applyBorder="1"/>
    <xf numFmtId="166" fontId="0" fillId="37" borderId="1" xfId="0" applyNumberFormat="1" applyFill="1" applyBorder="1"/>
    <xf numFmtId="3" fontId="0" fillId="37" borderId="1" xfId="1" applyNumberFormat="1" applyFont="1" applyFill="1" applyBorder="1"/>
    <xf numFmtId="44" fontId="0" fillId="37" borderId="1" xfId="1" applyNumberFormat="1" applyFont="1" applyFill="1" applyBorder="1"/>
    <xf numFmtId="0" fontId="26" fillId="0" borderId="1" xfId="2" applyFont="1" applyFill="1" applyBorder="1"/>
    <xf numFmtId="0" fontId="0" fillId="2" borderId="0" xfId="0" applyFill="1" applyAlignment="1">
      <alignment horizontal="left"/>
    </xf>
    <xf numFmtId="167" fontId="0" fillId="37" borderId="1" xfId="1" applyNumberFormat="1" applyFont="1" applyFill="1" applyBorder="1"/>
    <xf numFmtId="0" fontId="6" fillId="0" borderId="0" xfId="2" applyFont="1" applyFill="1" applyBorder="1"/>
    <xf numFmtId="4" fontId="0" fillId="0" borderId="0" xfId="0" applyNumberFormat="1" applyBorder="1"/>
    <xf numFmtId="166" fontId="0" fillId="0" borderId="0" xfId="68" applyNumberFormat="1" applyFont="1"/>
    <xf numFmtId="0" fontId="0" fillId="0" borderId="19" xfId="0" applyFill="1" applyBorder="1"/>
    <xf numFmtId="0" fontId="2" fillId="3" borderId="4" xfId="0" applyFont="1" applyFill="1" applyBorder="1" applyAlignment="1">
      <alignment horizontal="center"/>
    </xf>
    <xf numFmtId="0" fontId="2" fillId="3" borderId="0" xfId="0" applyFont="1" applyFill="1"/>
    <xf numFmtId="0" fontId="0" fillId="3" borderId="0" xfId="0" applyFill="1"/>
    <xf numFmtId="0" fontId="2" fillId="3" borderId="18" xfId="0" applyFont="1" applyFill="1" applyBorder="1" applyAlignment="1">
      <alignment horizontal="center"/>
    </xf>
    <xf numFmtId="49" fontId="2" fillId="3" borderId="18" xfId="0" applyNumberFormat="1" applyFont="1" applyFill="1" applyBorder="1" applyAlignment="1">
      <alignment horizontal="center"/>
    </xf>
    <xf numFmtId="6" fontId="0" fillId="0" borderId="0" xfId="0" applyNumberFormat="1"/>
    <xf numFmtId="6" fontId="2" fillId="0" borderId="0" xfId="0" applyNumberFormat="1" applyFont="1"/>
    <xf numFmtId="44" fontId="0" fillId="0" borderId="0" xfId="0" applyNumberFormat="1"/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</cellXfs>
  <cellStyles count="69">
    <cellStyle name="20% - Accent1" xfId="21" builtinId="30" customBuiltin="1"/>
    <cellStyle name="20% - Accent1 2" xfId="56" xr:uid="{00000000-0005-0000-0000-000001000000}"/>
    <cellStyle name="20% - Accent2" xfId="25" builtinId="34" customBuiltin="1"/>
    <cellStyle name="20% - Accent2 2" xfId="58" xr:uid="{00000000-0005-0000-0000-000003000000}"/>
    <cellStyle name="20% - Accent3" xfId="29" builtinId="38" customBuiltin="1"/>
    <cellStyle name="20% - Accent3 2" xfId="60" xr:uid="{00000000-0005-0000-0000-000005000000}"/>
    <cellStyle name="20% - Accent4" xfId="33" builtinId="42" customBuiltin="1"/>
    <cellStyle name="20% - Accent4 2" xfId="62" xr:uid="{00000000-0005-0000-0000-000007000000}"/>
    <cellStyle name="20% - Accent5" xfId="37" builtinId="46" customBuiltin="1"/>
    <cellStyle name="20% - Accent5 2" xfId="64" xr:uid="{00000000-0005-0000-0000-000009000000}"/>
    <cellStyle name="20% - Accent6" xfId="41" builtinId="50" customBuiltin="1"/>
    <cellStyle name="20% - Accent6 2" xfId="66" xr:uid="{00000000-0005-0000-0000-00000B000000}"/>
    <cellStyle name="40% - Accent1" xfId="22" builtinId="31" customBuiltin="1"/>
    <cellStyle name="40% - Accent1 2" xfId="57" xr:uid="{00000000-0005-0000-0000-00000D000000}"/>
    <cellStyle name="40% - Accent2" xfId="26" builtinId="35" customBuiltin="1"/>
    <cellStyle name="40% - Accent2 2" xfId="59" xr:uid="{00000000-0005-0000-0000-00000F000000}"/>
    <cellStyle name="40% - Accent3" xfId="30" builtinId="39" customBuiltin="1"/>
    <cellStyle name="40% - Accent3 2" xfId="61" xr:uid="{00000000-0005-0000-0000-000011000000}"/>
    <cellStyle name="40% - Accent4" xfId="34" builtinId="43" customBuiltin="1"/>
    <cellStyle name="40% - Accent4 2" xfId="63" xr:uid="{00000000-0005-0000-0000-000013000000}"/>
    <cellStyle name="40% - Accent5" xfId="38" builtinId="47" customBuiltin="1"/>
    <cellStyle name="40% - Accent5 2" xfId="65" xr:uid="{00000000-0005-0000-0000-000015000000}"/>
    <cellStyle name="40% - Accent6" xfId="42" builtinId="51" customBuiltin="1"/>
    <cellStyle name="40% - Accent6 2" xfId="67" xr:uid="{00000000-0005-0000-0000-000017000000}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1 2" xfId="55" xr:uid="{00000000-0005-0000-0000-00001F000000}"/>
    <cellStyle name="Accent1 3" xfId="47" xr:uid="{00000000-0005-0000-0000-000020000000}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48" xr:uid="{00000000-0005-0000-0000-00002A000000}"/>
    <cellStyle name="Comma 3" xfId="52" xr:uid="{00000000-0005-0000-0000-00002B000000}"/>
    <cellStyle name="Currency" xfId="1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2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5" xr:uid="{00000000-0005-0000-0000-000038000000}"/>
    <cellStyle name="Normal 2 2" xfId="49" xr:uid="{00000000-0005-0000-0000-000039000000}"/>
    <cellStyle name="Normal 3" xfId="44" xr:uid="{00000000-0005-0000-0000-00003A000000}"/>
    <cellStyle name="Normal 3 2" xfId="51" xr:uid="{00000000-0005-0000-0000-00003B000000}"/>
    <cellStyle name="Normal 4" xfId="46" xr:uid="{00000000-0005-0000-0000-00003C000000}"/>
    <cellStyle name="Note" xfId="17" builtinId="10" customBuiltin="1"/>
    <cellStyle name="Note 2" xfId="54" xr:uid="{00000000-0005-0000-0000-00003E000000}"/>
    <cellStyle name="Output" xfId="12" builtinId="21" customBuiltin="1"/>
    <cellStyle name="Percent" xfId="68" builtinId="5"/>
    <cellStyle name="Percent 2" xfId="50" xr:uid="{00000000-0005-0000-0000-000041000000}"/>
    <cellStyle name="Percent 3" xfId="53" xr:uid="{00000000-0005-0000-0000-000042000000}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E6F2D1"/>
      <color rgb="FFCDE5A4"/>
      <color rgb="FFB5D876"/>
      <color rgb="FF7DA830"/>
      <color rgb="FF5E7E24"/>
      <color rgb="FF3F5418"/>
      <color rgb="FF5D7D24"/>
      <color rgb="FF3E5418"/>
      <color rgb="FFB06601"/>
      <color rgb="FF7644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1F497D"/>
      </a:accent1>
      <a:accent2>
        <a:srgbClr val="0078A3"/>
      </a:accent2>
      <a:accent3>
        <a:srgbClr val="00AAE6"/>
      </a:accent3>
      <a:accent4>
        <a:srgbClr val="A01C3F"/>
      </a:accent4>
      <a:accent5>
        <a:srgbClr val="7DA830"/>
      </a:accent5>
      <a:accent6>
        <a:srgbClr val="E1821B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tabSelected="1" zoomScale="80" zoomScaleNormal="80" workbookViewId="0">
      <selection activeCell="M15" sqref="M15"/>
    </sheetView>
  </sheetViews>
  <sheetFormatPr defaultColWidth="9.1796875" defaultRowHeight="14.5" x14ac:dyDescent="0.35"/>
  <cols>
    <col min="1" max="1" width="9.1796875" style="1"/>
    <col min="2" max="2" width="15.81640625" style="1" customWidth="1"/>
    <col min="3" max="16384" width="9.1796875" style="1"/>
  </cols>
  <sheetData>
    <row r="1" spans="1:8" ht="28.5" x14ac:dyDescent="0.35">
      <c r="A1" s="80" t="s">
        <v>105</v>
      </c>
    </row>
    <row r="2" spans="1:8" ht="15" x14ac:dyDescent="0.35">
      <c r="A2" s="81" t="s">
        <v>106</v>
      </c>
    </row>
    <row r="3" spans="1:8" x14ac:dyDescent="0.35">
      <c r="A3" s="1" t="s">
        <v>182</v>
      </c>
    </row>
    <row r="5" spans="1:8" x14ac:dyDescent="0.35">
      <c r="A5" s="1" t="s">
        <v>107</v>
      </c>
    </row>
    <row r="6" spans="1:8" x14ac:dyDescent="0.35">
      <c r="A6" s="1" t="s">
        <v>151</v>
      </c>
    </row>
    <row r="8" spans="1:8" x14ac:dyDescent="0.35">
      <c r="A8" s="82" t="s">
        <v>114</v>
      </c>
      <c r="B8" s="83"/>
      <c r="C8" s="82" t="s">
        <v>115</v>
      </c>
      <c r="D8" s="83"/>
      <c r="E8" s="83"/>
      <c r="F8" s="83"/>
      <c r="G8" s="83"/>
      <c r="H8" s="83"/>
    </row>
    <row r="9" spans="1:8" x14ac:dyDescent="0.35">
      <c r="A9" s="1" t="s">
        <v>108</v>
      </c>
      <c r="C9" s="1" t="s">
        <v>116</v>
      </c>
    </row>
    <row r="10" spans="1:8" x14ac:dyDescent="0.35">
      <c r="A10" s="1" t="s">
        <v>109</v>
      </c>
      <c r="C10" s="1" t="s">
        <v>117</v>
      </c>
    </row>
    <row r="11" spans="1:8" x14ac:dyDescent="0.35">
      <c r="A11" s="1" t="s">
        <v>110</v>
      </c>
      <c r="C11" s="1" t="s">
        <v>118</v>
      </c>
    </row>
    <row r="12" spans="1:8" x14ac:dyDescent="0.35">
      <c r="A12" s="1" t="s">
        <v>111</v>
      </c>
      <c r="C12" s="1" t="s">
        <v>119</v>
      </c>
    </row>
    <row r="13" spans="1:8" x14ac:dyDescent="0.35">
      <c r="A13" s="1" t="s">
        <v>112</v>
      </c>
      <c r="C13" s="1" t="s">
        <v>133</v>
      </c>
    </row>
    <row r="14" spans="1:8" x14ac:dyDescent="0.35">
      <c r="A14" s="1" t="s">
        <v>113</v>
      </c>
      <c r="C14" s="1" t="s">
        <v>165</v>
      </c>
    </row>
    <row r="16" spans="1:8" x14ac:dyDescent="0.35">
      <c r="A16" s="1" t="s">
        <v>120</v>
      </c>
      <c r="C16" s="100" t="s">
        <v>138</v>
      </c>
    </row>
    <row r="17" spans="1:3" x14ac:dyDescent="0.35">
      <c r="A17" s="1" t="s">
        <v>121</v>
      </c>
      <c r="C17" s="1" t="s">
        <v>137</v>
      </c>
    </row>
    <row r="18" spans="1:3" x14ac:dyDescent="0.35">
      <c r="A18" s="1" t="s">
        <v>122</v>
      </c>
      <c r="C18" s="1" t="s">
        <v>149</v>
      </c>
    </row>
    <row r="19" spans="1:3" x14ac:dyDescent="0.35">
      <c r="A19" s="1" t="s">
        <v>123</v>
      </c>
      <c r="C19" s="1" t="s">
        <v>150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/>
  </sheetPr>
  <dimension ref="A1:W53"/>
  <sheetViews>
    <sheetView zoomScale="85" zoomScaleNormal="85" workbookViewId="0">
      <selection activeCell="G35" sqref="G35"/>
    </sheetView>
  </sheetViews>
  <sheetFormatPr defaultRowHeight="14.5" x14ac:dyDescent="0.35"/>
  <cols>
    <col min="1" max="1" width="36.453125" customWidth="1"/>
    <col min="2" max="2" width="19.81640625" style="21" customWidth="1"/>
    <col min="3" max="4" width="20" style="21" bestFit="1" customWidth="1"/>
    <col min="5" max="6" width="16.453125" style="21" customWidth="1"/>
    <col min="7" max="7" width="20.81640625" style="21" customWidth="1"/>
    <col min="8" max="8" width="9.1796875" customWidth="1"/>
    <col min="9" max="9" width="36.81640625" customWidth="1"/>
    <col min="10" max="12" width="19.81640625" customWidth="1"/>
    <col min="13" max="14" width="16.453125" customWidth="1"/>
    <col min="15" max="15" width="14.81640625" style="21" customWidth="1"/>
    <col min="17" max="17" width="36.81640625" style="21" customWidth="1"/>
    <col min="18" max="20" width="19.81640625" style="21" customWidth="1"/>
    <col min="21" max="22" width="16.453125" style="21" customWidth="1"/>
    <col min="23" max="23" width="14.81640625" style="21" customWidth="1"/>
  </cols>
  <sheetData>
    <row r="1" spans="1:23" ht="18.5" x14ac:dyDescent="0.45">
      <c r="A1" s="2" t="s">
        <v>105</v>
      </c>
      <c r="B1" s="2"/>
      <c r="C1" s="2"/>
      <c r="D1" s="2"/>
      <c r="E1" s="2"/>
      <c r="F1" s="2"/>
    </row>
    <row r="2" spans="1:23" ht="15.5" x14ac:dyDescent="0.35">
      <c r="A2" s="3" t="s">
        <v>145</v>
      </c>
      <c r="B2" s="4"/>
      <c r="C2" s="4"/>
      <c r="D2" s="4"/>
      <c r="E2" s="4"/>
      <c r="F2" s="4"/>
      <c r="I2" s="11"/>
      <c r="Q2" s="11"/>
    </row>
    <row r="3" spans="1:23" ht="15.75" customHeight="1" x14ac:dyDescent="0.35">
      <c r="A3" s="5" t="s">
        <v>136</v>
      </c>
      <c r="B3" s="6"/>
      <c r="C3" s="6"/>
      <c r="D3" s="6"/>
      <c r="E3" s="6"/>
      <c r="F3" s="6"/>
      <c r="I3" s="11"/>
      <c r="N3" s="11"/>
      <c r="Q3" s="11"/>
      <c r="V3" s="11"/>
    </row>
    <row r="4" spans="1:23" s="21" customFormat="1" ht="15.75" customHeight="1" x14ac:dyDescent="0.35">
      <c r="A4" s="5"/>
      <c r="B4" s="6"/>
      <c r="C4" s="6"/>
      <c r="D4" s="6"/>
      <c r="E4" s="6"/>
      <c r="F4" s="6"/>
      <c r="I4" s="11"/>
      <c r="N4" s="11"/>
      <c r="Q4" s="11"/>
      <c r="V4" s="11"/>
    </row>
    <row r="5" spans="1:23" x14ac:dyDescent="0.35">
      <c r="A5" s="38" t="s">
        <v>21</v>
      </c>
      <c r="I5" s="38" t="s">
        <v>23</v>
      </c>
      <c r="J5" s="21"/>
      <c r="K5" s="21"/>
      <c r="L5" s="21"/>
      <c r="M5" s="21"/>
      <c r="N5" s="21"/>
      <c r="Q5" s="38" t="s">
        <v>22</v>
      </c>
    </row>
    <row r="6" spans="1:23" x14ac:dyDescent="0.35">
      <c r="A6" s="114" t="s">
        <v>7</v>
      </c>
      <c r="B6" s="114" t="s">
        <v>1</v>
      </c>
      <c r="C6" s="114"/>
      <c r="D6" s="114"/>
      <c r="E6" s="115" t="s">
        <v>2</v>
      </c>
      <c r="F6" s="117"/>
      <c r="G6" s="118" t="s">
        <v>28</v>
      </c>
      <c r="I6" s="114" t="s">
        <v>7</v>
      </c>
      <c r="J6" s="114" t="s">
        <v>1</v>
      </c>
      <c r="K6" s="114"/>
      <c r="L6" s="114"/>
      <c r="M6" s="115" t="s">
        <v>2</v>
      </c>
      <c r="N6" s="117"/>
      <c r="O6" s="118" t="s">
        <v>28</v>
      </c>
      <c r="Q6" s="114" t="s">
        <v>7</v>
      </c>
      <c r="R6" s="114" t="s">
        <v>1</v>
      </c>
      <c r="S6" s="114"/>
      <c r="T6" s="114"/>
      <c r="U6" s="115" t="s">
        <v>2</v>
      </c>
      <c r="V6" s="117"/>
      <c r="W6" s="118" t="s">
        <v>28</v>
      </c>
    </row>
    <row r="7" spans="1:23" x14ac:dyDescent="0.35">
      <c r="A7" s="114"/>
      <c r="B7" s="22">
        <v>2018</v>
      </c>
      <c r="C7" s="22">
        <v>2019</v>
      </c>
      <c r="D7" s="22">
        <v>2020</v>
      </c>
      <c r="E7" s="22" t="s">
        <v>15</v>
      </c>
      <c r="F7" s="22" t="s">
        <v>16</v>
      </c>
      <c r="G7" s="119"/>
      <c r="I7" s="114"/>
      <c r="J7" s="23">
        <v>2018</v>
      </c>
      <c r="K7" s="23">
        <v>2019</v>
      </c>
      <c r="L7" s="23">
        <v>2020</v>
      </c>
      <c r="M7" s="23" t="s">
        <v>15</v>
      </c>
      <c r="N7" s="23" t="s">
        <v>16</v>
      </c>
      <c r="O7" s="119"/>
      <c r="Q7" s="114"/>
      <c r="R7" s="23">
        <v>2018</v>
      </c>
      <c r="S7" s="23">
        <v>2019</v>
      </c>
      <c r="T7" s="23">
        <v>2020</v>
      </c>
      <c r="U7" s="23" t="s">
        <v>15</v>
      </c>
      <c r="V7" s="23" t="s">
        <v>16</v>
      </c>
      <c r="W7" s="119"/>
    </row>
    <row r="8" spans="1:23" s="21" customFormat="1" x14ac:dyDescent="0.35">
      <c r="A8" s="47" t="s">
        <v>27</v>
      </c>
      <c r="B8" s="49">
        <f>J8+R8</f>
        <v>19073485</v>
      </c>
      <c r="C8" s="49">
        <f t="shared" ref="C8:D8" si="0">K8+S8</f>
        <v>19265758</v>
      </c>
      <c r="D8" s="49">
        <f t="shared" si="0"/>
        <v>19002503</v>
      </c>
      <c r="E8" s="8">
        <f>IFERROR((C8-B8)/B8, "")</f>
        <v>1.0080643364335359E-2</v>
      </c>
      <c r="F8" s="8">
        <f>IFERROR((D8-C8)/C8, "")</f>
        <v>-1.3664398774239767E-2</v>
      </c>
      <c r="G8" s="7"/>
      <c r="I8" s="47" t="s">
        <v>27</v>
      </c>
      <c r="J8" s="49">
        <v>16746167</v>
      </c>
      <c r="K8" s="49">
        <v>16482616</v>
      </c>
      <c r="L8" s="49">
        <v>16305087</v>
      </c>
      <c r="M8" s="8">
        <f>IFERROR((K8-J8)/J8, "")</f>
        <v>-1.573798947544235E-2</v>
      </c>
      <c r="N8" s="8">
        <f>IFERROR((L8-K8)/K8, "")</f>
        <v>-1.0770681061792619E-2</v>
      </c>
      <c r="O8" s="7"/>
      <c r="Q8" s="47" t="s">
        <v>27</v>
      </c>
      <c r="R8" s="49">
        <v>2327318</v>
      </c>
      <c r="S8" s="49">
        <v>2783142</v>
      </c>
      <c r="T8" s="49">
        <v>2697416</v>
      </c>
      <c r="U8" s="8">
        <f>IFERROR((S8-R8)/R8, "")</f>
        <v>0.1958580649485803</v>
      </c>
      <c r="V8" s="8">
        <f>IFERROR((T8-S8)/S8, "")</f>
        <v>-3.0801877877593021E-2</v>
      </c>
      <c r="W8" s="7"/>
    </row>
    <row r="9" spans="1:23" x14ac:dyDescent="0.35">
      <c r="A9" s="7" t="s">
        <v>31</v>
      </c>
      <c r="B9" s="27">
        <f>J9+R9</f>
        <v>1455066069.4099998</v>
      </c>
      <c r="C9" s="27">
        <f t="shared" ref="C9:D17" si="1">K9+S9</f>
        <v>1482693263.76</v>
      </c>
      <c r="D9" s="27">
        <f t="shared" si="1"/>
        <v>1438449644.5900002</v>
      </c>
      <c r="E9" s="8">
        <f>IFERROR((C9-B9)/B9, "")</f>
        <v>1.8986900272647014E-2</v>
      </c>
      <c r="F9" s="8">
        <f>IFERROR((D9-C9)/C9, "")</f>
        <v>-2.9840035192310314E-2</v>
      </c>
      <c r="G9" s="7"/>
      <c r="I9" s="7" t="s">
        <v>31</v>
      </c>
      <c r="J9" s="27">
        <v>1269266514.3199999</v>
      </c>
      <c r="K9" s="27">
        <v>1231842247.26</v>
      </c>
      <c r="L9" s="27">
        <v>1215901343.4400001</v>
      </c>
      <c r="M9" s="8">
        <f t="shared" ref="M9:M19" si="2">IFERROR((K9-J9)/J9, "")</f>
        <v>-2.9484955789643372E-2</v>
      </c>
      <c r="N9" s="8">
        <f t="shared" ref="N9:N19" si="3">IFERROR((L9-K9)/K9, "")</f>
        <v>-1.2940702314324305E-2</v>
      </c>
      <c r="O9" s="7"/>
      <c r="Q9" s="7" t="s">
        <v>31</v>
      </c>
      <c r="R9" s="27">
        <v>185799555.09</v>
      </c>
      <c r="S9" s="27">
        <v>250851016.5</v>
      </c>
      <c r="T9" s="27">
        <v>222548301.15000001</v>
      </c>
      <c r="U9" s="8">
        <f t="shared" ref="U9:U19" si="4">IFERROR((S9-R9)/R9, "")</f>
        <v>0.35011634650303403</v>
      </c>
      <c r="V9" s="8">
        <f t="shared" ref="V9:V19" si="5">IFERROR((T9-S9)/S9, "")</f>
        <v>-0.11282679155497859</v>
      </c>
      <c r="W9" s="7"/>
    </row>
    <row r="10" spans="1:23" x14ac:dyDescent="0.35">
      <c r="A10" s="7" t="s">
        <v>32</v>
      </c>
      <c r="B10" s="27">
        <f t="shared" ref="B10:D24" si="6">J10+R10</f>
        <v>1947728429.23</v>
      </c>
      <c r="C10" s="27">
        <f t="shared" si="1"/>
        <v>2118721073.5</v>
      </c>
      <c r="D10" s="27">
        <f t="shared" si="1"/>
        <v>1925769479.02</v>
      </c>
      <c r="E10" s="8">
        <f t="shared" ref="E10:F27" si="7">IFERROR((C10-B10)/B10, "")</f>
        <v>8.7790803740334017E-2</v>
      </c>
      <c r="F10" s="8">
        <f t="shared" si="7"/>
        <v>-9.1069842507043919E-2</v>
      </c>
      <c r="G10" s="7"/>
      <c r="I10" s="7" t="s">
        <v>32</v>
      </c>
      <c r="J10" s="27">
        <v>1636970606.05</v>
      </c>
      <c r="K10" s="27">
        <v>1715797797.3599999</v>
      </c>
      <c r="L10" s="27">
        <v>1560354722.24</v>
      </c>
      <c r="M10" s="8">
        <f t="shared" si="2"/>
        <v>4.8154310785218965E-2</v>
      </c>
      <c r="N10" s="8">
        <f t="shared" si="3"/>
        <v>-9.0595217781006168E-2</v>
      </c>
      <c r="O10" s="7"/>
      <c r="Q10" s="7" t="s">
        <v>32</v>
      </c>
      <c r="R10" s="27">
        <v>310757823.18000001</v>
      </c>
      <c r="S10" s="27">
        <v>402923276.13999999</v>
      </c>
      <c r="T10" s="27">
        <v>365414756.77999997</v>
      </c>
      <c r="U10" s="8">
        <f t="shared" si="4"/>
        <v>0.29658288894183382</v>
      </c>
      <c r="V10" s="8">
        <f t="shared" si="5"/>
        <v>-9.3090971857796773E-2</v>
      </c>
      <c r="W10" s="7"/>
    </row>
    <row r="11" spans="1:23" x14ac:dyDescent="0.35">
      <c r="A11" s="7" t="s">
        <v>33</v>
      </c>
      <c r="B11" s="27">
        <f t="shared" si="6"/>
        <v>640326342.07000005</v>
      </c>
      <c r="C11" s="27">
        <f t="shared" si="1"/>
        <v>670426057.54999995</v>
      </c>
      <c r="D11" s="27">
        <f t="shared" si="1"/>
        <v>600337312.76999998</v>
      </c>
      <c r="E11" s="8">
        <f t="shared" si="7"/>
        <v>4.7006836205887997E-2</v>
      </c>
      <c r="F11" s="8">
        <f t="shared" si="7"/>
        <v>-0.10454358685897706</v>
      </c>
      <c r="G11" s="7"/>
      <c r="I11" s="7" t="s">
        <v>33</v>
      </c>
      <c r="J11" s="27">
        <v>571007925.20000005</v>
      </c>
      <c r="K11" s="27">
        <v>582305678.24000001</v>
      </c>
      <c r="L11" s="27">
        <v>523454916.02999997</v>
      </c>
      <c r="M11" s="8">
        <f t="shared" si="2"/>
        <v>1.9785632635559016E-2</v>
      </c>
      <c r="N11" s="8">
        <f t="shared" si="3"/>
        <v>-0.1010650666980864</v>
      </c>
      <c r="O11" s="7"/>
      <c r="Q11" s="7" t="s">
        <v>33</v>
      </c>
      <c r="R11" s="27">
        <v>69318416.870000005</v>
      </c>
      <c r="S11" s="27">
        <v>88120379.310000002</v>
      </c>
      <c r="T11" s="27">
        <v>76882396.739999995</v>
      </c>
      <c r="U11" s="8">
        <f t="shared" si="4"/>
        <v>0.27124050561139129</v>
      </c>
      <c r="V11" s="8">
        <f t="shared" si="5"/>
        <v>-0.12752989328910785</v>
      </c>
      <c r="W11" s="7"/>
    </row>
    <row r="12" spans="1:23" x14ac:dyDescent="0.35">
      <c r="A12" s="7" t="s">
        <v>34</v>
      </c>
      <c r="B12" s="27">
        <f t="shared" si="6"/>
        <v>1120768411.98</v>
      </c>
      <c r="C12" s="27">
        <f t="shared" si="1"/>
        <v>1176642845.23</v>
      </c>
      <c r="D12" s="27">
        <f t="shared" si="1"/>
        <v>1078164224.3099999</v>
      </c>
      <c r="E12" s="8">
        <f t="shared" si="7"/>
        <v>4.9853683109510293E-2</v>
      </c>
      <c r="F12" s="8">
        <f t="shared" si="7"/>
        <v>-8.3694573352672982E-2</v>
      </c>
      <c r="G12" s="7"/>
      <c r="I12" s="7" t="s">
        <v>34</v>
      </c>
      <c r="J12" s="27">
        <v>956427468.24000001</v>
      </c>
      <c r="K12" s="27">
        <v>966988876.71000004</v>
      </c>
      <c r="L12" s="27">
        <v>894842496.28999996</v>
      </c>
      <c r="M12" s="8">
        <f t="shared" si="2"/>
        <v>1.1042560801223051E-2</v>
      </c>
      <c r="N12" s="8">
        <f t="shared" si="3"/>
        <v>-7.4609317808768116E-2</v>
      </c>
      <c r="O12" s="7"/>
      <c r="Q12" s="7" t="s">
        <v>34</v>
      </c>
      <c r="R12" s="27">
        <v>164340943.74000001</v>
      </c>
      <c r="S12" s="27">
        <v>209653968.52000001</v>
      </c>
      <c r="T12" s="27">
        <v>183321728.02000001</v>
      </c>
      <c r="U12" s="8">
        <f t="shared" si="4"/>
        <v>0.27572571842893079</v>
      </c>
      <c r="V12" s="8">
        <f t="shared" si="5"/>
        <v>-0.12559857886729212</v>
      </c>
      <c r="W12" s="7"/>
    </row>
    <row r="13" spans="1:23" x14ac:dyDescent="0.35">
      <c r="A13" s="7" t="s">
        <v>35</v>
      </c>
      <c r="B13" s="27">
        <f t="shared" si="6"/>
        <v>218610512.33000001</v>
      </c>
      <c r="C13" s="27">
        <f t="shared" si="1"/>
        <v>260858704.66000003</v>
      </c>
      <c r="D13" s="27">
        <f t="shared" si="1"/>
        <v>295184535.60000002</v>
      </c>
      <c r="E13" s="8">
        <f t="shared" si="7"/>
        <v>0.19325782589185339</v>
      </c>
      <c r="F13" s="8">
        <f t="shared" si="7"/>
        <v>0.13158783021919801</v>
      </c>
      <c r="G13" s="7"/>
      <c r="I13" s="7" t="s">
        <v>35</v>
      </c>
      <c r="J13" s="28">
        <v>192473653.61000001</v>
      </c>
      <c r="K13" s="28">
        <v>221389021.24000001</v>
      </c>
      <c r="L13" s="28">
        <v>249644134.5</v>
      </c>
      <c r="M13" s="8">
        <f t="shared" si="2"/>
        <v>0.15023026314338997</v>
      </c>
      <c r="N13" s="8">
        <f t="shared" si="3"/>
        <v>0.12762653315753006</v>
      </c>
      <c r="O13" s="7"/>
      <c r="Q13" s="7" t="s">
        <v>35</v>
      </c>
      <c r="R13" s="28">
        <v>26136858.719999999</v>
      </c>
      <c r="S13" s="28">
        <v>39469683.420000002</v>
      </c>
      <c r="T13" s="28">
        <v>45540401.100000001</v>
      </c>
      <c r="U13" s="8">
        <f t="shared" si="4"/>
        <v>0.5101158040004895</v>
      </c>
      <c r="V13" s="8">
        <f t="shared" si="5"/>
        <v>0.15380710342672416</v>
      </c>
      <c r="W13" s="7"/>
    </row>
    <row r="14" spans="1:23" x14ac:dyDescent="0.35">
      <c r="A14" s="7" t="s">
        <v>36</v>
      </c>
      <c r="B14" s="27">
        <f t="shared" si="6"/>
        <v>397975318.76999998</v>
      </c>
      <c r="C14" s="27">
        <f t="shared" si="1"/>
        <v>458339630.11000001</v>
      </c>
      <c r="D14" s="27">
        <f t="shared" si="1"/>
        <v>426057318.71999997</v>
      </c>
      <c r="E14" s="8">
        <f t="shared" si="7"/>
        <v>0.1516785300318739</v>
      </c>
      <c r="F14" s="8">
        <f t="shared" si="7"/>
        <v>-7.043316630126964E-2</v>
      </c>
      <c r="G14" s="7"/>
      <c r="I14" s="7" t="s">
        <v>36</v>
      </c>
      <c r="J14" s="29">
        <v>315683013.37</v>
      </c>
      <c r="K14" s="29">
        <v>347960012.74000001</v>
      </c>
      <c r="L14" s="29">
        <v>324364253.64999998</v>
      </c>
      <c r="M14" s="8">
        <f t="shared" si="2"/>
        <v>0.10224496727091668</v>
      </c>
      <c r="N14" s="8">
        <f t="shared" si="3"/>
        <v>-6.7811697396479506E-2</v>
      </c>
      <c r="O14" s="7"/>
      <c r="Q14" s="7" t="s">
        <v>36</v>
      </c>
      <c r="R14" s="29">
        <v>82292305.400000006</v>
      </c>
      <c r="S14" s="29">
        <v>110379617.37</v>
      </c>
      <c r="T14" s="29">
        <v>101693065.06999999</v>
      </c>
      <c r="U14" s="8">
        <f t="shared" si="4"/>
        <v>0.34131152157513861</v>
      </c>
      <c r="V14" s="8">
        <f t="shared" si="5"/>
        <v>-7.869706841691701E-2</v>
      </c>
      <c r="W14" s="7"/>
    </row>
    <row r="15" spans="1:23" x14ac:dyDescent="0.35">
      <c r="A15" s="7" t="s">
        <v>37</v>
      </c>
      <c r="B15" s="27">
        <f t="shared" si="6"/>
        <v>63846035.07</v>
      </c>
      <c r="C15" s="27">
        <f t="shared" si="1"/>
        <v>68916127.769999996</v>
      </c>
      <c r="D15" s="27">
        <f t="shared" si="1"/>
        <v>73622884.299999997</v>
      </c>
      <c r="E15" s="8">
        <f t="shared" si="7"/>
        <v>7.941123821457681E-2</v>
      </c>
      <c r="F15" s="8">
        <f t="shared" si="7"/>
        <v>6.8296880313825581E-2</v>
      </c>
      <c r="G15" s="7"/>
      <c r="I15" s="7" t="s">
        <v>37</v>
      </c>
      <c r="J15" s="29">
        <v>48949336.210000001</v>
      </c>
      <c r="K15" s="29">
        <v>51018185.82</v>
      </c>
      <c r="L15" s="29">
        <v>54670294.939999998</v>
      </c>
      <c r="M15" s="8">
        <f t="shared" si="2"/>
        <v>4.2265120840951222E-2</v>
      </c>
      <c r="N15" s="8">
        <f t="shared" si="3"/>
        <v>7.1584456822616147E-2</v>
      </c>
      <c r="O15" s="7"/>
      <c r="Q15" s="7" t="s">
        <v>37</v>
      </c>
      <c r="R15" s="29">
        <v>14896698.859999999</v>
      </c>
      <c r="S15" s="29">
        <v>17897941.949999999</v>
      </c>
      <c r="T15" s="29">
        <v>18952589.359999999</v>
      </c>
      <c r="U15" s="8">
        <f t="shared" si="4"/>
        <v>0.201470347102123</v>
      </c>
      <c r="V15" s="8">
        <f t="shared" si="5"/>
        <v>5.8925624686138857E-2</v>
      </c>
      <c r="W15" s="7"/>
    </row>
    <row r="16" spans="1:23" x14ac:dyDescent="0.35">
      <c r="A16" s="14" t="s">
        <v>56</v>
      </c>
      <c r="B16" s="27">
        <f t="shared" si="6"/>
        <v>1426001893.8299999</v>
      </c>
      <c r="C16" s="27">
        <f t="shared" si="1"/>
        <v>1498399649.29</v>
      </c>
      <c r="D16" s="27">
        <f t="shared" si="1"/>
        <v>1596499032.5</v>
      </c>
      <c r="E16" s="8">
        <f t="shared" si="7"/>
        <v>5.0769747062222974E-2</v>
      </c>
      <c r="F16" s="8">
        <f t="shared" si="7"/>
        <v>6.5469438181251144E-2</v>
      </c>
      <c r="G16" s="7"/>
      <c r="I16" s="14" t="s">
        <v>56</v>
      </c>
      <c r="J16" s="29">
        <v>1209890392.5799999</v>
      </c>
      <c r="K16" s="29">
        <v>1264243826.4300001</v>
      </c>
      <c r="L16" s="29">
        <v>1348875870.0999999</v>
      </c>
      <c r="M16" s="8">
        <f t="shared" si="2"/>
        <v>4.492426271283595E-2</v>
      </c>
      <c r="N16" s="8">
        <f t="shared" si="3"/>
        <v>6.6942817438140623E-2</v>
      </c>
      <c r="O16" s="7"/>
      <c r="Q16" s="14" t="s">
        <v>56</v>
      </c>
      <c r="R16" s="29">
        <v>216111501.25</v>
      </c>
      <c r="S16" s="29">
        <v>234155822.86000001</v>
      </c>
      <c r="T16" s="29">
        <v>247623162.40000001</v>
      </c>
      <c r="U16" s="8">
        <f t="shared" si="4"/>
        <v>8.3495424841485685E-2</v>
      </c>
      <c r="V16" s="8">
        <f t="shared" si="5"/>
        <v>5.7514433660067518E-2</v>
      </c>
      <c r="W16" s="7"/>
    </row>
    <row r="17" spans="1:23" s="21" customFormat="1" x14ac:dyDescent="0.35">
      <c r="A17" s="14" t="s">
        <v>57</v>
      </c>
      <c r="B17" s="27">
        <f t="shared" si="6"/>
        <v>1209943946.0799999</v>
      </c>
      <c r="C17" s="27">
        <f t="shared" si="1"/>
        <v>1259978887.5999999</v>
      </c>
      <c r="D17" s="27">
        <f t="shared" si="1"/>
        <v>1332687325.6099999</v>
      </c>
      <c r="E17" s="8">
        <f t="shared" si="7"/>
        <v>4.1353107044424797E-2</v>
      </c>
      <c r="F17" s="8">
        <f t="shared" si="7"/>
        <v>5.7706076447435223E-2</v>
      </c>
      <c r="G17" s="7"/>
      <c r="I17" s="14" t="s">
        <v>57</v>
      </c>
      <c r="J17" s="29">
        <v>994628440.66999996</v>
      </c>
      <c r="K17" s="29">
        <v>1027809258.0599999</v>
      </c>
      <c r="L17" s="29">
        <v>1087040975.8199999</v>
      </c>
      <c r="M17" s="8">
        <f t="shared" si="2"/>
        <v>3.3360012677345903E-2</v>
      </c>
      <c r="N17" s="8">
        <f t="shared" si="3"/>
        <v>5.7629095374953559E-2</v>
      </c>
      <c r="O17" s="7"/>
      <c r="Q17" s="14" t="s">
        <v>57</v>
      </c>
      <c r="R17" s="29">
        <v>215315505.41</v>
      </c>
      <c r="S17" s="29">
        <v>232169629.53999999</v>
      </c>
      <c r="T17" s="29">
        <v>245646349.78999999</v>
      </c>
      <c r="U17" s="8">
        <f t="shared" si="4"/>
        <v>7.8276406977317622E-2</v>
      </c>
      <c r="V17" s="8">
        <f t="shared" si="5"/>
        <v>5.8046869768029349E-2</v>
      </c>
      <c r="W17" s="7"/>
    </row>
    <row r="18" spans="1:23" x14ac:dyDescent="0.35">
      <c r="A18" s="14" t="s">
        <v>38</v>
      </c>
      <c r="B18" s="27">
        <f t="shared" si="6"/>
        <v>457679544.24000001</v>
      </c>
      <c r="C18" s="27">
        <f t="shared" si="6"/>
        <v>490275386.25999999</v>
      </c>
      <c r="D18" s="27">
        <f t="shared" si="6"/>
        <v>487296607.99000001</v>
      </c>
      <c r="E18" s="8">
        <f t="shared" si="7"/>
        <v>7.1219792167305673E-2</v>
      </c>
      <c r="F18" s="8">
        <f t="shared" si="7"/>
        <v>-6.0757246916333923E-3</v>
      </c>
      <c r="G18" s="7"/>
      <c r="I18" s="14" t="s">
        <v>38</v>
      </c>
      <c r="J18" s="29">
        <v>350471627.89999998</v>
      </c>
      <c r="K18" s="29">
        <v>358467135.05000001</v>
      </c>
      <c r="L18" s="29">
        <v>359734115.62</v>
      </c>
      <c r="M18" s="8">
        <f t="shared" si="2"/>
        <v>2.2813564675430425E-2</v>
      </c>
      <c r="N18" s="8">
        <f t="shared" si="3"/>
        <v>3.5344399698546167E-3</v>
      </c>
      <c r="O18" s="7"/>
      <c r="Q18" s="14" t="s">
        <v>38</v>
      </c>
      <c r="R18" s="29">
        <v>107207916.34</v>
      </c>
      <c r="S18" s="29">
        <v>131808251.20999999</v>
      </c>
      <c r="T18" s="29">
        <v>127562492.37</v>
      </c>
      <c r="U18" s="8">
        <f t="shared" si="4"/>
        <v>0.22946379064007083</v>
      </c>
      <c r="V18" s="8">
        <f t="shared" si="5"/>
        <v>-3.2211631677257796E-2</v>
      </c>
      <c r="W18" s="7"/>
    </row>
    <row r="19" spans="1:23" x14ac:dyDescent="0.35">
      <c r="A19" s="14" t="s">
        <v>46</v>
      </c>
      <c r="B19" s="27">
        <f t="shared" si="6"/>
        <v>59454518.479999997</v>
      </c>
      <c r="C19" s="27">
        <f t="shared" ref="C19:C24" si="8">K19+S19</f>
        <v>54640983.100000001</v>
      </c>
      <c r="D19" s="27">
        <f t="shared" ref="D19:D24" si="9">L19+T19</f>
        <v>52638361.539999999</v>
      </c>
      <c r="E19" s="8">
        <f t="shared" si="7"/>
        <v>-8.0961640983085725E-2</v>
      </c>
      <c r="F19" s="8">
        <f t="shared" si="7"/>
        <v>-3.6650540425580344E-2</v>
      </c>
      <c r="G19" s="7"/>
      <c r="I19" s="14" t="s">
        <v>46</v>
      </c>
      <c r="J19" s="29">
        <v>58430722.07</v>
      </c>
      <c r="K19" s="29">
        <v>53164185.770000003</v>
      </c>
      <c r="L19" s="29">
        <v>51506795.479999997</v>
      </c>
      <c r="M19" s="8">
        <f t="shared" si="2"/>
        <v>-9.0133000473461317E-2</v>
      </c>
      <c r="N19" s="8">
        <f t="shared" si="3"/>
        <v>-3.117493978315106E-2</v>
      </c>
      <c r="O19" s="7"/>
      <c r="Q19" s="14" t="s">
        <v>46</v>
      </c>
      <c r="R19" s="29">
        <v>1023796.41</v>
      </c>
      <c r="S19" s="29">
        <v>1476797.33</v>
      </c>
      <c r="T19" s="29">
        <v>1131566.06</v>
      </c>
      <c r="U19" s="8">
        <f t="shared" si="4"/>
        <v>0.44247168243147095</v>
      </c>
      <c r="V19" s="8">
        <f t="shared" si="5"/>
        <v>-0.23377024252881065</v>
      </c>
      <c r="W19" s="7"/>
    </row>
    <row r="20" spans="1:23" x14ac:dyDescent="0.35">
      <c r="A20" s="14" t="s">
        <v>47</v>
      </c>
      <c r="B20" s="27">
        <f t="shared" si="6"/>
        <v>26379860.299999997</v>
      </c>
      <c r="C20" s="27">
        <f t="shared" si="8"/>
        <v>24153164.91</v>
      </c>
      <c r="D20" s="27">
        <f t="shared" si="9"/>
        <v>30451328.18</v>
      </c>
      <c r="E20" s="8">
        <f t="shared" si="7"/>
        <v>-8.4408915160176082E-2</v>
      </c>
      <c r="F20" s="8">
        <f t="shared" si="7"/>
        <v>0.26075933706693677</v>
      </c>
      <c r="G20" s="7"/>
      <c r="I20" s="14" t="s">
        <v>47</v>
      </c>
      <c r="J20" s="29">
        <v>26270830.989999998</v>
      </c>
      <c r="K20" s="29">
        <v>22777950.129999999</v>
      </c>
      <c r="L20" s="29">
        <v>27654406.969999999</v>
      </c>
      <c r="M20" s="8">
        <f t="shared" ref="M20:M27" si="10">IFERROR((K20-J20)/J20, "")</f>
        <v>-0.13295661874302969</v>
      </c>
      <c r="N20" s="8">
        <f t="shared" ref="N20:N27" si="11">IFERROR((L20-K20)/K20, "")</f>
        <v>0.21408672914677243</v>
      </c>
      <c r="O20" s="7"/>
      <c r="Q20" s="14" t="s">
        <v>47</v>
      </c>
      <c r="R20" s="29">
        <v>109029.31</v>
      </c>
      <c r="S20" s="29">
        <v>1375214.78</v>
      </c>
      <c r="T20" s="29">
        <v>2796921.21</v>
      </c>
      <c r="U20" s="8">
        <f t="shared" ref="U20:U27" si="12">IFERROR((S20-R20)/R20, "")</f>
        <v>11.613257664384008</v>
      </c>
      <c r="V20" s="8">
        <f t="shared" ref="V20:V27" si="13">IFERROR((T20-S20)/S20, "")</f>
        <v>1.0338068283413882</v>
      </c>
      <c r="W20" s="7"/>
    </row>
    <row r="21" spans="1:23" x14ac:dyDescent="0.35">
      <c r="A21" s="14" t="s">
        <v>48</v>
      </c>
      <c r="B21" s="27">
        <f t="shared" si="6"/>
        <v>46531102.469999999</v>
      </c>
      <c r="C21" s="27">
        <f t="shared" si="8"/>
        <v>36151485.810000002</v>
      </c>
      <c r="D21" s="27">
        <f t="shared" si="9"/>
        <v>42571255.839999996</v>
      </c>
      <c r="E21" s="8">
        <f t="shared" si="7"/>
        <v>-0.22306835877555334</v>
      </c>
      <c r="F21" s="8">
        <f t="shared" si="7"/>
        <v>0.17757970069999712</v>
      </c>
      <c r="G21" s="7"/>
      <c r="I21" s="14" t="s">
        <v>48</v>
      </c>
      <c r="J21" s="29">
        <v>46448160.460000001</v>
      </c>
      <c r="K21" s="29">
        <v>35991507.850000001</v>
      </c>
      <c r="L21" s="29">
        <v>42312759.579999998</v>
      </c>
      <c r="M21" s="8">
        <f t="shared" si="10"/>
        <v>-0.22512522576658356</v>
      </c>
      <c r="N21" s="8">
        <f t="shared" si="11"/>
        <v>0.17563175614494286</v>
      </c>
      <c r="O21" s="7"/>
      <c r="Q21" s="14" t="s">
        <v>48</v>
      </c>
      <c r="R21" s="29">
        <v>82942.009999999995</v>
      </c>
      <c r="S21" s="29">
        <v>159977.96</v>
      </c>
      <c r="T21" s="29">
        <v>258496.26</v>
      </c>
      <c r="U21" s="8">
        <f t="shared" si="12"/>
        <v>0.92879290000326742</v>
      </c>
      <c r="V21" s="8">
        <f t="shared" si="13"/>
        <v>0.61582420478420918</v>
      </c>
      <c r="W21" s="7"/>
    </row>
    <row r="22" spans="1:23" x14ac:dyDescent="0.35">
      <c r="A22" s="14" t="s">
        <v>49</v>
      </c>
      <c r="B22" s="27">
        <f t="shared" si="6"/>
        <v>0</v>
      </c>
      <c r="C22" s="27">
        <f t="shared" si="8"/>
        <v>0</v>
      </c>
      <c r="D22" s="27">
        <f t="shared" si="9"/>
        <v>0</v>
      </c>
      <c r="E22" s="8" t="str">
        <f t="shared" si="7"/>
        <v/>
      </c>
      <c r="F22" s="8" t="str">
        <f t="shared" si="7"/>
        <v/>
      </c>
      <c r="G22" s="7"/>
      <c r="I22" s="14" t="s">
        <v>49</v>
      </c>
      <c r="J22" s="29">
        <v>0</v>
      </c>
      <c r="K22" s="29">
        <v>0</v>
      </c>
      <c r="L22" s="29">
        <v>0</v>
      </c>
      <c r="M22" s="8" t="str">
        <f t="shared" si="10"/>
        <v/>
      </c>
      <c r="N22" s="8" t="str">
        <f t="shared" si="11"/>
        <v/>
      </c>
      <c r="O22" s="7"/>
      <c r="Q22" s="14" t="s">
        <v>49</v>
      </c>
      <c r="R22" s="29">
        <v>0</v>
      </c>
      <c r="S22" s="29">
        <v>0</v>
      </c>
      <c r="T22" s="29">
        <v>0</v>
      </c>
      <c r="U22" s="8" t="str">
        <f t="shared" si="12"/>
        <v/>
      </c>
      <c r="V22" s="8" t="str">
        <f t="shared" si="13"/>
        <v/>
      </c>
      <c r="W22" s="7"/>
    </row>
    <row r="23" spans="1:23" x14ac:dyDescent="0.35">
      <c r="A23" s="14" t="s">
        <v>50</v>
      </c>
      <c r="B23" s="27">
        <f t="shared" si="6"/>
        <v>-65321444.369999997</v>
      </c>
      <c r="C23" s="27">
        <f t="shared" si="8"/>
        <v>-84073357.729999989</v>
      </c>
      <c r="D23" s="27">
        <f t="shared" si="9"/>
        <v>-85198707.659999996</v>
      </c>
      <c r="E23" s="8">
        <f t="shared" si="7"/>
        <v>0.28707132153697651</v>
      </c>
      <c r="F23" s="8">
        <f t="shared" si="7"/>
        <v>1.3385333480007392E-2</v>
      </c>
      <c r="G23" s="7"/>
      <c r="I23" s="14" t="s">
        <v>50</v>
      </c>
      <c r="J23" s="29">
        <v>-29142800.890000001</v>
      </c>
      <c r="K23" s="29">
        <v>-45587355.57</v>
      </c>
      <c r="L23" s="29">
        <v>-40223148.490000002</v>
      </c>
      <c r="M23" s="8">
        <f t="shared" si="10"/>
        <v>0.56427502428713872</v>
      </c>
      <c r="N23" s="8">
        <f t="shared" si="11"/>
        <v>-0.117668748558209</v>
      </c>
      <c r="O23" s="7"/>
      <c r="Q23" s="14" t="s">
        <v>50</v>
      </c>
      <c r="R23" s="29">
        <v>-36178643.479999997</v>
      </c>
      <c r="S23" s="29">
        <v>-38486002.159999996</v>
      </c>
      <c r="T23" s="29">
        <v>-44975559.170000002</v>
      </c>
      <c r="U23" s="8">
        <f t="shared" si="12"/>
        <v>6.3776815769102463E-2</v>
      </c>
      <c r="V23" s="8">
        <f t="shared" si="13"/>
        <v>0.16862122968815024</v>
      </c>
      <c r="W23" s="7"/>
    </row>
    <row r="24" spans="1:23" x14ac:dyDescent="0.35">
      <c r="A24" s="14" t="s">
        <v>51</v>
      </c>
      <c r="B24" s="27">
        <f t="shared" si="6"/>
        <v>1190142952.95</v>
      </c>
      <c r="C24" s="27">
        <f t="shared" si="8"/>
        <v>1234770600.8500001</v>
      </c>
      <c r="D24" s="27">
        <f t="shared" si="9"/>
        <v>1280696616.6700001</v>
      </c>
      <c r="E24" s="8">
        <f t="shared" si="7"/>
        <v>3.7497720580020925E-2</v>
      </c>
      <c r="F24" s="8">
        <f t="shared" si="7"/>
        <v>3.7193966060080352E-2</v>
      </c>
      <c r="G24" s="7"/>
      <c r="I24" s="14" t="s">
        <v>51</v>
      </c>
      <c r="J24" s="29">
        <v>1188789003.1900001</v>
      </c>
      <c r="K24" s="29">
        <v>1233146813.6500001</v>
      </c>
      <c r="L24" s="29">
        <v>1276757277.6300001</v>
      </c>
      <c r="M24" s="8">
        <f t="shared" si="10"/>
        <v>3.7313442790074737E-2</v>
      </c>
      <c r="N24" s="8">
        <f t="shared" si="11"/>
        <v>3.5365184013180957E-2</v>
      </c>
      <c r="O24" s="7"/>
      <c r="Q24" s="14" t="s">
        <v>51</v>
      </c>
      <c r="R24" s="29">
        <v>1353949.76</v>
      </c>
      <c r="S24" s="29">
        <v>1623787.2</v>
      </c>
      <c r="T24" s="29">
        <v>3939339.04</v>
      </c>
      <c r="U24" s="8">
        <f t="shared" si="12"/>
        <v>0.19929649383740794</v>
      </c>
      <c r="V24" s="8">
        <f t="shared" si="13"/>
        <v>1.4260192714907469</v>
      </c>
      <c r="W24" s="7"/>
    </row>
    <row r="25" spans="1:23" x14ac:dyDescent="0.35">
      <c r="A25" s="42" t="s">
        <v>58</v>
      </c>
      <c r="B25" s="44">
        <f>SUM(B9:B15) + B16 +B18</f>
        <v>7728002556.9300003</v>
      </c>
      <c r="C25" s="44">
        <f>SUM(C9:C15) + C16 +C18</f>
        <v>8225272738.1300011</v>
      </c>
      <c r="D25" s="44">
        <f>SUM(D9:D15) + D16 +D18</f>
        <v>7921381039.8000011</v>
      </c>
      <c r="E25" s="45">
        <f t="shared" si="7"/>
        <v>6.4346534248242354E-2</v>
      </c>
      <c r="F25" s="45">
        <f t="shared" si="7"/>
        <v>-3.6946093826317188E-2</v>
      </c>
      <c r="G25" s="43"/>
      <c r="I25" s="42" t="s">
        <v>58</v>
      </c>
      <c r="J25" s="44">
        <f>SUM(J9:J15) + J16 +J18</f>
        <v>6551140537.4799986</v>
      </c>
      <c r="K25" s="44">
        <f>SUM(K9:K18)</f>
        <v>7767822038.9099989</v>
      </c>
      <c r="L25" s="44">
        <f>SUM(L9:L18)</f>
        <v>7618883122.6299982</v>
      </c>
      <c r="M25" s="45">
        <f t="shared" si="10"/>
        <v>0.18572056185777025</v>
      </c>
      <c r="N25" s="45">
        <f t="shared" si="11"/>
        <v>-1.9173832193109846E-2</v>
      </c>
      <c r="O25" s="43"/>
      <c r="Q25" s="42" t="s">
        <v>58</v>
      </c>
      <c r="R25" s="44">
        <f>SUM(R9:R15) + R16 +R18</f>
        <v>1176862019.45</v>
      </c>
      <c r="S25" s="44">
        <f>SUM(S9:S18)</f>
        <v>1717429586.8200002</v>
      </c>
      <c r="T25" s="44">
        <f>SUM(T9:T18)</f>
        <v>1635185242.7799997</v>
      </c>
      <c r="U25" s="45">
        <f t="shared" si="12"/>
        <v>0.45932960571081338</v>
      </c>
      <c r="V25" s="45">
        <f t="shared" si="13"/>
        <v>-4.7888044244238516E-2</v>
      </c>
      <c r="W25" s="43"/>
    </row>
    <row r="26" spans="1:23" s="21" customFormat="1" x14ac:dyDescent="0.35">
      <c r="A26" s="42" t="s">
        <v>59</v>
      </c>
      <c r="B26" s="44">
        <f>SUM(B9:B15) + B17 +B18</f>
        <v>7511944609.1800003</v>
      </c>
      <c r="C26" s="44">
        <f>SUM(C9:C15) + C17 +C18</f>
        <v>7986851976.4400005</v>
      </c>
      <c r="D26" s="44">
        <f>SUM(D9:D15) + D17 +D18</f>
        <v>7657569332.9100008</v>
      </c>
      <c r="E26" s="45">
        <f t="shared" si="7"/>
        <v>6.322029673643198E-2</v>
      </c>
      <c r="F26" s="45">
        <f t="shared" si="7"/>
        <v>-4.122808892681791E-2</v>
      </c>
      <c r="G26" s="43"/>
      <c r="I26" s="42" t="s">
        <v>59</v>
      </c>
      <c r="J26" s="44">
        <f>SUM(J9:J15) + J17 +J18</f>
        <v>6335878585.5699987</v>
      </c>
      <c r="K26" s="44">
        <f>SUM(K9:K15) + K17 +K18</f>
        <v>6503578212.4799986</v>
      </c>
      <c r="L26" s="44">
        <f>SUM(L9:L15) + L17 +L18</f>
        <v>6270007252.5299988</v>
      </c>
      <c r="M26" s="45">
        <f t="shared" si="10"/>
        <v>2.646825134748269E-2</v>
      </c>
      <c r="N26" s="45">
        <f t="shared" si="11"/>
        <v>-3.5914223265861606E-2</v>
      </c>
      <c r="O26" s="43"/>
      <c r="Q26" s="42" t="s">
        <v>59</v>
      </c>
      <c r="R26" s="44">
        <f>SUM(R9:R15) + R17 +R18</f>
        <v>1176066023.6099999</v>
      </c>
      <c r="S26" s="44">
        <f>SUM(S9:S15) + S17 +S18</f>
        <v>1483273763.96</v>
      </c>
      <c r="T26" s="44">
        <f>SUM(T9:T15) + T17 +T18</f>
        <v>1387562080.3800001</v>
      </c>
      <c r="U26" s="45">
        <f t="shared" si="12"/>
        <v>0.26121640637743188</v>
      </c>
      <c r="V26" s="45">
        <f t="shared" si="13"/>
        <v>-6.4527321864354781E-2</v>
      </c>
      <c r="W26" s="43"/>
    </row>
    <row r="27" spans="1:23" x14ac:dyDescent="0.35">
      <c r="A27" s="42" t="s">
        <v>54</v>
      </c>
      <c r="B27" s="44">
        <f>SUM(B19:B24)</f>
        <v>1257186989.8300002</v>
      </c>
      <c r="C27" s="44">
        <f t="shared" ref="C27:D27" si="14">SUM(C19:C24)</f>
        <v>1265642876.9400001</v>
      </c>
      <c r="D27" s="44">
        <f t="shared" si="14"/>
        <v>1321158854.5700002</v>
      </c>
      <c r="E27" s="45">
        <f t="shared" si="7"/>
        <v>6.7260377162694949E-3</v>
      </c>
      <c r="F27" s="45">
        <f t="shared" si="7"/>
        <v>4.3863856575579611E-2</v>
      </c>
      <c r="G27" s="43"/>
      <c r="I27" s="42" t="s">
        <v>54</v>
      </c>
      <c r="J27" s="44">
        <f>SUM(J19:J24)</f>
        <v>1290795915.8200002</v>
      </c>
      <c r="K27" s="44">
        <f t="shared" ref="K27:L27" si="15">SUM(K19:K24)</f>
        <v>1299493101.8300002</v>
      </c>
      <c r="L27" s="44">
        <f t="shared" si="15"/>
        <v>1358008091.1700001</v>
      </c>
      <c r="M27" s="45">
        <f t="shared" si="10"/>
        <v>6.7378474810829833E-3</v>
      </c>
      <c r="N27" s="45">
        <f t="shared" si="11"/>
        <v>4.5029088078725986E-2</v>
      </c>
      <c r="O27" s="43"/>
      <c r="Q27" s="42" t="s">
        <v>54</v>
      </c>
      <c r="R27" s="44">
        <f>SUM(R19:R24)</f>
        <v>-33608925.990000002</v>
      </c>
      <c r="S27" s="44">
        <f t="shared" ref="S27:T27" si="16">SUM(S19:S24)</f>
        <v>-33850224.889999993</v>
      </c>
      <c r="T27" s="44">
        <f t="shared" si="16"/>
        <v>-36849236.600000001</v>
      </c>
      <c r="U27" s="45">
        <f t="shared" si="12"/>
        <v>7.1796075861450355E-3</v>
      </c>
      <c r="V27" s="45">
        <f t="shared" si="13"/>
        <v>8.8596507696643817E-2</v>
      </c>
      <c r="W27" s="43"/>
    </row>
    <row r="28" spans="1:23" s="21" customFormat="1" x14ac:dyDescent="0.35">
      <c r="A28" s="19"/>
      <c r="B28" s="58"/>
      <c r="C28" s="58"/>
      <c r="D28" s="58"/>
      <c r="E28" s="59"/>
      <c r="F28" s="59"/>
      <c r="G28" s="16"/>
      <c r="H28" s="15"/>
      <c r="I28" s="19"/>
      <c r="J28" s="58"/>
      <c r="K28" s="58"/>
      <c r="L28" s="58"/>
      <c r="M28" s="59"/>
      <c r="N28" s="59"/>
      <c r="O28" s="16"/>
      <c r="P28" s="15"/>
      <c r="Q28" s="19"/>
      <c r="R28" s="58"/>
      <c r="S28" s="58"/>
      <c r="T28" s="58"/>
      <c r="U28" s="59"/>
      <c r="V28" s="59"/>
      <c r="W28" s="16"/>
    </row>
    <row r="29" spans="1:23" s="21" customFormat="1" x14ac:dyDescent="0.35">
      <c r="A29" s="19"/>
      <c r="B29" s="58"/>
      <c r="C29" s="58"/>
      <c r="D29" s="58"/>
      <c r="E29" s="59"/>
      <c r="F29" s="59"/>
      <c r="G29" s="16"/>
      <c r="H29" s="15"/>
      <c r="I29" s="19"/>
      <c r="J29" s="58"/>
      <c r="K29" s="58"/>
      <c r="L29" s="58"/>
      <c r="M29" s="59"/>
      <c r="N29" s="59"/>
      <c r="O29" s="16"/>
      <c r="P29" s="15"/>
      <c r="Q29" s="19"/>
      <c r="R29" s="58"/>
      <c r="S29" s="58"/>
      <c r="T29" s="58"/>
      <c r="U29" s="59"/>
      <c r="V29" s="59"/>
      <c r="W29" s="16"/>
    </row>
    <row r="30" spans="1:23" s="21" customFormat="1" x14ac:dyDescent="0.35">
      <c r="A30" s="114" t="s">
        <v>7</v>
      </c>
      <c r="B30" s="114" t="s">
        <v>62</v>
      </c>
      <c r="C30" s="114"/>
      <c r="D30" s="114"/>
      <c r="E30" s="115" t="s">
        <v>2</v>
      </c>
      <c r="F30" s="117"/>
      <c r="G30" s="118" t="s">
        <v>28</v>
      </c>
      <c r="I30" s="114" t="s">
        <v>7</v>
      </c>
      <c r="J30" s="114" t="s">
        <v>62</v>
      </c>
      <c r="K30" s="114"/>
      <c r="L30" s="114"/>
      <c r="M30" s="115" t="s">
        <v>2</v>
      </c>
      <c r="N30" s="117"/>
      <c r="O30" s="118" t="s">
        <v>28</v>
      </c>
      <c r="Q30" s="114" t="s">
        <v>7</v>
      </c>
      <c r="R30" s="114" t="s">
        <v>62</v>
      </c>
      <c r="S30" s="114"/>
      <c r="T30" s="114"/>
      <c r="U30" s="115" t="s">
        <v>2</v>
      </c>
      <c r="V30" s="117"/>
      <c r="W30" s="118" t="s">
        <v>28</v>
      </c>
    </row>
    <row r="31" spans="1:23" s="21" customFormat="1" x14ac:dyDescent="0.35">
      <c r="A31" s="114"/>
      <c r="B31" s="37">
        <v>2018</v>
      </c>
      <c r="C31" s="37">
        <v>2019</v>
      </c>
      <c r="D31" s="37">
        <v>2020</v>
      </c>
      <c r="E31" s="37" t="s">
        <v>15</v>
      </c>
      <c r="F31" s="37" t="s">
        <v>16</v>
      </c>
      <c r="G31" s="119"/>
      <c r="I31" s="114"/>
      <c r="J31" s="37">
        <v>2018</v>
      </c>
      <c r="K31" s="37">
        <v>2019</v>
      </c>
      <c r="L31" s="37">
        <v>2020</v>
      </c>
      <c r="M31" s="37" t="s">
        <v>15</v>
      </c>
      <c r="N31" s="37" t="s">
        <v>16</v>
      </c>
      <c r="O31" s="119"/>
      <c r="Q31" s="114"/>
      <c r="R31" s="37">
        <v>2018</v>
      </c>
      <c r="S31" s="37">
        <v>2019</v>
      </c>
      <c r="T31" s="37">
        <v>2020</v>
      </c>
      <c r="U31" s="37" t="s">
        <v>15</v>
      </c>
      <c r="V31" s="37" t="s">
        <v>16</v>
      </c>
      <c r="W31" s="119"/>
    </row>
    <row r="32" spans="1:23" s="21" customFormat="1" x14ac:dyDescent="0.35">
      <c r="A32" s="7" t="s">
        <v>31</v>
      </c>
      <c r="B32" s="27">
        <f>B9/($B$8/12)</f>
        <v>915.44847902310448</v>
      </c>
      <c r="C32" s="27">
        <f>C9/($C$8/12)</f>
        <v>923.52032892347142</v>
      </c>
      <c r="D32" s="27">
        <f>D9/($D$8/12)</f>
        <v>908.37484593897977</v>
      </c>
      <c r="E32" s="8">
        <f>IFERROR((C32-B32)/B32, "")</f>
        <v>8.8173721245138701E-3</v>
      </c>
      <c r="F32" s="8">
        <f>IFERROR((D32-C32)/C32, "")</f>
        <v>-1.6399728852906168E-2</v>
      </c>
      <c r="G32" s="51"/>
      <c r="I32" s="7" t="s">
        <v>31</v>
      </c>
      <c r="J32" s="27">
        <f>J9/($J$8/12)</f>
        <v>909.53339781216789</v>
      </c>
      <c r="K32" s="27">
        <f>K9/($K$8/12)</f>
        <v>896.83014923844621</v>
      </c>
      <c r="L32" s="27">
        <f>L9/($L$8/12)</f>
        <v>894.86281927106552</v>
      </c>
      <c r="M32" s="8">
        <f t="shared" ref="M32:M50" si="17">IFERROR((K32-J32)/J32, "")</f>
        <v>-1.3966775276508416E-2</v>
      </c>
      <c r="N32" s="8">
        <f t="shared" ref="N32:N50" si="18">IFERROR((L32-K32)/K32, "")</f>
        <v>-2.1936483391546031E-3</v>
      </c>
      <c r="O32" s="7"/>
      <c r="Q32" s="7" t="s">
        <v>31</v>
      </c>
      <c r="R32" s="27">
        <f>R9/($R$8/12)</f>
        <v>958.01031963831338</v>
      </c>
      <c r="S32" s="27">
        <f>S9/($S$8/12)</f>
        <v>1081.5877156106301</v>
      </c>
      <c r="T32" s="27">
        <f>T9/($T$8/12)</f>
        <v>990.05107621516299</v>
      </c>
      <c r="U32" s="8">
        <f t="shared" ref="U32:V50" si="19">IFERROR((S32-R32)/R32, "")</f>
        <v>0.12899380459593801</v>
      </c>
      <c r="V32" s="8">
        <f t="shared" si="19"/>
        <v>-8.4631729885900578E-2</v>
      </c>
      <c r="W32" s="7"/>
    </row>
    <row r="33" spans="1:23" s="21" customFormat="1" x14ac:dyDescent="0.35">
      <c r="A33" s="7" t="s">
        <v>32</v>
      </c>
      <c r="B33" s="27">
        <f>B10/($B$8/12)</f>
        <v>1225.4048565723569</v>
      </c>
      <c r="C33" s="27">
        <f>C10/($C$8/12)</f>
        <v>1319.680901317249</v>
      </c>
      <c r="D33" s="27">
        <f>D10/($D$8/12)</f>
        <v>1216.1152532505848</v>
      </c>
      <c r="E33" s="8">
        <f t="shared" ref="E33:F50" si="20">IFERROR((C33-B33)/B33, "")</f>
        <v>7.6934610010112425E-2</v>
      </c>
      <c r="F33" s="8">
        <f t="shared" si="20"/>
        <v>-7.8477795627177258E-2</v>
      </c>
      <c r="G33" s="7"/>
      <c r="I33" s="7" t="s">
        <v>32</v>
      </c>
      <c r="J33" s="27">
        <f>J10/($J$8/12)</f>
        <v>1173.0234908442033</v>
      </c>
      <c r="K33" s="27">
        <f>K10/($K$8/12)</f>
        <v>1249.1690377498328</v>
      </c>
      <c r="L33" s="27">
        <f>L10/($L$8/12)</f>
        <v>1148.3690131110616</v>
      </c>
      <c r="M33" s="8">
        <f t="shared" si="17"/>
        <v>6.4913914768091302E-2</v>
      </c>
      <c r="N33" s="8">
        <f t="shared" si="18"/>
        <v>-8.0693662420856543E-2</v>
      </c>
      <c r="O33" s="7"/>
      <c r="Q33" s="7" t="s">
        <v>32</v>
      </c>
      <c r="R33" s="27">
        <f>R10/($R$8/12)</f>
        <v>1602.3138557601499</v>
      </c>
      <c r="S33" s="27">
        <f>S10/($S$8/12)</f>
        <v>1737.2736689971262</v>
      </c>
      <c r="T33" s="27">
        <f>T10/($T$8/12)</f>
        <v>1625.621365543913</v>
      </c>
      <c r="U33" s="8">
        <f t="shared" si="19"/>
        <v>8.4228076011331948E-2</v>
      </c>
      <c r="V33" s="8">
        <f t="shared" si="19"/>
        <v>-6.4268690331136191E-2</v>
      </c>
      <c r="W33" s="7"/>
    </row>
    <row r="34" spans="1:23" s="21" customFormat="1" x14ac:dyDescent="0.35">
      <c r="A34" s="7" t="s">
        <v>33</v>
      </c>
      <c r="B34" s="27">
        <f t="shared" ref="B34:B50" si="21">B11/($B$8/12)</f>
        <v>402.85852872928052</v>
      </c>
      <c r="C34" s="27">
        <f t="shared" ref="C34:C50" si="22">C11/($C$8/12)</f>
        <v>417.58609708478639</v>
      </c>
      <c r="D34" s="27">
        <f t="shared" ref="D34:D50" si="23">D11/($D$8/12)</f>
        <v>379.11046524976206</v>
      </c>
      <c r="E34" s="8">
        <f t="shared" si="20"/>
        <v>3.6557668027931312E-2</v>
      </c>
      <c r="F34" s="8">
        <f t="shared" si="20"/>
        <v>-9.2138201208390003E-2</v>
      </c>
      <c r="G34" s="7"/>
      <c r="I34" s="7" t="s">
        <v>33</v>
      </c>
      <c r="J34" s="27">
        <f t="shared" ref="J34:J46" si="24">J11/($J$8/12)</f>
        <v>409.17393827494976</v>
      </c>
      <c r="K34" s="27">
        <f t="shared" ref="K34:K47" si="25">K11/($K$8/12)</f>
        <v>423.94169341080328</v>
      </c>
      <c r="L34" s="27">
        <f t="shared" ref="L34:L47" si="26">L11/($L$8/12)</f>
        <v>385.2453527147693</v>
      </c>
      <c r="M34" s="8">
        <f t="shared" si="17"/>
        <v>3.6091631832939793E-2</v>
      </c>
      <c r="N34" s="8">
        <f t="shared" si="18"/>
        <v>-9.1277506547431955E-2</v>
      </c>
      <c r="O34" s="7"/>
      <c r="Q34" s="7" t="s">
        <v>33</v>
      </c>
      <c r="R34" s="27">
        <f t="shared" ref="R34:R50" si="27">R11/($R$8/12)</f>
        <v>357.41613412520337</v>
      </c>
      <c r="S34" s="27">
        <f t="shared" ref="S34:S50" si="28">S11/($S$8/12)</f>
        <v>379.94631668811724</v>
      </c>
      <c r="T34" s="27">
        <f t="shared" ref="T34:T50" si="29">T11/($T$8/12)</f>
        <v>342.02687345222239</v>
      </c>
      <c r="U34" s="8">
        <f t="shared" si="19"/>
        <v>6.3036277357925621E-2</v>
      </c>
      <c r="V34" s="8">
        <f t="shared" si="19"/>
        <v>-9.9802107746240903E-2</v>
      </c>
      <c r="W34" s="7"/>
    </row>
    <row r="35" spans="1:23" s="21" customFormat="1" x14ac:dyDescent="0.35">
      <c r="A35" s="7" t="s">
        <v>34</v>
      </c>
      <c r="B35" s="27">
        <f t="shared" si="21"/>
        <v>705.12656411557725</v>
      </c>
      <c r="C35" s="27">
        <f t="shared" si="22"/>
        <v>732.89170053729526</v>
      </c>
      <c r="D35" s="27">
        <f t="shared" si="23"/>
        <v>680.85613204323658</v>
      </c>
      <c r="E35" s="8">
        <f t="shared" si="20"/>
        <v>3.9376103290822882E-2</v>
      </c>
      <c r="F35" s="8">
        <f t="shared" si="20"/>
        <v>-7.1000351697134145E-2</v>
      </c>
      <c r="G35" s="7"/>
      <c r="I35" s="7" t="s">
        <v>34</v>
      </c>
      <c r="J35" s="27">
        <f t="shared" si="24"/>
        <v>685.35860288984338</v>
      </c>
      <c r="K35" s="27">
        <f t="shared" si="25"/>
        <v>704.006361643079</v>
      </c>
      <c r="L35" s="27">
        <f t="shared" si="26"/>
        <v>658.57422014859526</v>
      </c>
      <c r="M35" s="8">
        <f t="shared" si="17"/>
        <v>2.7208761478453122E-2</v>
      </c>
      <c r="N35" s="8">
        <f t="shared" si="18"/>
        <v>-6.4533708741565582E-2</v>
      </c>
      <c r="O35" s="7"/>
      <c r="Q35" s="7" t="s">
        <v>34</v>
      </c>
      <c r="R35" s="27">
        <f t="shared" si="27"/>
        <v>847.3665072327891</v>
      </c>
      <c r="S35" s="27">
        <f t="shared" si="28"/>
        <v>903.95948975654142</v>
      </c>
      <c r="T35" s="27">
        <f t="shared" si="29"/>
        <v>815.5437412101063</v>
      </c>
      <c r="U35" s="8">
        <f t="shared" si="19"/>
        <v>6.6786900403422542E-2</v>
      </c>
      <c r="V35" s="8">
        <f t="shared" si="19"/>
        <v>-9.7809414634551436E-2</v>
      </c>
      <c r="W35" s="7"/>
    </row>
    <row r="36" spans="1:23" s="21" customFormat="1" x14ac:dyDescent="0.35">
      <c r="A36" s="7" t="s">
        <v>35</v>
      </c>
      <c r="B36" s="27">
        <f t="shared" si="21"/>
        <v>137.53785152320094</v>
      </c>
      <c r="C36" s="27">
        <f t="shared" si="22"/>
        <v>162.48021260933521</v>
      </c>
      <c r="D36" s="27">
        <f t="shared" si="23"/>
        <v>186.40778150120539</v>
      </c>
      <c r="E36" s="8">
        <f t="shared" si="20"/>
        <v>0.18134906725605496</v>
      </c>
      <c r="F36" s="8">
        <f t="shared" si="20"/>
        <v>0.14726450998314017</v>
      </c>
      <c r="G36" s="7"/>
      <c r="I36" s="7" t="s">
        <v>35</v>
      </c>
      <c r="J36" s="27">
        <f t="shared" si="24"/>
        <v>137.92313448922371</v>
      </c>
      <c r="K36" s="27">
        <f t="shared" si="25"/>
        <v>161.18001261935606</v>
      </c>
      <c r="L36" s="27">
        <f t="shared" si="26"/>
        <v>183.72975341989897</v>
      </c>
      <c r="M36" s="8">
        <f t="shared" si="17"/>
        <v>0.16862202426199549</v>
      </c>
      <c r="N36" s="8">
        <f t="shared" si="18"/>
        <v>0.1399040764055314</v>
      </c>
      <c r="O36" s="7"/>
      <c r="Q36" s="7" t="s">
        <v>35</v>
      </c>
      <c r="R36" s="27">
        <f t="shared" si="27"/>
        <v>134.76555616379025</v>
      </c>
      <c r="S36" s="27">
        <f t="shared" si="28"/>
        <v>170.18039361268669</v>
      </c>
      <c r="T36" s="27">
        <f t="shared" si="29"/>
        <v>202.59567423044871</v>
      </c>
      <c r="U36" s="8">
        <f t="shared" si="19"/>
        <v>0.26278849326940962</v>
      </c>
      <c r="V36" s="8">
        <f t="shared" si="19"/>
        <v>0.19047599978841226</v>
      </c>
      <c r="W36" s="7"/>
    </row>
    <row r="37" spans="1:23" s="21" customFormat="1" x14ac:dyDescent="0.35">
      <c r="A37" s="7" t="s">
        <v>36</v>
      </c>
      <c r="B37" s="27">
        <f t="shared" si="21"/>
        <v>250.3844381475121</v>
      </c>
      <c r="C37" s="27">
        <f t="shared" si="22"/>
        <v>285.48451409594162</v>
      </c>
      <c r="D37" s="27">
        <f t="shared" si="23"/>
        <v>269.05338863201337</v>
      </c>
      <c r="E37" s="8">
        <f t="shared" si="20"/>
        <v>0.14018473435537784</v>
      </c>
      <c r="F37" s="8">
        <f t="shared" si="20"/>
        <v>-5.7555225073981815E-2</v>
      </c>
      <c r="G37" s="7"/>
      <c r="I37" s="7" t="s">
        <v>36</v>
      </c>
      <c r="J37" s="27">
        <f t="shared" si="24"/>
        <v>226.21273037824116</v>
      </c>
      <c r="K37" s="27">
        <f t="shared" si="25"/>
        <v>253.32872845426965</v>
      </c>
      <c r="L37" s="27">
        <f t="shared" si="26"/>
        <v>238.72126801899307</v>
      </c>
      <c r="M37" s="8">
        <f t="shared" si="17"/>
        <v>0.11986946106299555</v>
      </c>
      <c r="N37" s="8">
        <f t="shared" si="18"/>
        <v>-5.7662076166436392E-2</v>
      </c>
      <c r="O37" s="7"/>
      <c r="Q37" s="7" t="s">
        <v>36</v>
      </c>
      <c r="R37" s="27">
        <f t="shared" si="27"/>
        <v>424.31144553516111</v>
      </c>
      <c r="S37" s="27">
        <f t="shared" si="28"/>
        <v>475.92088669568426</v>
      </c>
      <c r="T37" s="27">
        <f t="shared" si="29"/>
        <v>452.40214369604092</v>
      </c>
      <c r="U37" s="8">
        <f t="shared" si="19"/>
        <v>0.12163103706861111</v>
      </c>
      <c r="V37" s="8">
        <f t="shared" si="19"/>
        <v>-4.9417337328760295E-2</v>
      </c>
      <c r="W37" s="7"/>
    </row>
    <row r="38" spans="1:23" s="21" customFormat="1" x14ac:dyDescent="0.35">
      <c r="A38" s="7" t="s">
        <v>37</v>
      </c>
      <c r="B38" s="27">
        <f t="shared" si="21"/>
        <v>40.168454838746044</v>
      </c>
      <c r="C38" s="27">
        <f t="shared" si="22"/>
        <v>42.925564270038066</v>
      </c>
      <c r="D38" s="27">
        <f t="shared" si="23"/>
        <v>46.492538988153292</v>
      </c>
      <c r="E38" s="8">
        <f t="shared" si="20"/>
        <v>6.8638672868057277E-2</v>
      </c>
      <c r="F38" s="8">
        <f t="shared" si="20"/>
        <v>8.309674616449865E-2</v>
      </c>
      <c r="G38" s="7"/>
      <c r="I38" s="7" t="s">
        <v>37</v>
      </c>
      <c r="J38" s="27">
        <f t="shared" si="24"/>
        <v>35.076207858192262</v>
      </c>
      <c r="K38" s="27">
        <f t="shared" si="25"/>
        <v>37.143268388949913</v>
      </c>
      <c r="L38" s="27">
        <f t="shared" si="26"/>
        <v>40.235512958624504</v>
      </c>
      <c r="M38" s="8">
        <f t="shared" si="17"/>
        <v>5.8930558831058938E-2</v>
      </c>
      <c r="N38" s="8">
        <f t="shared" si="18"/>
        <v>8.3251816649353633E-2</v>
      </c>
      <c r="O38" s="7"/>
      <c r="Q38" s="7" t="s">
        <v>37</v>
      </c>
      <c r="R38" s="27">
        <f t="shared" si="27"/>
        <v>76.809609309943895</v>
      </c>
      <c r="S38" s="27">
        <f t="shared" si="28"/>
        <v>77.17008453036172</v>
      </c>
      <c r="T38" s="27">
        <f t="shared" si="29"/>
        <v>84.314422513991175</v>
      </c>
      <c r="U38" s="8">
        <f t="shared" si="19"/>
        <v>4.6931005593743823E-3</v>
      </c>
      <c r="V38" s="8">
        <f t="shared" si="19"/>
        <v>9.2579113099436797E-2</v>
      </c>
      <c r="W38" s="7"/>
    </row>
    <row r="39" spans="1:23" s="21" customFormat="1" x14ac:dyDescent="0.35">
      <c r="A39" s="14" t="s">
        <v>56</v>
      </c>
      <c r="B39" s="27">
        <f t="shared" si="21"/>
        <v>897.16287956605731</v>
      </c>
      <c r="C39" s="27">
        <f t="shared" si="22"/>
        <v>933.30331417429829</v>
      </c>
      <c r="D39" s="27">
        <f t="shared" si="23"/>
        <v>1008.1823636601978</v>
      </c>
      <c r="E39" s="8">
        <f t="shared" si="20"/>
        <v>4.0283024890331511E-2</v>
      </c>
      <c r="F39" s="8">
        <f t="shared" si="20"/>
        <v>8.02301334932531E-2</v>
      </c>
      <c r="G39" s="7"/>
      <c r="I39" s="14" t="s">
        <v>56</v>
      </c>
      <c r="J39" s="27">
        <f t="shared" si="24"/>
        <v>866.98554427171291</v>
      </c>
      <c r="K39" s="27">
        <f t="shared" si="25"/>
        <v>920.41978756042136</v>
      </c>
      <c r="L39" s="27">
        <f t="shared" si="26"/>
        <v>992.72763409358072</v>
      </c>
      <c r="M39" s="8">
        <f t="shared" si="17"/>
        <v>6.1632219408680446E-2</v>
      </c>
      <c r="N39" s="8">
        <f t="shared" si="18"/>
        <v>7.8559639319371627E-2</v>
      </c>
      <c r="O39" s="7"/>
      <c r="Q39" s="14" t="s">
        <v>56</v>
      </c>
      <c r="R39" s="27">
        <f t="shared" si="27"/>
        <v>1114.3032516398705</v>
      </c>
      <c r="S39" s="27">
        <f t="shared" si="28"/>
        <v>1009.6034892650106</v>
      </c>
      <c r="T39" s="27">
        <f t="shared" si="29"/>
        <v>1101.6016620350736</v>
      </c>
      <c r="U39" s="8">
        <f t="shared" si="19"/>
        <v>-9.3959846406961423E-2</v>
      </c>
      <c r="V39" s="8">
        <f t="shared" si="19"/>
        <v>9.1123073313700093E-2</v>
      </c>
      <c r="W39" s="7"/>
    </row>
    <row r="40" spans="1:23" s="21" customFormat="1" x14ac:dyDescent="0.35">
      <c r="A40" s="14" t="s">
        <v>57</v>
      </c>
      <c r="B40" s="27">
        <f t="shared" si="21"/>
        <v>761.23096292890364</v>
      </c>
      <c r="C40" s="27">
        <f t="shared" si="22"/>
        <v>784.79895009581242</v>
      </c>
      <c r="D40" s="27">
        <f t="shared" si="23"/>
        <v>841.58639034657688</v>
      </c>
      <c r="E40" s="8">
        <f t="shared" si="20"/>
        <v>3.0960363299239509E-2</v>
      </c>
      <c r="F40" s="8">
        <f t="shared" si="20"/>
        <v>7.2359220465103263E-2</v>
      </c>
      <c r="G40" s="51"/>
      <c r="I40" s="14" t="s">
        <v>57</v>
      </c>
      <c r="J40" s="27">
        <f t="shared" si="24"/>
        <v>712.73272791558804</v>
      </c>
      <c r="K40" s="27">
        <f t="shared" si="25"/>
        <v>748.28601823399879</v>
      </c>
      <c r="L40" s="27">
        <f t="shared" si="26"/>
        <v>800.02588822985115</v>
      </c>
      <c r="M40" s="8">
        <f t="shared" si="17"/>
        <v>4.9883061245675632E-2</v>
      </c>
      <c r="N40" s="8">
        <f t="shared" si="18"/>
        <v>6.9144509900053525E-2</v>
      </c>
      <c r="O40" s="51"/>
      <c r="Q40" s="14" t="s">
        <v>57</v>
      </c>
      <c r="R40" s="27">
        <f t="shared" si="27"/>
        <v>1110.1989779308199</v>
      </c>
      <c r="S40" s="27">
        <f t="shared" si="28"/>
        <v>1001.0396718816359</v>
      </c>
      <c r="T40" s="27">
        <f t="shared" si="29"/>
        <v>1092.8074117896535</v>
      </c>
      <c r="U40" s="8">
        <f t="shared" si="19"/>
        <v>-9.8324091644035078E-2</v>
      </c>
      <c r="V40" s="8">
        <f t="shared" si="19"/>
        <v>9.1672430659539755E-2</v>
      </c>
      <c r="W40" s="51"/>
    </row>
    <row r="41" spans="1:23" s="21" customFormat="1" x14ac:dyDescent="0.35">
      <c r="A41" s="14" t="s">
        <v>38</v>
      </c>
      <c r="B41" s="27">
        <f t="shared" si="21"/>
        <v>287.94709151893323</v>
      </c>
      <c r="C41" s="27">
        <f t="shared" si="22"/>
        <v>305.37623461895453</v>
      </c>
      <c r="D41" s="27">
        <f t="shared" si="23"/>
        <v>307.72573991331564</v>
      </c>
      <c r="E41" s="8">
        <f t="shared" si="20"/>
        <v>6.0528977764914435E-2</v>
      </c>
      <c r="F41" s="8">
        <f t="shared" si="20"/>
        <v>7.6938053064044042E-3</v>
      </c>
      <c r="G41" s="7"/>
      <c r="I41" s="14" t="s">
        <v>38</v>
      </c>
      <c r="J41" s="27">
        <f t="shared" si="24"/>
        <v>251.14162153046721</v>
      </c>
      <c r="K41" s="27">
        <f t="shared" si="25"/>
        <v>260.97833138865821</v>
      </c>
      <c r="L41" s="27">
        <f t="shared" si="26"/>
        <v>264.75230628576224</v>
      </c>
      <c r="M41" s="8">
        <f t="shared" si="17"/>
        <v>3.9167979398419477E-2</v>
      </c>
      <c r="N41" s="8">
        <f t="shared" si="18"/>
        <v>1.4460874498747953E-2</v>
      </c>
      <c r="O41" s="7"/>
      <c r="Q41" s="14" t="s">
        <v>38</v>
      </c>
      <c r="R41" s="27">
        <f t="shared" si="27"/>
        <v>552.78006532841675</v>
      </c>
      <c r="S41" s="27">
        <f t="shared" si="28"/>
        <v>568.31416238194095</v>
      </c>
      <c r="T41" s="27">
        <f t="shared" si="29"/>
        <v>567.48751710525926</v>
      </c>
      <c r="U41" s="8">
        <f t="shared" si="19"/>
        <v>2.8101767823872414E-2</v>
      </c>
      <c r="V41" s="8">
        <f t="shared" si="19"/>
        <v>-1.4545568831454414E-3</v>
      </c>
      <c r="W41" s="7"/>
    </row>
    <row r="42" spans="1:23" s="21" customFormat="1" x14ac:dyDescent="0.35">
      <c r="A42" s="14" t="s">
        <v>46</v>
      </c>
      <c r="B42" s="27">
        <f t="shared" si="21"/>
        <v>37.405551306434035</v>
      </c>
      <c r="C42" s="27">
        <f t="shared" si="22"/>
        <v>34.03405135681659</v>
      </c>
      <c r="D42" s="27">
        <f t="shared" si="23"/>
        <v>33.240901921183749</v>
      </c>
      <c r="E42" s="8">
        <f t="shared" si="20"/>
        <v>-9.0133678875560938E-2</v>
      </c>
      <c r="F42" s="8">
        <f t="shared" si="20"/>
        <v>-2.3304584791195706E-2</v>
      </c>
      <c r="G42" s="7"/>
      <c r="I42" s="14" t="s">
        <v>46</v>
      </c>
      <c r="J42" s="27">
        <f t="shared" si="24"/>
        <v>41.870397258071051</v>
      </c>
      <c r="K42" s="27">
        <f t="shared" si="25"/>
        <v>38.705641703962534</v>
      </c>
      <c r="L42" s="27">
        <f t="shared" si="26"/>
        <v>37.907282908702051</v>
      </c>
      <c r="M42" s="8">
        <f t="shared" si="17"/>
        <v>-7.5584560007929472E-2</v>
      </c>
      <c r="N42" s="8">
        <f t="shared" si="18"/>
        <v>-2.0626419305141006E-2</v>
      </c>
      <c r="O42" s="7"/>
      <c r="Q42" s="14" t="s">
        <v>46</v>
      </c>
      <c r="R42" s="27">
        <f t="shared" si="27"/>
        <v>5.2788475489812745</v>
      </c>
      <c r="S42" s="27">
        <f t="shared" si="28"/>
        <v>6.3674681205630188</v>
      </c>
      <c r="T42" s="27">
        <f t="shared" si="29"/>
        <v>5.0340002135376976</v>
      </c>
      <c r="U42" s="8">
        <f t="shared" si="19"/>
        <v>0.20622315031466085</v>
      </c>
      <c r="V42" s="8">
        <f t="shared" si="19"/>
        <v>-0.20941885876413535</v>
      </c>
      <c r="W42" s="7"/>
    </row>
    <row r="43" spans="1:23" s="21" customFormat="1" x14ac:dyDescent="0.35">
      <c r="A43" s="14" t="s">
        <v>47</v>
      </c>
      <c r="B43" s="27">
        <f t="shared" si="21"/>
        <v>16.59677419202626</v>
      </c>
      <c r="C43" s="27">
        <f t="shared" si="22"/>
        <v>15.044203239758332</v>
      </c>
      <c r="D43" s="27">
        <f t="shared" si="23"/>
        <v>19.229884513634861</v>
      </c>
      <c r="E43" s="8">
        <f t="shared" si="20"/>
        <v>-9.3546549124819911E-2</v>
      </c>
      <c r="F43" s="8">
        <f t="shared" si="20"/>
        <v>0.27822552029972225</v>
      </c>
      <c r="G43" s="7"/>
      <c r="I43" s="14" t="s">
        <v>47</v>
      </c>
      <c r="J43" s="27">
        <f t="shared" si="24"/>
        <v>18.825201724072141</v>
      </c>
      <c r="K43" s="27">
        <f t="shared" si="25"/>
        <v>16.583253626730126</v>
      </c>
      <c r="L43" s="27">
        <f t="shared" si="26"/>
        <v>20.352720818968951</v>
      </c>
      <c r="M43" s="8">
        <f t="shared" si="17"/>
        <v>-0.11909291226745225</v>
      </c>
      <c r="N43" s="8">
        <f t="shared" si="18"/>
        <v>0.22730564683416021</v>
      </c>
      <c r="O43" s="7"/>
      <c r="Q43" s="14" t="s">
        <v>47</v>
      </c>
      <c r="R43" s="27">
        <f t="shared" si="27"/>
        <v>0.56217144369613437</v>
      </c>
      <c r="S43" s="27">
        <f t="shared" si="28"/>
        <v>5.9294773173628945</v>
      </c>
      <c r="T43" s="27">
        <f t="shared" si="29"/>
        <v>12.442669028433137</v>
      </c>
      <c r="U43" s="8">
        <f t="shared" si="19"/>
        <v>9.5474537774065649</v>
      </c>
      <c r="V43" s="8">
        <f t="shared" si="19"/>
        <v>1.0984428074289274</v>
      </c>
      <c r="W43" s="7"/>
    </row>
    <row r="44" spans="1:23" s="21" customFormat="1" x14ac:dyDescent="0.35">
      <c r="A44" s="14" t="s">
        <v>48</v>
      </c>
      <c r="B44" s="27">
        <f t="shared" si="21"/>
        <v>29.27484042061532</v>
      </c>
      <c r="C44" s="27">
        <f t="shared" si="22"/>
        <v>22.517558339516153</v>
      </c>
      <c r="D44" s="27">
        <f t="shared" si="23"/>
        <v>26.883567395305761</v>
      </c>
      <c r="E44" s="8">
        <f t="shared" si="20"/>
        <v>-0.23082216620182475</v>
      </c>
      <c r="F44" s="8">
        <f t="shared" si="20"/>
        <v>0.19389353809856377</v>
      </c>
      <c r="G44" s="7"/>
      <c r="I44" s="14" t="s">
        <v>48</v>
      </c>
      <c r="J44" s="27">
        <f t="shared" si="24"/>
        <v>33.283910611903011</v>
      </c>
      <c r="K44" s="27">
        <f t="shared" si="25"/>
        <v>26.203249180833918</v>
      </c>
      <c r="L44" s="27">
        <f t="shared" si="26"/>
        <v>31.140779252511805</v>
      </c>
      <c r="M44" s="8">
        <f t="shared" si="17"/>
        <v>-0.21273526159924558</v>
      </c>
      <c r="N44" s="8">
        <f t="shared" si="18"/>
        <v>0.1884319779430022</v>
      </c>
      <c r="O44" s="7"/>
      <c r="Q44" s="14" t="s">
        <v>48</v>
      </c>
      <c r="R44" s="27">
        <f t="shared" si="27"/>
        <v>0.42766141971144467</v>
      </c>
      <c r="S44" s="27">
        <f t="shared" si="28"/>
        <v>0.6897727532407617</v>
      </c>
      <c r="T44" s="27">
        <f t="shared" si="29"/>
        <v>1.1499728332596826</v>
      </c>
      <c r="U44" s="8">
        <f t="shared" si="19"/>
        <v>0.61289450356819897</v>
      </c>
      <c r="V44" s="8">
        <f t="shared" si="19"/>
        <v>0.66717636766132216</v>
      </c>
      <c r="W44" s="7"/>
    </row>
    <row r="45" spans="1:23" s="21" customFormat="1" x14ac:dyDescent="0.35">
      <c r="A45" s="14" t="s">
        <v>49</v>
      </c>
      <c r="B45" s="27">
        <f t="shared" si="21"/>
        <v>0</v>
      </c>
      <c r="C45" s="27">
        <f t="shared" si="22"/>
        <v>0</v>
      </c>
      <c r="D45" s="27">
        <f t="shared" si="23"/>
        <v>0</v>
      </c>
      <c r="E45" s="8" t="str">
        <f t="shared" si="20"/>
        <v/>
      </c>
      <c r="F45" s="8" t="str">
        <f t="shared" si="20"/>
        <v/>
      </c>
      <c r="G45" s="7"/>
      <c r="I45" s="14" t="s">
        <v>49</v>
      </c>
      <c r="J45" s="27">
        <f t="shared" si="24"/>
        <v>0</v>
      </c>
      <c r="K45" s="27">
        <f t="shared" si="25"/>
        <v>0</v>
      </c>
      <c r="L45" s="27">
        <f t="shared" si="26"/>
        <v>0</v>
      </c>
      <c r="M45" s="8" t="str">
        <f t="shared" si="17"/>
        <v/>
      </c>
      <c r="N45" s="8" t="str">
        <f t="shared" si="18"/>
        <v/>
      </c>
      <c r="O45" s="7"/>
      <c r="Q45" s="14" t="s">
        <v>49</v>
      </c>
      <c r="R45" s="27">
        <f t="shared" si="27"/>
        <v>0</v>
      </c>
      <c r="S45" s="27">
        <f t="shared" si="28"/>
        <v>0</v>
      </c>
      <c r="T45" s="27">
        <f t="shared" si="29"/>
        <v>0</v>
      </c>
      <c r="U45" s="8" t="str">
        <f t="shared" si="19"/>
        <v/>
      </c>
      <c r="V45" s="8" t="str">
        <f t="shared" si="19"/>
        <v/>
      </c>
      <c r="W45" s="7"/>
    </row>
    <row r="46" spans="1:23" s="21" customFormat="1" x14ac:dyDescent="0.35">
      <c r="A46" s="14" t="s">
        <v>50</v>
      </c>
      <c r="B46" s="27">
        <f t="shared" si="21"/>
        <v>-41.09670217267584</v>
      </c>
      <c r="C46" s="27">
        <f t="shared" si="22"/>
        <v>-52.366498777779725</v>
      </c>
      <c r="D46" s="27">
        <f t="shared" si="23"/>
        <v>-53.802622313492066</v>
      </c>
      <c r="E46" s="8">
        <f t="shared" si="20"/>
        <v>0.27422630063482045</v>
      </c>
      <c r="F46" s="8">
        <f t="shared" si="20"/>
        <v>2.7424471164410172E-2</v>
      </c>
      <c r="G46" s="7"/>
      <c r="I46" s="14" t="s">
        <v>50</v>
      </c>
      <c r="J46" s="27">
        <f t="shared" si="24"/>
        <v>-20.883203343188921</v>
      </c>
      <c r="K46" s="27">
        <f t="shared" si="25"/>
        <v>-33.189407970191141</v>
      </c>
      <c r="L46" s="27">
        <f t="shared" si="26"/>
        <v>-29.60289521178268</v>
      </c>
      <c r="M46" s="8">
        <f t="shared" si="17"/>
        <v>0.58928720966632264</v>
      </c>
      <c r="N46" s="8">
        <f t="shared" si="18"/>
        <v>-0.10806196849397448</v>
      </c>
      <c r="O46" s="7"/>
      <c r="Q46" s="14" t="s">
        <v>50</v>
      </c>
      <c r="R46" s="27">
        <f t="shared" si="27"/>
        <v>-186.54250160914839</v>
      </c>
      <c r="S46" s="27">
        <f t="shared" si="28"/>
        <v>-165.93908105299693</v>
      </c>
      <c r="T46" s="27">
        <f t="shared" si="29"/>
        <v>-200.0828607971481</v>
      </c>
      <c r="U46" s="8">
        <f t="shared" si="19"/>
        <v>-0.11044893457749702</v>
      </c>
      <c r="V46" s="8">
        <f t="shared" si="19"/>
        <v>0.20576093062276557</v>
      </c>
      <c r="W46" s="7"/>
    </row>
    <row r="47" spans="1:23" s="21" customFormat="1" x14ac:dyDescent="0.35">
      <c r="A47" s="14" t="s">
        <v>51</v>
      </c>
      <c r="B47" s="27">
        <f t="shared" si="21"/>
        <v>748.77325435807882</v>
      </c>
      <c r="C47" s="27">
        <f t="shared" si="22"/>
        <v>769.09754654864878</v>
      </c>
      <c r="D47" s="27">
        <f t="shared" si="23"/>
        <v>808.75447829372797</v>
      </c>
      <c r="E47" s="8">
        <f t="shared" si="20"/>
        <v>2.7143453738867746E-2</v>
      </c>
      <c r="F47" s="8">
        <f t="shared" si="20"/>
        <v>5.1562941427964519E-2</v>
      </c>
      <c r="G47" s="7"/>
      <c r="I47" s="14" t="s">
        <v>51</v>
      </c>
      <c r="J47" s="27">
        <f>J24/($J$8/12)</f>
        <v>851.86467077988652</v>
      </c>
      <c r="K47" s="27">
        <f t="shared" si="25"/>
        <v>897.77992545600785</v>
      </c>
      <c r="L47" s="27">
        <f t="shared" si="26"/>
        <v>939.65075632899118</v>
      </c>
      <c r="M47" s="8">
        <f t="shared" si="17"/>
        <v>5.38997052596226E-2</v>
      </c>
      <c r="N47" s="8">
        <f t="shared" si="18"/>
        <v>4.6638190146338986E-2</v>
      </c>
      <c r="O47" s="7"/>
      <c r="Q47" s="14" t="s">
        <v>51</v>
      </c>
      <c r="R47" s="27">
        <f t="shared" si="27"/>
        <v>6.9811676444731665</v>
      </c>
      <c r="S47" s="27">
        <f t="shared" si="28"/>
        <v>7.0012404685064578</v>
      </c>
      <c r="T47" s="27">
        <f t="shared" si="29"/>
        <v>17.524945533058304</v>
      </c>
      <c r="U47" s="8">
        <f t="shared" si="19"/>
        <v>2.8752817659639576E-3</v>
      </c>
      <c r="V47" s="8">
        <f t="shared" si="19"/>
        <v>1.5031200702061902</v>
      </c>
      <c r="W47" s="7"/>
    </row>
    <row r="48" spans="1:23" s="21" customFormat="1" x14ac:dyDescent="0.35">
      <c r="A48" s="42" t="s">
        <v>58</v>
      </c>
      <c r="B48" s="56">
        <f t="shared" si="21"/>
        <v>4862.0391440347694</v>
      </c>
      <c r="C48" s="56">
        <f t="shared" si="22"/>
        <v>5123.2488676313706</v>
      </c>
      <c r="D48" s="56">
        <f t="shared" si="23"/>
        <v>5002.3185091774494</v>
      </c>
      <c r="E48" s="45">
        <f t="shared" si="20"/>
        <v>5.372431522215923E-2</v>
      </c>
      <c r="F48" s="45">
        <f t="shared" si="20"/>
        <v>-2.3604232700456501E-2</v>
      </c>
      <c r="G48" s="43"/>
      <c r="I48" s="42" t="s">
        <v>58</v>
      </c>
      <c r="J48" s="44">
        <f>SUM(J32:J38) + J39 +J41</f>
        <v>4694.4286683490018</v>
      </c>
      <c r="K48" s="44">
        <f t="shared" ref="K48:L48" si="30">SUM(K32:K38) + K39 +K41</f>
        <v>4906.9973704538161</v>
      </c>
      <c r="L48" s="44">
        <f t="shared" si="30"/>
        <v>4807.2178800223519</v>
      </c>
      <c r="M48" s="45">
        <f t="shared" si="17"/>
        <v>4.5281059128239612E-2</v>
      </c>
      <c r="N48" s="45">
        <f t="shared" si="18"/>
        <v>-2.03341234768659E-2</v>
      </c>
      <c r="O48" s="43"/>
      <c r="Q48" s="42" t="s">
        <v>58</v>
      </c>
      <c r="R48" s="56">
        <f t="shared" si="27"/>
        <v>6068.0767447336384</v>
      </c>
      <c r="S48" s="56">
        <f t="shared" si="28"/>
        <v>7404.9958794197355</v>
      </c>
      <c r="T48" s="56">
        <f t="shared" si="29"/>
        <v>7274.4518877918708</v>
      </c>
      <c r="U48" s="45">
        <f t="shared" si="19"/>
        <v>0.22032007684253208</v>
      </c>
      <c r="V48" s="45">
        <f t="shared" si="19"/>
        <v>-1.7629178159393421E-2</v>
      </c>
      <c r="W48" s="42"/>
    </row>
    <row r="49" spans="1:23" s="21" customFormat="1" x14ac:dyDescent="0.35">
      <c r="A49" s="42" t="s">
        <v>59</v>
      </c>
      <c r="B49" s="56">
        <f t="shared" si="21"/>
        <v>4726.1072273976151</v>
      </c>
      <c r="C49" s="56">
        <f t="shared" si="22"/>
        <v>4974.7445035528845</v>
      </c>
      <c r="D49" s="56">
        <f t="shared" si="23"/>
        <v>4835.7225358638279</v>
      </c>
      <c r="E49" s="45">
        <f t="shared" si="20"/>
        <v>5.2609317603692841E-2</v>
      </c>
      <c r="F49" s="45">
        <f t="shared" si="20"/>
        <v>-2.7945549281931808E-2</v>
      </c>
      <c r="G49" s="43"/>
      <c r="I49" s="42" t="s">
        <v>59</v>
      </c>
      <c r="J49" s="44">
        <f>SUM(J32:J38) + J40 +J41</f>
        <v>4540.1758519928771</v>
      </c>
      <c r="K49" s="44">
        <f t="shared" ref="K49:L49" si="31">SUM(K32:K38) + K40 +K41</f>
        <v>4734.8636011273938</v>
      </c>
      <c r="L49" s="44">
        <f t="shared" si="31"/>
        <v>4614.5161341586218</v>
      </c>
      <c r="M49" s="45">
        <f t="shared" si="17"/>
        <v>4.2881103173362752E-2</v>
      </c>
      <c r="N49" s="45">
        <f t="shared" si="18"/>
        <v>-2.5417303877585149E-2</v>
      </c>
      <c r="O49" s="43"/>
      <c r="Q49" s="42" t="s">
        <v>59</v>
      </c>
      <c r="R49" s="56">
        <f t="shared" si="27"/>
        <v>6063.9724710245864</v>
      </c>
      <c r="S49" s="56">
        <f t="shared" si="28"/>
        <v>6395.3923901547241</v>
      </c>
      <c r="T49" s="56">
        <f t="shared" si="29"/>
        <v>6172.8502257567989</v>
      </c>
      <c r="U49" s="45">
        <f t="shared" si="19"/>
        <v>5.4653928709894037E-2</v>
      </c>
      <c r="V49" s="45">
        <f t="shared" si="19"/>
        <v>-3.479726509674589E-2</v>
      </c>
      <c r="W49" s="42"/>
    </row>
    <row r="50" spans="1:23" s="21" customFormat="1" x14ac:dyDescent="0.35">
      <c r="A50" s="42" t="s">
        <v>54</v>
      </c>
      <c r="B50" s="56">
        <f t="shared" si="21"/>
        <v>790.95371810447864</v>
      </c>
      <c r="C50" s="56">
        <f t="shared" si="22"/>
        <v>788.32686070696002</v>
      </c>
      <c r="D50" s="56">
        <f t="shared" si="23"/>
        <v>834.30620981036031</v>
      </c>
      <c r="E50" s="45">
        <f t="shared" si="20"/>
        <v>-3.3211265556901183E-3</v>
      </c>
      <c r="F50" s="45">
        <f t="shared" si="20"/>
        <v>5.8325234614188697E-2</v>
      </c>
      <c r="G50" s="43"/>
      <c r="I50" s="42" t="s">
        <v>54</v>
      </c>
      <c r="J50" s="44">
        <f>SUM(J42:J47)</f>
        <v>924.96097703074383</v>
      </c>
      <c r="K50" s="44">
        <f t="shared" ref="K50:L50" si="32">SUM(K42:K47)</f>
        <v>946.08266199734328</v>
      </c>
      <c r="L50" s="44">
        <f t="shared" si="32"/>
        <v>999.44864409739125</v>
      </c>
      <c r="M50" s="45">
        <f t="shared" si="17"/>
        <v>2.2835217367118618E-2</v>
      </c>
      <c r="N50" s="45">
        <f t="shared" si="18"/>
        <v>5.6407314332748898E-2</v>
      </c>
      <c r="O50" s="43"/>
      <c r="Q50" s="42" t="s">
        <v>54</v>
      </c>
      <c r="R50" s="56">
        <f t="shared" si="27"/>
        <v>-173.2926535522864</v>
      </c>
      <c r="S50" s="56">
        <f t="shared" si="28"/>
        <v>-145.95112239332377</v>
      </c>
      <c r="T50" s="56">
        <f t="shared" si="29"/>
        <v>-163.93127318885928</v>
      </c>
      <c r="U50" s="45">
        <f t="shared" si="19"/>
        <v>-0.15777663160263775</v>
      </c>
      <c r="V50" s="45">
        <f t="shared" si="19"/>
        <v>0.12319296008619096</v>
      </c>
      <c r="W50" s="42"/>
    </row>
    <row r="52" spans="1:23" x14ac:dyDescent="0.35">
      <c r="B52" s="12"/>
      <c r="C52" s="12"/>
      <c r="D52" s="12"/>
    </row>
    <row r="53" spans="1:23" x14ac:dyDescent="0.35">
      <c r="B53" s="12"/>
      <c r="C53" s="12"/>
      <c r="D53" s="12"/>
    </row>
  </sheetData>
  <mergeCells count="24">
    <mergeCell ref="R6:T6"/>
    <mergeCell ref="U6:V6"/>
    <mergeCell ref="W6:W7"/>
    <mergeCell ref="J6:L6"/>
    <mergeCell ref="M6:N6"/>
    <mergeCell ref="O6:O7"/>
    <mergeCell ref="Q6:Q7"/>
    <mergeCell ref="I6:I7"/>
    <mergeCell ref="A6:A7"/>
    <mergeCell ref="B6:D6"/>
    <mergeCell ref="E6:F6"/>
    <mergeCell ref="G6:G7"/>
    <mergeCell ref="A30:A31"/>
    <mergeCell ref="B30:D30"/>
    <mergeCell ref="E30:F30"/>
    <mergeCell ref="G30:G31"/>
    <mergeCell ref="I30:I31"/>
    <mergeCell ref="U30:V30"/>
    <mergeCell ref="W30:W31"/>
    <mergeCell ref="J30:L30"/>
    <mergeCell ref="M30:N30"/>
    <mergeCell ref="O30:O31"/>
    <mergeCell ref="Q30:Q31"/>
    <mergeCell ref="R30:T3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3E313-7037-4D05-A508-2F74136D8B1F}">
  <sheetPr>
    <tabColor theme="5"/>
  </sheetPr>
  <dimension ref="A1:O53"/>
  <sheetViews>
    <sheetView topLeftCell="A29" zoomScale="85" zoomScaleNormal="85" workbookViewId="0">
      <selection activeCell="D22" sqref="D22"/>
    </sheetView>
  </sheetViews>
  <sheetFormatPr defaultRowHeight="14.5" x14ac:dyDescent="0.35"/>
  <cols>
    <col min="1" max="1" width="37.81640625" style="21" customWidth="1"/>
    <col min="2" max="2" width="19.81640625" style="21" customWidth="1"/>
    <col min="3" max="4" width="20" style="21" bestFit="1" customWidth="1"/>
    <col min="5" max="6" width="16.453125" style="21" customWidth="1"/>
    <col min="7" max="7" width="17.81640625" style="21" customWidth="1"/>
    <col min="8" max="8" width="9.1796875" style="21"/>
    <col min="9" max="9" width="37.1796875" style="21" customWidth="1"/>
    <col min="10" max="12" width="19.81640625" style="21" customWidth="1"/>
    <col min="13" max="14" width="16.453125" style="21" customWidth="1"/>
    <col min="15" max="15" width="17.81640625" style="21" customWidth="1"/>
  </cols>
  <sheetData>
    <row r="1" spans="1:15" s="21" customFormat="1" ht="18.5" x14ac:dyDescent="0.45">
      <c r="A1" s="2" t="s">
        <v>105</v>
      </c>
      <c r="B1" s="2"/>
      <c r="C1" s="2"/>
      <c r="D1" s="2"/>
      <c r="E1" s="2"/>
      <c r="F1" s="2"/>
    </row>
    <row r="2" spans="1:15" s="21" customFormat="1" ht="15.5" x14ac:dyDescent="0.35">
      <c r="A2" s="3" t="s">
        <v>146</v>
      </c>
      <c r="B2" s="4"/>
      <c r="C2" s="4"/>
      <c r="D2" s="4"/>
      <c r="E2" s="4"/>
      <c r="F2" s="4"/>
      <c r="I2" s="11"/>
    </row>
    <row r="3" spans="1:15" s="21" customFormat="1" ht="15.75" customHeight="1" x14ac:dyDescent="0.35">
      <c r="A3" s="5" t="s">
        <v>136</v>
      </c>
      <c r="B3" s="6"/>
      <c r="C3" s="6"/>
      <c r="D3" s="6"/>
      <c r="E3" s="6"/>
      <c r="F3" s="6"/>
      <c r="I3" s="11"/>
      <c r="N3" s="11"/>
    </row>
    <row r="4" spans="1:15" s="21" customFormat="1" ht="15.75" customHeight="1" x14ac:dyDescent="0.35">
      <c r="A4" s="5"/>
      <c r="B4" s="6"/>
      <c r="C4" s="6"/>
      <c r="D4" s="6"/>
      <c r="E4" s="6"/>
      <c r="F4" s="6"/>
      <c r="I4" s="11"/>
      <c r="N4" s="11"/>
    </row>
    <row r="5" spans="1:15" s="21" customFormat="1" x14ac:dyDescent="0.35">
      <c r="A5" s="38" t="s">
        <v>147</v>
      </c>
      <c r="I5" s="38" t="s">
        <v>96</v>
      </c>
    </row>
    <row r="6" spans="1:15" s="21" customFormat="1" x14ac:dyDescent="0.35">
      <c r="A6" s="114" t="s">
        <v>7</v>
      </c>
      <c r="B6" s="114" t="s">
        <v>1</v>
      </c>
      <c r="C6" s="114"/>
      <c r="D6" s="114"/>
      <c r="E6" s="115" t="s">
        <v>2</v>
      </c>
      <c r="F6" s="117"/>
      <c r="G6" s="118" t="s">
        <v>28</v>
      </c>
      <c r="I6" s="114" t="s">
        <v>7</v>
      </c>
      <c r="J6" s="114" t="s">
        <v>1</v>
      </c>
      <c r="K6" s="114"/>
      <c r="L6" s="114"/>
      <c r="M6" s="115" t="s">
        <v>2</v>
      </c>
      <c r="N6" s="117"/>
      <c r="O6" s="118" t="s">
        <v>28</v>
      </c>
    </row>
    <row r="7" spans="1:15" s="21" customFormat="1" x14ac:dyDescent="0.35">
      <c r="A7" s="114"/>
      <c r="B7" s="23">
        <v>2018</v>
      </c>
      <c r="C7" s="23">
        <v>2019</v>
      </c>
      <c r="D7" s="23">
        <v>2020</v>
      </c>
      <c r="E7" s="23" t="s">
        <v>15</v>
      </c>
      <c r="F7" s="23" t="s">
        <v>16</v>
      </c>
      <c r="G7" s="119"/>
      <c r="I7" s="114"/>
      <c r="J7" s="71">
        <v>2018</v>
      </c>
      <c r="K7" s="71">
        <v>2019</v>
      </c>
      <c r="L7" s="71">
        <v>2020</v>
      </c>
      <c r="M7" s="71" t="s">
        <v>15</v>
      </c>
      <c r="N7" s="71" t="s">
        <v>16</v>
      </c>
      <c r="O7" s="119"/>
    </row>
    <row r="8" spans="1:15" s="21" customFormat="1" x14ac:dyDescent="0.35">
      <c r="A8" s="47" t="s">
        <v>63</v>
      </c>
      <c r="B8" s="61">
        <v>10149264</v>
      </c>
      <c r="C8" s="61">
        <v>10243887</v>
      </c>
      <c r="D8" s="61">
        <v>12414907</v>
      </c>
      <c r="E8" s="50">
        <f>IFERROR((C8-B8)/B8, "")</f>
        <v>9.3231390965886791E-3</v>
      </c>
      <c r="F8" s="50">
        <f>IFERROR((D8-C8)/C8, "")</f>
        <v>0.21193322417554977</v>
      </c>
      <c r="G8" s="7"/>
      <c r="I8" s="47" t="s">
        <v>63</v>
      </c>
      <c r="J8" s="61">
        <v>917734</v>
      </c>
      <c r="K8" s="61">
        <v>788661</v>
      </c>
      <c r="L8" s="61">
        <v>787791</v>
      </c>
      <c r="M8" s="50">
        <f t="shared" ref="M8:M27" si="0">IFERROR((K8-J8)/J8, "")</f>
        <v>-0.14064314932213473</v>
      </c>
      <c r="N8" s="50">
        <f t="shared" ref="N8:N27" si="1">IFERROR((L8-K8)/K8, "")</f>
        <v>-1.1031355677534455E-3</v>
      </c>
      <c r="O8" s="51"/>
    </row>
    <row r="9" spans="1:15" s="21" customFormat="1" x14ac:dyDescent="0.35">
      <c r="A9" s="7" t="s">
        <v>31</v>
      </c>
      <c r="B9" s="27">
        <v>838266346.19000006</v>
      </c>
      <c r="C9" s="27">
        <v>837318686.36000001</v>
      </c>
      <c r="D9" s="27">
        <v>970751202.42999995</v>
      </c>
      <c r="E9" s="8">
        <f>IFERROR((C9-B9)/B9, "")</f>
        <v>-1.13049967269621E-3</v>
      </c>
      <c r="F9" s="8">
        <f>IFERROR((D9-C9)/C9, "")</f>
        <v>0.15935690704582156</v>
      </c>
      <c r="G9" s="7"/>
      <c r="I9" s="7" t="s">
        <v>31</v>
      </c>
      <c r="J9" s="27">
        <v>27913866.600000001</v>
      </c>
      <c r="K9" s="27">
        <v>27731928.419999998</v>
      </c>
      <c r="L9" s="27">
        <v>21012698.649999999</v>
      </c>
      <c r="M9" s="8">
        <f t="shared" si="0"/>
        <v>-6.5178422827313872E-3</v>
      </c>
      <c r="N9" s="8">
        <f t="shared" si="1"/>
        <v>-0.24229219361298207</v>
      </c>
      <c r="O9" s="7"/>
    </row>
    <row r="10" spans="1:15" s="21" customFormat="1" x14ac:dyDescent="0.35">
      <c r="A10" s="7" t="s">
        <v>32</v>
      </c>
      <c r="B10" s="27">
        <v>648712823.31000006</v>
      </c>
      <c r="C10" s="27">
        <v>695447552.26000011</v>
      </c>
      <c r="D10" s="27">
        <v>752823924.78000009</v>
      </c>
      <c r="E10" s="8">
        <f t="shared" ref="E10:F26" si="2">IFERROR((C10-B10)/B10, "")</f>
        <v>7.2042246230836327E-2</v>
      </c>
      <c r="F10" s="8">
        <f t="shared" si="2"/>
        <v>8.2502803171200526E-2</v>
      </c>
      <c r="G10" s="7"/>
      <c r="I10" s="7" t="s">
        <v>32</v>
      </c>
      <c r="J10" s="27">
        <v>41967609.329999991</v>
      </c>
      <c r="K10" s="27">
        <v>34190807.450000003</v>
      </c>
      <c r="L10" s="27">
        <v>29796314.890000004</v>
      </c>
      <c r="M10" s="8">
        <f t="shared" si="0"/>
        <v>-0.18530485782140665</v>
      </c>
      <c r="N10" s="8">
        <f t="shared" si="1"/>
        <v>-0.12852848141789053</v>
      </c>
      <c r="O10" s="7"/>
    </row>
    <row r="11" spans="1:15" s="21" customFormat="1" x14ac:dyDescent="0.35">
      <c r="A11" s="7" t="s">
        <v>33</v>
      </c>
      <c r="B11" s="27">
        <v>250923178.24000001</v>
      </c>
      <c r="C11" s="27">
        <v>258797305.00000003</v>
      </c>
      <c r="D11" s="27">
        <v>252551488.13</v>
      </c>
      <c r="E11" s="8">
        <f>IFERROR((C11-B11)/B11, "")</f>
        <v>3.1380627390542093E-2</v>
      </c>
      <c r="F11" s="8">
        <f t="shared" si="2"/>
        <v>-2.4134010475882019E-2</v>
      </c>
      <c r="G11" s="7"/>
      <c r="I11" s="7" t="s">
        <v>33</v>
      </c>
      <c r="J11" s="27">
        <v>7334590.7799999993</v>
      </c>
      <c r="K11" s="27">
        <v>4887836.3299999991</v>
      </c>
      <c r="L11" s="27">
        <v>3476182.3900000025</v>
      </c>
      <c r="M11" s="8">
        <f t="shared" si="0"/>
        <v>-0.33359113321929601</v>
      </c>
      <c r="N11" s="8">
        <f t="shared" si="1"/>
        <v>-0.2888095764041258</v>
      </c>
      <c r="O11" s="7"/>
    </row>
    <row r="12" spans="1:15" s="21" customFormat="1" x14ac:dyDescent="0.35">
      <c r="A12" s="7" t="s">
        <v>34</v>
      </c>
      <c r="B12" s="27">
        <v>308566069.26000005</v>
      </c>
      <c r="C12" s="27">
        <v>327882514.64999998</v>
      </c>
      <c r="D12" s="27">
        <v>378859667.46000004</v>
      </c>
      <c r="E12" s="8">
        <f t="shared" si="2"/>
        <v>6.2600678798950329E-2</v>
      </c>
      <c r="F12" s="8">
        <f t="shared" si="2"/>
        <v>0.15547383752505348</v>
      </c>
      <c r="G12" s="7"/>
      <c r="I12" s="7" t="s">
        <v>34</v>
      </c>
      <c r="J12" s="27">
        <v>6283599.5600000005</v>
      </c>
      <c r="K12" s="27">
        <v>5363363.8399999999</v>
      </c>
      <c r="L12" s="27">
        <v>9768730.9299999997</v>
      </c>
      <c r="M12" s="8">
        <f t="shared" si="0"/>
        <v>-0.14645040811607679</v>
      </c>
      <c r="N12" s="8">
        <f t="shared" si="1"/>
        <v>0.82138136091844927</v>
      </c>
      <c r="O12" s="7"/>
    </row>
    <row r="13" spans="1:15" s="21" customFormat="1" x14ac:dyDescent="0.35">
      <c r="A13" s="7" t="s">
        <v>35</v>
      </c>
      <c r="B13" s="27">
        <v>397117202.5</v>
      </c>
      <c r="C13" s="27">
        <v>440565584.19999999</v>
      </c>
      <c r="D13" s="27">
        <v>507538240.48000002</v>
      </c>
      <c r="E13" s="8">
        <f t="shared" si="2"/>
        <v>0.10940946759917808</v>
      </c>
      <c r="F13" s="8">
        <f t="shared" si="2"/>
        <v>0.15201517931005024</v>
      </c>
      <c r="G13" s="7"/>
      <c r="I13" s="7" t="s">
        <v>35</v>
      </c>
      <c r="J13" s="28">
        <v>54890067.359999992</v>
      </c>
      <c r="K13" s="28">
        <v>53398021.82</v>
      </c>
      <c r="L13" s="28">
        <v>29096550.079999991</v>
      </c>
      <c r="M13" s="8">
        <f t="shared" si="0"/>
        <v>-2.7182432300808017E-2</v>
      </c>
      <c r="N13" s="8">
        <f t="shared" si="1"/>
        <v>-0.4551005994551281</v>
      </c>
      <c r="O13" s="7"/>
    </row>
    <row r="14" spans="1:15" s="21" customFormat="1" x14ac:dyDescent="0.35">
      <c r="A14" s="7" t="s">
        <v>36</v>
      </c>
      <c r="B14" s="27">
        <v>312178737.79000002</v>
      </c>
      <c r="C14" s="27">
        <v>329600585.03000003</v>
      </c>
      <c r="D14" s="27">
        <v>339673540.85000002</v>
      </c>
      <c r="E14" s="8">
        <f t="shared" si="2"/>
        <v>5.5807283235668463E-2</v>
      </c>
      <c r="F14" s="8">
        <f t="shared" si="2"/>
        <v>3.0561098121482881E-2</v>
      </c>
      <c r="G14" s="7"/>
      <c r="I14" s="7" t="s">
        <v>36</v>
      </c>
      <c r="J14" s="29">
        <v>20726576.730000008</v>
      </c>
      <c r="K14" s="29">
        <v>16290859.780000003</v>
      </c>
      <c r="L14" s="29">
        <v>12583145.479999997</v>
      </c>
      <c r="M14" s="8">
        <f t="shared" si="0"/>
        <v>-0.21401107417703333</v>
      </c>
      <c r="N14" s="8">
        <f t="shared" si="1"/>
        <v>-0.22759475866043</v>
      </c>
      <c r="O14" s="7"/>
    </row>
    <row r="15" spans="1:15" s="21" customFormat="1" x14ac:dyDescent="0.35">
      <c r="A15" s="7" t="s">
        <v>37</v>
      </c>
      <c r="B15" s="27">
        <v>327583487.01999998</v>
      </c>
      <c r="C15" s="27">
        <v>319624898.48000002</v>
      </c>
      <c r="D15" s="27">
        <v>160617647.69999999</v>
      </c>
      <c r="E15" s="8">
        <f t="shared" si="2"/>
        <v>-2.4294840415793197E-2</v>
      </c>
      <c r="F15" s="8">
        <f t="shared" si="2"/>
        <v>-0.49748080182792653</v>
      </c>
      <c r="G15" s="7"/>
      <c r="I15" s="7" t="s">
        <v>37</v>
      </c>
      <c r="J15" s="29">
        <v>277420346.41999996</v>
      </c>
      <c r="K15" s="29">
        <v>265970529.63</v>
      </c>
      <c r="L15" s="29">
        <v>111412871.76999998</v>
      </c>
      <c r="M15" s="8">
        <f t="shared" si="0"/>
        <v>-4.1272447885511383E-2</v>
      </c>
      <c r="N15" s="8">
        <f t="shared" si="1"/>
        <v>-0.58110820802218222</v>
      </c>
      <c r="O15" s="7"/>
    </row>
    <row r="16" spans="1:15" s="21" customFormat="1" x14ac:dyDescent="0.35">
      <c r="A16" s="14" t="s">
        <v>56</v>
      </c>
      <c r="B16" s="27">
        <v>604791911.88</v>
      </c>
      <c r="C16" s="27">
        <v>645359289.48000002</v>
      </c>
      <c r="D16" s="27">
        <v>764637589.25</v>
      </c>
      <c r="E16" s="8">
        <f t="shared" si="2"/>
        <v>6.7076587505768781E-2</v>
      </c>
      <c r="F16" s="8">
        <f t="shared" si="2"/>
        <v>0.18482464220218908</v>
      </c>
      <c r="G16" s="7"/>
      <c r="I16" s="14" t="s">
        <v>56</v>
      </c>
      <c r="J16" s="29">
        <v>16816197.850000001</v>
      </c>
      <c r="K16" s="29">
        <v>12033671.830000002</v>
      </c>
      <c r="L16" s="29">
        <v>16953627.959999997</v>
      </c>
      <c r="M16" s="8">
        <f t="shared" si="0"/>
        <v>-0.28439996143361262</v>
      </c>
      <c r="N16" s="8">
        <f t="shared" si="1"/>
        <v>0.40884911932985579</v>
      </c>
      <c r="O16" s="7"/>
    </row>
    <row r="17" spans="1:15" s="21" customFormat="1" x14ac:dyDescent="0.35">
      <c r="A17" s="14" t="s">
        <v>57</v>
      </c>
      <c r="B17" s="27">
        <v>171629502.85000002</v>
      </c>
      <c r="C17" s="27">
        <v>219135319.99000001</v>
      </c>
      <c r="D17" s="27">
        <v>306673498.60000002</v>
      </c>
      <c r="E17" s="8">
        <f t="shared" si="2"/>
        <v>0.2767928377763752</v>
      </c>
      <c r="F17" s="8">
        <f t="shared" si="2"/>
        <v>0.39947087769326606</v>
      </c>
      <c r="G17" s="69" t="s">
        <v>148</v>
      </c>
      <c r="I17" s="14" t="s">
        <v>57</v>
      </c>
      <c r="J17" s="29">
        <v>16816197.850000001</v>
      </c>
      <c r="K17" s="29">
        <v>12033671.830000002</v>
      </c>
      <c r="L17" s="29">
        <v>16953627.959999997</v>
      </c>
      <c r="M17" s="8">
        <f t="shared" si="0"/>
        <v>-0.28439996143361262</v>
      </c>
      <c r="N17" s="8">
        <f t="shared" si="1"/>
        <v>0.40884911932985579</v>
      </c>
      <c r="O17" s="69" t="s">
        <v>60</v>
      </c>
    </row>
    <row r="18" spans="1:15" s="21" customFormat="1" x14ac:dyDescent="0.35">
      <c r="A18" s="14" t="s">
        <v>38</v>
      </c>
      <c r="B18" s="27">
        <v>340842626.38999999</v>
      </c>
      <c r="C18" s="27">
        <v>355171287.85000002</v>
      </c>
      <c r="D18" s="27">
        <v>415003007.24999994</v>
      </c>
      <c r="E18" s="8">
        <f t="shared" si="2"/>
        <v>4.2038936302541144E-2</v>
      </c>
      <c r="F18" s="8">
        <f t="shared" si="2"/>
        <v>0.16845877312376875</v>
      </c>
      <c r="G18" s="7"/>
      <c r="I18" s="14" t="s">
        <v>38</v>
      </c>
      <c r="J18" s="29">
        <v>99057819.040000007</v>
      </c>
      <c r="K18" s="29">
        <v>101393815.88</v>
      </c>
      <c r="L18" s="29">
        <v>122136216.84999998</v>
      </c>
      <c r="M18" s="8">
        <f t="shared" si="0"/>
        <v>2.3582154974123772E-2</v>
      </c>
      <c r="N18" s="8">
        <f t="shared" si="1"/>
        <v>0.20457264370589132</v>
      </c>
      <c r="O18" s="7"/>
    </row>
    <row r="19" spans="1:15" s="21" customFormat="1" x14ac:dyDescent="0.35">
      <c r="A19" s="14" t="s">
        <v>46</v>
      </c>
      <c r="B19" s="27">
        <v>429653344.14000005</v>
      </c>
      <c r="C19" s="27">
        <v>462397399.65999997</v>
      </c>
      <c r="D19" s="27">
        <v>608125512.10000002</v>
      </c>
      <c r="E19" s="8">
        <f t="shared" si="2"/>
        <v>7.6210405357232502E-2</v>
      </c>
      <c r="F19" s="8">
        <f t="shared" si="2"/>
        <v>0.31515772482101695</v>
      </c>
      <c r="G19" s="7"/>
      <c r="I19" s="14" t="s">
        <v>46</v>
      </c>
      <c r="J19" s="29">
        <v>20913833.91</v>
      </c>
      <c r="K19" s="29">
        <v>24968647.949999999</v>
      </c>
      <c r="L19" s="29">
        <v>28132371.159999996</v>
      </c>
      <c r="M19" s="8">
        <f t="shared" si="0"/>
        <v>0.19388190885752324</v>
      </c>
      <c r="N19" s="8">
        <f t="shared" si="1"/>
        <v>0.12670783040937533</v>
      </c>
      <c r="O19" s="7"/>
    </row>
    <row r="20" spans="1:15" s="21" customFormat="1" x14ac:dyDescent="0.35">
      <c r="A20" s="14" t="s">
        <v>47</v>
      </c>
      <c r="B20" s="27">
        <v>132239094.73999999</v>
      </c>
      <c r="C20" s="27">
        <v>118150228.48</v>
      </c>
      <c r="D20" s="27">
        <v>159750411</v>
      </c>
      <c r="E20" s="8">
        <f t="shared" si="2"/>
        <v>-0.10654085531741285</v>
      </c>
      <c r="F20" s="8">
        <f t="shared" si="2"/>
        <v>0.35209565868120102</v>
      </c>
      <c r="G20" s="7"/>
      <c r="I20" s="14" t="s">
        <v>47</v>
      </c>
      <c r="J20" s="29">
        <v>4782031.88</v>
      </c>
      <c r="K20" s="29">
        <v>4305215.34</v>
      </c>
      <c r="L20" s="29">
        <v>5363497.41</v>
      </c>
      <c r="M20" s="8">
        <f t="shared" si="0"/>
        <v>-9.9710029536649605E-2</v>
      </c>
      <c r="N20" s="8">
        <f t="shared" si="1"/>
        <v>0.2458139689709459</v>
      </c>
      <c r="O20" s="7"/>
    </row>
    <row r="21" spans="1:15" s="21" customFormat="1" x14ac:dyDescent="0.35">
      <c r="A21" s="14" t="s">
        <v>48</v>
      </c>
      <c r="B21" s="27">
        <v>12778369.279999999</v>
      </c>
      <c r="C21" s="27">
        <v>23699907.309999999</v>
      </c>
      <c r="D21" s="27">
        <v>68421499.950000003</v>
      </c>
      <c r="E21" s="8">
        <f t="shared" si="2"/>
        <v>0.85468949837705743</v>
      </c>
      <c r="F21" s="8">
        <f t="shared" si="2"/>
        <v>1.886994411203037</v>
      </c>
      <c r="G21" s="7"/>
      <c r="I21" s="14" t="s">
        <v>48</v>
      </c>
      <c r="J21" s="29">
        <v>633083.10999999987</v>
      </c>
      <c r="K21" s="29">
        <v>1368355.5799999998</v>
      </c>
      <c r="L21" s="29">
        <v>4556587.68</v>
      </c>
      <c r="M21" s="8">
        <f t="shared" si="0"/>
        <v>1.1614153945759194</v>
      </c>
      <c r="N21" s="8">
        <f t="shared" si="1"/>
        <v>2.3299733977041259</v>
      </c>
      <c r="O21" s="7"/>
    </row>
    <row r="22" spans="1:15" s="21" customFormat="1" x14ac:dyDescent="0.35">
      <c r="A22" s="14" t="s">
        <v>49</v>
      </c>
      <c r="B22" s="27">
        <v>0</v>
      </c>
      <c r="C22" s="27">
        <v>0</v>
      </c>
      <c r="D22" s="27">
        <v>466127.5</v>
      </c>
      <c r="E22" s="8" t="str">
        <f t="shared" si="2"/>
        <v/>
      </c>
      <c r="F22" s="8" t="str">
        <f t="shared" si="2"/>
        <v/>
      </c>
      <c r="G22" s="7"/>
      <c r="I22" s="14" t="s">
        <v>49</v>
      </c>
      <c r="J22" s="29">
        <v>0</v>
      </c>
      <c r="K22" s="29">
        <v>0</v>
      </c>
      <c r="L22" s="29">
        <v>0</v>
      </c>
      <c r="M22" s="8" t="str">
        <f t="shared" si="0"/>
        <v/>
      </c>
      <c r="N22" s="8" t="str">
        <f t="shared" si="1"/>
        <v/>
      </c>
      <c r="O22" s="7"/>
    </row>
    <row r="23" spans="1:15" s="21" customFormat="1" x14ac:dyDescent="0.35">
      <c r="A23" s="14" t="s">
        <v>50</v>
      </c>
      <c r="B23" s="27">
        <v>-9955108.0099999998</v>
      </c>
      <c r="C23" s="27">
        <v>-7942352.7200000007</v>
      </c>
      <c r="D23" s="27">
        <v>-3403819.59</v>
      </c>
      <c r="E23" s="8">
        <f t="shared" si="2"/>
        <v>-0.20218316948225648</v>
      </c>
      <c r="F23" s="8">
        <f t="shared" si="2"/>
        <v>-0.57143434571613949</v>
      </c>
      <c r="G23" s="7"/>
      <c r="I23" s="14" t="s">
        <v>50</v>
      </c>
      <c r="J23" s="29">
        <v>-2298161.08</v>
      </c>
      <c r="K23" s="29">
        <v>-4064037.69</v>
      </c>
      <c r="L23" s="29">
        <v>-220128.26</v>
      </c>
      <c r="M23" s="8">
        <f t="shared" si="0"/>
        <v>0.76838678775292801</v>
      </c>
      <c r="N23" s="8">
        <f t="shared" si="1"/>
        <v>-0.94583508402452832</v>
      </c>
      <c r="O23" s="51"/>
    </row>
    <row r="24" spans="1:15" s="21" customFormat="1" x14ac:dyDescent="0.35">
      <c r="A24" s="14" t="s">
        <v>51</v>
      </c>
      <c r="B24" s="27">
        <v>165130928.64000002</v>
      </c>
      <c r="C24" s="27">
        <v>180679508.89000002</v>
      </c>
      <c r="D24" s="27">
        <v>209278182.84</v>
      </c>
      <c r="E24" s="8">
        <f t="shared" si="2"/>
        <v>9.4159103797552518E-2</v>
      </c>
      <c r="F24" s="8">
        <f t="shared" si="2"/>
        <v>0.15828399205695884</v>
      </c>
      <c r="G24" s="7"/>
      <c r="I24" s="14" t="s">
        <v>51</v>
      </c>
      <c r="J24" s="29">
        <v>67093.710000000006</v>
      </c>
      <c r="K24" s="29">
        <v>149187.09</v>
      </c>
      <c r="L24" s="29">
        <v>213686.86</v>
      </c>
      <c r="M24" s="8">
        <f t="shared" si="0"/>
        <v>1.2235629837729942</v>
      </c>
      <c r="N24" s="8">
        <f t="shared" si="1"/>
        <v>0.4323414981819137</v>
      </c>
      <c r="O24" s="7"/>
    </row>
    <row r="25" spans="1:15" s="21" customFormat="1" x14ac:dyDescent="0.35">
      <c r="A25" s="42" t="s">
        <v>58</v>
      </c>
      <c r="B25" s="44">
        <f>SUM(B9:B15) + B16 +B18</f>
        <v>4028982382.5799999</v>
      </c>
      <c r="C25" s="44">
        <f t="shared" ref="C25:D25" si="3">SUM(C9:C15) + C16 +C18</f>
        <v>4209767703.3099999</v>
      </c>
      <c r="D25" s="44">
        <f t="shared" si="3"/>
        <v>4542456308.3299999</v>
      </c>
      <c r="E25" s="45">
        <f t="shared" si="2"/>
        <v>4.487121152766925E-2</v>
      </c>
      <c r="F25" s="45">
        <f t="shared" si="2"/>
        <v>7.9027782164421578E-2</v>
      </c>
      <c r="G25" s="43"/>
      <c r="I25" s="42" t="s">
        <v>58</v>
      </c>
      <c r="J25" s="44">
        <f>SUM(J9:J15) + J16 +J18</f>
        <v>552410673.66999996</v>
      </c>
      <c r="K25" s="44">
        <f t="shared" ref="K25:L25" si="4">SUM(K9:K15) + K16 +K18</f>
        <v>521260834.97999996</v>
      </c>
      <c r="L25" s="44">
        <f t="shared" si="4"/>
        <v>356236338.99999994</v>
      </c>
      <c r="M25" s="45">
        <f t="shared" si="0"/>
        <v>-5.6388915302908037E-2</v>
      </c>
      <c r="N25" s="45">
        <f t="shared" si="1"/>
        <v>-0.31658717652618534</v>
      </c>
      <c r="O25" s="43"/>
    </row>
    <row r="26" spans="1:15" s="21" customFormat="1" x14ac:dyDescent="0.35">
      <c r="A26" s="42" t="s">
        <v>59</v>
      </c>
      <c r="B26" s="44">
        <f>SUM(B9:B15) + B17 +B18</f>
        <v>3595819973.5499997</v>
      </c>
      <c r="C26" s="44">
        <f t="shared" ref="C26:D26" si="5">SUM(C9:C15) + C17 +C18</f>
        <v>3783543733.8200002</v>
      </c>
      <c r="D26" s="44">
        <f t="shared" si="5"/>
        <v>4084492217.6799998</v>
      </c>
      <c r="E26" s="45">
        <f t="shared" si="2"/>
        <v>5.2206106437711564E-2</v>
      </c>
      <c r="F26" s="45">
        <f t="shared" si="2"/>
        <v>7.9541431269819468E-2</v>
      </c>
      <c r="G26" s="43"/>
      <c r="I26" s="42" t="s">
        <v>59</v>
      </c>
      <c r="J26" s="44">
        <f>SUM(J9:J15) + J17 +J18</f>
        <v>552410673.66999996</v>
      </c>
      <c r="K26" s="44">
        <f t="shared" ref="K26:L26" si="6">SUM(K9:K15) + K17 +K18</f>
        <v>521260834.97999996</v>
      </c>
      <c r="L26" s="44">
        <f t="shared" si="6"/>
        <v>356236338.99999994</v>
      </c>
      <c r="M26" s="45">
        <f t="shared" si="0"/>
        <v>-5.6388915302908037E-2</v>
      </c>
      <c r="N26" s="45">
        <f t="shared" si="1"/>
        <v>-0.31658717652618534</v>
      </c>
      <c r="O26" s="43"/>
    </row>
    <row r="27" spans="1:15" x14ac:dyDescent="0.35">
      <c r="A27" s="42" t="s">
        <v>54</v>
      </c>
      <c r="B27" s="44">
        <f>SUM(B19:B24)</f>
        <v>729846628.78999996</v>
      </c>
      <c r="C27" s="44">
        <f t="shared" ref="C27:D27" si="7">SUM(C19:C24)</f>
        <v>776984691.61999989</v>
      </c>
      <c r="D27" s="44">
        <f t="shared" si="7"/>
        <v>1042637913.8000001</v>
      </c>
      <c r="E27" s="45">
        <f t="shared" ref="E27:F27" si="8">IFERROR((C27-B27)/B27, "")</f>
        <v>6.4586258222702628E-2</v>
      </c>
      <c r="F27" s="45">
        <f t="shared" si="8"/>
        <v>0.34190277497760957</v>
      </c>
      <c r="G27" s="43"/>
      <c r="I27" s="42" t="s">
        <v>54</v>
      </c>
      <c r="J27" s="44">
        <f>SUM(J19:J24)</f>
        <v>24097881.530000001</v>
      </c>
      <c r="K27" s="44">
        <f t="shared" ref="K27:L27" si="9">SUM(K19:K24)</f>
        <v>26727368.269999996</v>
      </c>
      <c r="L27" s="44">
        <f t="shared" si="9"/>
        <v>38046014.850000001</v>
      </c>
      <c r="M27" s="45">
        <f t="shared" si="0"/>
        <v>0.1091169253499104</v>
      </c>
      <c r="N27" s="45">
        <f t="shared" si="1"/>
        <v>0.42348526295814037</v>
      </c>
      <c r="O27" s="43"/>
    </row>
    <row r="28" spans="1:15" x14ac:dyDescent="0.35">
      <c r="B28" s="12"/>
    </row>
    <row r="30" spans="1:15" x14ac:dyDescent="0.35">
      <c r="A30" s="114" t="s">
        <v>7</v>
      </c>
      <c r="B30" s="114" t="s">
        <v>62</v>
      </c>
      <c r="C30" s="114"/>
      <c r="D30" s="114"/>
      <c r="E30" s="115" t="s">
        <v>2</v>
      </c>
      <c r="F30" s="117"/>
      <c r="G30" s="118" t="s">
        <v>28</v>
      </c>
      <c r="I30" s="114" t="s">
        <v>7</v>
      </c>
      <c r="J30" s="114" t="s">
        <v>62</v>
      </c>
      <c r="K30" s="114"/>
      <c r="L30" s="114"/>
      <c r="M30" s="115" t="s">
        <v>2</v>
      </c>
      <c r="N30" s="117"/>
      <c r="O30" s="118" t="s">
        <v>28</v>
      </c>
    </row>
    <row r="31" spans="1:15" x14ac:dyDescent="0.35">
      <c r="A31" s="114"/>
      <c r="B31" s="37">
        <v>2018</v>
      </c>
      <c r="C31" s="37">
        <v>2019</v>
      </c>
      <c r="D31" s="37">
        <v>2020</v>
      </c>
      <c r="E31" s="37" t="s">
        <v>15</v>
      </c>
      <c r="F31" s="37" t="s">
        <v>16</v>
      </c>
      <c r="G31" s="119"/>
      <c r="I31" s="114"/>
      <c r="J31" s="71">
        <v>2018</v>
      </c>
      <c r="K31" s="71">
        <v>2019</v>
      </c>
      <c r="L31" s="71">
        <v>2020</v>
      </c>
      <c r="M31" s="71" t="s">
        <v>15</v>
      </c>
      <c r="N31" s="71" t="s">
        <v>16</v>
      </c>
      <c r="O31" s="119"/>
    </row>
    <row r="32" spans="1:15" x14ac:dyDescent="0.35">
      <c r="A32" s="7" t="s">
        <v>31</v>
      </c>
      <c r="B32" s="27">
        <f>B9/($B$8/12)</f>
        <v>991.12567712102089</v>
      </c>
      <c r="C32" s="27">
        <f>C9/($C$8/12)</f>
        <v>980.86051089005571</v>
      </c>
      <c r="D32" s="27">
        <f>D9/($D$8/12)</f>
        <v>938.30863406064975</v>
      </c>
      <c r="E32" s="8">
        <f>IFERROR((C32-B32)/B32, "")</f>
        <v>-1.0357078287773746E-2</v>
      </c>
      <c r="F32" s="8">
        <f>IFERROR((D32-C32)/C32, "")</f>
        <v>-4.338218977823196E-2</v>
      </c>
      <c r="G32" s="7"/>
      <c r="I32" s="7" t="s">
        <v>31</v>
      </c>
      <c r="J32" s="27">
        <f t="shared" ref="J32:J50" si="10">J9/($J$8/12)</f>
        <v>364.99290556958772</v>
      </c>
      <c r="K32" s="27">
        <f>K9/($K$8/12)</f>
        <v>421.95967727578767</v>
      </c>
      <c r="L32" s="27">
        <f>L9/($L$8/12)</f>
        <v>320.07522782057674</v>
      </c>
      <c r="M32" s="8">
        <f t="shared" ref="M32:M50" si="11">IFERROR((K32-J32)/J32, "")</f>
        <v>0.15607638076499256</v>
      </c>
      <c r="N32" s="8">
        <f t="shared" ref="N32:N50" si="12">IFERROR((L32-K32)/K32, "")</f>
        <v>-0.24145541610275834</v>
      </c>
      <c r="O32" s="7"/>
    </row>
    <row r="33" spans="1:15" x14ac:dyDescent="0.35">
      <c r="A33" s="7" t="s">
        <v>32</v>
      </c>
      <c r="B33" s="27">
        <f t="shared" ref="B33:B50" si="13">B10/($B$8/12)</f>
        <v>767.00673858912342</v>
      </c>
      <c r="C33" s="27">
        <f t="shared" ref="C33:C50" si="14">C10/($C$8/12)</f>
        <v>814.66836046902915</v>
      </c>
      <c r="D33" s="27">
        <f t="shared" ref="D33:D50" si="15">D10/($D$8/12)</f>
        <v>727.66450021413777</v>
      </c>
      <c r="E33" s="8">
        <f t="shared" ref="E33:E50" si="16">IFERROR((C33-B33)/B33, "")</f>
        <v>6.2139769420510284E-2</v>
      </c>
      <c r="F33" s="8">
        <f t="shared" ref="F33:F50" si="17">IFERROR((D33-C33)/C33, "")</f>
        <v>-0.1067966604285462</v>
      </c>
      <c r="G33" s="7"/>
      <c r="I33" s="7" t="s">
        <v>32</v>
      </c>
      <c r="J33" s="27">
        <f t="shared" si="10"/>
        <v>548.75520789248287</v>
      </c>
      <c r="K33" s="27">
        <f t="shared" ref="K33:K50" si="18">K10/($K$8/12)</f>
        <v>520.23580397661362</v>
      </c>
      <c r="L33" s="27">
        <f t="shared" ref="L33:L50" si="19">L10/($L$8/12)</f>
        <v>453.8713677612464</v>
      </c>
      <c r="M33" s="8">
        <f t="shared" si="11"/>
        <v>-5.1971085660214869E-2</v>
      </c>
      <c r="N33" s="8">
        <f t="shared" si="12"/>
        <v>-0.12756606851755734</v>
      </c>
      <c r="O33" s="7"/>
    </row>
    <row r="34" spans="1:15" x14ac:dyDescent="0.35">
      <c r="A34" s="7" t="s">
        <v>33</v>
      </c>
      <c r="B34" s="27">
        <f t="shared" si="13"/>
        <v>296.67945763160759</v>
      </c>
      <c r="C34" s="27">
        <f t="shared" si="14"/>
        <v>303.16301419568572</v>
      </c>
      <c r="D34" s="27">
        <f t="shared" si="15"/>
        <v>244.11120095865397</v>
      </c>
      <c r="E34" s="8">
        <f t="shared" si="16"/>
        <v>2.1853742809955119E-2</v>
      </c>
      <c r="F34" s="8">
        <f t="shared" si="17"/>
        <v>-0.19478567790896475</v>
      </c>
      <c r="G34" s="7"/>
      <c r="I34" s="7" t="s">
        <v>33</v>
      </c>
      <c r="J34" s="27">
        <f t="shared" si="10"/>
        <v>95.904793066400501</v>
      </c>
      <c r="K34" s="27">
        <f t="shared" si="18"/>
        <v>74.371670413523674</v>
      </c>
      <c r="L34" s="27">
        <f t="shared" si="19"/>
        <v>52.950831730750963</v>
      </c>
      <c r="M34" s="8">
        <f t="shared" si="11"/>
        <v>-0.22452603216575615</v>
      </c>
      <c r="N34" s="8">
        <f t="shared" si="12"/>
        <v>-0.28802417054327134</v>
      </c>
      <c r="O34" s="7"/>
    </row>
    <row r="35" spans="1:15" x14ac:dyDescent="0.35">
      <c r="A35" s="7" t="s">
        <v>34</v>
      </c>
      <c r="B35" s="27">
        <f t="shared" si="13"/>
        <v>364.8336304110328</v>
      </c>
      <c r="C35" s="27">
        <f t="shared" si="14"/>
        <v>384.09152461365494</v>
      </c>
      <c r="D35" s="27">
        <f t="shared" si="15"/>
        <v>366.19815271431355</v>
      </c>
      <c r="E35" s="8">
        <f t="shared" si="16"/>
        <v>5.2785413945873362E-2</v>
      </c>
      <c r="F35" s="8">
        <f t="shared" si="17"/>
        <v>-4.6586219045941575E-2</v>
      </c>
      <c r="G35" s="7"/>
      <c r="I35" s="7" t="s">
        <v>34</v>
      </c>
      <c r="J35" s="27">
        <f t="shared" si="10"/>
        <v>82.162363735025636</v>
      </c>
      <c r="K35" s="27">
        <f t="shared" si="18"/>
        <v>81.607136754575151</v>
      </c>
      <c r="L35" s="27">
        <f t="shared" si="19"/>
        <v>148.80186643411767</v>
      </c>
      <c r="M35" s="8">
        <f t="shared" si="11"/>
        <v>-6.7576802225541681E-3</v>
      </c>
      <c r="N35" s="8">
        <f t="shared" si="12"/>
        <v>0.8233928103815672</v>
      </c>
      <c r="O35" s="7"/>
    </row>
    <row r="36" spans="1:15" x14ac:dyDescent="0.35">
      <c r="A36" s="7" t="s">
        <v>35</v>
      </c>
      <c r="B36" s="27">
        <f t="shared" si="13"/>
        <v>469.53221731152132</v>
      </c>
      <c r="C36" s="27">
        <f t="shared" si="14"/>
        <v>516.09189074420669</v>
      </c>
      <c r="D36" s="27">
        <f t="shared" si="15"/>
        <v>490.57627944856938</v>
      </c>
      <c r="E36" s="8">
        <f t="shared" si="16"/>
        <v>9.9161828977955627E-2</v>
      </c>
      <c r="F36" s="8">
        <f t="shared" si="17"/>
        <v>-4.9440054674844226E-2</v>
      </c>
      <c r="G36" s="7"/>
      <c r="I36" s="7" t="s">
        <v>35</v>
      </c>
      <c r="J36" s="27">
        <f t="shared" si="10"/>
        <v>717.72518869301996</v>
      </c>
      <c r="K36" s="27">
        <f t="shared" si="18"/>
        <v>812.48630506643542</v>
      </c>
      <c r="L36" s="27">
        <f t="shared" si="19"/>
        <v>443.21222374969994</v>
      </c>
      <c r="M36" s="8">
        <f t="shared" si="11"/>
        <v>0.13202980453559918</v>
      </c>
      <c r="N36" s="8">
        <f t="shared" si="12"/>
        <v>-0.45449883772076705</v>
      </c>
      <c r="O36" s="7"/>
    </row>
    <row r="37" spans="1:15" x14ac:dyDescent="0.35">
      <c r="A37" s="7" t="s">
        <v>36</v>
      </c>
      <c r="B37" s="27">
        <f t="shared" si="13"/>
        <v>369.10507535127675</v>
      </c>
      <c r="C37" s="27">
        <f t="shared" si="14"/>
        <v>386.10412437778751</v>
      </c>
      <c r="D37" s="27">
        <f t="shared" si="15"/>
        <v>328.32162900616174</v>
      </c>
      <c r="E37" s="8">
        <f t="shared" si="16"/>
        <v>4.6054769120508002E-2</v>
      </c>
      <c r="F37" s="8">
        <f t="shared" si="17"/>
        <v>-0.14965521403000581</v>
      </c>
      <c r="G37" s="7"/>
      <c r="I37" s="7" t="s">
        <v>36</v>
      </c>
      <c r="J37" s="27">
        <f t="shared" si="10"/>
        <v>271.01417269056185</v>
      </c>
      <c r="K37" s="27">
        <f t="shared" si="18"/>
        <v>247.87623244968376</v>
      </c>
      <c r="L37" s="27">
        <f t="shared" si="19"/>
        <v>191.67234172515293</v>
      </c>
      <c r="M37" s="8">
        <f t="shared" si="11"/>
        <v>-8.5375388346558903E-2</v>
      </c>
      <c r="N37" s="8">
        <f t="shared" si="12"/>
        <v>-0.22674174998177615</v>
      </c>
      <c r="O37" s="7"/>
    </row>
    <row r="38" spans="1:15" x14ac:dyDescent="0.35">
      <c r="A38" s="7" t="s">
        <v>37</v>
      </c>
      <c r="B38" s="27">
        <f t="shared" si="13"/>
        <v>387.31890748334064</v>
      </c>
      <c r="C38" s="27">
        <f t="shared" si="14"/>
        <v>374.41830252129881</v>
      </c>
      <c r="D38" s="27">
        <f t="shared" si="15"/>
        <v>155.24979545960352</v>
      </c>
      <c r="E38" s="8">
        <f t="shared" si="16"/>
        <v>-3.3307449527484545E-2</v>
      </c>
      <c r="F38" s="8">
        <f t="shared" si="17"/>
        <v>-0.58535735455728122</v>
      </c>
      <c r="G38" s="7"/>
      <c r="I38" s="7" t="s">
        <v>37</v>
      </c>
      <c r="J38" s="27">
        <f t="shared" si="10"/>
        <v>3627.4608514449719</v>
      </c>
      <c r="K38" s="27">
        <f t="shared" si="18"/>
        <v>4046.9179477113739</v>
      </c>
      <c r="L38" s="27">
        <f t="shared" si="19"/>
        <v>1697.0928345716056</v>
      </c>
      <c r="M38" s="8">
        <f t="shared" si="11"/>
        <v>0.11563380376643194</v>
      </c>
      <c r="N38" s="8">
        <f t="shared" si="12"/>
        <v>-0.58064560327165737</v>
      </c>
      <c r="O38" s="7"/>
    </row>
    <row r="39" spans="1:15" x14ac:dyDescent="0.35">
      <c r="A39" s="14" t="s">
        <v>56</v>
      </c>
      <c r="B39" s="27">
        <f t="shared" si="13"/>
        <v>715.07677232161859</v>
      </c>
      <c r="C39" s="27">
        <f t="shared" si="14"/>
        <v>755.99344992384238</v>
      </c>
      <c r="D39" s="27">
        <f t="shared" si="15"/>
        <v>739.0833512486239</v>
      </c>
      <c r="E39" s="8">
        <f t="shared" si="16"/>
        <v>5.7219978589684597E-2</v>
      </c>
      <c r="F39" s="8">
        <f t="shared" si="17"/>
        <v>-2.2368049190005516E-2</v>
      </c>
      <c r="G39" s="7"/>
      <c r="I39" s="14" t="s">
        <v>56</v>
      </c>
      <c r="J39" s="27">
        <f t="shared" si="10"/>
        <v>219.88329319824703</v>
      </c>
      <c r="K39" s="27">
        <f t="shared" si="18"/>
        <v>183.10029525994062</v>
      </c>
      <c r="L39" s="27">
        <f t="shared" si="19"/>
        <v>258.24556959904334</v>
      </c>
      <c r="M39" s="8">
        <f t="shared" si="11"/>
        <v>-0.16728418700343375</v>
      </c>
      <c r="N39" s="8">
        <f t="shared" si="12"/>
        <v>0.41040498723621271</v>
      </c>
      <c r="O39" s="7"/>
    </row>
    <row r="40" spans="1:15" x14ac:dyDescent="0.35">
      <c r="A40" s="14" t="s">
        <v>57</v>
      </c>
      <c r="B40" s="27">
        <f t="shared" si="13"/>
        <v>202.92644217354089</v>
      </c>
      <c r="C40" s="27">
        <f t="shared" si="14"/>
        <v>256.70176173165521</v>
      </c>
      <c r="D40" s="27">
        <f t="shared" si="15"/>
        <v>296.42445031605956</v>
      </c>
      <c r="E40" s="8">
        <f t="shared" si="16"/>
        <v>0.26499907543900142</v>
      </c>
      <c r="F40" s="8">
        <f t="shared" si="17"/>
        <v>0.1547425631847775</v>
      </c>
      <c r="G40" s="69" t="s">
        <v>148</v>
      </c>
      <c r="I40" s="14" t="s">
        <v>57</v>
      </c>
      <c r="J40" s="27">
        <f t="shared" si="10"/>
        <v>219.88329319824703</v>
      </c>
      <c r="K40" s="27">
        <f t="shared" si="18"/>
        <v>183.10029525994062</v>
      </c>
      <c r="L40" s="27">
        <f t="shared" si="19"/>
        <v>258.24556959904334</v>
      </c>
      <c r="M40" s="8">
        <f t="shared" si="11"/>
        <v>-0.16728418700343375</v>
      </c>
      <c r="N40" s="8">
        <f t="shared" si="12"/>
        <v>0.41040498723621271</v>
      </c>
      <c r="O40" s="69" t="s">
        <v>60</v>
      </c>
    </row>
    <row r="41" spans="1:15" x14ac:dyDescent="0.35">
      <c r="A41" s="14" t="s">
        <v>38</v>
      </c>
      <c r="B41" s="27">
        <f t="shared" si="13"/>
        <v>402.99587405352742</v>
      </c>
      <c r="C41" s="27">
        <f t="shared" si="14"/>
        <v>416.0584213980494</v>
      </c>
      <c r="D41" s="27">
        <f t="shared" si="15"/>
        <v>401.1335797360382</v>
      </c>
      <c r="E41" s="8">
        <f t="shared" si="16"/>
        <v>3.2413600698023452E-2</v>
      </c>
      <c r="F41" s="8">
        <f t="shared" si="17"/>
        <v>-3.5871985505930626E-2</v>
      </c>
      <c r="G41" s="7"/>
      <c r="I41" s="14" t="s">
        <v>38</v>
      </c>
      <c r="J41" s="27">
        <f t="shared" si="10"/>
        <v>1295.2487632364064</v>
      </c>
      <c r="K41" s="27">
        <f t="shared" si="18"/>
        <v>1542.7741330685808</v>
      </c>
      <c r="L41" s="27">
        <f t="shared" si="19"/>
        <v>1860.4358290460284</v>
      </c>
      <c r="M41" s="8">
        <f t="shared" si="11"/>
        <v>0.1911025718439513</v>
      </c>
      <c r="N41" s="8">
        <f t="shared" si="12"/>
        <v>0.2059029181061118</v>
      </c>
      <c r="O41" s="7"/>
    </row>
    <row r="42" spans="1:15" x14ac:dyDescent="0.35">
      <c r="A42" s="14" t="s">
        <v>46</v>
      </c>
      <c r="B42" s="27">
        <f t="shared" si="13"/>
        <v>508.00138115236734</v>
      </c>
      <c r="C42" s="27">
        <f t="shared" si="14"/>
        <v>541.66634168455778</v>
      </c>
      <c r="D42" s="27">
        <f t="shared" si="15"/>
        <v>587.80191790401648</v>
      </c>
      <c r="E42" s="8">
        <f t="shared" si="16"/>
        <v>6.6269427173256318E-2</v>
      </c>
      <c r="F42" s="8">
        <f t="shared" si="17"/>
        <v>8.5173422583317893E-2</v>
      </c>
      <c r="G42" s="7"/>
      <c r="I42" s="14" t="s">
        <v>46</v>
      </c>
      <c r="J42" s="27">
        <f t="shared" si="10"/>
        <v>273.46268844785089</v>
      </c>
      <c r="K42" s="27">
        <f t="shared" si="18"/>
        <v>379.9145328601262</v>
      </c>
      <c r="L42" s="27">
        <f t="shared" si="19"/>
        <v>428.52540067099011</v>
      </c>
      <c r="M42" s="8">
        <f t="shared" si="11"/>
        <v>0.38927374339982612</v>
      </c>
      <c r="N42" s="8">
        <f t="shared" si="12"/>
        <v>0.12795211450560923</v>
      </c>
      <c r="O42" s="7"/>
    </row>
    <row r="43" spans="1:15" x14ac:dyDescent="0.35">
      <c r="A43" s="14" t="s">
        <v>47</v>
      </c>
      <c r="B43" s="27">
        <f t="shared" si="13"/>
        <v>156.35312441177999</v>
      </c>
      <c r="C43" s="27">
        <f t="shared" si="14"/>
        <v>138.4047619580341</v>
      </c>
      <c r="D43" s="27">
        <f t="shared" si="15"/>
        <v>154.41154186656411</v>
      </c>
      <c r="E43" s="8">
        <f t="shared" si="16"/>
        <v>-0.11479375625699756</v>
      </c>
      <c r="F43" s="8">
        <f t="shared" si="17"/>
        <v>0.11565194493368258</v>
      </c>
      <c r="G43" s="7"/>
      <c r="I43" s="14" t="s">
        <v>47</v>
      </c>
      <c r="J43" s="27">
        <f t="shared" si="10"/>
        <v>62.528338886867004</v>
      </c>
      <c r="K43" s="27">
        <f t="shared" si="18"/>
        <v>65.50670577092059</v>
      </c>
      <c r="L43" s="27">
        <f t="shared" si="19"/>
        <v>81.69929450831502</v>
      </c>
      <c r="M43" s="8">
        <f t="shared" si="11"/>
        <v>4.763227261549946E-2</v>
      </c>
      <c r="N43" s="8">
        <f t="shared" si="12"/>
        <v>0.2471897883862535</v>
      </c>
      <c r="O43" s="7"/>
    </row>
    <row r="44" spans="1:15" x14ac:dyDescent="0.35">
      <c r="A44" s="14" t="s">
        <v>48</v>
      </c>
      <c r="B44" s="27">
        <f t="shared" si="13"/>
        <v>15.108527215372463</v>
      </c>
      <c r="C44" s="27">
        <f t="shared" si="14"/>
        <v>27.76279040563411</v>
      </c>
      <c r="D44" s="27">
        <f t="shared" si="15"/>
        <v>66.134848968260499</v>
      </c>
      <c r="E44" s="8">
        <f t="shared" si="16"/>
        <v>0.8375576924126874</v>
      </c>
      <c r="F44" s="8">
        <f t="shared" si="17"/>
        <v>1.3821398354410104</v>
      </c>
      <c r="G44" s="7"/>
      <c r="I44" s="14" t="s">
        <v>48</v>
      </c>
      <c r="J44" s="27">
        <f t="shared" si="10"/>
        <v>8.2779948438218476</v>
      </c>
      <c r="K44" s="27">
        <f t="shared" si="18"/>
        <v>20.820437374233034</v>
      </c>
      <c r="L44" s="27">
        <f t="shared" si="19"/>
        <v>69.408069094467947</v>
      </c>
      <c r="M44" s="8">
        <f t="shared" si="11"/>
        <v>1.5151546681346442</v>
      </c>
      <c r="N44" s="8">
        <f t="shared" si="12"/>
        <v>2.3336508665454843</v>
      </c>
      <c r="O44" s="7"/>
    </row>
    <row r="45" spans="1:15" x14ac:dyDescent="0.35">
      <c r="A45" s="14" t="s">
        <v>49</v>
      </c>
      <c r="B45" s="27">
        <f t="shared" si="13"/>
        <v>0</v>
      </c>
      <c r="C45" s="27">
        <f t="shared" si="14"/>
        <v>0</v>
      </c>
      <c r="D45" s="27">
        <f t="shared" si="15"/>
        <v>0.45054948861074834</v>
      </c>
      <c r="E45" s="8" t="str">
        <f t="shared" si="16"/>
        <v/>
      </c>
      <c r="F45" s="8" t="str">
        <f t="shared" si="17"/>
        <v/>
      </c>
      <c r="G45" s="7"/>
      <c r="I45" s="14" t="s">
        <v>49</v>
      </c>
      <c r="J45" s="27">
        <f t="shared" si="10"/>
        <v>0</v>
      </c>
      <c r="K45" s="27">
        <f t="shared" si="18"/>
        <v>0</v>
      </c>
      <c r="L45" s="27">
        <f t="shared" si="19"/>
        <v>0</v>
      </c>
      <c r="M45" s="8" t="str">
        <f t="shared" si="11"/>
        <v/>
      </c>
      <c r="N45" s="8" t="str">
        <f t="shared" si="12"/>
        <v/>
      </c>
      <c r="O45" s="7"/>
    </row>
    <row r="46" spans="1:15" x14ac:dyDescent="0.35">
      <c r="A46" s="14" t="s">
        <v>50</v>
      </c>
      <c r="B46" s="27">
        <f t="shared" si="13"/>
        <v>-11.770439326437858</v>
      </c>
      <c r="C46" s="27">
        <f t="shared" si="14"/>
        <v>-9.3039129228973341</v>
      </c>
      <c r="D46" s="27">
        <f t="shared" si="15"/>
        <v>-3.2900637177547924</v>
      </c>
      <c r="E46" s="8">
        <f t="shared" si="16"/>
        <v>-0.20955262035125582</v>
      </c>
      <c r="F46" s="8">
        <f t="shared" si="17"/>
        <v>-0.64637849203663522</v>
      </c>
      <c r="G46" s="7"/>
      <c r="I46" s="14" t="s">
        <v>50</v>
      </c>
      <c r="J46" s="27">
        <f t="shared" si="10"/>
        <v>-30.050028613955682</v>
      </c>
      <c r="K46" s="27">
        <f t="shared" si="18"/>
        <v>-61.837027924545524</v>
      </c>
      <c r="L46" s="27">
        <f t="shared" si="19"/>
        <v>-3.3530963415423636</v>
      </c>
      <c r="M46" s="8">
        <f t="shared" si="11"/>
        <v>1.0578026303717889</v>
      </c>
      <c r="N46" s="8">
        <f t="shared" si="12"/>
        <v>-0.94577526679267543</v>
      </c>
      <c r="O46" s="7"/>
    </row>
    <row r="47" spans="1:15" x14ac:dyDescent="0.35">
      <c r="A47" s="14" t="s">
        <v>51</v>
      </c>
      <c r="B47" s="27">
        <f t="shared" si="13"/>
        <v>195.24284161688968</v>
      </c>
      <c r="C47" s="27">
        <f t="shared" si="14"/>
        <v>211.65345797742597</v>
      </c>
      <c r="D47" s="27">
        <f t="shared" si="15"/>
        <v>202.28409234801356</v>
      </c>
      <c r="E47" s="8">
        <f t="shared" si="16"/>
        <v>8.4052333108005112E-2</v>
      </c>
      <c r="F47" s="8">
        <f t="shared" si="17"/>
        <v>-4.4267481944054554E-2</v>
      </c>
      <c r="G47" s="7"/>
      <c r="I47" s="14" t="s">
        <v>51</v>
      </c>
      <c r="J47" s="27">
        <f t="shared" si="10"/>
        <v>0.87729616642730912</v>
      </c>
      <c r="K47" s="27">
        <f t="shared" si="18"/>
        <v>2.2699804859121979</v>
      </c>
      <c r="L47" s="27">
        <f t="shared" si="19"/>
        <v>3.2549779319641883</v>
      </c>
      <c r="M47" s="8">
        <f t="shared" si="11"/>
        <v>1.5874733901510598</v>
      </c>
      <c r="N47" s="8">
        <f t="shared" si="12"/>
        <v>0.43392330998659068</v>
      </c>
      <c r="O47" s="7"/>
    </row>
    <row r="48" spans="1:15" x14ac:dyDescent="0.35">
      <c r="A48" s="42" t="s">
        <v>58</v>
      </c>
      <c r="B48" s="56">
        <f t="shared" si="13"/>
        <v>4763.6743502740692</v>
      </c>
      <c r="C48" s="56">
        <f t="shared" si="14"/>
        <v>4931.4495991336098</v>
      </c>
      <c r="D48" s="56">
        <f t="shared" si="15"/>
        <v>4390.6471228467517</v>
      </c>
      <c r="E48" s="45">
        <f t="shared" si="16"/>
        <v>3.5219714137236936E-2</v>
      </c>
      <c r="F48" s="45">
        <f t="shared" si="17"/>
        <v>-0.10966399745459629</v>
      </c>
      <c r="G48" s="43"/>
      <c r="I48" s="42" t="s">
        <v>58</v>
      </c>
      <c r="J48" s="56">
        <f t="shared" si="10"/>
        <v>7223.1475395267034</v>
      </c>
      <c r="K48" s="56">
        <f t="shared" si="18"/>
        <v>7931.329201976514</v>
      </c>
      <c r="L48" s="56">
        <f t="shared" si="19"/>
        <v>5426.3580924382222</v>
      </c>
      <c r="M48" s="45">
        <f t="shared" si="11"/>
        <v>9.804336109355094E-2</v>
      </c>
      <c r="N48" s="45">
        <f t="shared" si="12"/>
        <v>-0.3158324469641286</v>
      </c>
      <c r="O48" s="43"/>
    </row>
    <row r="49" spans="1:15" x14ac:dyDescent="0.35">
      <c r="A49" s="42" t="s">
        <v>59</v>
      </c>
      <c r="B49" s="56">
        <f t="shared" si="13"/>
        <v>4251.5240201259912</v>
      </c>
      <c r="C49" s="56">
        <f t="shared" si="14"/>
        <v>4432.1579109414233</v>
      </c>
      <c r="D49" s="56">
        <f t="shared" si="15"/>
        <v>3947.9882219141873</v>
      </c>
      <c r="E49" s="45">
        <f t="shared" si="16"/>
        <v>4.2486856468490354E-2</v>
      </c>
      <c r="F49" s="45">
        <f t="shared" si="17"/>
        <v>-0.10924017121140767</v>
      </c>
      <c r="G49" s="43"/>
      <c r="I49" s="42" t="s">
        <v>59</v>
      </c>
      <c r="J49" s="56">
        <f t="shared" si="10"/>
        <v>7223.1475395267034</v>
      </c>
      <c r="K49" s="56">
        <f t="shared" si="18"/>
        <v>7931.329201976514</v>
      </c>
      <c r="L49" s="56">
        <f t="shared" si="19"/>
        <v>5426.3580924382222</v>
      </c>
      <c r="M49" s="45">
        <f t="shared" si="11"/>
        <v>9.804336109355094E-2</v>
      </c>
      <c r="N49" s="45">
        <f t="shared" si="12"/>
        <v>-0.3158324469641286</v>
      </c>
      <c r="O49" s="43"/>
    </row>
    <row r="50" spans="1:15" x14ac:dyDescent="0.35">
      <c r="A50" s="42" t="s">
        <v>54</v>
      </c>
      <c r="B50" s="56">
        <f t="shared" si="13"/>
        <v>862.9354350699715</v>
      </c>
      <c r="C50" s="56">
        <f t="shared" si="14"/>
        <v>910.18343910275451</v>
      </c>
      <c r="D50" s="56">
        <f t="shared" si="15"/>
        <v>1007.7928868577106</v>
      </c>
      <c r="E50" s="45">
        <f t="shared" si="16"/>
        <v>5.4752652530663401E-2</v>
      </c>
      <c r="F50" s="45">
        <f t="shared" si="17"/>
        <v>0.10724151150363502</v>
      </c>
      <c r="G50" s="43"/>
      <c r="I50" s="42" t="s">
        <v>54</v>
      </c>
      <c r="J50" s="56">
        <f t="shared" si="10"/>
        <v>315.09628973101144</v>
      </c>
      <c r="K50" s="56">
        <f t="shared" si="18"/>
        <v>406.67462856664645</v>
      </c>
      <c r="L50" s="56">
        <f t="shared" si="19"/>
        <v>579.534645864195</v>
      </c>
      <c r="M50" s="45">
        <f t="shared" si="11"/>
        <v>0.29063604307690444</v>
      </c>
      <c r="N50" s="45">
        <f t="shared" si="12"/>
        <v>0.42505729434561956</v>
      </c>
      <c r="O50" s="43"/>
    </row>
    <row r="52" spans="1:15" x14ac:dyDescent="0.35">
      <c r="B52" s="12"/>
      <c r="C52" s="12"/>
      <c r="D52" s="12"/>
    </row>
    <row r="53" spans="1:15" x14ac:dyDescent="0.35">
      <c r="A53" s="54"/>
    </row>
  </sheetData>
  <mergeCells count="16">
    <mergeCell ref="E30:F30"/>
    <mergeCell ref="G30:G31"/>
    <mergeCell ref="A6:A7"/>
    <mergeCell ref="B6:D6"/>
    <mergeCell ref="E6:F6"/>
    <mergeCell ref="G6:G7"/>
    <mergeCell ref="A30:A31"/>
    <mergeCell ref="B30:D30"/>
    <mergeCell ref="I6:I7"/>
    <mergeCell ref="J6:L6"/>
    <mergeCell ref="M6:N6"/>
    <mergeCell ref="O6:O7"/>
    <mergeCell ref="I30:I31"/>
    <mergeCell ref="J30:L30"/>
    <mergeCell ref="M30:N30"/>
    <mergeCell ref="O30:O3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G46"/>
  <sheetViews>
    <sheetView topLeftCell="A25" zoomScaleNormal="100" workbookViewId="0">
      <selection activeCell="F36" sqref="F36"/>
    </sheetView>
  </sheetViews>
  <sheetFormatPr defaultRowHeight="14.5" x14ac:dyDescent="0.35"/>
  <cols>
    <col min="1" max="1" width="38.1796875" customWidth="1"/>
    <col min="2" max="2" width="19.81640625" customWidth="1"/>
    <col min="3" max="3" width="20" bestFit="1" customWidth="1"/>
    <col min="4" max="4" width="20" style="21" bestFit="1" customWidth="1"/>
    <col min="5" max="5" width="16.453125" customWidth="1"/>
    <col min="6" max="6" width="16.453125" style="21" customWidth="1"/>
    <col min="7" max="7" width="63.81640625" style="21" customWidth="1"/>
  </cols>
  <sheetData>
    <row r="1" spans="1:7" ht="18.5" x14ac:dyDescent="0.45">
      <c r="A1" s="2" t="s">
        <v>105</v>
      </c>
      <c r="B1" s="2"/>
      <c r="C1" s="2"/>
      <c r="D1" s="2"/>
      <c r="E1" s="2"/>
      <c r="F1" s="2"/>
    </row>
    <row r="2" spans="1:7" ht="15.5" x14ac:dyDescent="0.35">
      <c r="A2" s="84" t="s">
        <v>126</v>
      </c>
      <c r="B2" s="4"/>
      <c r="C2" s="4"/>
      <c r="D2" s="4"/>
      <c r="E2" s="4"/>
      <c r="F2" s="4"/>
    </row>
    <row r="3" spans="1:7" ht="15.5" x14ac:dyDescent="0.35">
      <c r="A3" s="5"/>
      <c r="B3" s="6"/>
      <c r="C3" s="6"/>
      <c r="D3" s="6"/>
      <c r="E3" s="6"/>
      <c r="F3" s="6"/>
    </row>
    <row r="5" spans="1:7" x14ac:dyDescent="0.35">
      <c r="A5" s="114" t="s">
        <v>0</v>
      </c>
      <c r="B5" s="114" t="s">
        <v>1</v>
      </c>
      <c r="C5" s="114"/>
      <c r="D5" s="114"/>
      <c r="E5" s="115" t="s">
        <v>2</v>
      </c>
      <c r="F5" s="117"/>
      <c r="G5" s="118" t="s">
        <v>28</v>
      </c>
    </row>
    <row r="6" spans="1:7" x14ac:dyDescent="0.35">
      <c r="A6" s="114"/>
      <c r="B6" s="20">
        <v>2018</v>
      </c>
      <c r="C6" s="20">
        <v>2019</v>
      </c>
      <c r="D6" s="22">
        <v>2020</v>
      </c>
      <c r="E6" s="20" t="s">
        <v>15</v>
      </c>
      <c r="F6" s="22" t="s">
        <v>16</v>
      </c>
      <c r="G6" s="119"/>
    </row>
    <row r="7" spans="1:7" x14ac:dyDescent="0.35">
      <c r="A7" s="7" t="s">
        <v>3</v>
      </c>
      <c r="B7" s="27">
        <f>THCE_Comm!C7+THCE_Comm!C8</f>
        <v>8769131599.0099983</v>
      </c>
      <c r="C7" s="27">
        <f>THCE_Comm!D7+THCE_Comm!D8</f>
        <v>9252494853.3799992</v>
      </c>
      <c r="D7" s="27">
        <f>THCE_Comm!E7+THCE_Comm!E8</f>
        <v>8978728187.4799995</v>
      </c>
      <c r="E7" s="8">
        <f>IFERROR((C7-B7)/B7, "")</f>
        <v>5.5120994469346395E-2</v>
      </c>
      <c r="F7" s="8">
        <f>IFERROR((D7-C7)/C7, "")</f>
        <v>-2.9588415907088109E-2</v>
      </c>
      <c r="G7" s="7" t="s">
        <v>124</v>
      </c>
    </row>
    <row r="8" spans="1:7" x14ac:dyDescent="0.35">
      <c r="A8" s="46" t="s">
        <v>41</v>
      </c>
      <c r="B8" s="27">
        <f>THCE_Mcare!C7+THCE_Mcare!C8+THCE_Mcare!C9+THCE_Mcare!C10</f>
        <v>10311774860.670002</v>
      </c>
      <c r="C8" s="27">
        <f>THCE_Mcare!D7+THCE_Mcare!D8+THCE_Mcare!D9+THCE_Mcare!D10</f>
        <v>10952473533.57</v>
      </c>
      <c r="D8" s="27">
        <f>THCE_Mcare!E7+THCE_Mcare!E8+THCE_Mcare!E9+THCE_Mcare!E10</f>
        <v>10635120571.440001</v>
      </c>
      <c r="E8" s="8">
        <f t="shared" ref="E8:E15" si="0">IFERROR((C8-B8)/B8, "")</f>
        <v>6.2132725118318639E-2</v>
      </c>
      <c r="F8" s="8">
        <f t="shared" ref="F8:F15" si="1">IFERROR((D8-C8)/C8, "")</f>
        <v>-2.8975460306504549E-2</v>
      </c>
      <c r="G8" s="46" t="s">
        <v>172</v>
      </c>
    </row>
    <row r="9" spans="1:7" x14ac:dyDescent="0.35">
      <c r="A9" s="46" t="s">
        <v>42</v>
      </c>
      <c r="B9" s="27">
        <f>THCE_Maid!C7+THCE_Maid!C8+THCE_Maid!C9+THCE_Maid!C12</f>
        <v>4791307991.7200003</v>
      </c>
      <c r="C9" s="27">
        <f>THCE_Maid!D7+THCE_Maid!D8+THCE_Maid!D9+THCE_Maid!D12</f>
        <v>5077230115.75</v>
      </c>
      <c r="D9" s="27">
        <f>THCE_Maid!E7+THCE_Maid!E8+THCE_Maid!E9+THCE_Maid!E12</f>
        <v>5850639674.6273832</v>
      </c>
      <c r="E9" s="8">
        <f t="shared" si="0"/>
        <v>5.9675171064792774E-2</v>
      </c>
      <c r="F9" s="8">
        <f t="shared" si="1"/>
        <v>0.15232903399004921</v>
      </c>
      <c r="G9" s="46" t="s">
        <v>173</v>
      </c>
    </row>
    <row r="10" spans="1:7" s="15" customFormat="1" x14ac:dyDescent="0.35">
      <c r="A10" s="75" t="s">
        <v>4</v>
      </c>
      <c r="B10" s="85">
        <f>SUM(THCE_NCPHI!C7:C13)</f>
        <v>1641710245.678395</v>
      </c>
      <c r="C10" s="85">
        <f>SUM(THCE_NCPHI!D7:D13)</f>
        <v>1598296081.2356632</v>
      </c>
      <c r="D10" s="85">
        <f>SUM(THCE_NCPHI!E7:E13)</f>
        <v>2275432639.269227</v>
      </c>
      <c r="E10" s="74">
        <f t="shared" si="0"/>
        <v>-2.6444474326096479E-2</v>
      </c>
      <c r="F10" s="74">
        <f t="shared" si="1"/>
        <v>0.42366152678673963</v>
      </c>
      <c r="G10" s="86"/>
    </row>
    <row r="11" spans="1:7" x14ac:dyDescent="0.35">
      <c r="A11" s="7" t="s">
        <v>125</v>
      </c>
      <c r="B11" s="29">
        <f>THCE_Other!C7</f>
        <v>1290873090.6323705</v>
      </c>
      <c r="C11" s="29">
        <f>THCE_Other!D7</f>
        <v>1403197115.4343758</v>
      </c>
      <c r="D11" s="29">
        <f>THCE_Other!E7</f>
        <v>1644108455.4814372</v>
      </c>
      <c r="E11" s="8">
        <f t="shared" si="0"/>
        <v>8.7013995114717441E-2</v>
      </c>
      <c r="F11" s="8">
        <f t="shared" si="1"/>
        <v>0.17168745388454179</v>
      </c>
      <c r="G11" s="7"/>
    </row>
    <row r="12" spans="1:7" x14ac:dyDescent="0.35">
      <c r="A12" s="7" t="s">
        <v>20</v>
      </c>
      <c r="B12" s="29">
        <f>THCE_Other!C8</f>
        <v>130928891.75999999</v>
      </c>
      <c r="C12" s="29">
        <f>THCE_Other!D8</f>
        <v>140639752.20000002</v>
      </c>
      <c r="D12" s="29">
        <f>THCE_Other!E8</f>
        <v>157818273.87</v>
      </c>
      <c r="E12" s="8">
        <f t="shared" si="0"/>
        <v>7.4168965378555093E-2</v>
      </c>
      <c r="F12" s="8">
        <f t="shared" si="1"/>
        <v>0.12214556269674645</v>
      </c>
      <c r="G12" s="7"/>
    </row>
    <row r="13" spans="1:7" s="15" customFormat="1" x14ac:dyDescent="0.35">
      <c r="A13" s="14" t="s">
        <v>53</v>
      </c>
      <c r="B13" s="87">
        <f>THCE_Other!C9</f>
        <v>230170817</v>
      </c>
      <c r="C13" s="87">
        <f>THCE_Other!D9</f>
        <v>226256469</v>
      </c>
      <c r="D13" s="87">
        <f>THCE_Other!E9</f>
        <v>242363046</v>
      </c>
      <c r="E13" s="74">
        <f t="shared" si="0"/>
        <v>-1.700627408382532E-2</v>
      </c>
      <c r="F13" s="74">
        <f t="shared" si="1"/>
        <v>7.1187255202855654E-2</v>
      </c>
      <c r="G13" s="88"/>
    </row>
    <row r="14" spans="1:7" s="15" customFormat="1" x14ac:dyDescent="0.35">
      <c r="A14" s="14" t="s">
        <v>163</v>
      </c>
      <c r="B14" s="87">
        <f>THCE_Other!C10</f>
        <v>4276231</v>
      </c>
      <c r="C14" s="87">
        <f>THCE_Other!D10</f>
        <v>3470695</v>
      </c>
      <c r="D14" s="87">
        <f>THCE_Other!E10</f>
        <v>3253793</v>
      </c>
      <c r="E14" s="74">
        <f t="shared" si="0"/>
        <v>-0.18837523043072277</v>
      </c>
      <c r="F14" s="74">
        <f t="shared" si="1"/>
        <v>-6.2495263916881198E-2</v>
      </c>
      <c r="G14" s="88"/>
    </row>
    <row r="15" spans="1:7" x14ac:dyDescent="0.35">
      <c r="A15" s="36" t="s">
        <v>13</v>
      </c>
      <c r="B15" s="53">
        <f>SUM(B7:B14)</f>
        <v>27170173727.470764</v>
      </c>
      <c r="C15" s="53">
        <f>SUM(C7:C14)</f>
        <v>28654058615.570038</v>
      </c>
      <c r="D15" s="53">
        <f>SUM(D7:D14)</f>
        <v>29787464641.168045</v>
      </c>
      <c r="E15" s="50">
        <f t="shared" si="0"/>
        <v>5.4614479207358624E-2</v>
      </c>
      <c r="F15" s="50">
        <f t="shared" si="1"/>
        <v>3.9554816328257851E-2</v>
      </c>
      <c r="G15" s="7"/>
    </row>
    <row r="16" spans="1:7" x14ac:dyDescent="0.35">
      <c r="C16" s="21"/>
      <c r="E16" s="9"/>
      <c r="F16" s="9"/>
    </row>
    <row r="18" spans="1:7" x14ac:dyDescent="0.35">
      <c r="A18" s="114" t="s">
        <v>0</v>
      </c>
      <c r="B18" s="114" t="s">
        <v>44</v>
      </c>
      <c r="C18" s="114"/>
      <c r="D18" s="114"/>
      <c r="E18" s="115" t="s">
        <v>2</v>
      </c>
      <c r="F18" s="117"/>
      <c r="G18" s="118" t="s">
        <v>28</v>
      </c>
    </row>
    <row r="19" spans="1:7" x14ac:dyDescent="0.35">
      <c r="A19" s="114"/>
      <c r="B19" s="22">
        <v>2018</v>
      </c>
      <c r="C19" s="22">
        <v>2019</v>
      </c>
      <c r="D19" s="22">
        <v>2020</v>
      </c>
      <c r="E19" s="22" t="s">
        <v>15</v>
      </c>
      <c r="F19" s="22" t="s">
        <v>16</v>
      </c>
      <c r="G19" s="119"/>
    </row>
    <row r="20" spans="1:7" s="15" customFormat="1" ht="13.5" customHeight="1" x14ac:dyDescent="0.35">
      <c r="A20" s="14" t="s">
        <v>3</v>
      </c>
      <c r="B20" s="89">
        <f>THCE_Comm!C17</f>
        <v>1589457.0833333335</v>
      </c>
      <c r="C20" s="89">
        <f>THCE_Comm!D17</f>
        <v>1605479.8333333333</v>
      </c>
      <c r="D20" s="89">
        <f>THCE_Comm!E17</f>
        <v>1583541.9166666667</v>
      </c>
      <c r="E20" s="74">
        <f>IFERROR((C20-B20)/B20, "")</f>
        <v>1.0080643364335212E-2</v>
      </c>
      <c r="F20" s="74">
        <f>IFERROR((D20-C20)/C20, "")</f>
        <v>-1.3664398774239672E-2</v>
      </c>
      <c r="G20" s="88"/>
    </row>
    <row r="21" spans="1:7" s="15" customFormat="1" x14ac:dyDescent="0.35">
      <c r="A21" s="75" t="s">
        <v>41</v>
      </c>
      <c r="B21" s="89">
        <f>THCE_Mcare!C20</f>
        <v>820656.33333333337</v>
      </c>
      <c r="C21" s="89">
        <f>THCE_Mcare!D20</f>
        <v>844088.58333333326</v>
      </c>
      <c r="D21" s="89">
        <f>THCE_Mcare!E20</f>
        <v>862463.66666666674</v>
      </c>
      <c r="E21" s="74">
        <f t="shared" ref="E21:E27" si="2">IFERROR((C21-B21)/B21, "")</f>
        <v>2.8553060578748006E-2</v>
      </c>
      <c r="F21" s="74">
        <f t="shared" ref="F21:F27" si="3">IFERROR((D21-C21)/C21, "")</f>
        <v>2.1769140936333586E-2</v>
      </c>
      <c r="G21" s="75" t="s">
        <v>87</v>
      </c>
    </row>
    <row r="22" spans="1:7" s="15" customFormat="1" x14ac:dyDescent="0.35">
      <c r="A22" s="75" t="s">
        <v>42</v>
      </c>
      <c r="B22" s="89">
        <f>THCE_Maid!C21</f>
        <v>769294.16666666663</v>
      </c>
      <c r="C22" s="89">
        <f>THCE_Maid!D21</f>
        <v>787935.5</v>
      </c>
      <c r="D22" s="89">
        <f>THCE_Maid!E21</f>
        <v>968926.33333333337</v>
      </c>
      <c r="E22" s="74">
        <f t="shared" si="2"/>
        <v>2.4231736234405398E-2</v>
      </c>
      <c r="F22" s="74">
        <f t="shared" si="3"/>
        <v>0.2297026004455103</v>
      </c>
      <c r="G22" s="75" t="s">
        <v>88</v>
      </c>
    </row>
    <row r="23" spans="1:7" s="15" customFormat="1" x14ac:dyDescent="0.35">
      <c r="A23" s="75" t="s">
        <v>4</v>
      </c>
      <c r="B23" s="89">
        <f>SUM(THCE_NCPHI!C18:C24)</f>
        <v>2783107.4916666667</v>
      </c>
      <c r="C23" s="89">
        <f>SUM(THCE_NCPHI!D18:D24)</f>
        <v>2866244.0082181115</v>
      </c>
      <c r="D23" s="89">
        <f>SUM(THCE_NCPHI!E18:E24)</f>
        <v>2942503.2827994428</v>
      </c>
      <c r="E23" s="74">
        <f t="shared" si="2"/>
        <v>2.9871830966061028E-2</v>
      </c>
      <c r="F23" s="74">
        <f t="shared" si="3"/>
        <v>2.6605995289542782E-2</v>
      </c>
      <c r="G23" s="75" t="s">
        <v>91</v>
      </c>
    </row>
    <row r="24" spans="1:7" s="15" customFormat="1" x14ac:dyDescent="0.35">
      <c r="A24" s="14" t="s">
        <v>10</v>
      </c>
      <c r="B24" s="89">
        <f>THCE_Other!C15</f>
        <v>103494</v>
      </c>
      <c r="C24" s="89">
        <f>THCE_Other!D15</f>
        <v>103569</v>
      </c>
      <c r="D24" s="89">
        <f>THCE_Other!E15</f>
        <v>101786</v>
      </c>
      <c r="E24" s="74">
        <f t="shared" si="2"/>
        <v>7.2467969157632322E-4</v>
      </c>
      <c r="F24" s="74">
        <f t="shared" si="3"/>
        <v>-1.7215576089370372E-2</v>
      </c>
      <c r="G24" s="14"/>
    </row>
    <row r="25" spans="1:7" s="15" customFormat="1" x14ac:dyDescent="0.35">
      <c r="A25" s="14" t="s">
        <v>20</v>
      </c>
      <c r="B25" s="89">
        <f>THCE_Other!C16</f>
        <v>14783</v>
      </c>
      <c r="C25" s="89">
        <f>THCE_Other!D16</f>
        <v>14601</v>
      </c>
      <c r="D25" s="89">
        <f>THCE_Other!E16</f>
        <v>13791</v>
      </c>
      <c r="E25" s="74">
        <f t="shared" si="2"/>
        <v>-1.2311438814854902E-2</v>
      </c>
      <c r="F25" s="74">
        <f t="shared" si="3"/>
        <v>-5.5475652352578592E-2</v>
      </c>
      <c r="G25" s="14"/>
    </row>
    <row r="26" spans="1:7" s="15" customFormat="1" x14ac:dyDescent="0.35">
      <c r="A26" s="14" t="s">
        <v>163</v>
      </c>
      <c r="B26" s="90">
        <f>THCE_Other!C17</f>
        <v>309111</v>
      </c>
      <c r="C26" s="90">
        <f>THCE_Other!D17</f>
        <v>313576</v>
      </c>
      <c r="D26" s="90">
        <f>THCE_Other!E17</f>
        <v>316633</v>
      </c>
      <c r="E26" s="74">
        <f t="shared" si="2"/>
        <v>1.4444649333087468E-2</v>
      </c>
      <c r="F26" s="74">
        <f t="shared" si="3"/>
        <v>9.7488328188381768E-3</v>
      </c>
      <c r="G26" s="75" t="s">
        <v>91</v>
      </c>
    </row>
    <row r="27" spans="1:7" x14ac:dyDescent="0.35">
      <c r="A27" s="36" t="s">
        <v>13</v>
      </c>
      <c r="B27" s="61">
        <f>SUM(B20:B22)+SUM(B24:B25)</f>
        <v>3297684.5833333335</v>
      </c>
      <c r="C27" s="61">
        <f t="shared" ref="C27:D27" si="4">SUM(C20:C22)+SUM(C24:C25)</f>
        <v>3355673.9166666665</v>
      </c>
      <c r="D27" s="61">
        <f t="shared" si="4"/>
        <v>3530508.916666667</v>
      </c>
      <c r="E27" s="50">
        <f t="shared" si="2"/>
        <v>1.7584863521033538E-2</v>
      </c>
      <c r="F27" s="50">
        <f t="shared" si="3"/>
        <v>5.210130791661411E-2</v>
      </c>
      <c r="G27" s="30"/>
    </row>
    <row r="30" spans="1:7" x14ac:dyDescent="0.35">
      <c r="A30" s="114" t="s">
        <v>0</v>
      </c>
      <c r="B30" s="115" t="s">
        <v>82</v>
      </c>
      <c r="C30" s="116"/>
      <c r="D30" s="117"/>
      <c r="E30" s="115" t="s">
        <v>2</v>
      </c>
      <c r="F30" s="117"/>
      <c r="G30" s="118" t="s">
        <v>28</v>
      </c>
    </row>
    <row r="31" spans="1:7" x14ac:dyDescent="0.35">
      <c r="A31" s="114"/>
      <c r="B31" s="22">
        <v>2018</v>
      </c>
      <c r="C31" s="22">
        <v>2019</v>
      </c>
      <c r="D31" s="22">
        <v>2020</v>
      </c>
      <c r="E31" s="22" t="s">
        <v>15</v>
      </c>
      <c r="F31" s="22" t="s">
        <v>16</v>
      </c>
      <c r="G31" s="119"/>
    </row>
    <row r="32" spans="1:7" x14ac:dyDescent="0.35">
      <c r="A32" s="7" t="s">
        <v>3</v>
      </c>
      <c r="B32" s="60">
        <f t="shared" ref="B32:D37" si="5">IFERROR(B7/B20, "")</f>
        <v>5517.0609455020922</v>
      </c>
      <c r="C32" s="60">
        <f t="shared" si="5"/>
        <v>5763.0713642598439</v>
      </c>
      <c r="D32" s="60">
        <f t="shared" si="5"/>
        <v>5670.028745674188</v>
      </c>
      <c r="E32" s="8">
        <f>IFERROR((C32-B32)/B32, "")</f>
        <v>4.4590846682293267E-2</v>
      </c>
      <c r="F32" s="8">
        <f>IFERROR((D32-C32)/C32, "")</f>
        <v>-1.6144623709271978E-2</v>
      </c>
      <c r="G32" s="30"/>
    </row>
    <row r="33" spans="1:7" x14ac:dyDescent="0.35">
      <c r="A33" s="46" t="s">
        <v>41</v>
      </c>
      <c r="B33" s="60">
        <f t="shared" si="5"/>
        <v>12565.277865809847</v>
      </c>
      <c r="C33" s="60">
        <f t="shared" si="5"/>
        <v>12975.502512210656</v>
      </c>
      <c r="D33" s="60">
        <f t="shared" si="5"/>
        <v>12331.09403036495</v>
      </c>
      <c r="E33" s="8">
        <f t="shared" ref="E33:E40" si="6">IFERROR((C33-B33)/B33, "")</f>
        <v>3.2647479091332456E-2</v>
      </c>
      <c r="F33" s="8">
        <f t="shared" ref="F33:F40" si="7">IFERROR((D33-C33)/C33, "")</f>
        <v>-4.9663470161504977E-2</v>
      </c>
      <c r="G33" s="7"/>
    </row>
    <row r="34" spans="1:7" x14ac:dyDescent="0.35">
      <c r="A34" s="46" t="s">
        <v>42</v>
      </c>
      <c r="B34" s="60">
        <f t="shared" si="5"/>
        <v>6228.1870828172587</v>
      </c>
      <c r="C34" s="60">
        <f t="shared" si="5"/>
        <v>6443.7128619664936</v>
      </c>
      <c r="D34" s="60">
        <f t="shared" si="5"/>
        <v>6038.2708915545863</v>
      </c>
      <c r="E34" s="8">
        <f t="shared" si="6"/>
        <v>3.460489806798546E-2</v>
      </c>
      <c r="F34" s="8">
        <f t="shared" si="7"/>
        <v>-6.2920552032198165E-2</v>
      </c>
      <c r="G34" s="7"/>
    </row>
    <row r="35" spans="1:7" s="15" customFormat="1" x14ac:dyDescent="0.35">
      <c r="A35" s="75" t="s">
        <v>4</v>
      </c>
      <c r="B35" s="91">
        <f>IFERROR(B10/B23, "")</f>
        <v>589.88388001329236</v>
      </c>
      <c r="C35" s="91">
        <f t="shared" si="5"/>
        <v>557.62736063399325</v>
      </c>
      <c r="D35" s="91">
        <f>IFERROR(D10/D23, "")</f>
        <v>773.29825002078599</v>
      </c>
      <c r="E35" s="74">
        <f t="shared" si="6"/>
        <v>-5.4682829065564979E-2</v>
      </c>
      <c r="F35" s="74">
        <f>IFERROR((D35-C35)/C35, "")</f>
        <v>0.38676525689411329</v>
      </c>
      <c r="G35" s="14"/>
    </row>
    <row r="36" spans="1:7" x14ac:dyDescent="0.35">
      <c r="A36" s="7" t="s">
        <v>167</v>
      </c>
      <c r="B36" s="60">
        <f t="shared" si="5"/>
        <v>12472.926842448553</v>
      </c>
      <c r="C36" s="60">
        <f t="shared" si="5"/>
        <v>13548.427767327827</v>
      </c>
      <c r="D36" s="60">
        <f t="shared" si="5"/>
        <v>16152.599134276199</v>
      </c>
      <c r="E36" s="8">
        <f t="shared" si="6"/>
        <v>8.6226828591591656E-2</v>
      </c>
      <c r="F36" s="8">
        <f t="shared" si="7"/>
        <v>0.19221207151639827</v>
      </c>
      <c r="G36" s="7"/>
    </row>
    <row r="37" spans="1:7" x14ac:dyDescent="0.35">
      <c r="A37" s="7" t="s">
        <v>20</v>
      </c>
      <c r="B37" s="60">
        <f t="shared" si="5"/>
        <v>8856.7199999999993</v>
      </c>
      <c r="C37" s="60">
        <f t="shared" si="5"/>
        <v>9632.2000000000007</v>
      </c>
      <c r="D37" s="60">
        <f t="shared" si="5"/>
        <v>11443.57</v>
      </c>
      <c r="E37" s="8">
        <f t="shared" si="6"/>
        <v>8.7558373754618127E-2</v>
      </c>
      <c r="F37" s="8">
        <f t="shared" si="7"/>
        <v>0.18805361184360778</v>
      </c>
      <c r="G37" s="7"/>
    </row>
    <row r="38" spans="1:7" s="15" customFormat="1" x14ac:dyDescent="0.35">
      <c r="A38" s="14" t="s">
        <v>53</v>
      </c>
      <c r="B38" s="91">
        <f>B13/B27</f>
        <v>69.79770538495255</v>
      </c>
      <c r="C38" s="91">
        <f t="shared" ref="C38:D38" si="8">C13/C27</f>
        <v>67.425046240711666</v>
      </c>
      <c r="D38" s="91">
        <f t="shared" si="8"/>
        <v>68.648189742805485</v>
      </c>
      <c r="E38" s="74">
        <f t="shared" si="6"/>
        <v>-3.3993368852959428E-2</v>
      </c>
      <c r="F38" s="74">
        <f t="shared" si="7"/>
        <v>1.8140788479804965E-2</v>
      </c>
      <c r="G38" s="75" t="s">
        <v>52</v>
      </c>
    </row>
    <row r="39" spans="1:7" s="15" customFormat="1" x14ac:dyDescent="0.35">
      <c r="A39" s="14" t="s">
        <v>163</v>
      </c>
      <c r="B39" s="91">
        <f>B14/B26</f>
        <v>13.833965792223506</v>
      </c>
      <c r="C39" s="91">
        <f t="shared" ref="C39:D39" si="9">C14/C26</f>
        <v>11.068114268949154</v>
      </c>
      <c r="D39" s="91">
        <f t="shared" si="9"/>
        <v>10.276228314799784</v>
      </c>
      <c r="E39" s="74">
        <f t="shared" si="6"/>
        <v>-0.19993193309969878</v>
      </c>
      <c r="F39" s="74">
        <f t="shared" si="7"/>
        <v>-7.154660088493596E-2</v>
      </c>
      <c r="G39" s="86"/>
    </row>
    <row r="40" spans="1:7" x14ac:dyDescent="0.35">
      <c r="A40" s="36" t="s">
        <v>13</v>
      </c>
      <c r="B40" s="66">
        <f>IFERROR(B15/B27, "")</f>
        <v>8239.1669187496627</v>
      </c>
      <c r="C40" s="66">
        <f>IFERROR(C15/C27, "")</f>
        <v>8538.9877941517425</v>
      </c>
      <c r="D40" s="66">
        <f>IFERROR(D15/D27, "")</f>
        <v>8437.1588754665736</v>
      </c>
      <c r="E40" s="50">
        <f t="shared" si="6"/>
        <v>3.6389707643837754E-2</v>
      </c>
      <c r="F40" s="50">
        <f t="shared" si="7"/>
        <v>-1.1925174404735698E-2</v>
      </c>
      <c r="G40" s="7"/>
    </row>
    <row r="45" spans="1:7" x14ac:dyDescent="0.35">
      <c r="A45" s="26"/>
    </row>
    <row r="46" spans="1:7" x14ac:dyDescent="0.35">
      <c r="A46" s="26"/>
    </row>
  </sheetData>
  <mergeCells count="12">
    <mergeCell ref="G5:G6"/>
    <mergeCell ref="B18:D18"/>
    <mergeCell ref="E18:F18"/>
    <mergeCell ref="G18:G19"/>
    <mergeCell ref="A5:A6"/>
    <mergeCell ref="B5:D5"/>
    <mergeCell ref="E5:F5"/>
    <mergeCell ref="A30:A31"/>
    <mergeCell ref="B30:D30"/>
    <mergeCell ref="E30:F30"/>
    <mergeCell ref="G30:G31"/>
    <mergeCell ref="A18:A1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50D00-9325-459F-AD90-CF057EF6CC29}">
  <sheetPr>
    <tabColor theme="4"/>
  </sheetPr>
  <dimension ref="A1:H27"/>
  <sheetViews>
    <sheetView topLeftCell="A10" zoomScaleNormal="100" workbookViewId="0">
      <selection activeCell="C27" sqref="C27"/>
    </sheetView>
  </sheetViews>
  <sheetFormatPr defaultRowHeight="14.5" x14ac:dyDescent="0.35"/>
  <cols>
    <col min="1" max="1" width="32.81640625" style="21" customWidth="1"/>
    <col min="2" max="3" width="19.81640625" style="21" customWidth="1"/>
    <col min="4" max="5" width="20" style="21" bestFit="1" customWidth="1"/>
    <col min="6" max="7" width="16.81640625" style="21" customWidth="1"/>
    <col min="8" max="8" width="35.1796875" style="21" customWidth="1"/>
  </cols>
  <sheetData>
    <row r="1" spans="1:8" ht="18.5" x14ac:dyDescent="0.45">
      <c r="A1" s="2" t="s">
        <v>105</v>
      </c>
      <c r="B1" s="31"/>
      <c r="C1" s="31"/>
      <c r="D1" s="31"/>
      <c r="E1" s="31"/>
      <c r="F1" s="31"/>
    </row>
    <row r="2" spans="1:8" ht="15.5" x14ac:dyDescent="0.35">
      <c r="A2" s="32" t="s">
        <v>127</v>
      </c>
      <c r="B2" s="32"/>
      <c r="C2" s="33"/>
      <c r="D2" s="33"/>
      <c r="E2" s="33"/>
      <c r="F2" s="33"/>
    </row>
    <row r="3" spans="1:8" ht="15.5" x14ac:dyDescent="0.35">
      <c r="A3" s="34"/>
      <c r="B3" s="34"/>
      <c r="C3" s="6"/>
      <c r="D3" s="6"/>
      <c r="E3" s="6"/>
      <c r="F3" s="6"/>
    </row>
    <row r="5" spans="1:8" x14ac:dyDescent="0.35">
      <c r="A5" s="118" t="s">
        <v>24</v>
      </c>
      <c r="B5" s="118" t="s">
        <v>17</v>
      </c>
      <c r="C5" s="115" t="s">
        <v>1</v>
      </c>
      <c r="D5" s="116"/>
      <c r="E5" s="117"/>
      <c r="F5" s="115" t="s">
        <v>2</v>
      </c>
      <c r="G5" s="117"/>
      <c r="H5" s="118" t="s">
        <v>28</v>
      </c>
    </row>
    <row r="6" spans="1:8" x14ac:dyDescent="0.35">
      <c r="A6" s="119"/>
      <c r="B6" s="119"/>
      <c r="C6" s="22">
        <v>2018</v>
      </c>
      <c r="D6" s="22">
        <v>2019</v>
      </c>
      <c r="E6" s="22">
        <v>2020</v>
      </c>
      <c r="F6" s="22" t="s">
        <v>15</v>
      </c>
      <c r="G6" s="22" t="s">
        <v>16</v>
      </c>
      <c r="H6" s="119"/>
    </row>
    <row r="7" spans="1:8" x14ac:dyDescent="0.35">
      <c r="A7" s="7" t="s">
        <v>23</v>
      </c>
      <c r="B7" s="7" t="s">
        <v>18</v>
      </c>
      <c r="C7" s="27">
        <f>SUM(TME_Comm_ServCat!J26:J27)</f>
        <v>7626674501.3899994</v>
      </c>
      <c r="D7" s="27">
        <f>SUM(TME_Comm_ServCat!K26:K27)</f>
        <v>7803071314.3099985</v>
      </c>
      <c r="E7" s="27">
        <f>SUM(TME_Comm_ServCat!L26:L27)</f>
        <v>7628015343.6999989</v>
      </c>
      <c r="F7" s="8">
        <f t="shared" ref="F7:G10" si="0">IFERROR((D7-C7)/C7, "")</f>
        <v>2.3128928983117074E-2</v>
      </c>
      <c r="G7" s="8">
        <f t="shared" si="0"/>
        <v>-2.2434239488362196E-2</v>
      </c>
      <c r="H7" s="7"/>
    </row>
    <row r="8" spans="1:8" x14ac:dyDescent="0.35">
      <c r="A8" s="7" t="s">
        <v>22</v>
      </c>
      <c r="B8" s="7" t="s">
        <v>18</v>
      </c>
      <c r="C8" s="10">
        <f>SUM(TME_Comm_ServCat!R26:R27)</f>
        <v>1142457097.6199999</v>
      </c>
      <c r="D8" s="10">
        <f>SUM(TME_Comm_ServCat!S26:S27)</f>
        <v>1449423539.0699999</v>
      </c>
      <c r="E8" s="10">
        <f>SUM(TME_Comm_ServCat!T26:T27)</f>
        <v>1350712843.7800002</v>
      </c>
      <c r="F8" s="8">
        <f t="shared" si="0"/>
        <v>0.2686896882950629</v>
      </c>
      <c r="G8" s="8">
        <f t="shared" si="0"/>
        <v>-6.8103416723407084E-2</v>
      </c>
      <c r="H8" s="7"/>
    </row>
    <row r="9" spans="1:8" s="21" customFormat="1" x14ac:dyDescent="0.35">
      <c r="A9" s="7" t="s">
        <v>100</v>
      </c>
      <c r="B9" s="92" t="s">
        <v>168</v>
      </c>
      <c r="C9" s="73">
        <f>SUM(THCE_NCPHI!C7:C11)</f>
        <v>1060282017.2700167</v>
      </c>
      <c r="D9" s="73">
        <f>SUM(THCE_NCPHI!D7:D11)</f>
        <v>1037097803.5129222</v>
      </c>
      <c r="E9" s="73">
        <f>SUM(THCE_NCPHI!E7:E11)</f>
        <v>1330174113.8366134</v>
      </c>
      <c r="F9" s="8">
        <f t="shared" si="0"/>
        <v>-2.1866082211587954E-2</v>
      </c>
      <c r="G9" s="8">
        <f>IFERROR((E9-D9)/D9, "")</f>
        <v>0.28259274036736454</v>
      </c>
      <c r="H9" s="7"/>
    </row>
    <row r="10" spans="1:8" s="21" customFormat="1" x14ac:dyDescent="0.35">
      <c r="A10" s="52" t="s">
        <v>13</v>
      </c>
      <c r="B10" s="24"/>
      <c r="C10" s="53">
        <f>SUM(C7:C9)</f>
        <v>9829413616.280014</v>
      </c>
      <c r="D10" s="53">
        <f t="shared" ref="D10:E10" si="1">SUM(D7:D9)</f>
        <v>10289592656.892921</v>
      </c>
      <c r="E10" s="53">
        <f t="shared" si="1"/>
        <v>10308902301.316612</v>
      </c>
      <c r="F10" s="50">
        <f t="shared" si="0"/>
        <v>4.6816530321883459E-2</v>
      </c>
      <c r="G10" s="50">
        <f t="shared" si="0"/>
        <v>1.8766189360037891E-3</v>
      </c>
      <c r="H10" s="7"/>
    </row>
    <row r="13" spans="1:8" x14ac:dyDescent="0.35">
      <c r="A13" s="118" t="s">
        <v>24</v>
      </c>
      <c r="B13" s="118" t="s">
        <v>17</v>
      </c>
      <c r="C13" s="115" t="s">
        <v>44</v>
      </c>
      <c r="D13" s="116"/>
      <c r="E13" s="117"/>
      <c r="F13" s="115" t="s">
        <v>2</v>
      </c>
      <c r="G13" s="117"/>
      <c r="H13" s="118" t="s">
        <v>28</v>
      </c>
    </row>
    <row r="14" spans="1:8" x14ac:dyDescent="0.35">
      <c r="A14" s="119"/>
      <c r="B14" s="119"/>
      <c r="C14" s="22">
        <v>2018</v>
      </c>
      <c r="D14" s="22">
        <v>2019</v>
      </c>
      <c r="E14" s="22">
        <v>2020</v>
      </c>
      <c r="F14" s="22" t="s">
        <v>15</v>
      </c>
      <c r="G14" s="22" t="s">
        <v>16</v>
      </c>
      <c r="H14" s="119"/>
    </row>
    <row r="15" spans="1:8" x14ac:dyDescent="0.35">
      <c r="A15" s="7" t="s">
        <v>23</v>
      </c>
      <c r="B15" s="7" t="s">
        <v>18</v>
      </c>
      <c r="C15" s="35">
        <f>SUM(TME_Comm_ServCat!J8/12)</f>
        <v>1395513.9166666667</v>
      </c>
      <c r="D15" s="35">
        <f>SUM(TME_Comm_ServCat!K8/12)</f>
        <v>1373551.3333333333</v>
      </c>
      <c r="E15" s="35">
        <f>SUM(TME_Comm_ServCat!L8/12)</f>
        <v>1358757.25</v>
      </c>
      <c r="F15" s="8">
        <f t="shared" ref="F15:G17" si="2">IFERROR((D15-C15)/C15, "")</f>
        <v>-1.5737989475442461E-2</v>
      </c>
      <c r="G15" s="8">
        <f t="shared" si="2"/>
        <v>-1.0770681061792563E-2</v>
      </c>
      <c r="H15" s="7" t="s">
        <v>45</v>
      </c>
    </row>
    <row r="16" spans="1:8" x14ac:dyDescent="0.35">
      <c r="A16" s="7" t="s">
        <v>22</v>
      </c>
      <c r="B16" s="7" t="s">
        <v>18</v>
      </c>
      <c r="C16" s="35">
        <f>TME_Comm_ServCat!R8/12</f>
        <v>193943.16666666666</v>
      </c>
      <c r="D16" s="35">
        <f>TME_Comm_ServCat!S8/12</f>
        <v>231928.5</v>
      </c>
      <c r="E16" s="35">
        <f>TME_Comm_ServCat!T8/12</f>
        <v>224784.66666666666</v>
      </c>
      <c r="F16" s="8">
        <f t="shared" si="2"/>
        <v>0.19585806494858035</v>
      </c>
      <c r="G16" s="8">
        <f t="shared" si="2"/>
        <v>-3.0801877877593066E-2</v>
      </c>
      <c r="H16" s="7" t="s">
        <v>45</v>
      </c>
    </row>
    <row r="17" spans="1:8" s="21" customFormat="1" x14ac:dyDescent="0.35">
      <c r="A17" s="52" t="s">
        <v>13</v>
      </c>
      <c r="B17" s="24"/>
      <c r="C17" s="49">
        <f>SUM(C15:C16)</f>
        <v>1589457.0833333335</v>
      </c>
      <c r="D17" s="49">
        <f t="shared" ref="D17:E17" si="3">SUM(D15:D16)</f>
        <v>1605479.8333333333</v>
      </c>
      <c r="E17" s="49">
        <f t="shared" si="3"/>
        <v>1583541.9166666667</v>
      </c>
      <c r="F17" s="50">
        <f t="shared" si="2"/>
        <v>1.0080643364335212E-2</v>
      </c>
      <c r="G17" s="50">
        <f t="shared" si="2"/>
        <v>-1.3664398774239672E-2</v>
      </c>
      <c r="H17" s="7"/>
    </row>
    <row r="18" spans="1:8" x14ac:dyDescent="0.35">
      <c r="D18" s="11"/>
      <c r="E18" s="11"/>
    </row>
    <row r="19" spans="1:8" x14ac:dyDescent="0.35">
      <c r="D19" s="11"/>
      <c r="E19" s="11"/>
    </row>
    <row r="20" spans="1:8" x14ac:dyDescent="0.35">
      <c r="A20" s="118" t="s">
        <v>24</v>
      </c>
      <c r="B20" s="118" t="s">
        <v>17</v>
      </c>
      <c r="C20" s="115" t="s">
        <v>43</v>
      </c>
      <c r="D20" s="116"/>
      <c r="E20" s="117"/>
      <c r="F20" s="115" t="s">
        <v>2</v>
      </c>
      <c r="G20" s="117"/>
      <c r="H20" s="118" t="s">
        <v>28</v>
      </c>
    </row>
    <row r="21" spans="1:8" x14ac:dyDescent="0.35">
      <c r="A21" s="119"/>
      <c r="B21" s="119"/>
      <c r="C21" s="22">
        <v>2018</v>
      </c>
      <c r="D21" s="22">
        <v>2019</v>
      </c>
      <c r="E21" s="22">
        <v>2020</v>
      </c>
      <c r="F21" s="22" t="s">
        <v>15</v>
      </c>
      <c r="G21" s="22" t="s">
        <v>16</v>
      </c>
      <c r="H21" s="119"/>
    </row>
    <row r="22" spans="1:8" x14ac:dyDescent="0.35">
      <c r="A22" s="7" t="s">
        <v>23</v>
      </c>
      <c r="B22" s="24"/>
      <c r="C22" s="27">
        <f t="shared" ref="C22:E23" si="4">C7/C15</f>
        <v>5465.1368290236196</v>
      </c>
      <c r="D22" s="27">
        <f t="shared" si="4"/>
        <v>5680.9462631247361</v>
      </c>
      <c r="E22" s="27">
        <f t="shared" si="4"/>
        <v>5613.9647782560123</v>
      </c>
      <c r="F22" s="8">
        <f>IFERROR((D22-C22)/C22, "")</f>
        <v>3.9488386266016362E-2</v>
      </c>
      <c r="G22" s="8">
        <f>IFERROR((E22-D22)/D22, "")</f>
        <v>-1.1790550687568275E-2</v>
      </c>
      <c r="H22" s="7" t="s">
        <v>40</v>
      </c>
    </row>
    <row r="23" spans="1:8" x14ac:dyDescent="0.35">
      <c r="A23" s="7" t="s">
        <v>22</v>
      </c>
      <c r="B23" s="24"/>
      <c r="C23" s="27">
        <f t="shared" si="4"/>
        <v>5890.6798174723008</v>
      </c>
      <c r="D23" s="27">
        <f t="shared" si="4"/>
        <v>6249.4412677614</v>
      </c>
      <c r="E23" s="27">
        <f t="shared" si="4"/>
        <v>6008.9189525679403</v>
      </c>
      <c r="F23" s="8">
        <f>IFERROR((D23-C23)/C23, "")</f>
        <v>6.0903233821159253E-2</v>
      </c>
      <c r="G23" s="8">
        <f>IFERROR((E23-D23)/D23, "")</f>
        <v>-3.8487011060369038E-2</v>
      </c>
      <c r="H23" s="7" t="s">
        <v>40</v>
      </c>
    </row>
    <row r="24" spans="1:8" s="21" customFormat="1" x14ac:dyDescent="0.35">
      <c r="A24" s="64" t="s">
        <v>100</v>
      </c>
      <c r="B24" s="24"/>
      <c r="C24" s="27">
        <f>C9/C17</f>
        <v>667.07181237409941</v>
      </c>
      <c r="D24" s="27">
        <f t="shared" ref="D24:E24" si="5">D9/D17</f>
        <v>645.97373444403627</v>
      </c>
      <c r="E24" s="27">
        <f t="shared" si="5"/>
        <v>839.99930777747329</v>
      </c>
      <c r="F24" s="8">
        <f t="shared" ref="F24:F25" si="6">IFERROR((D24-C24)/C24, "")</f>
        <v>-3.162789603562377E-2</v>
      </c>
      <c r="G24" s="8">
        <f t="shared" ref="G24:G25" si="7">IFERROR((E24-D24)/D24, "")</f>
        <v>0.30036139704724535</v>
      </c>
      <c r="H24" s="7" t="s">
        <v>158</v>
      </c>
    </row>
    <row r="25" spans="1:8" x14ac:dyDescent="0.35">
      <c r="A25" s="52" t="s">
        <v>13</v>
      </c>
      <c r="B25" s="24"/>
      <c r="C25" s="53">
        <f>C10/C17</f>
        <v>6184.1327578761911</v>
      </c>
      <c r="D25" s="53">
        <f t="shared" ref="D25:E25" si="8">D10/D17</f>
        <v>6409.0450987038803</v>
      </c>
      <c r="E25" s="53">
        <f t="shared" si="8"/>
        <v>6510.0280534516605</v>
      </c>
      <c r="F25" s="50">
        <f t="shared" si="6"/>
        <v>3.6369261403911148E-2</v>
      </c>
      <c r="G25" s="50">
        <f t="shared" si="7"/>
        <v>1.5756318327078446E-2</v>
      </c>
      <c r="H25" s="7"/>
    </row>
    <row r="27" spans="1:8" x14ac:dyDescent="0.35">
      <c r="C27" s="55"/>
    </row>
  </sheetData>
  <mergeCells count="15">
    <mergeCell ref="H5:H6"/>
    <mergeCell ref="H13:H14"/>
    <mergeCell ref="A20:A21"/>
    <mergeCell ref="B20:B21"/>
    <mergeCell ref="C20:E20"/>
    <mergeCell ref="F20:G20"/>
    <mergeCell ref="H20:H21"/>
    <mergeCell ref="A5:A6"/>
    <mergeCell ref="B5:B6"/>
    <mergeCell ref="C5:E5"/>
    <mergeCell ref="F5:G5"/>
    <mergeCell ref="A13:A14"/>
    <mergeCell ref="B13:B14"/>
    <mergeCell ref="C13:E13"/>
    <mergeCell ref="F13:G1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C55DD-9122-4680-A728-3FDEC3135DC5}">
  <sheetPr>
    <tabColor theme="4"/>
  </sheetPr>
  <dimension ref="A1:H40"/>
  <sheetViews>
    <sheetView topLeftCell="A16" zoomScaleNormal="100" workbookViewId="0">
      <selection activeCell="A37" sqref="A37"/>
    </sheetView>
  </sheetViews>
  <sheetFormatPr defaultRowHeight="14.5" x14ac:dyDescent="0.35"/>
  <cols>
    <col min="1" max="1" width="32.81640625" style="21" customWidth="1"/>
    <col min="2" max="2" width="19.1796875" style="21" customWidth="1"/>
    <col min="3" max="3" width="19.81640625" style="21" customWidth="1"/>
    <col min="4" max="5" width="20" style="21" bestFit="1" customWidth="1"/>
    <col min="6" max="6" width="16.81640625" style="21" customWidth="1"/>
    <col min="7" max="7" width="16.81640625" customWidth="1"/>
    <col min="8" max="8" width="33.1796875" customWidth="1"/>
  </cols>
  <sheetData>
    <row r="1" spans="1:8" ht="18.5" x14ac:dyDescent="0.45">
      <c r="A1" s="2" t="s">
        <v>105</v>
      </c>
      <c r="B1" s="31"/>
      <c r="C1" s="31"/>
      <c r="D1" s="31"/>
      <c r="E1" s="31"/>
      <c r="F1" s="31"/>
    </row>
    <row r="2" spans="1:8" ht="15.5" x14ac:dyDescent="0.35">
      <c r="A2" s="32" t="s">
        <v>128</v>
      </c>
      <c r="B2" s="32"/>
      <c r="C2" s="33"/>
      <c r="D2" s="33"/>
      <c r="E2" s="33"/>
      <c r="F2" s="33"/>
    </row>
    <row r="3" spans="1:8" ht="15.5" x14ac:dyDescent="0.35">
      <c r="A3" s="34"/>
      <c r="B3" s="34"/>
      <c r="C3" s="6"/>
      <c r="D3" s="6"/>
      <c r="E3" s="6"/>
      <c r="F3" s="6"/>
    </row>
    <row r="5" spans="1:8" x14ac:dyDescent="0.35">
      <c r="A5" s="118" t="s">
        <v>24</v>
      </c>
      <c r="B5" s="120" t="s">
        <v>17</v>
      </c>
      <c r="C5" s="115" t="s">
        <v>1</v>
      </c>
      <c r="D5" s="116"/>
      <c r="E5" s="117"/>
      <c r="F5" s="115" t="s">
        <v>2</v>
      </c>
      <c r="G5" s="117"/>
      <c r="H5" s="118" t="s">
        <v>28</v>
      </c>
    </row>
    <row r="6" spans="1:8" x14ac:dyDescent="0.35">
      <c r="A6" s="119"/>
      <c r="B6" s="121"/>
      <c r="C6" s="22">
        <v>2018</v>
      </c>
      <c r="D6" s="22">
        <v>2019</v>
      </c>
      <c r="E6" s="22">
        <v>2020</v>
      </c>
      <c r="F6" s="22" t="s">
        <v>15</v>
      </c>
      <c r="G6" s="22" t="s">
        <v>16</v>
      </c>
      <c r="H6" s="119"/>
    </row>
    <row r="7" spans="1:8" x14ac:dyDescent="0.35">
      <c r="A7" s="7" t="s">
        <v>11</v>
      </c>
      <c r="B7" s="7" t="s">
        <v>18</v>
      </c>
      <c r="C7" s="27">
        <f>SUM(TME_Mcare_ServCat!R26:R27)</f>
        <v>3556426254.73</v>
      </c>
      <c r="D7" s="27">
        <f>SUM(TME_Mcare_ServCat!S26:S27)</f>
        <v>3793013391.6200004</v>
      </c>
      <c r="E7" s="27">
        <f>SUM(TME_Mcare_ServCat!T26:T27)</f>
        <v>3842395327.5300002</v>
      </c>
      <c r="F7" s="8">
        <f t="shared" ref="F7:G12" si="0">IFERROR((D7-C7)/C7, "")</f>
        <v>6.6523841616381779E-2</v>
      </c>
      <c r="G7" s="8">
        <f t="shared" si="0"/>
        <v>1.3019183116806441E-2</v>
      </c>
      <c r="H7" s="30"/>
    </row>
    <row r="8" spans="1:8" s="21" customFormat="1" x14ac:dyDescent="0.35">
      <c r="A8" s="7" t="s">
        <v>85</v>
      </c>
      <c r="B8" s="7" t="s">
        <v>18</v>
      </c>
      <c r="C8" s="10">
        <f>SUM(TME_Mcare_ServCat!Z26:Z27)</f>
        <v>897204647.74000001</v>
      </c>
      <c r="D8" s="10">
        <f>SUM(TME_Mcare_ServCat!AA26:AA27)</f>
        <v>983626492.69999993</v>
      </c>
      <c r="E8" s="10">
        <f>SUM(TME_Mcare_ServCat!AB26:AB27)</f>
        <v>1009115235.0599999</v>
      </c>
      <c r="F8" s="8">
        <f t="shared" si="0"/>
        <v>9.6323447696900488E-2</v>
      </c>
      <c r="G8" s="8">
        <f t="shared" si="0"/>
        <v>2.5913029538310661E-2</v>
      </c>
      <c r="H8" s="7"/>
    </row>
    <row r="9" spans="1:8" x14ac:dyDescent="0.35">
      <c r="A9" s="7" t="s">
        <v>6</v>
      </c>
      <c r="B9" s="7" t="s">
        <v>19</v>
      </c>
      <c r="C9" s="10">
        <f>TME_Mcare_ServCat!J20</f>
        <v>5281635403</v>
      </c>
      <c r="D9" s="10">
        <f>TME_Mcare_ServCat!K20</f>
        <v>5627845446</v>
      </c>
      <c r="E9" s="10">
        <f>TME_Mcare_ServCat!L20</f>
        <v>5389327655</v>
      </c>
      <c r="F9" s="8">
        <f t="shared" si="0"/>
        <v>6.554978081284267E-2</v>
      </c>
      <c r="G9" s="8">
        <f t="shared" si="0"/>
        <v>-4.2381723749987998E-2</v>
      </c>
      <c r="H9" s="7"/>
    </row>
    <row r="10" spans="1:8" s="21" customFormat="1" x14ac:dyDescent="0.35">
      <c r="A10" s="7" t="s">
        <v>86</v>
      </c>
      <c r="B10" s="7" t="s">
        <v>18</v>
      </c>
      <c r="C10" s="10">
        <f>THCE_Maid!C10</f>
        <v>576508555.20000005</v>
      </c>
      <c r="D10" s="10">
        <f>THCE_Maid!D10</f>
        <v>547988203.25</v>
      </c>
      <c r="E10" s="10">
        <f>THCE_Maid!E10</f>
        <v>394282353.8499999</v>
      </c>
      <c r="F10" s="8">
        <f>IFERROR((D10-C10)/C10, "")</f>
        <v>-4.9470821712447759E-2</v>
      </c>
      <c r="G10" s="8">
        <f>IFERROR((E10-D10)/D10, "")</f>
        <v>-0.28049116475209468</v>
      </c>
      <c r="H10" s="7" t="s">
        <v>160</v>
      </c>
    </row>
    <row r="11" spans="1:8" s="21" customFormat="1" x14ac:dyDescent="0.35">
      <c r="A11" s="7" t="s">
        <v>101</v>
      </c>
      <c r="B11" s="92" t="s">
        <v>168</v>
      </c>
      <c r="C11" s="10">
        <f>THCE_NCPHI!C12</f>
        <v>263071928.8948167</v>
      </c>
      <c r="D11" s="10">
        <f>THCE_NCPHI!D12</f>
        <v>309372020.78888506</v>
      </c>
      <c r="E11" s="10">
        <f>THCE_NCPHI!E12</f>
        <v>535685922.30445331</v>
      </c>
      <c r="F11" s="8">
        <f t="shared" si="0"/>
        <v>0.17599784244779834</v>
      </c>
      <c r="G11" s="8">
        <f t="shared" si="0"/>
        <v>0.73152672610301916</v>
      </c>
      <c r="H11" s="7"/>
    </row>
    <row r="12" spans="1:8" s="21" customFormat="1" x14ac:dyDescent="0.35">
      <c r="A12" s="52" t="s">
        <v>84</v>
      </c>
      <c r="B12" s="48"/>
      <c r="C12" s="53">
        <f>SUM(C7:C11)</f>
        <v>10574846789.564819</v>
      </c>
      <c r="D12" s="53">
        <f>SUM(D7:D11)</f>
        <v>11261845554.358885</v>
      </c>
      <c r="E12" s="53">
        <f>SUM(E7:E11)</f>
        <v>11170806493.744453</v>
      </c>
      <c r="F12" s="50">
        <f t="shared" si="0"/>
        <v>6.4965363419921207E-2</v>
      </c>
      <c r="G12" s="50">
        <f t="shared" si="0"/>
        <v>-8.083849150212756E-3</v>
      </c>
      <c r="H12" s="7"/>
    </row>
    <row r="13" spans="1:8" x14ac:dyDescent="0.35">
      <c r="A13" s="105"/>
    </row>
    <row r="15" spans="1:8" x14ac:dyDescent="0.35">
      <c r="A15" s="118" t="s">
        <v>24</v>
      </c>
      <c r="B15" s="120" t="s">
        <v>17</v>
      </c>
      <c r="C15" s="114" t="s">
        <v>44</v>
      </c>
      <c r="D15" s="114"/>
      <c r="E15" s="114"/>
      <c r="F15" s="115" t="s">
        <v>2</v>
      </c>
      <c r="G15" s="117"/>
      <c r="H15" s="118" t="s">
        <v>28</v>
      </c>
    </row>
    <row r="16" spans="1:8" x14ac:dyDescent="0.35">
      <c r="A16" s="119"/>
      <c r="B16" s="121"/>
      <c r="C16" s="22">
        <v>2018</v>
      </c>
      <c r="D16" s="22">
        <v>2019</v>
      </c>
      <c r="E16" s="22">
        <v>2020</v>
      </c>
      <c r="F16" s="22" t="s">
        <v>15</v>
      </c>
      <c r="G16" s="22" t="s">
        <v>16</v>
      </c>
      <c r="H16" s="119"/>
    </row>
    <row r="17" spans="1:8" x14ac:dyDescent="0.35">
      <c r="A17" s="7" t="s">
        <v>11</v>
      </c>
      <c r="B17" s="7" t="s">
        <v>18</v>
      </c>
      <c r="C17" s="35">
        <f>TME_Mcare_ServCat!R8/12</f>
        <v>313482.16666666669</v>
      </c>
      <c r="D17" s="35">
        <f>TME_Mcare_ServCat!S8/12</f>
        <v>322351.75</v>
      </c>
      <c r="E17" s="35">
        <f>TME_Mcare_ServCat!T8/12</f>
        <v>339859</v>
      </c>
      <c r="F17" s="8">
        <f t="shared" ref="F17:G20" si="1">IFERROR((D17-C17)/C17, "")</f>
        <v>2.8293741323934897E-2</v>
      </c>
      <c r="G17" s="8">
        <f t="shared" si="1"/>
        <v>5.4311012736862757E-2</v>
      </c>
      <c r="H17" s="7" t="s">
        <v>45</v>
      </c>
    </row>
    <row r="18" spans="1:8" s="21" customFormat="1" x14ac:dyDescent="0.35">
      <c r="A18" s="7" t="s">
        <v>85</v>
      </c>
      <c r="B18" s="7" t="s">
        <v>18</v>
      </c>
      <c r="C18" s="35">
        <f>TME_Mcare_ServCat!Z8/12</f>
        <v>47927.166666666664</v>
      </c>
      <c r="D18" s="35">
        <f>TME_Mcare_ServCat!AA8/12</f>
        <v>51511.833333333336</v>
      </c>
      <c r="E18" s="35">
        <f>TME_Mcare_ServCat!AB8/12</f>
        <v>53947.666666666664</v>
      </c>
      <c r="F18" s="8">
        <f t="shared" si="1"/>
        <v>7.4794045130980105E-2</v>
      </c>
      <c r="G18" s="8">
        <f t="shared" si="1"/>
        <v>4.7286869360114572E-2</v>
      </c>
      <c r="H18" s="7" t="s">
        <v>45</v>
      </c>
    </row>
    <row r="19" spans="1:8" x14ac:dyDescent="0.35">
      <c r="A19" s="7" t="s">
        <v>6</v>
      </c>
      <c r="B19" s="7" t="s">
        <v>19</v>
      </c>
      <c r="C19" s="35">
        <f>TME_Mcare_ServCat!J8</f>
        <v>459247</v>
      </c>
      <c r="D19" s="35">
        <f>TME_Mcare_ServCat!K8</f>
        <v>470225</v>
      </c>
      <c r="E19" s="35">
        <f>TME_Mcare_ServCat!L8</f>
        <v>468657</v>
      </c>
      <c r="F19" s="8">
        <f t="shared" si="1"/>
        <v>2.3904347769283196E-2</v>
      </c>
      <c r="G19" s="8">
        <f t="shared" si="1"/>
        <v>-3.3345738742091551E-3</v>
      </c>
      <c r="H19" s="7" t="s">
        <v>29</v>
      </c>
    </row>
    <row r="20" spans="1:8" s="21" customFormat="1" x14ac:dyDescent="0.35">
      <c r="A20" s="52" t="s">
        <v>84</v>
      </c>
      <c r="B20" s="48"/>
      <c r="C20" s="49">
        <f>SUM(C17:C19)</f>
        <v>820656.33333333337</v>
      </c>
      <c r="D20" s="49">
        <f>SUM(D17:D19)</f>
        <v>844088.58333333326</v>
      </c>
      <c r="E20" s="49">
        <f>SUM(E17:E19)</f>
        <v>862463.66666666674</v>
      </c>
      <c r="F20" s="50">
        <f t="shared" si="1"/>
        <v>2.8553060578748006E-2</v>
      </c>
      <c r="G20" s="50">
        <f t="shared" si="1"/>
        <v>2.1769140936333586E-2</v>
      </c>
      <c r="H20" s="47"/>
    </row>
    <row r="21" spans="1:8" x14ac:dyDescent="0.35">
      <c r="D21" s="11"/>
      <c r="E21" s="11"/>
    </row>
    <row r="22" spans="1:8" x14ac:dyDescent="0.35">
      <c r="D22" s="11"/>
      <c r="E22" s="11"/>
    </row>
    <row r="23" spans="1:8" x14ac:dyDescent="0.35">
      <c r="A23" s="118" t="s">
        <v>24</v>
      </c>
      <c r="B23" s="120" t="s">
        <v>17</v>
      </c>
      <c r="C23" s="115" t="s">
        <v>30</v>
      </c>
      <c r="D23" s="116"/>
      <c r="E23" s="117"/>
      <c r="F23" s="115" t="s">
        <v>2</v>
      </c>
      <c r="G23" s="117"/>
      <c r="H23" s="118" t="s">
        <v>28</v>
      </c>
    </row>
    <row r="24" spans="1:8" x14ac:dyDescent="0.35">
      <c r="A24" s="119"/>
      <c r="B24" s="121"/>
      <c r="C24" s="22">
        <v>2018</v>
      </c>
      <c r="D24" s="22">
        <v>2019</v>
      </c>
      <c r="E24" s="22">
        <v>2020</v>
      </c>
      <c r="F24" s="22" t="s">
        <v>15</v>
      </c>
      <c r="G24" s="22" t="s">
        <v>16</v>
      </c>
      <c r="H24" s="119"/>
    </row>
    <row r="25" spans="1:8" x14ac:dyDescent="0.35">
      <c r="A25" s="7" t="s">
        <v>11</v>
      </c>
      <c r="B25" s="24"/>
      <c r="C25" s="76">
        <f t="shared" ref="C25:E27" si="2">C7/C17</f>
        <v>11344.907726478858</v>
      </c>
      <c r="D25" s="76">
        <f t="shared" si="2"/>
        <v>11766.690863691605</v>
      </c>
      <c r="E25" s="76">
        <f t="shared" si="2"/>
        <v>11305.85133108142</v>
      </c>
      <c r="F25" s="8">
        <f t="shared" ref="F25:G29" si="3">IFERROR((D25-C25)/C25, "")</f>
        <v>3.7178190196145142E-2</v>
      </c>
      <c r="G25" s="8">
        <f t="shared" si="3"/>
        <v>-3.9164752261164157E-2</v>
      </c>
      <c r="H25" s="7" t="s">
        <v>40</v>
      </c>
    </row>
    <row r="26" spans="1:8" s="21" customFormat="1" x14ac:dyDescent="0.35">
      <c r="A26" s="7" t="s">
        <v>85</v>
      </c>
      <c r="B26" s="24"/>
      <c r="C26" s="76">
        <f t="shared" si="2"/>
        <v>18720.16875063899</v>
      </c>
      <c r="D26" s="76">
        <f t="shared" si="2"/>
        <v>19095.155987459191</v>
      </c>
      <c r="E26" s="76">
        <f t="shared" si="2"/>
        <v>18705.447286444269</v>
      </c>
      <c r="F26" s="8">
        <f t="shared" si="3"/>
        <v>2.0031188917963232E-2</v>
      </c>
      <c r="G26" s="8">
        <f t="shared" si="3"/>
        <v>-2.0408772846415346E-2</v>
      </c>
      <c r="H26" s="7" t="s">
        <v>40</v>
      </c>
    </row>
    <row r="27" spans="1:8" x14ac:dyDescent="0.35">
      <c r="A27" s="7" t="s">
        <v>6</v>
      </c>
      <c r="B27" s="24"/>
      <c r="C27" s="76">
        <f t="shared" si="2"/>
        <v>11500.642144641119</v>
      </c>
      <c r="D27" s="76">
        <f t="shared" si="2"/>
        <v>11968.40968897868</v>
      </c>
      <c r="E27" s="76">
        <f t="shared" si="2"/>
        <v>11499.513834211375</v>
      </c>
      <c r="F27" s="8">
        <f t="shared" si="3"/>
        <v>4.0673167502696686E-2</v>
      </c>
      <c r="G27" s="8">
        <f t="shared" si="3"/>
        <v>-3.9177791114478278E-2</v>
      </c>
      <c r="H27" s="7" t="s">
        <v>89</v>
      </c>
    </row>
    <row r="28" spans="1:8" s="21" customFormat="1" x14ac:dyDescent="0.35">
      <c r="A28" s="7" t="s">
        <v>101</v>
      </c>
      <c r="B28" s="24"/>
      <c r="C28" s="76">
        <f>C11/(C17+C18)</f>
        <v>727.90574185913852</v>
      </c>
      <c r="D28" s="76">
        <f t="shared" ref="D28:E28" si="4">D11/(D17+D18)</f>
        <v>827.49974744946428</v>
      </c>
      <c r="E28" s="76">
        <f t="shared" si="4"/>
        <v>1360.2764189816999</v>
      </c>
      <c r="F28" s="8">
        <f t="shared" si="3"/>
        <v>0.13682266791295461</v>
      </c>
      <c r="G28" s="8">
        <f t="shared" si="3"/>
        <v>0.6438390744823429</v>
      </c>
      <c r="H28" s="7" t="s">
        <v>159</v>
      </c>
    </row>
    <row r="29" spans="1:8" x14ac:dyDescent="0.35">
      <c r="A29" s="52" t="s">
        <v>84</v>
      </c>
      <c r="B29" s="7"/>
      <c r="C29" s="77">
        <f>C12/C20</f>
        <v>12885.840710705315</v>
      </c>
      <c r="D29" s="77">
        <f>D12/D20</f>
        <v>13342.018570948432</v>
      </c>
      <c r="E29" s="77">
        <f>E12/E20</f>
        <v>12952.205322362703</v>
      </c>
      <c r="F29" s="50">
        <f t="shared" si="3"/>
        <v>3.540148217602386E-2</v>
      </c>
      <c r="G29" s="50">
        <f t="shared" si="3"/>
        <v>-2.9216961924676682E-2</v>
      </c>
      <c r="H29" s="7"/>
    </row>
    <row r="31" spans="1:8" x14ac:dyDescent="0.35">
      <c r="C31" s="55"/>
      <c r="D31" s="55"/>
      <c r="E31" s="55"/>
    </row>
    <row r="33" spans="1:1" x14ac:dyDescent="0.35">
      <c r="A33" s="64"/>
    </row>
    <row r="34" spans="1:1" x14ac:dyDescent="0.35">
      <c r="A34" s="64"/>
    </row>
    <row r="40" spans="1:1" x14ac:dyDescent="0.35">
      <c r="A40" s="39"/>
    </row>
  </sheetData>
  <mergeCells count="15">
    <mergeCell ref="B15:B16"/>
    <mergeCell ref="B23:B24"/>
    <mergeCell ref="H15:H16"/>
    <mergeCell ref="H5:H6"/>
    <mergeCell ref="A23:A24"/>
    <mergeCell ref="C23:E23"/>
    <mergeCell ref="F23:G23"/>
    <mergeCell ref="H23:H24"/>
    <mergeCell ref="A5:A6"/>
    <mergeCell ref="F5:G5"/>
    <mergeCell ref="C5:E5"/>
    <mergeCell ref="A15:A16"/>
    <mergeCell ref="C15:E15"/>
    <mergeCell ref="F15:G15"/>
    <mergeCell ref="B5:B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411C1-7FF9-4401-BA5E-D55AA7E07CBD}">
  <sheetPr>
    <tabColor theme="4"/>
  </sheetPr>
  <dimension ref="A1:T33"/>
  <sheetViews>
    <sheetView topLeftCell="A22" zoomScaleNormal="100" workbookViewId="0">
      <selection activeCell="E36" sqref="E36"/>
    </sheetView>
  </sheetViews>
  <sheetFormatPr defaultRowHeight="14.5" x14ac:dyDescent="0.35"/>
  <cols>
    <col min="1" max="1" width="32.81640625" style="21" customWidth="1"/>
    <col min="2" max="2" width="19.1796875" style="21" customWidth="1"/>
    <col min="3" max="3" width="19.81640625" style="21" customWidth="1"/>
    <col min="4" max="5" width="20" style="21" bestFit="1" customWidth="1"/>
    <col min="6" max="7" width="16.81640625" style="21" customWidth="1"/>
    <col min="8" max="8" width="41.81640625" style="21" customWidth="1"/>
    <col min="14" max="14" width="58" bestFit="1" customWidth="1"/>
    <col min="15" max="15" width="14.1796875" bestFit="1" customWidth="1"/>
    <col min="16" max="16" width="14" customWidth="1"/>
    <col min="17" max="17" width="14.1796875" bestFit="1" customWidth="1"/>
    <col min="18" max="18" width="7.26953125" style="21" customWidth="1"/>
    <col min="19" max="19" width="7.90625" style="21" customWidth="1"/>
    <col min="20" max="20" width="37.6328125" customWidth="1"/>
  </cols>
  <sheetData>
    <row r="1" spans="1:20" ht="18.5" x14ac:dyDescent="0.45">
      <c r="A1" s="2" t="s">
        <v>105</v>
      </c>
      <c r="B1" s="31"/>
      <c r="C1" s="31"/>
      <c r="D1" s="31"/>
      <c r="E1" s="31"/>
      <c r="F1" s="31"/>
    </row>
    <row r="2" spans="1:20" ht="15.5" x14ac:dyDescent="0.35">
      <c r="A2" s="32" t="s">
        <v>129</v>
      </c>
      <c r="B2" s="32"/>
      <c r="C2" s="33"/>
      <c r="D2" s="33"/>
      <c r="E2" s="33"/>
      <c r="F2" s="33"/>
    </row>
    <row r="3" spans="1:20" ht="15.5" x14ac:dyDescent="0.35">
      <c r="A3" s="34"/>
      <c r="B3" s="34"/>
      <c r="C3" s="6"/>
      <c r="D3" s="6"/>
      <c r="E3" s="6"/>
      <c r="F3" s="6"/>
    </row>
    <row r="4" spans="1:20" x14ac:dyDescent="0.35">
      <c r="N4" s="123" t="s">
        <v>171</v>
      </c>
      <c r="O4" s="122" t="s">
        <v>1</v>
      </c>
      <c r="P4" s="122"/>
      <c r="Q4" s="122"/>
      <c r="R4" s="122" t="s">
        <v>2</v>
      </c>
      <c r="S4" s="122"/>
      <c r="T4" s="108"/>
    </row>
    <row r="5" spans="1:20" x14ac:dyDescent="0.35">
      <c r="A5" s="118" t="s">
        <v>24</v>
      </c>
      <c r="B5" s="118" t="s">
        <v>17</v>
      </c>
      <c r="C5" s="115" t="s">
        <v>1</v>
      </c>
      <c r="D5" s="116"/>
      <c r="E5" s="117"/>
      <c r="F5" s="115" t="s">
        <v>2</v>
      </c>
      <c r="G5" s="117"/>
      <c r="H5" s="118" t="s">
        <v>28</v>
      </c>
      <c r="N5" s="124"/>
      <c r="O5" s="109">
        <v>2018</v>
      </c>
      <c r="P5" s="110">
        <v>2019</v>
      </c>
      <c r="Q5" s="109">
        <v>2020</v>
      </c>
      <c r="R5" s="106" t="s">
        <v>177</v>
      </c>
      <c r="S5" s="106" t="s">
        <v>178</v>
      </c>
      <c r="T5" s="107" t="s">
        <v>175</v>
      </c>
    </row>
    <row r="6" spans="1:20" x14ac:dyDescent="0.35">
      <c r="A6" s="119"/>
      <c r="B6" s="119"/>
      <c r="C6" s="22">
        <v>2018</v>
      </c>
      <c r="D6" s="22">
        <v>2019</v>
      </c>
      <c r="E6" s="22">
        <v>2020</v>
      </c>
      <c r="F6" s="22" t="s">
        <v>15</v>
      </c>
      <c r="G6" s="22" t="s">
        <v>16</v>
      </c>
      <c r="H6" s="119"/>
      <c r="N6" t="s">
        <v>181</v>
      </c>
      <c r="O6" s="111">
        <v>21792274</v>
      </c>
      <c r="P6" s="111">
        <v>25768662</v>
      </c>
      <c r="Q6" s="111">
        <v>35252306</v>
      </c>
      <c r="R6" s="104">
        <f>(P6-O6)/O6</f>
        <v>0.18246778651920401</v>
      </c>
      <c r="S6" s="104">
        <f>(Q6-P6)/P6</f>
        <v>0.36803012899932486</v>
      </c>
      <c r="T6" t="s">
        <v>176</v>
      </c>
    </row>
    <row r="7" spans="1:20" x14ac:dyDescent="0.35">
      <c r="A7" s="7" t="s">
        <v>25</v>
      </c>
      <c r="B7" s="7" t="s">
        <v>18</v>
      </c>
      <c r="C7" s="27">
        <v>3348477372.1100006</v>
      </c>
      <c r="D7" s="27">
        <v>3583962528.9000006</v>
      </c>
      <c r="E7" s="27">
        <v>4385962918.3900003</v>
      </c>
      <c r="F7" s="8">
        <f t="shared" ref="F7:G13" si="0">IFERROR((D7-C7)/C7, "")</f>
        <v>7.0326040949654667E-2</v>
      </c>
      <c r="G7" s="8">
        <f t="shared" si="0"/>
        <v>0.22377476969217977</v>
      </c>
      <c r="H7" s="46" t="s">
        <v>153</v>
      </c>
      <c r="N7" t="s">
        <v>179</v>
      </c>
      <c r="O7" s="12">
        <v>1020357670.58</v>
      </c>
      <c r="P7" s="12">
        <v>1038921231.5599999</v>
      </c>
      <c r="Q7" s="12">
        <v>1082539590.9973822</v>
      </c>
      <c r="R7" s="104">
        <f t="shared" ref="R7:R8" si="1">(P7-O7)/O7</f>
        <v>1.8193190010957479E-2</v>
      </c>
      <c r="S7" s="104">
        <f t="shared" ref="S7:S8" si="2">(Q7-P7)/P7</f>
        <v>4.1984279570345048E-2</v>
      </c>
    </row>
    <row r="8" spans="1:20" x14ac:dyDescent="0.35">
      <c r="A8" s="7" t="s">
        <v>26</v>
      </c>
      <c r="B8" s="7" t="s">
        <v>18</v>
      </c>
      <c r="C8" s="10">
        <v>833843084.06000006</v>
      </c>
      <c r="D8" s="10">
        <v>854801662.77999997</v>
      </c>
      <c r="E8" s="10">
        <v>804848949.88999999</v>
      </c>
      <c r="F8" s="8">
        <f t="shared" si="0"/>
        <v>2.5134919411877996E-2</v>
      </c>
      <c r="G8" s="8">
        <f t="shared" si="0"/>
        <v>-5.8437781610698972E-2</v>
      </c>
      <c r="H8" s="46" t="s">
        <v>153</v>
      </c>
      <c r="N8" s="38" t="s">
        <v>180</v>
      </c>
      <c r="O8" s="112">
        <f>SUM(O6:O7)</f>
        <v>1042149944.58</v>
      </c>
      <c r="P8" s="112">
        <f t="shared" ref="P8:Q8" si="3">SUM(P6:P7)</f>
        <v>1064689893.5599999</v>
      </c>
      <c r="Q8" s="112">
        <f t="shared" si="3"/>
        <v>1117791896.9973822</v>
      </c>
      <c r="R8" s="104">
        <f t="shared" si="1"/>
        <v>2.1628316632578044E-2</v>
      </c>
      <c r="S8" s="104">
        <f t="shared" si="2"/>
        <v>4.9875558844486856E-2</v>
      </c>
    </row>
    <row r="9" spans="1:20" s="21" customFormat="1" x14ac:dyDescent="0.35">
      <c r="A9" s="14" t="s">
        <v>55</v>
      </c>
      <c r="B9" s="7" t="s">
        <v>18</v>
      </c>
      <c r="C9" s="10">
        <v>-433162409.02999997</v>
      </c>
      <c r="D9" s="10">
        <v>-426223969.49000001</v>
      </c>
      <c r="E9" s="10">
        <v>-457964090.64999998</v>
      </c>
      <c r="F9" s="8">
        <f t="shared" si="0"/>
        <v>-1.601810174511108E-2</v>
      </c>
      <c r="G9" s="8">
        <f t="shared" si="0"/>
        <v>7.4468175025395059E-2</v>
      </c>
      <c r="H9" s="46" t="s">
        <v>154</v>
      </c>
    </row>
    <row r="10" spans="1:20" s="21" customFormat="1" x14ac:dyDescent="0.35">
      <c r="A10" s="93" t="s">
        <v>86</v>
      </c>
      <c r="B10" s="93" t="s">
        <v>18</v>
      </c>
      <c r="C10" s="95">
        <v>576508555.20000005</v>
      </c>
      <c r="D10" s="95">
        <v>547988203.25</v>
      </c>
      <c r="E10" s="95">
        <v>394282353.8499999</v>
      </c>
      <c r="F10" s="96">
        <f t="shared" si="0"/>
        <v>-4.9470821712447759E-2</v>
      </c>
      <c r="G10" s="96">
        <f t="shared" si="0"/>
        <v>-0.28049116475209468</v>
      </c>
      <c r="H10" s="75" t="s">
        <v>169</v>
      </c>
    </row>
    <row r="11" spans="1:20" s="21" customFormat="1" x14ac:dyDescent="0.35">
      <c r="A11" s="75" t="s">
        <v>102</v>
      </c>
      <c r="B11" s="92" t="s">
        <v>168</v>
      </c>
      <c r="C11" s="10">
        <f>THCE_NCPHI!C13</f>
        <v>318356299.51356173</v>
      </c>
      <c r="D11" s="10">
        <f>THCE_NCPHI!D13</f>
        <v>251826256.93385607</v>
      </c>
      <c r="E11" s="10">
        <f>THCE_NCPHI!E13</f>
        <v>409572603.12816048</v>
      </c>
      <c r="F11" s="74">
        <f t="shared" si="0"/>
        <v>-0.20897982129256257</v>
      </c>
      <c r="G11" s="74">
        <f t="shared" si="0"/>
        <v>0.62640944639755169</v>
      </c>
      <c r="H11" s="46" t="s">
        <v>104</v>
      </c>
    </row>
    <row r="12" spans="1:20" s="21" customFormat="1" x14ac:dyDescent="0.35">
      <c r="A12" s="75" t="s">
        <v>171</v>
      </c>
      <c r="B12" s="92" t="s">
        <v>99</v>
      </c>
      <c r="C12" s="10">
        <f>O8</f>
        <v>1042149944.58</v>
      </c>
      <c r="D12" s="10">
        <f t="shared" ref="D12:E12" si="4">P8</f>
        <v>1064689893.5599999</v>
      </c>
      <c r="E12" s="10">
        <f t="shared" si="4"/>
        <v>1117791896.9973822</v>
      </c>
      <c r="F12" s="74">
        <f t="shared" si="0"/>
        <v>2.1628316632578044E-2</v>
      </c>
      <c r="G12" s="74">
        <f t="shared" si="0"/>
        <v>4.9875558844486856E-2</v>
      </c>
      <c r="H12" s="46" t="s">
        <v>174</v>
      </c>
    </row>
    <row r="13" spans="1:20" s="21" customFormat="1" x14ac:dyDescent="0.35">
      <c r="A13" s="52" t="s">
        <v>83</v>
      </c>
      <c r="B13" s="48"/>
      <c r="C13" s="53">
        <f>SUM(C7:C9)+C11+C12</f>
        <v>5109664291.2335625</v>
      </c>
      <c r="D13" s="53">
        <f t="shared" ref="D13:E13" si="5">SUM(D7:D9)+D11+D12</f>
        <v>5329056372.683857</v>
      </c>
      <c r="E13" s="53">
        <f t="shared" si="5"/>
        <v>6260212277.7555437</v>
      </c>
      <c r="F13" s="50">
        <f t="shared" si="0"/>
        <v>4.2936691912753705E-2</v>
      </c>
      <c r="G13" s="50">
        <f t="shared" si="0"/>
        <v>0.17473185493865051</v>
      </c>
      <c r="H13" s="46" t="s">
        <v>103</v>
      </c>
    </row>
    <row r="14" spans="1:20" x14ac:dyDescent="0.35">
      <c r="D14" s="11"/>
      <c r="E14" s="12"/>
    </row>
    <row r="15" spans="1:20" x14ac:dyDescent="0.35">
      <c r="D15" s="11"/>
    </row>
    <row r="16" spans="1:20" x14ac:dyDescent="0.35">
      <c r="A16" s="118" t="s">
        <v>24</v>
      </c>
      <c r="B16" s="118" t="s">
        <v>17</v>
      </c>
      <c r="C16" s="114" t="s">
        <v>44</v>
      </c>
      <c r="D16" s="114"/>
      <c r="E16" s="114"/>
      <c r="F16" s="115" t="s">
        <v>2</v>
      </c>
      <c r="G16" s="117"/>
      <c r="H16" s="118" t="s">
        <v>28</v>
      </c>
    </row>
    <row r="17" spans="1:8" x14ac:dyDescent="0.35">
      <c r="A17" s="119"/>
      <c r="B17" s="119"/>
      <c r="C17" s="22">
        <v>2018</v>
      </c>
      <c r="D17" s="22">
        <v>2019</v>
      </c>
      <c r="E17" s="22">
        <v>2020</v>
      </c>
      <c r="F17" s="22" t="s">
        <v>15</v>
      </c>
      <c r="G17" s="22" t="s">
        <v>16</v>
      </c>
      <c r="H17" s="119"/>
    </row>
    <row r="18" spans="1:8" x14ac:dyDescent="0.35">
      <c r="A18" s="7" t="s">
        <v>25</v>
      </c>
      <c r="B18" s="7" t="s">
        <v>18</v>
      </c>
      <c r="C18" s="35">
        <v>695090.41666666663</v>
      </c>
      <c r="D18" s="35">
        <v>715904.41666666663</v>
      </c>
      <c r="E18" s="35">
        <v>897888.25</v>
      </c>
      <c r="F18" s="8">
        <f t="shared" ref="F18:G21" si="6">IFERROR((D18-C18)/C18, "")</f>
        <v>2.9944305806738573E-2</v>
      </c>
      <c r="G18" s="8">
        <f t="shared" si="6"/>
        <v>0.25420129991748208</v>
      </c>
      <c r="H18" s="57" t="s">
        <v>45</v>
      </c>
    </row>
    <row r="19" spans="1:8" x14ac:dyDescent="0.35">
      <c r="A19" s="7" t="s">
        <v>26</v>
      </c>
      <c r="B19" s="7" t="s">
        <v>18</v>
      </c>
      <c r="C19" s="35">
        <v>74203.75</v>
      </c>
      <c r="D19" s="35">
        <v>72031.083333333328</v>
      </c>
      <c r="E19" s="35">
        <v>71038.083333333328</v>
      </c>
      <c r="F19" s="8">
        <f t="shared" si="6"/>
        <v>-2.9279742151396278E-2</v>
      </c>
      <c r="G19" s="8">
        <f t="shared" si="6"/>
        <v>-1.3785715194713395E-2</v>
      </c>
      <c r="H19" s="57" t="s">
        <v>45</v>
      </c>
    </row>
    <row r="20" spans="1:8" s="21" customFormat="1" x14ac:dyDescent="0.35">
      <c r="A20" s="93" t="s">
        <v>86</v>
      </c>
      <c r="B20" s="93" t="s">
        <v>18</v>
      </c>
      <c r="C20" s="97">
        <v>76477.833333333343</v>
      </c>
      <c r="D20" s="97">
        <v>65721.75</v>
      </c>
      <c r="E20" s="97">
        <v>65649.25</v>
      </c>
      <c r="F20" s="96">
        <f t="shared" si="6"/>
        <v>-0.14064314932213484</v>
      </c>
      <c r="G20" s="96">
        <f t="shared" si="6"/>
        <v>-1.1031355677534455E-3</v>
      </c>
      <c r="H20" s="75" t="s">
        <v>170</v>
      </c>
    </row>
    <row r="21" spans="1:8" s="21" customFormat="1" x14ac:dyDescent="0.35">
      <c r="A21" s="47" t="s">
        <v>83</v>
      </c>
      <c r="B21" s="48"/>
      <c r="C21" s="49">
        <f>SUM(C18:C19)</f>
        <v>769294.16666666663</v>
      </c>
      <c r="D21" s="49">
        <f>SUM(D18:D19)</f>
        <v>787935.5</v>
      </c>
      <c r="E21" s="49">
        <f>SUM(E18:E19)</f>
        <v>968926.33333333337</v>
      </c>
      <c r="F21" s="50">
        <f t="shared" si="6"/>
        <v>2.4231736234405398E-2</v>
      </c>
      <c r="G21" s="50">
        <f t="shared" si="6"/>
        <v>0.2297026004455103</v>
      </c>
      <c r="H21" s="7"/>
    </row>
    <row r="22" spans="1:8" x14ac:dyDescent="0.35">
      <c r="D22" s="11"/>
      <c r="E22" s="11"/>
    </row>
    <row r="23" spans="1:8" x14ac:dyDescent="0.35">
      <c r="E23" s="11"/>
    </row>
    <row r="24" spans="1:8" x14ac:dyDescent="0.35">
      <c r="A24" s="118" t="s">
        <v>24</v>
      </c>
      <c r="B24" s="118" t="s">
        <v>17</v>
      </c>
      <c r="C24" s="115" t="s">
        <v>61</v>
      </c>
      <c r="D24" s="116"/>
      <c r="E24" s="117"/>
      <c r="F24" s="115" t="s">
        <v>2</v>
      </c>
      <c r="G24" s="117"/>
      <c r="H24" s="118" t="s">
        <v>28</v>
      </c>
    </row>
    <row r="25" spans="1:8" x14ac:dyDescent="0.35">
      <c r="A25" s="119"/>
      <c r="B25" s="119"/>
      <c r="C25" s="22">
        <v>2018</v>
      </c>
      <c r="D25" s="22">
        <v>2019</v>
      </c>
      <c r="E25" s="22">
        <v>2020</v>
      </c>
      <c r="F25" s="22" t="s">
        <v>15</v>
      </c>
      <c r="G25" s="22" t="s">
        <v>16</v>
      </c>
      <c r="H25" s="119"/>
    </row>
    <row r="26" spans="1:8" x14ac:dyDescent="0.35">
      <c r="A26" s="7" t="s">
        <v>25</v>
      </c>
      <c r="B26" s="24"/>
      <c r="C26" s="78">
        <f t="shared" ref="C26:E27" si="7">C7/C18</f>
        <v>4817.3263388779769</v>
      </c>
      <c r="D26" s="78">
        <f t="shared" si="7"/>
        <v>5006.2025676379299</v>
      </c>
      <c r="E26" s="78">
        <f t="shared" si="7"/>
        <v>4884.7536632648889</v>
      </c>
      <c r="F26" s="8">
        <f t="shared" ref="F26:G31" si="8">IFERROR((D26-C26)/C26, "")</f>
        <v>3.92076881392978E-2</v>
      </c>
      <c r="G26" s="8">
        <f t="shared" si="8"/>
        <v>-2.4259686405447237E-2</v>
      </c>
      <c r="H26" s="7" t="s">
        <v>155</v>
      </c>
    </row>
    <row r="27" spans="1:8" x14ac:dyDescent="0.35">
      <c r="A27" s="7" t="s">
        <v>26</v>
      </c>
      <c r="B27" s="24"/>
      <c r="C27" s="78">
        <f t="shared" si="7"/>
        <v>11237.209494937924</v>
      </c>
      <c r="D27" s="78">
        <f t="shared" si="7"/>
        <v>11867.122125934058</v>
      </c>
      <c r="E27" s="78">
        <f t="shared" si="7"/>
        <v>11329.82355553418</v>
      </c>
      <c r="F27" s="8">
        <f t="shared" si="8"/>
        <v>5.6055965787582179E-2</v>
      </c>
      <c r="G27" s="8">
        <f t="shared" si="8"/>
        <v>-4.5276231650610718E-2</v>
      </c>
      <c r="H27" s="7" t="s">
        <v>155</v>
      </c>
    </row>
    <row r="28" spans="1:8" s="21" customFormat="1" x14ac:dyDescent="0.35">
      <c r="A28" s="93" t="s">
        <v>86</v>
      </c>
      <c r="B28" s="94"/>
      <c r="C28" s="98">
        <f>C10/C20</f>
        <v>7538.2438292577144</v>
      </c>
      <c r="D28" s="98">
        <f>D10/D20</f>
        <v>8338.0038305431608</v>
      </c>
      <c r="E28" s="98">
        <f>E10/E20</f>
        <v>6005.8927383024165</v>
      </c>
      <c r="F28" s="96">
        <f t="shared" si="8"/>
        <v>0.10609367637875919</v>
      </c>
      <c r="G28" s="96">
        <f t="shared" si="8"/>
        <v>-0.27969657242155815</v>
      </c>
      <c r="H28" s="75" t="s">
        <v>170</v>
      </c>
    </row>
    <row r="29" spans="1:8" s="21" customFormat="1" x14ac:dyDescent="0.35">
      <c r="A29" s="75" t="s">
        <v>102</v>
      </c>
      <c r="B29" s="24"/>
      <c r="C29" s="78">
        <f>THCE_NCPHI!C35</f>
        <v>382.52898223147287</v>
      </c>
      <c r="D29" s="78">
        <f>THCE_NCPHI!D35</f>
        <v>283.93969176971711</v>
      </c>
      <c r="E29" s="78">
        <f>THCE_NCPHI!E35</f>
        <v>424.35957543181428</v>
      </c>
      <c r="F29" s="74">
        <f t="shared" si="8"/>
        <v>-0.25773025062477017</v>
      </c>
      <c r="G29" s="74">
        <f t="shared" si="8"/>
        <v>0.49454122735324213</v>
      </c>
      <c r="H29" s="7"/>
    </row>
    <row r="30" spans="1:8" s="21" customFormat="1" x14ac:dyDescent="0.35">
      <c r="A30" s="75" t="s">
        <v>171</v>
      </c>
      <c r="B30" s="24"/>
      <c r="C30" s="78">
        <f>C12/C21</f>
        <v>1354.6832794737168</v>
      </c>
      <c r="D30" s="78">
        <f t="shared" ref="D30:E30" si="9">D12/D21</f>
        <v>1351.2399093072972</v>
      </c>
      <c r="E30" s="78">
        <f t="shared" si="9"/>
        <v>1153.6397128891278</v>
      </c>
      <c r="F30" s="74">
        <f t="shared" si="8"/>
        <v>-2.5418267270245244E-3</v>
      </c>
      <c r="G30" s="74">
        <f t="shared" si="8"/>
        <v>-0.14623620502703152</v>
      </c>
      <c r="H30" s="7"/>
    </row>
    <row r="31" spans="1:8" x14ac:dyDescent="0.35">
      <c r="A31" s="47" t="s">
        <v>83</v>
      </c>
      <c r="B31" s="48"/>
      <c r="C31" s="79">
        <f>C13/C21</f>
        <v>6642.0161657713024</v>
      </c>
      <c r="D31" s="79">
        <f>D13/D21</f>
        <v>6763.3154905241063</v>
      </c>
      <c r="E31" s="79">
        <f>E13/E21</f>
        <v>6460.9785722501192</v>
      </c>
      <c r="F31" s="50">
        <f t="shared" si="8"/>
        <v>1.826242540298274E-2</v>
      </c>
      <c r="G31" s="50">
        <f t="shared" si="8"/>
        <v>-4.4702471546327081E-2</v>
      </c>
      <c r="H31" s="7" t="s">
        <v>156</v>
      </c>
    </row>
    <row r="32" spans="1:8" x14ac:dyDescent="0.35">
      <c r="C32" s="55"/>
    </row>
    <row r="33" spans="1:5" x14ac:dyDescent="0.35">
      <c r="A33" s="26"/>
      <c r="C33" s="113"/>
      <c r="D33" s="113"/>
      <c r="E33" s="113"/>
    </row>
  </sheetData>
  <mergeCells count="18">
    <mergeCell ref="O4:Q4"/>
    <mergeCell ref="N4:N5"/>
    <mergeCell ref="R4:S4"/>
    <mergeCell ref="H16:H17"/>
    <mergeCell ref="H5:H6"/>
    <mergeCell ref="A24:A25"/>
    <mergeCell ref="B24:B25"/>
    <mergeCell ref="C24:E24"/>
    <mergeCell ref="F24:G24"/>
    <mergeCell ref="H24:H25"/>
    <mergeCell ref="A5:A6"/>
    <mergeCell ref="B5:B6"/>
    <mergeCell ref="C5:E5"/>
    <mergeCell ref="F5:G5"/>
    <mergeCell ref="A16:A17"/>
    <mergeCell ref="B16:B17"/>
    <mergeCell ref="C16:E16"/>
    <mergeCell ref="F16:G1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</sheetPr>
  <dimension ref="A1:K40"/>
  <sheetViews>
    <sheetView topLeftCell="B1" zoomScaleNormal="100" workbookViewId="0">
      <selection activeCell="C13" sqref="C13"/>
    </sheetView>
  </sheetViews>
  <sheetFormatPr defaultRowHeight="14.5" x14ac:dyDescent="0.35"/>
  <cols>
    <col min="1" max="1" width="34.54296875" customWidth="1"/>
    <col min="2" max="2" width="17.81640625" style="21" customWidth="1"/>
    <col min="3" max="3" width="19.81640625" style="21" customWidth="1"/>
    <col min="4" max="5" width="20" style="21" bestFit="1" customWidth="1"/>
    <col min="6" max="7" width="16.453125" style="21" customWidth="1"/>
    <col min="8" max="8" width="34" style="21" customWidth="1"/>
  </cols>
  <sheetData>
    <row r="1" spans="1:11" ht="18.5" x14ac:dyDescent="0.45">
      <c r="A1" s="2" t="s">
        <v>105</v>
      </c>
      <c r="B1" s="2"/>
      <c r="C1" s="2"/>
      <c r="D1" s="2"/>
      <c r="E1" s="2"/>
      <c r="F1" s="2"/>
      <c r="G1" s="2"/>
    </row>
    <row r="2" spans="1:11" ht="15.5" x14ac:dyDescent="0.35">
      <c r="A2" s="3" t="s">
        <v>130</v>
      </c>
      <c r="B2" s="3"/>
      <c r="C2" s="4"/>
      <c r="D2" s="4"/>
      <c r="E2" s="4"/>
      <c r="F2" s="4"/>
      <c r="G2" s="4"/>
    </row>
    <row r="3" spans="1:11" ht="15.75" customHeight="1" x14ac:dyDescent="0.35">
      <c r="A3" s="5" t="s">
        <v>131</v>
      </c>
      <c r="B3" s="5"/>
      <c r="C3" s="6"/>
      <c r="D3" s="6"/>
      <c r="E3" s="6"/>
      <c r="F3" s="6"/>
      <c r="G3" s="6"/>
      <c r="K3" s="11"/>
    </row>
    <row r="4" spans="1:11" x14ac:dyDescent="0.35">
      <c r="K4" s="11"/>
    </row>
    <row r="5" spans="1:11" x14ac:dyDescent="0.35">
      <c r="A5" s="114" t="s">
        <v>12</v>
      </c>
      <c r="B5" s="118" t="s">
        <v>17</v>
      </c>
      <c r="C5" s="114" t="s">
        <v>1</v>
      </c>
      <c r="D5" s="114"/>
      <c r="E5" s="114"/>
      <c r="F5" s="115" t="s">
        <v>2</v>
      </c>
      <c r="G5" s="117"/>
      <c r="H5" s="118" t="s">
        <v>28</v>
      </c>
      <c r="K5" s="11"/>
    </row>
    <row r="6" spans="1:11" x14ac:dyDescent="0.35">
      <c r="A6" s="114"/>
      <c r="B6" s="119"/>
      <c r="C6" s="22">
        <v>2018</v>
      </c>
      <c r="D6" s="22">
        <v>2019</v>
      </c>
      <c r="E6" s="22">
        <v>2020</v>
      </c>
      <c r="F6" s="22" t="s">
        <v>15</v>
      </c>
      <c r="G6" s="22" t="s">
        <v>16</v>
      </c>
      <c r="H6" s="119"/>
      <c r="K6" s="11"/>
    </row>
    <row r="7" spans="1:11" x14ac:dyDescent="0.35">
      <c r="A7" s="7" t="s">
        <v>8</v>
      </c>
      <c r="B7" s="7" t="s">
        <v>81</v>
      </c>
      <c r="C7" s="27">
        <v>493025090.80241013</v>
      </c>
      <c r="D7" s="27">
        <v>503774284.0585773</v>
      </c>
      <c r="E7" s="27">
        <v>706727590.0716629</v>
      </c>
      <c r="F7" s="8">
        <f>IFERROR((D7-C7)/C7, "")</f>
        <v>2.1802527815922318E-2</v>
      </c>
      <c r="G7" s="8">
        <f>IFERROR((E7-D7)/D7, "")</f>
        <v>0.40286555395012347</v>
      </c>
      <c r="H7" s="7"/>
      <c r="K7" s="11"/>
    </row>
    <row r="8" spans="1:11" s="21" customFormat="1" x14ac:dyDescent="0.35">
      <c r="A8" s="7" t="s">
        <v>14</v>
      </c>
      <c r="B8" s="7" t="s">
        <v>81</v>
      </c>
      <c r="C8" s="27">
        <v>141061352.13719222</v>
      </c>
      <c r="D8" s="27">
        <v>130934828.95367424</v>
      </c>
      <c r="E8" s="27">
        <v>171083647.4732084</v>
      </c>
      <c r="F8" s="8">
        <f t="shared" ref="F8:F12" si="0">IFERROR((D8-C8)/C8, "")</f>
        <v>-7.1788076819717508E-2</v>
      </c>
      <c r="G8" s="8">
        <f t="shared" ref="G8:G12" si="1">IFERROR((E8-D8)/D8, "")</f>
        <v>0.30663207673902504</v>
      </c>
      <c r="H8" s="7"/>
      <c r="K8" s="11"/>
    </row>
    <row r="9" spans="1:11" x14ac:dyDescent="0.35">
      <c r="A9" s="7" t="s">
        <v>9</v>
      </c>
      <c r="B9" s="7" t="s">
        <v>18</v>
      </c>
      <c r="C9" s="27">
        <v>239637804.71888101</v>
      </c>
      <c r="D9" s="27">
        <v>252361325.48025703</v>
      </c>
      <c r="E9" s="27">
        <v>236415053.35300827</v>
      </c>
      <c r="F9" s="8">
        <f t="shared" si="0"/>
        <v>5.3094797693969777E-2</v>
      </c>
      <c r="G9" s="8">
        <f t="shared" si="1"/>
        <v>-6.3188256349906866E-2</v>
      </c>
      <c r="H9" s="7"/>
      <c r="K9" s="11"/>
    </row>
    <row r="10" spans="1:11" s="21" customFormat="1" x14ac:dyDescent="0.35">
      <c r="A10" s="7" t="s">
        <v>79</v>
      </c>
      <c r="B10" s="7" t="s">
        <v>81</v>
      </c>
      <c r="C10" s="27">
        <v>186557769.61153322</v>
      </c>
      <c r="D10" s="27">
        <v>150027365.02041361</v>
      </c>
      <c r="E10" s="27">
        <v>215947822.93873376</v>
      </c>
      <c r="F10" s="8">
        <f t="shared" si="0"/>
        <v>-0.19581282874032208</v>
      </c>
      <c r="G10" s="8">
        <f t="shared" si="1"/>
        <v>0.43938956009359109</v>
      </c>
      <c r="H10" s="7"/>
      <c r="K10" s="11"/>
    </row>
    <row r="11" spans="1:11" s="21" customFormat="1" x14ac:dyDescent="0.35">
      <c r="A11" s="7" t="s">
        <v>80</v>
      </c>
      <c r="B11" s="7" t="s">
        <v>81</v>
      </c>
      <c r="C11" s="27">
        <v>0</v>
      </c>
      <c r="D11" s="27">
        <v>0</v>
      </c>
      <c r="E11" s="27">
        <v>0</v>
      </c>
      <c r="F11" s="8" t="str">
        <f t="shared" si="0"/>
        <v/>
      </c>
      <c r="G11" s="8" t="str">
        <f t="shared" si="1"/>
        <v/>
      </c>
      <c r="H11" s="7"/>
      <c r="K11" s="11"/>
    </row>
    <row r="12" spans="1:11" x14ac:dyDescent="0.35">
      <c r="A12" s="7" t="s">
        <v>11</v>
      </c>
      <c r="B12" s="7" t="s">
        <v>90</v>
      </c>
      <c r="C12" s="27">
        <v>263071928.8948167</v>
      </c>
      <c r="D12" s="27">
        <v>309372020.78888506</v>
      </c>
      <c r="E12" s="27">
        <v>535685922.30445331</v>
      </c>
      <c r="F12" s="8">
        <f t="shared" si="0"/>
        <v>0.17599784244779834</v>
      </c>
      <c r="G12" s="8">
        <f t="shared" si="1"/>
        <v>0.73152672610301916</v>
      </c>
      <c r="H12" s="7" t="s">
        <v>152</v>
      </c>
      <c r="K12" s="11"/>
    </row>
    <row r="13" spans="1:11" x14ac:dyDescent="0.35">
      <c r="A13" s="7" t="s">
        <v>25</v>
      </c>
      <c r="B13" s="7" t="s">
        <v>99</v>
      </c>
      <c r="C13" s="27">
        <v>318356299.51356173</v>
      </c>
      <c r="D13" s="27">
        <v>251826256.93385607</v>
      </c>
      <c r="E13" s="27">
        <v>409572603.12816048</v>
      </c>
      <c r="F13" s="8">
        <f>IFERROR((D13-C13)/C13, "")</f>
        <v>-0.20897982129256257</v>
      </c>
      <c r="G13" s="8">
        <f>IFERROR((E13-D13)/D13, "")</f>
        <v>0.62640944639755169</v>
      </c>
      <c r="H13" s="46" t="s">
        <v>98</v>
      </c>
      <c r="K13" s="11"/>
    </row>
    <row r="14" spans="1:11" x14ac:dyDescent="0.35">
      <c r="F14" s="9"/>
      <c r="G14" s="9"/>
      <c r="K14" s="11"/>
    </row>
    <row r="16" spans="1:11" x14ac:dyDescent="0.35">
      <c r="A16" s="114" t="s">
        <v>12</v>
      </c>
      <c r="B16" s="118" t="s">
        <v>17</v>
      </c>
      <c r="C16" s="114" t="s">
        <v>44</v>
      </c>
      <c r="D16" s="114"/>
      <c r="E16" s="114"/>
      <c r="F16" s="115" t="s">
        <v>2</v>
      </c>
      <c r="G16" s="117"/>
      <c r="H16" s="118" t="s">
        <v>28</v>
      </c>
    </row>
    <row r="17" spans="1:8" x14ac:dyDescent="0.35">
      <c r="A17" s="114"/>
      <c r="B17" s="119"/>
      <c r="C17" s="37">
        <v>2018</v>
      </c>
      <c r="D17" s="37">
        <v>2019</v>
      </c>
      <c r="E17" s="37">
        <v>2020</v>
      </c>
      <c r="F17" s="37" t="s">
        <v>15</v>
      </c>
      <c r="G17" s="37" t="s">
        <v>16</v>
      </c>
      <c r="H17" s="119"/>
    </row>
    <row r="18" spans="1:8" x14ac:dyDescent="0.35">
      <c r="A18" s="7" t="s">
        <v>8</v>
      </c>
      <c r="B18" s="7" t="s">
        <v>18</v>
      </c>
      <c r="C18" s="35">
        <v>646171.58333333337</v>
      </c>
      <c r="D18" s="35">
        <v>658038.08333333337</v>
      </c>
      <c r="E18" s="35">
        <v>647866.41666666663</v>
      </c>
      <c r="F18" s="8">
        <f t="shared" ref="F18:G24" si="2">IFERROR((D18-C18)/C18, "")</f>
        <v>1.8364317320773545E-2</v>
      </c>
      <c r="G18" s="8">
        <f t="shared" si="2"/>
        <v>-1.5457565335947618E-2</v>
      </c>
      <c r="H18" s="7"/>
    </row>
    <row r="19" spans="1:8" x14ac:dyDescent="0.35">
      <c r="A19" s="7" t="s">
        <v>14</v>
      </c>
      <c r="B19" s="7" t="s">
        <v>18</v>
      </c>
      <c r="C19" s="35">
        <v>179895.91666666666</v>
      </c>
      <c r="D19" s="35">
        <v>182443.66666666666</v>
      </c>
      <c r="E19" s="35">
        <v>177276.33333333334</v>
      </c>
      <c r="F19" s="8">
        <f t="shared" si="2"/>
        <v>1.4162355917843235E-2</v>
      </c>
      <c r="G19" s="8">
        <f t="shared" si="2"/>
        <v>-2.832289784426598E-2</v>
      </c>
      <c r="H19" s="7"/>
    </row>
    <row r="20" spans="1:8" x14ac:dyDescent="0.35">
      <c r="A20" s="7" t="s">
        <v>9</v>
      </c>
      <c r="B20" s="7" t="s">
        <v>18</v>
      </c>
      <c r="C20" s="35">
        <v>565486.16666666663</v>
      </c>
      <c r="D20" s="35">
        <v>579584.33333333337</v>
      </c>
      <c r="E20" s="35">
        <v>576350</v>
      </c>
      <c r="F20" s="8">
        <f t="shared" si="2"/>
        <v>2.4931054900547367E-2</v>
      </c>
      <c r="G20" s="8">
        <f t="shared" si="2"/>
        <v>-5.5804360941433982E-3</v>
      </c>
      <c r="H20" s="7"/>
    </row>
    <row r="21" spans="1:8" x14ac:dyDescent="0.35">
      <c r="A21" s="7" t="s">
        <v>79</v>
      </c>
      <c r="B21" s="7" t="s">
        <v>18</v>
      </c>
      <c r="C21" s="35">
        <v>185856</v>
      </c>
      <c r="D21" s="35">
        <v>173998.33333333334</v>
      </c>
      <c r="E21" s="35">
        <v>172141</v>
      </c>
      <c r="F21" s="8">
        <f t="shared" si="2"/>
        <v>-6.3800289830119317E-2</v>
      </c>
      <c r="G21" s="8">
        <f t="shared" si="2"/>
        <v>-1.0674431747430586E-2</v>
      </c>
      <c r="H21" s="7"/>
    </row>
    <row r="22" spans="1:8" x14ac:dyDescent="0.35">
      <c r="A22" s="7" t="s">
        <v>80</v>
      </c>
      <c r="B22" s="7" t="s">
        <v>18</v>
      </c>
      <c r="C22" s="35">
        <v>12047.5</v>
      </c>
      <c r="D22" s="35">
        <v>11415.5</v>
      </c>
      <c r="E22" s="35">
        <v>9908.25</v>
      </c>
      <c r="F22" s="8">
        <f t="shared" si="2"/>
        <v>-5.2459016393442623E-2</v>
      </c>
      <c r="G22" s="8">
        <f t="shared" si="2"/>
        <v>-0.13203539047785906</v>
      </c>
      <c r="H22" s="7"/>
    </row>
    <row r="23" spans="1:8" x14ac:dyDescent="0.35">
      <c r="A23" s="7" t="s">
        <v>11</v>
      </c>
      <c r="B23" s="7" t="s">
        <v>18</v>
      </c>
      <c r="C23" s="35">
        <f>SUM(THCE_Mcare!C17:C18)</f>
        <v>361409.33333333337</v>
      </c>
      <c r="D23" s="35">
        <f>SUM(THCE_Mcare!D17:D18)</f>
        <v>373863.58333333331</v>
      </c>
      <c r="E23" s="35">
        <f>SUM(THCE_Mcare!E17:E18)</f>
        <v>393806.66666666669</v>
      </c>
      <c r="F23" s="8">
        <f t="shared" si="2"/>
        <v>3.446023345643151E-2</v>
      </c>
      <c r="G23" s="8">
        <f t="shared" si="2"/>
        <v>5.3343209187486716E-2</v>
      </c>
      <c r="H23" s="30"/>
    </row>
    <row r="24" spans="1:8" x14ac:dyDescent="0.35">
      <c r="A24" s="7" t="s">
        <v>42</v>
      </c>
      <c r="B24" s="7" t="s">
        <v>18</v>
      </c>
      <c r="C24" s="35">
        <v>832240.99166666681</v>
      </c>
      <c r="D24" s="35">
        <v>886900.50821811159</v>
      </c>
      <c r="E24" s="35">
        <v>965154.6161327759</v>
      </c>
      <c r="F24" s="8">
        <v>6.5677510599402522E-2</v>
      </c>
      <c r="G24" s="8">
        <f t="shared" si="2"/>
        <v>8.8233242837898587E-2</v>
      </c>
      <c r="H24" s="46" t="s">
        <v>132</v>
      </c>
    </row>
    <row r="27" spans="1:8" x14ac:dyDescent="0.35">
      <c r="A27" s="118" t="s">
        <v>24</v>
      </c>
      <c r="B27" s="118" t="s">
        <v>17</v>
      </c>
      <c r="C27" s="115" t="s">
        <v>82</v>
      </c>
      <c r="D27" s="116"/>
      <c r="E27" s="117"/>
      <c r="F27" s="115" t="s">
        <v>2</v>
      </c>
      <c r="G27" s="117"/>
      <c r="H27" s="118" t="s">
        <v>28</v>
      </c>
    </row>
    <row r="28" spans="1:8" x14ac:dyDescent="0.35">
      <c r="A28" s="119"/>
      <c r="B28" s="119"/>
      <c r="C28" s="37">
        <v>2018</v>
      </c>
      <c r="D28" s="37">
        <v>2019</v>
      </c>
      <c r="E28" s="37">
        <v>2020</v>
      </c>
      <c r="F28" s="37" t="s">
        <v>15</v>
      </c>
      <c r="G28" s="37" t="s">
        <v>16</v>
      </c>
      <c r="H28" s="119"/>
    </row>
    <row r="29" spans="1:8" x14ac:dyDescent="0.35">
      <c r="A29" s="7" t="s">
        <v>8</v>
      </c>
      <c r="B29" s="24"/>
      <c r="C29" s="60">
        <f t="shared" ref="C29:E34" si="3">C7/C18</f>
        <v>762.99407698973164</v>
      </c>
      <c r="D29" s="60">
        <f t="shared" si="3"/>
        <v>765.57010425092255</v>
      </c>
      <c r="E29" s="60">
        <f t="shared" si="3"/>
        <v>1090.8538734077968</v>
      </c>
      <c r="F29" s="8">
        <f>IFERROR((D29-C29)/C29, "")</f>
        <v>3.3762087267495051E-3</v>
      </c>
      <c r="G29" s="8">
        <f>IFERROR((E29-D29)/D29, "")</f>
        <v>0.42489089810416564</v>
      </c>
      <c r="H29" s="7"/>
    </row>
    <row r="30" spans="1:8" x14ac:dyDescent="0.35">
      <c r="A30" s="7" t="s">
        <v>14</v>
      </c>
      <c r="B30" s="24"/>
      <c r="C30" s="60">
        <f t="shared" si="3"/>
        <v>784.12759306020325</v>
      </c>
      <c r="D30" s="60">
        <f t="shared" si="3"/>
        <v>717.6726457317834</v>
      </c>
      <c r="E30" s="60">
        <f t="shared" si="3"/>
        <v>965.06761086669803</v>
      </c>
      <c r="F30" s="8">
        <f>IFERROR((D30-C30)/C30, "")</f>
        <v>-8.4750170656623755E-2</v>
      </c>
      <c r="G30" s="8">
        <f>IFERROR((E30-D30)/D30, "")</f>
        <v>0.34471839857105802</v>
      </c>
      <c r="H30" s="7"/>
    </row>
    <row r="31" spans="1:8" x14ac:dyDescent="0.35">
      <c r="A31" s="7" t="s">
        <v>9</v>
      </c>
      <c r="B31" s="24"/>
      <c r="C31" s="60">
        <f t="shared" si="3"/>
        <v>423.77306262230587</v>
      </c>
      <c r="D31" s="60">
        <f t="shared" si="3"/>
        <v>435.41778299779844</v>
      </c>
      <c r="E31" s="60">
        <f t="shared" si="3"/>
        <v>410.19355140627789</v>
      </c>
      <c r="F31" s="8">
        <f t="shared" ref="F31:G34" si="4">IFERROR((D31-C31)/C31, "")</f>
        <v>2.7478670549362174E-2</v>
      </c>
      <c r="G31" s="8">
        <f t="shared" si="4"/>
        <v>-5.7931101063109516E-2</v>
      </c>
      <c r="H31" s="7"/>
    </row>
    <row r="32" spans="1:8" x14ac:dyDescent="0.35">
      <c r="A32" s="7" t="s">
        <v>79</v>
      </c>
      <c r="B32" s="24"/>
      <c r="C32" s="60">
        <f t="shared" si="3"/>
        <v>1003.7758781612282</v>
      </c>
      <c r="D32" s="60">
        <f t="shared" si="3"/>
        <v>862.23449470060211</v>
      </c>
      <c r="E32" s="60">
        <f t="shared" si="3"/>
        <v>1254.4822148049202</v>
      </c>
      <c r="F32" s="8">
        <f t="shared" si="4"/>
        <v>-0.14100895084260182</v>
      </c>
      <c r="G32" s="8">
        <f t="shared" si="4"/>
        <v>0.45492000437829871</v>
      </c>
      <c r="H32" s="7"/>
    </row>
    <row r="33" spans="1:8" x14ac:dyDescent="0.35">
      <c r="A33" s="7" t="s">
        <v>80</v>
      </c>
      <c r="B33" s="24"/>
      <c r="C33" s="60">
        <f t="shared" si="3"/>
        <v>0</v>
      </c>
      <c r="D33" s="60">
        <f t="shared" si="3"/>
        <v>0</v>
      </c>
      <c r="E33" s="60">
        <f t="shared" si="3"/>
        <v>0</v>
      </c>
      <c r="F33" s="8" t="str">
        <f t="shared" si="4"/>
        <v/>
      </c>
      <c r="G33" s="8" t="str">
        <f t="shared" si="4"/>
        <v/>
      </c>
      <c r="H33" s="7"/>
    </row>
    <row r="34" spans="1:8" x14ac:dyDescent="0.35">
      <c r="A34" s="7" t="s">
        <v>11</v>
      </c>
      <c r="B34" s="24"/>
      <c r="C34" s="60">
        <f t="shared" si="3"/>
        <v>727.90574185913852</v>
      </c>
      <c r="D34" s="60">
        <f t="shared" si="3"/>
        <v>827.49974744946428</v>
      </c>
      <c r="E34" s="60">
        <f t="shared" si="3"/>
        <v>1360.2764189816999</v>
      </c>
      <c r="F34" s="8">
        <f t="shared" si="4"/>
        <v>0.13682266791295461</v>
      </c>
      <c r="G34" s="8">
        <f t="shared" si="4"/>
        <v>0.6438390744823429</v>
      </c>
      <c r="H34" s="46"/>
    </row>
    <row r="35" spans="1:8" x14ac:dyDescent="0.35">
      <c r="A35" s="7" t="s">
        <v>25</v>
      </c>
      <c r="B35" s="24"/>
      <c r="C35" s="60">
        <v>382.52898223147287</v>
      </c>
      <c r="D35" s="60">
        <v>283.93969176971711</v>
      </c>
      <c r="E35" s="60">
        <v>424.35957543181428</v>
      </c>
      <c r="F35" s="8">
        <f>IFERROR((D35-C35)/C35, "")</f>
        <v>-0.25773025062477017</v>
      </c>
      <c r="G35" s="8">
        <f>IFERROR((E35-D35)/D35, "")</f>
        <v>0.49454122735324213</v>
      </c>
      <c r="H35" s="46" t="s">
        <v>132</v>
      </c>
    </row>
    <row r="40" spans="1:8" x14ac:dyDescent="0.35">
      <c r="A40" s="26"/>
    </row>
  </sheetData>
  <mergeCells count="15">
    <mergeCell ref="A5:A6"/>
    <mergeCell ref="C5:E5"/>
    <mergeCell ref="F5:G5"/>
    <mergeCell ref="H5:H6"/>
    <mergeCell ref="A16:A17"/>
    <mergeCell ref="C16:E16"/>
    <mergeCell ref="F16:G16"/>
    <mergeCell ref="H16:H17"/>
    <mergeCell ref="B5:B6"/>
    <mergeCell ref="B16:B17"/>
    <mergeCell ref="A27:A28"/>
    <mergeCell ref="B27:B28"/>
    <mergeCell ref="C27:E27"/>
    <mergeCell ref="F27:G27"/>
    <mergeCell ref="H27:H2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</sheetPr>
  <dimension ref="A1:J25"/>
  <sheetViews>
    <sheetView zoomScale="80" zoomScaleNormal="80" workbookViewId="0">
      <selection activeCell="C25" sqref="C25"/>
    </sheetView>
  </sheetViews>
  <sheetFormatPr defaultRowHeight="14.5" x14ac:dyDescent="0.35"/>
  <cols>
    <col min="1" max="1" width="49.54296875" customWidth="1"/>
    <col min="2" max="2" width="15.81640625" style="21" customWidth="1"/>
    <col min="3" max="3" width="19.81640625" style="21" customWidth="1"/>
    <col min="4" max="5" width="20" style="21" bestFit="1" customWidth="1"/>
    <col min="6" max="7" width="16.81640625" style="21" customWidth="1"/>
    <col min="8" max="8" width="14.81640625" style="21" customWidth="1"/>
  </cols>
  <sheetData>
    <row r="1" spans="1:10" ht="18.5" x14ac:dyDescent="0.45">
      <c r="A1" s="2" t="s">
        <v>105</v>
      </c>
      <c r="B1" s="31"/>
      <c r="C1" s="31"/>
      <c r="D1" s="31"/>
      <c r="E1" s="31"/>
      <c r="F1" s="31"/>
    </row>
    <row r="2" spans="1:10" ht="15.5" x14ac:dyDescent="0.35">
      <c r="A2" s="3" t="s">
        <v>166</v>
      </c>
      <c r="B2" s="32"/>
      <c r="C2" s="33"/>
      <c r="D2" s="33"/>
      <c r="E2" s="33"/>
      <c r="F2" s="33"/>
    </row>
    <row r="3" spans="1:10" ht="15.75" customHeight="1" x14ac:dyDescent="0.35">
      <c r="A3" s="5"/>
      <c r="B3" s="34"/>
      <c r="C3" s="6"/>
      <c r="D3" s="6"/>
      <c r="E3" s="6"/>
      <c r="F3" s="6"/>
    </row>
    <row r="4" spans="1:10" x14ac:dyDescent="0.35">
      <c r="J4" s="13"/>
    </row>
    <row r="5" spans="1:10" x14ac:dyDescent="0.35">
      <c r="A5" s="118" t="s">
        <v>5</v>
      </c>
      <c r="B5" s="118" t="s">
        <v>17</v>
      </c>
      <c r="C5" s="115" t="s">
        <v>1</v>
      </c>
      <c r="D5" s="116"/>
      <c r="E5" s="117"/>
      <c r="F5" s="115" t="s">
        <v>2</v>
      </c>
      <c r="G5" s="117"/>
      <c r="H5" s="118" t="s">
        <v>28</v>
      </c>
      <c r="J5" s="13"/>
    </row>
    <row r="6" spans="1:10" x14ac:dyDescent="0.35">
      <c r="A6" s="119"/>
      <c r="B6" s="119"/>
      <c r="C6" s="22">
        <v>2018</v>
      </c>
      <c r="D6" s="22">
        <v>2019</v>
      </c>
      <c r="E6" s="22">
        <v>2020</v>
      </c>
      <c r="F6" s="22" t="s">
        <v>15</v>
      </c>
      <c r="G6" s="22" t="s">
        <v>16</v>
      </c>
      <c r="H6" s="119"/>
      <c r="J6" s="13"/>
    </row>
    <row r="7" spans="1:10" x14ac:dyDescent="0.35">
      <c r="A7" s="7" t="s">
        <v>125</v>
      </c>
      <c r="B7" s="92" t="s">
        <v>10</v>
      </c>
      <c r="C7" s="29">
        <v>1290873090.6323705</v>
      </c>
      <c r="D7" s="29">
        <v>1403197115.4343758</v>
      </c>
      <c r="E7" s="29">
        <v>1644108455.4814372</v>
      </c>
      <c r="F7" s="8">
        <f>IFERROR((D7-C7)/C7, "")</f>
        <v>8.7013995114717441E-2</v>
      </c>
      <c r="G7" s="8">
        <f>IFERROR((E7-D7)/D7, "")</f>
        <v>0.17168745388454179</v>
      </c>
      <c r="H7" s="7"/>
      <c r="J7" s="13"/>
    </row>
    <row r="8" spans="1:10" x14ac:dyDescent="0.35">
      <c r="A8" s="7" t="s">
        <v>20</v>
      </c>
      <c r="B8" s="92" t="s">
        <v>134</v>
      </c>
      <c r="C8" s="29">
        <v>130928891.75999999</v>
      </c>
      <c r="D8" s="29">
        <v>140639752.20000002</v>
      </c>
      <c r="E8" s="29">
        <v>157818273.87</v>
      </c>
      <c r="F8" s="8">
        <f>IFERROR((D8-C8)/C8, "")</f>
        <v>7.4168965378555093E-2</v>
      </c>
      <c r="G8" s="8">
        <f>IFERROR((E8-D8)/D8, "")</f>
        <v>0.12214556269674645</v>
      </c>
      <c r="H8" s="7"/>
    </row>
    <row r="9" spans="1:10" s="21" customFormat="1" x14ac:dyDescent="0.35">
      <c r="A9" s="14" t="s">
        <v>53</v>
      </c>
      <c r="B9" s="92" t="s">
        <v>135</v>
      </c>
      <c r="C9" s="29">
        <v>230170817</v>
      </c>
      <c r="D9" s="29">
        <v>226256469</v>
      </c>
      <c r="E9" s="29">
        <v>242363046</v>
      </c>
      <c r="F9" s="8">
        <f t="shared" ref="F9:F10" si="0">IFERROR((D9-C9)/C9, "")</f>
        <v>-1.700627408382532E-2</v>
      </c>
      <c r="G9" s="8">
        <f t="shared" ref="G9:G10" si="1">IFERROR((E9-D9)/D9, "")</f>
        <v>7.1187255202855654E-2</v>
      </c>
      <c r="H9" s="7"/>
      <c r="I9" s="72"/>
    </row>
    <row r="10" spans="1:10" s="21" customFormat="1" x14ac:dyDescent="0.35">
      <c r="A10" s="14" t="s">
        <v>163</v>
      </c>
      <c r="B10" s="92" t="s">
        <v>135</v>
      </c>
      <c r="C10" s="29">
        <v>4276231</v>
      </c>
      <c r="D10" s="29">
        <v>3470695</v>
      </c>
      <c r="E10" s="29">
        <v>3253793</v>
      </c>
      <c r="F10" s="8">
        <f t="shared" si="0"/>
        <v>-0.18837523043072277</v>
      </c>
      <c r="G10" s="8">
        <f t="shared" si="1"/>
        <v>-6.2495263916881198E-2</v>
      </c>
      <c r="H10" s="7" t="s">
        <v>164</v>
      </c>
      <c r="I10" s="72"/>
    </row>
    <row r="11" spans="1:10" x14ac:dyDescent="0.35">
      <c r="A11" s="17"/>
      <c r="B11" s="102"/>
      <c r="C11" s="17"/>
      <c r="D11" s="103"/>
      <c r="E11" s="17"/>
      <c r="F11" s="17"/>
      <c r="G11" s="17"/>
      <c r="H11" s="17"/>
    </row>
    <row r="12" spans="1:10" x14ac:dyDescent="0.35">
      <c r="D12" s="11"/>
    </row>
    <row r="13" spans="1:10" x14ac:dyDescent="0.35">
      <c r="A13" s="118" t="s">
        <v>24</v>
      </c>
      <c r="B13" s="118" t="s">
        <v>17</v>
      </c>
      <c r="C13" s="114" t="s">
        <v>44</v>
      </c>
      <c r="D13" s="114"/>
      <c r="E13" s="114"/>
      <c r="F13" s="115" t="s">
        <v>2</v>
      </c>
      <c r="G13" s="117"/>
      <c r="H13" s="118" t="s">
        <v>28</v>
      </c>
    </row>
    <row r="14" spans="1:10" x14ac:dyDescent="0.35">
      <c r="A14" s="119"/>
      <c r="B14" s="119"/>
      <c r="C14" s="22">
        <v>2018</v>
      </c>
      <c r="D14" s="22">
        <v>2019</v>
      </c>
      <c r="E14" s="22">
        <v>2020</v>
      </c>
      <c r="F14" s="22" t="s">
        <v>15</v>
      </c>
      <c r="G14" s="22" t="s">
        <v>16</v>
      </c>
      <c r="H14" s="119"/>
    </row>
    <row r="15" spans="1:10" x14ac:dyDescent="0.35">
      <c r="A15" s="7" t="s">
        <v>10</v>
      </c>
      <c r="B15" s="92" t="s">
        <v>10</v>
      </c>
      <c r="C15" s="35">
        <v>103494</v>
      </c>
      <c r="D15" s="35">
        <v>103569</v>
      </c>
      <c r="E15" s="35">
        <v>101786</v>
      </c>
      <c r="F15" s="8">
        <f t="shared" ref="F15:G17" si="2">IFERROR((D15-C15)/C15, "")</f>
        <v>7.2467969157632322E-4</v>
      </c>
      <c r="G15" s="8">
        <f t="shared" si="2"/>
        <v>-1.7215576089370372E-2</v>
      </c>
      <c r="H15" s="7" t="s">
        <v>29</v>
      </c>
    </row>
    <row r="16" spans="1:10" x14ac:dyDescent="0.35">
      <c r="A16" s="7" t="s">
        <v>20</v>
      </c>
      <c r="B16" s="92" t="s">
        <v>134</v>
      </c>
      <c r="C16" s="35">
        <v>14783</v>
      </c>
      <c r="D16" s="35">
        <v>14601</v>
      </c>
      <c r="E16" s="35">
        <v>13791</v>
      </c>
      <c r="F16" s="8">
        <f t="shared" si="2"/>
        <v>-1.2311438814854902E-2</v>
      </c>
      <c r="G16" s="8">
        <f t="shared" si="2"/>
        <v>-5.5475652352578592E-2</v>
      </c>
      <c r="H16" s="7" t="s">
        <v>29</v>
      </c>
    </row>
    <row r="17" spans="1:9" s="21" customFormat="1" x14ac:dyDescent="0.35">
      <c r="A17" s="14" t="s">
        <v>161</v>
      </c>
      <c r="B17" s="92" t="s">
        <v>135</v>
      </c>
      <c r="C17" s="35">
        <v>309111</v>
      </c>
      <c r="D17" s="35">
        <v>313576</v>
      </c>
      <c r="E17" s="35">
        <v>316633</v>
      </c>
      <c r="F17" s="8">
        <f t="shared" si="2"/>
        <v>1.4444649333087468E-2</v>
      </c>
      <c r="G17" s="8">
        <f t="shared" si="2"/>
        <v>9.7488328188381768E-3</v>
      </c>
      <c r="H17" s="46" t="s">
        <v>162</v>
      </c>
      <c r="I17" s="72"/>
    </row>
    <row r="18" spans="1:9" s="21" customFormat="1" x14ac:dyDescent="0.35">
      <c r="A18" s="17"/>
      <c r="B18" s="40"/>
      <c r="C18" s="41"/>
      <c r="D18" s="41"/>
      <c r="E18" s="41"/>
      <c r="F18" s="18"/>
      <c r="G18" s="18"/>
      <c r="H18" s="17"/>
    </row>
    <row r="19" spans="1:9" s="21" customFormat="1" x14ac:dyDescent="0.35">
      <c r="A19" s="17"/>
      <c r="B19" s="40"/>
      <c r="C19" s="41"/>
      <c r="D19" s="41"/>
      <c r="E19" s="41"/>
      <c r="F19" s="18"/>
      <c r="G19" s="18"/>
      <c r="H19" s="17"/>
    </row>
    <row r="20" spans="1:9" x14ac:dyDescent="0.35">
      <c r="A20" s="118" t="s">
        <v>24</v>
      </c>
      <c r="B20" s="118" t="s">
        <v>17</v>
      </c>
      <c r="C20" s="115" t="s">
        <v>82</v>
      </c>
      <c r="D20" s="116"/>
      <c r="E20" s="117"/>
      <c r="F20" s="115" t="s">
        <v>2</v>
      </c>
      <c r="G20" s="117"/>
      <c r="H20" s="118" t="s">
        <v>28</v>
      </c>
    </row>
    <row r="21" spans="1:9" x14ac:dyDescent="0.35">
      <c r="A21" s="119"/>
      <c r="B21" s="119"/>
      <c r="C21" s="22">
        <v>2018</v>
      </c>
      <c r="D21" s="22">
        <v>2019</v>
      </c>
      <c r="E21" s="22">
        <v>2020</v>
      </c>
      <c r="F21" s="22" t="s">
        <v>15</v>
      </c>
      <c r="G21" s="22" t="s">
        <v>16</v>
      </c>
      <c r="H21" s="119"/>
    </row>
    <row r="22" spans="1:9" x14ac:dyDescent="0.35">
      <c r="A22" s="7" t="s">
        <v>10</v>
      </c>
      <c r="B22" s="25"/>
      <c r="C22" s="27">
        <f t="shared" ref="C22:E23" si="3">C7/C15</f>
        <v>12472.926842448553</v>
      </c>
      <c r="D22" s="27">
        <f t="shared" si="3"/>
        <v>13548.427767327827</v>
      </c>
      <c r="E22" s="27">
        <f t="shared" si="3"/>
        <v>16152.599134276199</v>
      </c>
      <c r="F22" s="8">
        <f>IFERROR((D22-C22)/C22, "")</f>
        <v>8.6226828591591656E-2</v>
      </c>
      <c r="G22" s="8">
        <f>IFERROR((E22-D22)/D22, "")</f>
        <v>0.19221207151639827</v>
      </c>
      <c r="H22" s="7" t="s">
        <v>39</v>
      </c>
    </row>
    <row r="23" spans="1:9" x14ac:dyDescent="0.35">
      <c r="A23" s="7" t="s">
        <v>20</v>
      </c>
      <c r="B23" s="25"/>
      <c r="C23" s="27">
        <f t="shared" si="3"/>
        <v>8856.7199999999993</v>
      </c>
      <c r="D23" s="27">
        <f t="shared" si="3"/>
        <v>9632.2000000000007</v>
      </c>
      <c r="E23" s="27">
        <f t="shared" si="3"/>
        <v>11443.57</v>
      </c>
      <c r="F23" s="8">
        <f>IFERROR((D23-C23)/C23, "")</f>
        <v>8.7558373754618127E-2</v>
      </c>
      <c r="G23" s="8">
        <f>IFERROR((E23-D23)/D23, "")</f>
        <v>0.18805361184360778</v>
      </c>
      <c r="H23" s="7" t="s">
        <v>39</v>
      </c>
    </row>
    <row r="24" spans="1:9" x14ac:dyDescent="0.35">
      <c r="A24" s="14" t="s">
        <v>53</v>
      </c>
      <c r="B24" s="99"/>
      <c r="C24" s="10">
        <f>C9/THCE_Statewide!B27</f>
        <v>69.79770538495255</v>
      </c>
      <c r="D24" s="10">
        <f>D9/THCE_Statewide!C27</f>
        <v>67.425046240711666</v>
      </c>
      <c r="E24" s="10">
        <f>E9/THCE_Statewide!D27</f>
        <v>68.648189742805485</v>
      </c>
      <c r="F24" s="8">
        <f t="shared" ref="F24:F25" si="4">IFERROR((D24-C24)/C24, "")</f>
        <v>-3.3993368852959428E-2</v>
      </c>
      <c r="G24" s="8">
        <f t="shared" ref="G24:G25" si="5">IFERROR((E24-D24)/D24, "")</f>
        <v>1.8140788479804965E-2</v>
      </c>
      <c r="H24" s="7"/>
    </row>
    <row r="25" spans="1:9" s="21" customFormat="1" x14ac:dyDescent="0.35">
      <c r="A25" s="14" t="s">
        <v>163</v>
      </c>
      <c r="B25" s="99"/>
      <c r="C25" s="10">
        <f>C10/C17</f>
        <v>13.833965792223506</v>
      </c>
      <c r="D25" s="10">
        <f t="shared" ref="D25:E25" si="6">D10/D17</f>
        <v>11.068114268949154</v>
      </c>
      <c r="E25" s="10">
        <f t="shared" si="6"/>
        <v>10.276228314799784</v>
      </c>
      <c r="F25" s="8">
        <f t="shared" si="4"/>
        <v>-0.19993193309969878</v>
      </c>
      <c r="G25" s="8">
        <f t="shared" si="5"/>
        <v>-7.154660088493596E-2</v>
      </c>
      <c r="H25" s="7"/>
    </row>
  </sheetData>
  <mergeCells count="15">
    <mergeCell ref="H5:H6"/>
    <mergeCell ref="H13:H14"/>
    <mergeCell ref="A13:A14"/>
    <mergeCell ref="B13:B14"/>
    <mergeCell ref="C13:E13"/>
    <mergeCell ref="F13:G13"/>
    <mergeCell ref="A5:A6"/>
    <mergeCell ref="B5:B6"/>
    <mergeCell ref="C5:E5"/>
    <mergeCell ref="F5:G5"/>
    <mergeCell ref="A20:A21"/>
    <mergeCell ref="B20:B21"/>
    <mergeCell ref="C20:E20"/>
    <mergeCell ref="F20:G20"/>
    <mergeCell ref="H20:H2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BDB03-06ED-4D49-95CF-C3BCABD3023D}">
  <sheetPr>
    <tabColor theme="5"/>
  </sheetPr>
  <dimension ref="A1:O51"/>
  <sheetViews>
    <sheetView topLeftCell="A4" zoomScale="80" zoomScaleNormal="80" workbookViewId="0">
      <selection activeCell="H5" sqref="H5"/>
    </sheetView>
  </sheetViews>
  <sheetFormatPr defaultRowHeight="14.5" x14ac:dyDescent="0.35"/>
  <cols>
    <col min="1" max="1" width="37.81640625" style="21" customWidth="1"/>
    <col min="2" max="2" width="19.81640625" style="21" customWidth="1"/>
    <col min="3" max="4" width="20" style="21" bestFit="1" customWidth="1"/>
    <col min="5" max="6" width="16.453125" style="21" customWidth="1"/>
    <col min="7" max="7" width="17.81640625" style="21" customWidth="1"/>
    <col min="8" max="8" width="8.90625" customWidth="1"/>
    <col min="9" max="9" width="36.453125" style="21" customWidth="1"/>
    <col min="10" max="10" width="19.81640625" style="21" customWidth="1"/>
    <col min="11" max="12" width="20" style="21" bestFit="1" customWidth="1"/>
    <col min="13" max="14" width="16.453125" style="21" customWidth="1"/>
    <col min="15" max="15" width="20.81640625" style="21" customWidth="1"/>
  </cols>
  <sheetData>
    <row r="1" spans="1:15" ht="18.5" x14ac:dyDescent="0.45">
      <c r="A1" s="2" t="s">
        <v>105</v>
      </c>
      <c r="B1" s="2"/>
      <c r="C1" s="2"/>
      <c r="D1" s="2"/>
      <c r="E1" s="2"/>
      <c r="F1" s="2"/>
      <c r="I1" s="2"/>
      <c r="J1" s="2"/>
      <c r="K1" s="2"/>
      <c r="L1" s="2"/>
      <c r="M1" s="2"/>
      <c r="N1" s="2"/>
    </row>
    <row r="2" spans="1:15" ht="15.5" x14ac:dyDescent="0.35">
      <c r="A2" s="3" t="s">
        <v>139</v>
      </c>
      <c r="B2" s="4"/>
      <c r="C2" s="4"/>
      <c r="D2" s="4" t="s">
        <v>141</v>
      </c>
      <c r="E2" s="4"/>
      <c r="F2" s="4"/>
      <c r="I2" s="3"/>
      <c r="J2" s="4"/>
      <c r="K2" s="4"/>
      <c r="L2" s="4"/>
      <c r="M2" s="4"/>
      <c r="N2" s="4"/>
    </row>
    <row r="3" spans="1:15" ht="15.5" x14ac:dyDescent="0.35">
      <c r="A3" s="5" t="s">
        <v>136</v>
      </c>
      <c r="B3" s="6"/>
      <c r="C3" s="6"/>
      <c r="D3" s="34" t="s">
        <v>140</v>
      </c>
      <c r="E3" s="6"/>
      <c r="F3" s="6"/>
      <c r="I3" s="5"/>
      <c r="J3" s="6"/>
      <c r="K3" s="6"/>
      <c r="L3" s="6"/>
      <c r="M3" s="6"/>
      <c r="N3" s="6"/>
    </row>
    <row r="4" spans="1:15" ht="15.5" x14ac:dyDescent="0.35">
      <c r="A4" s="5"/>
      <c r="B4" s="6"/>
      <c r="C4" s="6"/>
      <c r="D4" s="6"/>
      <c r="E4" s="6"/>
      <c r="F4" s="6"/>
      <c r="I4" s="5"/>
      <c r="J4" s="6"/>
      <c r="K4" s="6"/>
      <c r="L4" s="6"/>
      <c r="M4" s="6"/>
      <c r="N4" s="6"/>
    </row>
    <row r="5" spans="1:15" x14ac:dyDescent="0.35">
      <c r="A5" s="38" t="s">
        <v>93</v>
      </c>
      <c r="I5" s="38" t="s">
        <v>95</v>
      </c>
    </row>
    <row r="6" spans="1:15" x14ac:dyDescent="0.35">
      <c r="A6" s="114" t="s">
        <v>7</v>
      </c>
      <c r="B6" s="114" t="s">
        <v>1</v>
      </c>
      <c r="C6" s="114"/>
      <c r="D6" s="114"/>
      <c r="E6" s="115" t="s">
        <v>2</v>
      </c>
      <c r="F6" s="117"/>
      <c r="G6" s="118" t="s">
        <v>28</v>
      </c>
      <c r="I6" s="114" t="s">
        <v>7</v>
      </c>
      <c r="J6" s="114" t="s">
        <v>1</v>
      </c>
      <c r="K6" s="114"/>
      <c r="L6" s="114"/>
      <c r="M6" s="115" t="s">
        <v>2</v>
      </c>
      <c r="N6" s="117"/>
      <c r="O6" s="118" t="s">
        <v>28</v>
      </c>
    </row>
    <row r="7" spans="1:15" x14ac:dyDescent="0.35">
      <c r="A7" s="114"/>
      <c r="B7" s="70">
        <v>2018</v>
      </c>
      <c r="C7" s="70">
        <v>2019</v>
      </c>
      <c r="D7" s="70">
        <v>2020</v>
      </c>
      <c r="E7" s="70" t="s">
        <v>15</v>
      </c>
      <c r="F7" s="70" t="s">
        <v>16</v>
      </c>
      <c r="G7" s="119"/>
      <c r="I7" s="114"/>
      <c r="J7" s="70">
        <v>2018</v>
      </c>
      <c r="K7" s="70">
        <v>2019</v>
      </c>
      <c r="L7" s="70">
        <v>2020</v>
      </c>
      <c r="M7" s="70" t="s">
        <v>15</v>
      </c>
      <c r="N7" s="70" t="s">
        <v>16</v>
      </c>
      <c r="O7" s="119"/>
    </row>
    <row r="8" spans="1:15" x14ac:dyDescent="0.35">
      <c r="A8" s="42" t="s">
        <v>94</v>
      </c>
      <c r="B8" s="63">
        <f>TME_Comm_ServCat!B8/12+TME_Mcare_ServCat!B8/12+TME_Mcare_ServCat!J8+TME_Maid_ServCat!B8/12-TME_Maid_ServCat!J8/12</f>
        <v>3179407.583333333</v>
      </c>
      <c r="C8" s="63">
        <f>TME_Comm_ServCat!C8/12+TME_Mcare_ServCat!C8/12+TME_Mcare_ServCat!K8+TME_Maid_ServCat!C8/12-TME_Maid_ServCat!K8/12</f>
        <v>3237503.9166666665</v>
      </c>
      <c r="D8" s="63">
        <f>TME_Comm_ServCat!D8/12+TME_Mcare_ServCat!D8/12+TME_Mcare_ServCat!L8+TME_Maid_ServCat!D8/12-TME_Maid_ServCat!L8/12</f>
        <v>3414931.916666667</v>
      </c>
      <c r="E8" s="45">
        <f>IFERROR((C8-B8)/B8, "")</f>
        <v>1.8272691314532415E-2</v>
      </c>
      <c r="F8" s="45">
        <f>IFERROR((D8-C8)/C8, "")</f>
        <v>5.4803949143227698E-2</v>
      </c>
      <c r="G8" s="43"/>
      <c r="I8" s="42" t="s">
        <v>94</v>
      </c>
      <c r="J8" s="63">
        <f>B8-TME_Mcare_ServCat!J8</f>
        <v>2720160.583333333</v>
      </c>
      <c r="K8" s="63">
        <f>C8-TME_Mcare_ServCat!K8</f>
        <v>2767278.9166666665</v>
      </c>
      <c r="L8" s="63">
        <f>D8-TME_Mcare_ServCat!L8</f>
        <v>2946274.916666667</v>
      </c>
      <c r="M8" s="45">
        <f>IFERROR((K8-J8)/J8, "")</f>
        <v>1.7321894016857582E-2</v>
      </c>
      <c r="N8" s="45">
        <f>IFERROR((L8-K8)/K8, "")</f>
        <v>6.4683035353592253E-2</v>
      </c>
      <c r="O8" s="43"/>
    </row>
    <row r="9" spans="1:15" x14ac:dyDescent="0.35">
      <c r="A9" s="7" t="s">
        <v>31</v>
      </c>
      <c r="B9" s="27">
        <f>TME_Comm_ServCat!B9+TME_Maid_ServCat!B9+TME_Mcare_ServCat!B9+TME_Mcare_ServCat!J9</f>
        <v>4606688410.75</v>
      </c>
      <c r="C9" s="27">
        <f>TME_Comm_ServCat!C9+TME_Maid_ServCat!C9+TME_Mcare_ServCat!C9+TME_Mcare_ServCat!K9</f>
        <v>4721994795.2999992</v>
      </c>
      <c r="D9" s="27">
        <f>TME_Comm_ServCat!D9+TME_Maid_ServCat!D9+TME_Mcare_ServCat!D9+TME_Mcare_ServCat!L9</f>
        <v>4632685792.25</v>
      </c>
      <c r="E9" s="8">
        <f>IFERROR((C9-B9)/B9, "")</f>
        <v>2.5030211351157256E-2</v>
      </c>
      <c r="F9" s="8">
        <f>IFERROR((D9-C9)/C9, "")</f>
        <v>-1.8913405651969854E-2</v>
      </c>
      <c r="G9" s="7"/>
      <c r="I9" s="7" t="s">
        <v>31</v>
      </c>
      <c r="J9" s="27">
        <f>TME_Comm_ServCat!B9+TME_Maid_ServCat!B9+TME_Mcare_ServCat!B9</f>
        <v>3220728383.75</v>
      </c>
      <c r="K9" s="27">
        <f>TME_Comm_ServCat!C9+TME_Maid_ServCat!C9+TME_Mcare_ServCat!C9</f>
        <v>3298108337.2999997</v>
      </c>
      <c r="L9" s="27">
        <f>TME_Comm_ServCat!D9+TME_Maid_ServCat!D9+TME_Mcare_ServCat!D9</f>
        <v>3339688087.25</v>
      </c>
      <c r="M9" s="8">
        <f>IFERROR((K9-J9)/J9, "")</f>
        <v>2.4025606735549581E-2</v>
      </c>
      <c r="N9" s="8">
        <f>IFERROR((L9-K9)/K9, "")</f>
        <v>1.260715103859796E-2</v>
      </c>
      <c r="O9" s="7"/>
    </row>
    <row r="10" spans="1:15" x14ac:dyDescent="0.35">
      <c r="A10" s="7" t="s">
        <v>32</v>
      </c>
      <c r="B10" s="27">
        <f>TME_Comm_ServCat!B10+TME_Maid_ServCat!B10+TME_Mcare_ServCat!B10+TME_Mcare_ServCat!J10</f>
        <v>4008628241.0900002</v>
      </c>
      <c r="C10" s="27">
        <f>TME_Comm_ServCat!C10+TME_Maid_ServCat!C10+TME_Mcare_ServCat!C10+TME_Mcare_ServCat!K10</f>
        <v>4368613637.6200008</v>
      </c>
      <c r="D10" s="27">
        <f>TME_Comm_ServCat!D10+TME_Maid_ServCat!D10+TME_Mcare_ServCat!D10+TME_Mcare_ServCat!L10</f>
        <v>4150258960.4900002</v>
      </c>
      <c r="E10" s="8">
        <f t="shared" ref="E10:F24" si="0">IFERROR((C10-B10)/B10, "")</f>
        <v>8.9802639426627348E-2</v>
      </c>
      <c r="F10" s="8">
        <f t="shared" si="0"/>
        <v>-4.9982602089059802E-2</v>
      </c>
      <c r="G10" s="7"/>
      <c r="I10" s="7" t="s">
        <v>32</v>
      </c>
      <c r="J10" s="27">
        <f>TME_Comm_ServCat!B10+TME_Maid_ServCat!B10+TME_Mcare_ServCat!B10</f>
        <v>3186422578.0900002</v>
      </c>
      <c r="K10" s="27">
        <f>TME_Comm_ServCat!C10+TME_Maid_ServCat!C10+TME_Mcare_ServCat!C10</f>
        <v>3462929868.6200004</v>
      </c>
      <c r="L10" s="27">
        <f>TME_Comm_ServCat!D10+TME_Maid_ServCat!D10+TME_Mcare_ServCat!D10</f>
        <v>3305881267.4900002</v>
      </c>
      <c r="M10" s="8">
        <f t="shared" ref="M10:N27" si="1">IFERROR((K10-J10)/J10, "")</f>
        <v>8.6776717071765083E-2</v>
      </c>
      <c r="N10" s="8">
        <f t="shared" si="1"/>
        <v>-4.5351366354001554E-2</v>
      </c>
      <c r="O10" s="7"/>
    </row>
    <row r="11" spans="1:15" x14ac:dyDescent="0.35">
      <c r="A11" s="7" t="s">
        <v>92</v>
      </c>
      <c r="B11" s="27">
        <f>SUM(TME_Comm_ServCat!B11:B14)+SUM(TME_Maid_ServCat!B11:B14)+SUM(TME_Mcare_ServCat!B11:B14)+SUM(TME_Mcare_ServCat!J11:J12)</f>
        <v>5512157207.9300003</v>
      </c>
      <c r="C11" s="27">
        <f>SUM(TME_Comm_ServCat!C11:C14)+SUM(TME_Maid_ServCat!C11:C14)+SUM(TME_Mcare_ServCat!C11:C14)+SUM(TME_Mcare_ServCat!K11:K12)</f>
        <v>5903210262.5100002</v>
      </c>
      <c r="D11" s="27">
        <f>SUM(TME_Comm_ServCat!D11:D14)+SUM(TME_Maid_ServCat!D11:D14)+SUM(TME_Mcare_ServCat!D11:D14)+SUM(TME_Mcare_ServCat!L11:L12)</f>
        <v>5746226858.1099997</v>
      </c>
      <c r="E11" s="8">
        <f t="shared" si="0"/>
        <v>7.0943741230278412E-2</v>
      </c>
      <c r="F11" s="8">
        <f t="shared" si="0"/>
        <v>-2.6592887161239691E-2</v>
      </c>
      <c r="G11" s="7"/>
      <c r="I11" s="93" t="s">
        <v>33</v>
      </c>
      <c r="J11" s="101">
        <f>TME_Comm_ServCat!B11+TME_Maid_ServCat!B11+TME_Mcare_ServCat!B11</f>
        <v>1084212550.73</v>
      </c>
      <c r="K11" s="101">
        <f>TME_Comm_ServCat!C11+TME_Maid_ServCat!C11+TME_Mcare_ServCat!C11</f>
        <v>1139011931.25</v>
      </c>
      <c r="L11" s="101">
        <f>TME_Comm_ServCat!D11+TME_Maid_ServCat!D11+TME_Mcare_ServCat!D11</f>
        <v>1045452800.13</v>
      </c>
      <c r="M11" s="96">
        <f t="shared" si="1"/>
        <v>5.0543023582510248E-2</v>
      </c>
      <c r="N11" s="96">
        <f t="shared" si="1"/>
        <v>-8.2140606742656552E-2</v>
      </c>
      <c r="O11" s="93"/>
    </row>
    <row r="12" spans="1:15" x14ac:dyDescent="0.35">
      <c r="A12" s="7" t="s">
        <v>37</v>
      </c>
      <c r="B12" s="27">
        <f>TME_Comm_ServCat!B15+TME_Maid_ServCat!B15+TME_Mcare_ServCat!B15+SUM(TME_Mcare_ServCat!J13:J14)</f>
        <v>1063530682.6299999</v>
      </c>
      <c r="C12" s="27">
        <f>TME_Comm_ServCat!C15+TME_Maid_ServCat!C15+TME_Mcare_ServCat!C15+SUM(TME_Mcare_ServCat!K13:K14)</f>
        <v>1093058753.03</v>
      </c>
      <c r="D12" s="27">
        <f>TME_Comm_ServCat!D15+TME_Maid_ServCat!D15+TME_Mcare_ServCat!D15+SUM(TME_Mcare_ServCat!L13:L14)</f>
        <v>927767176.42000008</v>
      </c>
      <c r="E12" s="8">
        <f t="shared" si="0"/>
        <v>2.7764192309882658E-2</v>
      </c>
      <c r="F12" s="8">
        <f t="shared" si="0"/>
        <v>-0.15121929736329856</v>
      </c>
      <c r="G12" s="7"/>
      <c r="I12" s="93" t="s">
        <v>34</v>
      </c>
      <c r="J12" s="101">
        <f>TME_Comm_ServCat!B12+TME_Maid_ServCat!B12+TME_Mcare_ServCat!B12</f>
        <v>1976346524.8800001</v>
      </c>
      <c r="K12" s="101">
        <f>TME_Comm_ServCat!C12+TME_Maid_ServCat!C12+TME_Mcare_ServCat!C12</f>
        <v>2075358484.5500002</v>
      </c>
      <c r="L12" s="101">
        <f>TME_Comm_ServCat!D12+TME_Maid_ServCat!D12+TME_Mcare_ServCat!D12</f>
        <v>2014133100.24</v>
      </c>
      <c r="M12" s="96">
        <f t="shared" si="1"/>
        <v>5.0098481426991602E-2</v>
      </c>
      <c r="N12" s="96">
        <f t="shared" si="1"/>
        <v>-2.9501112586472346E-2</v>
      </c>
      <c r="O12" s="93"/>
    </row>
    <row r="13" spans="1:15" x14ac:dyDescent="0.35">
      <c r="A13" s="14" t="s">
        <v>56</v>
      </c>
      <c r="B13" s="27">
        <f>TME_Comm_ServCat!B16+TME_Maid_ServCat!B16+TME_Mcare_ServCat!B16+TME_Mcare_ServCat!J19</f>
        <v>3712382042.9200001</v>
      </c>
      <c r="C13" s="27">
        <f>TME_Comm_ServCat!C16+TME_Maid_ServCat!C16+TME_Mcare_ServCat!C16+TME_Mcare_ServCat!K19</f>
        <v>3995664132.9899998</v>
      </c>
      <c r="D13" s="27">
        <f>TME_Comm_ServCat!D16+TME_Maid_ServCat!D16+TME_Mcare_ServCat!D16+TME_Mcare_ServCat!L19</f>
        <v>4356774623.7799997</v>
      </c>
      <c r="E13" s="8">
        <f t="shared" si="0"/>
        <v>7.6307364596339383E-2</v>
      </c>
      <c r="F13" s="8">
        <f t="shared" si="0"/>
        <v>9.0375586828860155E-2</v>
      </c>
      <c r="G13" s="7"/>
      <c r="I13" s="93" t="s">
        <v>35</v>
      </c>
      <c r="J13" s="101">
        <f>TME_Comm_ServCat!B13+TME_Maid_ServCat!B13+TME_Mcare_ServCat!B13</f>
        <v>626250839.60000002</v>
      </c>
      <c r="K13" s="101">
        <f>TME_Comm_ServCat!C13+TME_Maid_ServCat!C13+TME_Mcare_ServCat!C13</f>
        <v>711419784.86000001</v>
      </c>
      <c r="L13" s="101">
        <f>TME_Comm_ServCat!D13+TME_Maid_ServCat!D13+TME_Mcare_ServCat!D13</f>
        <v>814042959.56000006</v>
      </c>
      <c r="M13" s="96">
        <f t="shared" si="1"/>
        <v>0.13599813345463815</v>
      </c>
      <c r="N13" s="96">
        <f t="shared" si="1"/>
        <v>0.14425122393833228</v>
      </c>
      <c r="O13" s="93"/>
    </row>
    <row r="14" spans="1:15" x14ac:dyDescent="0.35">
      <c r="A14" s="14" t="s">
        <v>57</v>
      </c>
      <c r="B14" s="27">
        <f>TME_Comm_ServCat!B17+TME_Maid_ServCat!B17+TME_Mcare_ServCat!B17+TME_Mcare_ServCat!J19</f>
        <v>2912323144.5599999</v>
      </c>
      <c r="C14" s="27">
        <f>TME_Comm_ServCat!C17+TME_Maid_ServCat!C17+TME_Mcare_ServCat!C17+TME_Mcare_ServCat!K19</f>
        <v>3164875225.3800001</v>
      </c>
      <c r="D14" s="27">
        <f>TME_Comm_ServCat!D17+TME_Maid_ServCat!D17+TME_Mcare_ServCat!D17+TME_Mcare_ServCat!L19</f>
        <v>3443697871.9099998</v>
      </c>
      <c r="E14" s="8">
        <f t="shared" si="0"/>
        <v>8.6718426590726524E-2</v>
      </c>
      <c r="F14" s="8">
        <f t="shared" si="0"/>
        <v>8.8099096069900212E-2</v>
      </c>
      <c r="G14" s="51"/>
      <c r="I14" s="93" t="s">
        <v>36</v>
      </c>
      <c r="J14" s="101">
        <f>TME_Comm_ServCat!B14+TME_Maid_ServCat!B14+TME_Mcare_ServCat!B14</f>
        <v>802141645.71999991</v>
      </c>
      <c r="K14" s="101">
        <f>TME_Comm_ServCat!C14+TME_Maid_ServCat!C14+TME_Mcare_ServCat!C14</f>
        <v>896783829.85000014</v>
      </c>
      <c r="L14" s="101">
        <f>TME_Comm_ServCat!D14+TME_Maid_ServCat!D14+TME_Mcare_ServCat!D14</f>
        <v>865628188.17999995</v>
      </c>
      <c r="M14" s="96">
        <f t="shared" si="1"/>
        <v>0.11798687256170286</v>
      </c>
      <c r="N14" s="96">
        <f t="shared" si="1"/>
        <v>-3.47415292659898E-2</v>
      </c>
      <c r="O14" s="93"/>
    </row>
    <row r="15" spans="1:15" x14ac:dyDescent="0.35">
      <c r="A15" s="14" t="s">
        <v>38</v>
      </c>
      <c r="B15" s="27">
        <f>TME_Comm_ServCat!B18+TME_Maid_ServCat!B18+TME_Mcare_ServCat!B18+SUM(TME_Mcare_ServCat!J15:J18)</f>
        <v>1877413235.3400002</v>
      </c>
      <c r="C15" s="27">
        <f>TME_Comm_ServCat!C18+TME_Maid_ServCat!C18+TME_Mcare_ServCat!C18+SUM(TME_Mcare_ServCat!K15:K18)</f>
        <v>2018447294.47</v>
      </c>
      <c r="D15" s="27">
        <f>TME_Comm_ServCat!D18+TME_Maid_ServCat!D18+TME_Mcare_ServCat!D18+SUM(TME_Mcare_ServCat!L15:L18)</f>
        <v>2085679188.3299999</v>
      </c>
      <c r="E15" s="8">
        <f t="shared" si="0"/>
        <v>7.5121479104976352E-2</v>
      </c>
      <c r="F15" s="8">
        <f t="shared" si="0"/>
        <v>3.330871905558154E-2</v>
      </c>
      <c r="G15" s="7"/>
      <c r="I15" s="7" t="s">
        <v>37</v>
      </c>
      <c r="J15" s="27">
        <f>TME_Comm_ServCat!B15+TME_Maid_ServCat!B15+TME_Mcare_ServCat!B15</f>
        <v>696823330.62999988</v>
      </c>
      <c r="K15" s="27">
        <f>TME_Comm_ServCat!C15+TME_Maid_ServCat!C15+TME_Mcare_ServCat!C15</f>
        <v>720563254.02999997</v>
      </c>
      <c r="L15" s="27">
        <f>TME_Comm_ServCat!D15+TME_Maid_ServCat!D15+TME_Mcare_ServCat!D15</f>
        <v>568249919.42000008</v>
      </c>
      <c r="M15" s="8">
        <f t="shared" si="1"/>
        <v>3.4068783802828136E-2</v>
      </c>
      <c r="N15" s="8">
        <f t="shared" si="1"/>
        <v>-0.21138093534208791</v>
      </c>
      <c r="O15" s="7"/>
    </row>
    <row r="16" spans="1:15" x14ac:dyDescent="0.35">
      <c r="A16" s="14" t="s">
        <v>46</v>
      </c>
      <c r="B16" s="27">
        <f>TME_Comm_ServCat!B19+TME_Maid_ServCat!B19+TME_Mcare_ServCat!B19</f>
        <v>522728605.03000009</v>
      </c>
      <c r="C16" s="27">
        <f>TME_Comm_ServCat!C19+TME_Maid_ServCat!C19+TME_Mcare_ServCat!C19</f>
        <v>552511716.13999999</v>
      </c>
      <c r="D16" s="27">
        <f>TME_Comm_ServCat!D19+TME_Maid_ServCat!D19+TME_Mcare_ServCat!D19</f>
        <v>693496685.59000003</v>
      </c>
      <c r="E16" s="8">
        <f t="shared" si="0"/>
        <v>5.6976241252935836E-2</v>
      </c>
      <c r="F16" s="8">
        <f t="shared" si="0"/>
        <v>0.25517100421862565</v>
      </c>
      <c r="G16" s="7"/>
      <c r="I16" s="14" t="s">
        <v>56</v>
      </c>
      <c r="J16" s="27">
        <f>TME_Comm_ServCat!B16+TME_Maid_ServCat!B16+TME_Mcare_ServCat!B16</f>
        <v>2859485563.9200001</v>
      </c>
      <c r="K16" s="27">
        <f>TME_Comm_ServCat!C16+TME_Maid_ServCat!C16+TME_Mcare_ServCat!C16</f>
        <v>3053509076.9899998</v>
      </c>
      <c r="L16" s="27">
        <f>TME_Comm_ServCat!D16+TME_Maid_ServCat!D16+TME_Mcare_ServCat!D16</f>
        <v>3376285445.7799997</v>
      </c>
      <c r="M16" s="8">
        <f t="shared" si="1"/>
        <v>6.7852594018351156E-2</v>
      </c>
      <c r="N16" s="8">
        <f t="shared" si="1"/>
        <v>0.10570670027553256</v>
      </c>
      <c r="O16" s="7"/>
    </row>
    <row r="17" spans="1:15" x14ac:dyDescent="0.35">
      <c r="A17" s="14" t="s">
        <v>47</v>
      </c>
      <c r="B17" s="27">
        <f>TME_Comm_ServCat!B20+TME_Maid_ServCat!B20+TME_Mcare_ServCat!B20</f>
        <v>203828915.69</v>
      </c>
      <c r="C17" s="27">
        <f>TME_Comm_ServCat!C20+TME_Maid_ServCat!C20+TME_Mcare_ServCat!C20</f>
        <v>198851765.86000001</v>
      </c>
      <c r="D17" s="27">
        <f>TME_Comm_ServCat!D20+TME_Maid_ServCat!D20+TME_Mcare_ServCat!D20</f>
        <v>303940271.5</v>
      </c>
      <c r="E17" s="8">
        <f t="shared" si="0"/>
        <v>-2.44182716331065E-2</v>
      </c>
      <c r="F17" s="8">
        <f t="shared" si="0"/>
        <v>0.5284766025864045</v>
      </c>
      <c r="G17" s="7"/>
      <c r="I17" s="14" t="s">
        <v>57</v>
      </c>
      <c r="J17" s="27">
        <f>TME_Comm_ServCat!B17+TME_Maid_ServCat!B17+TME_Mcare_ServCat!B17</f>
        <v>2059426665.5599999</v>
      </c>
      <c r="K17" s="27">
        <f>TME_Comm_ServCat!C17+TME_Maid_ServCat!C17+TME_Mcare_ServCat!C17</f>
        <v>2222720169.3800001</v>
      </c>
      <c r="L17" s="27">
        <f>TME_Comm_ServCat!D17+TME_Maid_ServCat!D17+TME_Mcare_ServCat!D17</f>
        <v>2463208693.9099998</v>
      </c>
      <c r="M17" s="8"/>
      <c r="N17" s="8"/>
      <c r="O17" s="7"/>
    </row>
    <row r="18" spans="1:15" x14ac:dyDescent="0.35">
      <c r="A18" s="14" t="s">
        <v>48</v>
      </c>
      <c r="B18" s="27">
        <f>TME_Comm_ServCat!B21+TME_Maid_ServCat!B21+TME_Mcare_ServCat!B21</f>
        <v>64793204.990000002</v>
      </c>
      <c r="C18" s="27">
        <f>TME_Comm_ServCat!C21+TME_Maid_ServCat!C21+TME_Mcare_ServCat!C21</f>
        <v>65755383.370000005</v>
      </c>
      <c r="D18" s="27">
        <f>TME_Comm_ServCat!D21+TME_Maid_ServCat!D21+TME_Mcare_ServCat!D21</f>
        <v>117451905.48999999</v>
      </c>
      <c r="E18" s="8">
        <f t="shared" si="0"/>
        <v>1.4849988978759464E-2</v>
      </c>
      <c r="F18" s="8">
        <f t="shared" si="0"/>
        <v>0.78619452082132979</v>
      </c>
      <c r="G18" s="7"/>
      <c r="I18" s="14" t="s">
        <v>38</v>
      </c>
      <c r="J18" s="27">
        <f>TME_Comm_ServCat!B18+TME_Maid_ServCat!B18+TME_Mcare_ServCat!B18</f>
        <v>1046753000.34</v>
      </c>
      <c r="K18" s="27">
        <f>TME_Comm_ServCat!C18+TME_Maid_ServCat!C18+TME_Mcare_ServCat!C18</f>
        <v>1115458862.47</v>
      </c>
      <c r="L18" s="27">
        <f>TME_Comm_ServCat!D18+TME_Maid_ServCat!D18+TME_Mcare_ServCat!D18</f>
        <v>1180703176.3299999</v>
      </c>
      <c r="M18" s="8">
        <f t="shared" si="1"/>
        <v>6.5637129396986085E-2</v>
      </c>
      <c r="N18" s="8">
        <f t="shared" si="1"/>
        <v>5.8491008548291153E-2</v>
      </c>
      <c r="O18" s="7"/>
    </row>
    <row r="19" spans="1:15" x14ac:dyDescent="0.35">
      <c r="A19" s="14" t="s">
        <v>49</v>
      </c>
      <c r="B19" s="27">
        <f>TME_Comm_ServCat!B22+TME_Maid_ServCat!B22+TME_Mcare_ServCat!B22</f>
        <v>0</v>
      </c>
      <c r="C19" s="27">
        <f>TME_Comm_ServCat!C22+TME_Maid_ServCat!C22+TME_Mcare_ServCat!C22</f>
        <v>0</v>
      </c>
      <c r="D19" s="27">
        <f>TME_Comm_ServCat!D22+TME_Maid_ServCat!D22+TME_Mcare_ServCat!D22</f>
        <v>466127.5</v>
      </c>
      <c r="E19" s="8" t="str">
        <f t="shared" si="0"/>
        <v/>
      </c>
      <c r="F19" s="8" t="str">
        <f t="shared" si="0"/>
        <v/>
      </c>
      <c r="G19" s="7"/>
      <c r="I19" s="14" t="s">
        <v>46</v>
      </c>
      <c r="J19" s="27">
        <f>TME_Comm_ServCat!B19+TME_Maid_ServCat!B19+TME_Mcare_ServCat!B19</f>
        <v>522728605.03000009</v>
      </c>
      <c r="K19" s="27">
        <f>TME_Comm_ServCat!C19+TME_Maid_ServCat!C19+TME_Mcare_ServCat!C19</f>
        <v>552511716.13999999</v>
      </c>
      <c r="L19" s="27">
        <f>TME_Comm_ServCat!D19+TME_Maid_ServCat!D19+TME_Mcare_ServCat!D19</f>
        <v>693496685.59000003</v>
      </c>
      <c r="M19" s="8">
        <f t="shared" si="1"/>
        <v>5.6976241252935836E-2</v>
      </c>
      <c r="N19" s="8">
        <f t="shared" si="1"/>
        <v>0.25517100421862565</v>
      </c>
      <c r="O19" s="7"/>
    </row>
    <row r="20" spans="1:15" x14ac:dyDescent="0.35">
      <c r="A20" s="14" t="s">
        <v>50</v>
      </c>
      <c r="B20" s="27">
        <f>TME_Comm_ServCat!B23+TME_Maid_ServCat!B23+TME_Mcare_ServCat!B23</f>
        <v>-75401200.379999995</v>
      </c>
      <c r="C20" s="27">
        <f>TME_Comm_ServCat!C23+TME_Maid_ServCat!C23+TME_Mcare_ServCat!C23</f>
        <v>-92501234.479999989</v>
      </c>
      <c r="D20" s="27">
        <f>TME_Comm_ServCat!D23+TME_Maid_ServCat!D23+TME_Mcare_ServCat!D23</f>
        <v>-91374804.799999997</v>
      </c>
      <c r="E20" s="8">
        <f t="shared" si="0"/>
        <v>0.22678729269323067</v>
      </c>
      <c r="F20" s="8">
        <f t="shared" si="0"/>
        <v>-1.2177455645130245E-2</v>
      </c>
      <c r="G20" s="7"/>
      <c r="I20" s="14" t="s">
        <v>47</v>
      </c>
      <c r="J20" s="27">
        <f>TME_Comm_ServCat!B20+TME_Maid_ServCat!B20+TME_Mcare_ServCat!B20</f>
        <v>203828915.69</v>
      </c>
      <c r="K20" s="27">
        <f>TME_Comm_ServCat!C20+TME_Maid_ServCat!C20+TME_Mcare_ServCat!C20</f>
        <v>198851765.86000001</v>
      </c>
      <c r="L20" s="27">
        <f>TME_Comm_ServCat!D20+TME_Maid_ServCat!D20+TME_Mcare_ServCat!D20</f>
        <v>303940271.5</v>
      </c>
      <c r="M20" s="8">
        <f t="shared" si="1"/>
        <v>-2.44182716331065E-2</v>
      </c>
      <c r="N20" s="8">
        <f t="shared" si="1"/>
        <v>0.5284766025864045</v>
      </c>
      <c r="O20" s="7"/>
    </row>
    <row r="21" spans="1:15" x14ac:dyDescent="0.35">
      <c r="A21" s="14" t="s">
        <v>51</v>
      </c>
      <c r="B21" s="27">
        <f>TME_Comm_ServCat!B24+TME_Maid_ServCat!B24+TME_Mcare_ServCat!B24</f>
        <v>2133374059.1900001</v>
      </c>
      <c r="C21" s="27">
        <f>TME_Comm_ServCat!C24+TME_Maid_ServCat!C24+TME_Mcare_ServCat!C24</f>
        <v>2222691009.9400001</v>
      </c>
      <c r="D21" s="27">
        <f>TME_Comm_ServCat!D24+TME_Maid_ServCat!D24+TME_Mcare_ServCat!D24</f>
        <v>2336400503.7600002</v>
      </c>
      <c r="E21" s="8">
        <f t="shared" si="0"/>
        <v>4.1866521421898173E-2</v>
      </c>
      <c r="F21" s="8">
        <f t="shared" si="0"/>
        <v>5.1158480108789248E-2</v>
      </c>
      <c r="G21" s="7"/>
      <c r="I21" s="14" t="s">
        <v>48</v>
      </c>
      <c r="J21" s="27">
        <f>TME_Comm_ServCat!B21+TME_Maid_ServCat!B21+TME_Mcare_ServCat!B21</f>
        <v>64793204.990000002</v>
      </c>
      <c r="K21" s="27">
        <f>TME_Comm_ServCat!C21+TME_Maid_ServCat!C21+TME_Mcare_ServCat!C21</f>
        <v>65755383.370000005</v>
      </c>
      <c r="L21" s="27">
        <f>TME_Comm_ServCat!D21+TME_Maid_ServCat!D21+TME_Mcare_ServCat!D21</f>
        <v>117451905.48999999</v>
      </c>
      <c r="M21" s="8">
        <f t="shared" si="1"/>
        <v>1.4849988978759464E-2</v>
      </c>
      <c r="N21" s="8">
        <f t="shared" si="1"/>
        <v>0.78619452082132979</v>
      </c>
      <c r="O21" s="7"/>
    </row>
    <row r="22" spans="1:15" x14ac:dyDescent="0.35">
      <c r="A22" s="42" t="s">
        <v>58</v>
      </c>
      <c r="B22" s="44">
        <f>SUM(B9:B13)+B15</f>
        <v>20780799820.66</v>
      </c>
      <c r="C22" s="44">
        <f>SUM(C9:C13)+C15</f>
        <v>22100988875.920002</v>
      </c>
      <c r="D22" s="44">
        <f>SUM(D9:D13)+D15</f>
        <v>21899392599.379997</v>
      </c>
      <c r="E22" s="45">
        <f t="shared" si="0"/>
        <v>6.352927060812584E-2</v>
      </c>
      <c r="F22" s="45">
        <f t="shared" si="0"/>
        <v>-9.121595312852844E-3</v>
      </c>
      <c r="G22" s="42"/>
      <c r="I22" s="14" t="s">
        <v>49</v>
      </c>
      <c r="J22" s="27">
        <f>TME_Comm_ServCat!B22+TME_Maid_ServCat!B22+TME_Mcare_ServCat!B22</f>
        <v>0</v>
      </c>
      <c r="K22" s="27">
        <f>TME_Comm_ServCat!C22+TME_Maid_ServCat!C22+TME_Mcare_ServCat!C22</f>
        <v>0</v>
      </c>
      <c r="L22" s="27">
        <f>TME_Comm_ServCat!D22+TME_Maid_ServCat!D22+TME_Mcare_ServCat!D22</f>
        <v>466127.5</v>
      </c>
      <c r="M22" s="8" t="str">
        <f t="shared" si="1"/>
        <v/>
      </c>
      <c r="N22" s="8" t="str">
        <f t="shared" si="1"/>
        <v/>
      </c>
      <c r="O22" s="7"/>
    </row>
    <row r="23" spans="1:15" x14ac:dyDescent="0.35">
      <c r="A23" s="42" t="s">
        <v>59</v>
      </c>
      <c r="B23" s="44">
        <f>SUM(B9:B12)+SUM(B14:B15)</f>
        <v>19980740922.299999</v>
      </c>
      <c r="C23" s="44">
        <f>SUM(C9:C12)+SUM(C14:C15)</f>
        <v>21270199968.310001</v>
      </c>
      <c r="D23" s="44">
        <f>SUM(D9:D12)+SUM(D14:D15)</f>
        <v>20986315847.509998</v>
      </c>
      <c r="E23" s="45">
        <f t="shared" si="0"/>
        <v>6.4535096622511612E-2</v>
      </c>
      <c r="F23" s="45">
        <f t="shared" si="0"/>
        <v>-1.334656567512086E-2</v>
      </c>
      <c r="G23" s="42"/>
      <c r="I23" s="14" t="s">
        <v>50</v>
      </c>
      <c r="J23" s="27">
        <f>TME_Comm_ServCat!B23+TME_Maid_ServCat!B23+TME_Mcare_ServCat!B23</f>
        <v>-75401200.379999995</v>
      </c>
      <c r="K23" s="27">
        <f>TME_Comm_ServCat!C23+TME_Maid_ServCat!C23+TME_Mcare_ServCat!C23</f>
        <v>-92501234.479999989</v>
      </c>
      <c r="L23" s="27">
        <f>TME_Comm_ServCat!D23+TME_Maid_ServCat!D23+TME_Mcare_ServCat!D23</f>
        <v>-91374804.799999997</v>
      </c>
      <c r="M23" s="8">
        <f t="shared" si="1"/>
        <v>0.22678729269323067</v>
      </c>
      <c r="N23" s="8">
        <f t="shared" si="1"/>
        <v>-1.2177455645130245E-2</v>
      </c>
      <c r="O23" s="7"/>
    </row>
    <row r="24" spans="1:15" x14ac:dyDescent="0.35">
      <c r="A24" s="42" t="s">
        <v>54</v>
      </c>
      <c r="B24" s="44">
        <f>SUM(B16:B21)</f>
        <v>2849323584.52</v>
      </c>
      <c r="C24" s="44">
        <f t="shared" ref="C24:D24" si="2">SUM(C16:C21)</f>
        <v>2947308640.8299999</v>
      </c>
      <c r="D24" s="44">
        <f t="shared" si="2"/>
        <v>3360380689.04</v>
      </c>
      <c r="E24" s="45">
        <f t="shared" si="0"/>
        <v>3.4388883327376316E-2</v>
      </c>
      <c r="F24" s="45">
        <f t="shared" si="0"/>
        <v>0.14015228757775217</v>
      </c>
      <c r="G24" s="42"/>
      <c r="I24" s="14" t="s">
        <v>51</v>
      </c>
      <c r="J24" s="27">
        <f>TME_Comm_ServCat!B24+TME_Maid_ServCat!B24+TME_Mcare_ServCat!B24</f>
        <v>2133374059.1900001</v>
      </c>
      <c r="K24" s="27">
        <f>TME_Comm_ServCat!C24+TME_Maid_ServCat!C24+TME_Mcare_ServCat!C24</f>
        <v>2222691009.9400001</v>
      </c>
      <c r="L24" s="27">
        <f>TME_Comm_ServCat!D24+TME_Maid_ServCat!D24+TME_Mcare_ServCat!D24</f>
        <v>2336400503.7600002</v>
      </c>
      <c r="M24" s="8">
        <f t="shared" si="1"/>
        <v>4.1866521421898173E-2</v>
      </c>
      <c r="N24" s="8">
        <f t="shared" si="1"/>
        <v>5.1158480108789248E-2</v>
      </c>
      <c r="O24" s="7"/>
    </row>
    <row r="25" spans="1:15" x14ac:dyDescent="0.35">
      <c r="B25" s="12"/>
      <c r="I25" s="42" t="s">
        <v>58</v>
      </c>
      <c r="J25" s="44">
        <f>SUM(J9:J15) + J16 +J18</f>
        <v>15499164417.66</v>
      </c>
      <c r="K25" s="44">
        <f t="shared" ref="K25:L25" si="3">SUM(K9:K15) + K16 +K18</f>
        <v>16473143429.920002</v>
      </c>
      <c r="L25" s="44">
        <f t="shared" si="3"/>
        <v>16510064944.379999</v>
      </c>
      <c r="M25" s="45">
        <f t="shared" si="1"/>
        <v>6.2840743282278788E-2</v>
      </c>
      <c r="N25" s="45">
        <f t="shared" si="1"/>
        <v>2.2413156673508354E-3</v>
      </c>
      <c r="O25" s="43"/>
    </row>
    <row r="26" spans="1:15" x14ac:dyDescent="0.35">
      <c r="I26" s="42" t="s">
        <v>59</v>
      </c>
      <c r="J26" s="44">
        <f>SUM(J9:J15) + J17 +J18</f>
        <v>14699105519.299999</v>
      </c>
      <c r="K26" s="44">
        <f t="shared" ref="K26:L26" si="4">SUM(K9:K15) + K17 +K18</f>
        <v>15642354522.310003</v>
      </c>
      <c r="L26" s="44">
        <f t="shared" si="4"/>
        <v>15596988192.51</v>
      </c>
      <c r="M26" s="45">
        <f t="shared" si="1"/>
        <v>6.4170503556935043E-2</v>
      </c>
      <c r="N26" s="45">
        <f t="shared" si="1"/>
        <v>-2.900223859221388E-3</v>
      </c>
      <c r="O26" s="43"/>
    </row>
    <row r="27" spans="1:15" x14ac:dyDescent="0.35">
      <c r="A27" s="114" t="s">
        <v>7</v>
      </c>
      <c r="B27" s="114" t="s">
        <v>62</v>
      </c>
      <c r="C27" s="114"/>
      <c r="D27" s="114"/>
      <c r="E27" s="115" t="s">
        <v>2</v>
      </c>
      <c r="F27" s="117"/>
      <c r="G27" s="118" t="s">
        <v>28</v>
      </c>
      <c r="I27" s="42" t="s">
        <v>54</v>
      </c>
      <c r="J27" s="44">
        <f>SUM(J19:J24)</f>
        <v>2849323584.52</v>
      </c>
      <c r="K27" s="44">
        <f t="shared" ref="K27:L27" si="5">SUM(K19:K24)</f>
        <v>2947308640.8299999</v>
      </c>
      <c r="L27" s="44">
        <f t="shared" si="5"/>
        <v>3360380689.04</v>
      </c>
      <c r="M27" s="45">
        <f t="shared" si="1"/>
        <v>3.4388883327376316E-2</v>
      </c>
      <c r="N27" s="45">
        <f t="shared" si="1"/>
        <v>0.14015228757775217</v>
      </c>
      <c r="O27" s="43"/>
    </row>
    <row r="28" spans="1:15" x14ac:dyDescent="0.35">
      <c r="A28" s="114"/>
      <c r="B28" s="70">
        <v>2018</v>
      </c>
      <c r="C28" s="70">
        <v>2019</v>
      </c>
      <c r="D28" s="70">
        <v>2020</v>
      </c>
      <c r="E28" s="70" t="s">
        <v>15</v>
      </c>
      <c r="F28" s="70" t="s">
        <v>16</v>
      </c>
      <c r="G28" s="119"/>
      <c r="I28" s="19"/>
      <c r="J28" s="58"/>
      <c r="K28" s="58"/>
      <c r="L28" s="58"/>
      <c r="M28" s="59"/>
      <c r="N28" s="59"/>
      <c r="O28" s="16"/>
    </row>
    <row r="29" spans="1:15" x14ac:dyDescent="0.35">
      <c r="A29" s="7" t="s">
        <v>31</v>
      </c>
      <c r="B29" s="27">
        <f>B9/$B$8</f>
        <v>1448.9140791191946</v>
      </c>
      <c r="C29" s="27">
        <f>C9/$C$8</f>
        <v>1458.5294464019566</v>
      </c>
      <c r="D29" s="27">
        <f>D9/$D$8</f>
        <v>1356.5968239776766</v>
      </c>
      <c r="E29" s="8">
        <f>IFERROR((C29-B29)/B29, "")</f>
        <v>6.6362577473242992E-3</v>
      </c>
      <c r="F29" s="8">
        <f>IFERROR((D29-C29)/C29, "")</f>
        <v>-6.9887257110740814E-2</v>
      </c>
      <c r="G29" s="7"/>
      <c r="I29" s="19"/>
      <c r="J29" s="58"/>
      <c r="K29" s="58"/>
      <c r="L29" s="58"/>
      <c r="M29" s="59"/>
      <c r="N29" s="59"/>
      <c r="O29" s="16"/>
    </row>
    <row r="30" spans="1:15" x14ac:dyDescent="0.35">
      <c r="A30" s="7" t="s">
        <v>32</v>
      </c>
      <c r="B30" s="27">
        <f t="shared" ref="B30:B41" si="6">B10/$B$8</f>
        <v>1260.8098005752697</v>
      </c>
      <c r="C30" s="27">
        <f t="shared" ref="C30:C41" si="7">C10/$C$8</f>
        <v>1349.3770973157384</v>
      </c>
      <c r="D30" s="27">
        <f t="shared" ref="D30:D41" si="8">D10/$D$8</f>
        <v>1215.32699970812</v>
      </c>
      <c r="E30" s="8">
        <f t="shared" ref="E30:F44" si="9">IFERROR((C30-B30)/B30, "")</f>
        <v>7.0246358094661135E-2</v>
      </c>
      <c r="F30" s="8">
        <f t="shared" si="9"/>
        <v>-9.9342206025490515E-2</v>
      </c>
      <c r="G30" s="7"/>
      <c r="I30" s="114" t="s">
        <v>7</v>
      </c>
      <c r="J30" s="114" t="s">
        <v>62</v>
      </c>
      <c r="K30" s="114"/>
      <c r="L30" s="114"/>
      <c r="M30" s="115" t="s">
        <v>2</v>
      </c>
      <c r="N30" s="117"/>
      <c r="O30" s="118" t="s">
        <v>28</v>
      </c>
    </row>
    <row r="31" spans="1:15" x14ac:dyDescent="0.35">
      <c r="A31" s="7" t="s">
        <v>92</v>
      </c>
      <c r="B31" s="27">
        <f t="shared" si="6"/>
        <v>1733.7057497205128</v>
      </c>
      <c r="C31" s="27">
        <f t="shared" si="7"/>
        <v>1823.3832033747606</v>
      </c>
      <c r="D31" s="27">
        <f t="shared" si="8"/>
        <v>1682.6768434431694</v>
      </c>
      <c r="E31" s="8">
        <f t="shared" si="9"/>
        <v>5.1725878897675964E-2</v>
      </c>
      <c r="F31" s="8">
        <f t="shared" si="9"/>
        <v>-7.7167739436871247E-2</v>
      </c>
      <c r="G31" s="7"/>
      <c r="I31" s="114"/>
      <c r="J31" s="70">
        <v>2018</v>
      </c>
      <c r="K31" s="70">
        <v>2019</v>
      </c>
      <c r="L31" s="70">
        <v>2020</v>
      </c>
      <c r="M31" s="70" t="s">
        <v>15</v>
      </c>
      <c r="N31" s="70" t="s">
        <v>16</v>
      </c>
      <c r="O31" s="119"/>
    </row>
    <row r="32" spans="1:15" x14ac:dyDescent="0.35">
      <c r="A32" s="7" t="s">
        <v>37</v>
      </c>
      <c r="B32" s="27">
        <f t="shared" si="6"/>
        <v>334.50592752093149</v>
      </c>
      <c r="C32" s="27">
        <f t="shared" si="7"/>
        <v>337.62391680916113</v>
      </c>
      <c r="D32" s="27">
        <f t="shared" si="8"/>
        <v>271.67955293398603</v>
      </c>
      <c r="E32" s="8">
        <f t="shared" si="9"/>
        <v>9.3211779873004826E-3</v>
      </c>
      <c r="F32" s="8">
        <f t="shared" si="9"/>
        <v>-0.19531899427743904</v>
      </c>
      <c r="G32" s="7"/>
      <c r="I32" s="7" t="s">
        <v>31</v>
      </c>
      <c r="J32" s="27">
        <f>J9/$B$8</f>
        <v>1012.9963835505939</v>
      </c>
      <c r="K32" s="27">
        <f>K9/$C$8</f>
        <v>1018.7194895182495</v>
      </c>
      <c r="L32" s="27">
        <f>L9/$D$8</f>
        <v>977.96622853608369</v>
      </c>
      <c r="M32" s="8">
        <f>IFERROR((K32-J32)/J32, "")</f>
        <v>5.6496805522600535E-3</v>
      </c>
      <c r="N32" s="8">
        <f>IFERROR((L32-K32)/K32, "")</f>
        <v>-4.0004399053401758E-2</v>
      </c>
      <c r="O32" s="51"/>
    </row>
    <row r="33" spans="1:15" x14ac:dyDescent="0.35">
      <c r="A33" s="14" t="s">
        <v>56</v>
      </c>
      <c r="B33" s="27">
        <f t="shared" si="6"/>
        <v>1167.6332604792649</v>
      </c>
      <c r="C33" s="27">
        <f t="shared" si="7"/>
        <v>1234.1804784915705</v>
      </c>
      <c r="D33" s="27">
        <f t="shared" si="8"/>
        <v>1275.8013132023641</v>
      </c>
      <c r="E33" s="8">
        <f t="shared" si="9"/>
        <v>5.6993253159807009E-2</v>
      </c>
      <c r="F33" s="8">
        <f t="shared" si="9"/>
        <v>3.3723458956070221E-2</v>
      </c>
      <c r="G33" s="7"/>
      <c r="I33" s="7" t="s">
        <v>32</v>
      </c>
      <c r="J33" s="27">
        <f t="shared" ref="J33:J47" si="10">J10/$B$8</f>
        <v>1002.2063842312764</v>
      </c>
      <c r="K33" s="27">
        <f t="shared" ref="K33:K47" si="11">K10/$C$8</f>
        <v>1069.6295534324581</v>
      </c>
      <c r="L33" s="27">
        <f t="shared" ref="L33:L47" si="12">L10/$D$8</f>
        <v>968.06652318763895</v>
      </c>
      <c r="M33" s="8">
        <f t="shared" ref="M33:N50" si="13">IFERROR((K33-J33)/J33, "")</f>
        <v>6.7274735286083229E-2</v>
      </c>
      <c r="N33" s="8">
        <f t="shared" si="13"/>
        <v>-9.4951593211782342E-2</v>
      </c>
      <c r="O33" s="7"/>
    </row>
    <row r="34" spans="1:15" x14ac:dyDescent="0.35">
      <c r="A34" s="14" t="s">
        <v>57</v>
      </c>
      <c r="B34" s="27">
        <f t="shared" si="6"/>
        <v>915.99553320140285</v>
      </c>
      <c r="C34" s="27">
        <f t="shared" si="7"/>
        <v>977.56645454148361</v>
      </c>
      <c r="D34" s="27">
        <f t="shared" si="8"/>
        <v>1008.4235808927668</v>
      </c>
      <c r="E34" s="8">
        <f t="shared" si="9"/>
        <v>6.7217490815583453E-2</v>
      </c>
      <c r="F34" s="8">
        <f t="shared" si="9"/>
        <v>3.1565246749139332E-2</v>
      </c>
      <c r="G34" s="7"/>
      <c r="I34" s="93" t="s">
        <v>33</v>
      </c>
      <c r="J34" s="101">
        <f t="shared" si="10"/>
        <v>341.01087146344958</v>
      </c>
      <c r="K34" s="101">
        <f t="shared" si="11"/>
        <v>351.81793152013432</v>
      </c>
      <c r="L34" s="101">
        <f t="shared" si="12"/>
        <v>306.14162321293713</v>
      </c>
      <c r="M34" s="96">
        <f t="shared" si="13"/>
        <v>3.1691247878128354E-2</v>
      </c>
      <c r="N34" s="96">
        <f t="shared" si="13"/>
        <v>-0.12982939246399144</v>
      </c>
      <c r="O34" s="93"/>
    </row>
    <row r="35" spans="1:15" x14ac:dyDescent="0.35">
      <c r="A35" s="14" t="s">
        <v>38</v>
      </c>
      <c r="B35" s="27">
        <f t="shared" si="6"/>
        <v>590.49152589983294</v>
      </c>
      <c r="C35" s="27">
        <f t="shared" si="7"/>
        <v>623.45786952690173</v>
      </c>
      <c r="D35" s="27">
        <f t="shared" si="8"/>
        <v>610.75278782302701</v>
      </c>
      <c r="E35" s="8">
        <f t="shared" si="9"/>
        <v>5.5828648136537332E-2</v>
      </c>
      <c r="F35" s="8">
        <f t="shared" si="9"/>
        <v>-2.0378412599901446E-2</v>
      </c>
      <c r="G35" s="7"/>
      <c r="I35" s="93" t="s">
        <v>34</v>
      </c>
      <c r="J35" s="101">
        <f t="shared" si="10"/>
        <v>621.60842014724403</v>
      </c>
      <c r="K35" s="101">
        <f t="shared" si="11"/>
        <v>641.03659423114732</v>
      </c>
      <c r="L35" s="101">
        <f t="shared" si="12"/>
        <v>589.80183189303693</v>
      </c>
      <c r="M35" s="96">
        <f t="shared" si="13"/>
        <v>3.1254682938981461E-2</v>
      </c>
      <c r="N35" s="96">
        <f t="shared" si="13"/>
        <v>-7.9924863571261218E-2</v>
      </c>
      <c r="O35" s="93"/>
    </row>
    <row r="36" spans="1:15" x14ac:dyDescent="0.35">
      <c r="A36" s="14" t="s">
        <v>46</v>
      </c>
      <c r="B36" s="27">
        <f t="shared" si="6"/>
        <v>164.41069329084399</v>
      </c>
      <c r="C36" s="27">
        <f t="shared" si="7"/>
        <v>170.6597830803139</v>
      </c>
      <c r="D36" s="27">
        <f t="shared" si="8"/>
        <v>203.07774869694205</v>
      </c>
      <c r="E36" s="8">
        <f t="shared" si="9"/>
        <v>3.800902279765471E-2</v>
      </c>
      <c r="F36" s="8">
        <f t="shared" si="9"/>
        <v>0.18995667890525789</v>
      </c>
      <c r="G36" s="7"/>
      <c r="I36" s="93" t="s">
        <v>35</v>
      </c>
      <c r="J36" s="101">
        <f t="shared" si="10"/>
        <v>196.97092089823551</v>
      </c>
      <c r="K36" s="101">
        <f t="shared" si="11"/>
        <v>219.74329704980795</v>
      </c>
      <c r="L36" s="101">
        <f t="shared" si="12"/>
        <v>238.37750778779557</v>
      </c>
      <c r="M36" s="96">
        <f t="shared" si="13"/>
        <v>0.11561288360599041</v>
      </c>
      <c r="N36" s="96">
        <f t="shared" si="13"/>
        <v>8.4799905108204079E-2</v>
      </c>
      <c r="O36" s="93"/>
    </row>
    <row r="37" spans="1:15" x14ac:dyDescent="0.35">
      <c r="A37" s="14" t="s">
        <v>47</v>
      </c>
      <c r="B37" s="27">
        <f t="shared" si="6"/>
        <v>64.109086472110334</v>
      </c>
      <c r="C37" s="27">
        <f t="shared" si="7"/>
        <v>61.421320553872178</v>
      </c>
      <c r="D37" s="27">
        <f t="shared" si="8"/>
        <v>89.00331805053311</v>
      </c>
      <c r="E37" s="8">
        <f t="shared" si="9"/>
        <v>-4.1924882511115293E-2</v>
      </c>
      <c r="F37" s="8">
        <f t="shared" si="9"/>
        <v>0.44906226775878205</v>
      </c>
      <c r="G37" s="51"/>
      <c r="I37" s="93" t="s">
        <v>36</v>
      </c>
      <c r="J37" s="101">
        <f t="shared" si="10"/>
        <v>252.29280131458452</v>
      </c>
      <c r="K37" s="101">
        <f t="shared" si="11"/>
        <v>276.99853125531615</v>
      </c>
      <c r="L37" s="101">
        <f t="shared" si="12"/>
        <v>253.48329316765535</v>
      </c>
      <c r="M37" s="96">
        <f t="shared" si="13"/>
        <v>9.7924831037592683E-2</v>
      </c>
      <c r="N37" s="96">
        <f t="shared" si="13"/>
        <v>-8.4893006403655796E-2</v>
      </c>
      <c r="O37" s="93"/>
    </row>
    <row r="38" spans="1:15" x14ac:dyDescent="0.35">
      <c r="A38" s="14" t="s">
        <v>48</v>
      </c>
      <c r="B38" s="27">
        <f t="shared" si="6"/>
        <v>20.379018194977679</v>
      </c>
      <c r="C38" s="27">
        <f t="shared" si="7"/>
        <v>20.31051855458502</v>
      </c>
      <c r="D38" s="27">
        <f>D18/$D$8</f>
        <v>34.393630197068589</v>
      </c>
      <c r="E38" s="8">
        <f t="shared" si="9"/>
        <v>-3.3612826553901616E-3</v>
      </c>
      <c r="F38" s="8">
        <f t="shared" si="9"/>
        <v>0.69339005819250055</v>
      </c>
      <c r="G38" s="7"/>
      <c r="I38" s="7" t="s">
        <v>37</v>
      </c>
      <c r="J38" s="27">
        <f t="shared" si="10"/>
        <v>219.16766327248962</v>
      </c>
      <c r="K38" s="27">
        <f t="shared" si="11"/>
        <v>222.5675312145697</v>
      </c>
      <c r="L38" s="27">
        <f t="shared" si="12"/>
        <v>166.40153692278346</v>
      </c>
      <c r="M38" s="8">
        <f t="shared" si="13"/>
        <v>1.5512634899305589E-2</v>
      </c>
      <c r="N38" s="8">
        <f t="shared" si="13"/>
        <v>-0.25235484252929297</v>
      </c>
      <c r="O38" s="7"/>
    </row>
    <row r="39" spans="1:15" x14ac:dyDescent="0.35">
      <c r="A39" s="14" t="s">
        <v>49</v>
      </c>
      <c r="B39" s="27">
        <f t="shared" si="6"/>
        <v>0</v>
      </c>
      <c r="C39" s="27">
        <f t="shared" si="7"/>
        <v>0</v>
      </c>
      <c r="D39" s="27">
        <f>D19/$D$8</f>
        <v>0.13649686476179868</v>
      </c>
      <c r="E39" s="8" t="str">
        <f t="shared" si="9"/>
        <v/>
      </c>
      <c r="F39" s="8" t="str">
        <f t="shared" si="9"/>
        <v/>
      </c>
      <c r="G39" s="7"/>
      <c r="I39" s="14" t="s">
        <v>56</v>
      </c>
      <c r="J39" s="27">
        <f t="shared" si="10"/>
        <v>899.37684583430394</v>
      </c>
      <c r="K39" s="27">
        <f t="shared" si="11"/>
        <v>943.16768584295403</v>
      </c>
      <c r="L39" s="27">
        <f t="shared" si="12"/>
        <v>988.68309183616452</v>
      </c>
      <c r="M39" s="8">
        <f t="shared" si="13"/>
        <v>4.869020167850515E-2</v>
      </c>
      <c r="N39" s="8">
        <f t="shared" si="13"/>
        <v>4.8258021003477446E-2</v>
      </c>
      <c r="O39" s="7"/>
    </row>
    <row r="40" spans="1:15" x14ac:dyDescent="0.35">
      <c r="A40" s="14" t="s">
        <v>50</v>
      </c>
      <c r="B40" s="27">
        <f t="shared" si="6"/>
        <v>-23.71548736791663</v>
      </c>
      <c r="C40" s="27">
        <f t="shared" si="7"/>
        <v>-28.571775312395374</v>
      </c>
      <c r="D40" s="27">
        <f t="shared" si="8"/>
        <v>-26.757430903393068</v>
      </c>
      <c r="E40" s="8">
        <f t="shared" si="9"/>
        <v>0.20477285029564887</v>
      </c>
      <c r="F40" s="8">
        <f t="shared" si="9"/>
        <v>-6.3501283667703481E-2</v>
      </c>
      <c r="G40" s="7"/>
      <c r="I40" s="14" t="s">
        <v>57</v>
      </c>
      <c r="J40" s="27">
        <f t="shared" si="10"/>
        <v>647.73911855644178</v>
      </c>
      <c r="K40" s="27">
        <f t="shared" si="11"/>
        <v>686.55366189286724</v>
      </c>
      <c r="L40" s="27">
        <f t="shared" si="12"/>
        <v>721.30535952656737</v>
      </c>
      <c r="M40" s="8">
        <f t="shared" si="13"/>
        <v>5.9923111364538179E-2</v>
      </c>
      <c r="N40" s="8">
        <f t="shared" si="13"/>
        <v>5.0617598539767071E-2</v>
      </c>
      <c r="O40" s="51"/>
    </row>
    <row r="41" spans="1:15" x14ac:dyDescent="0.35">
      <c r="A41" s="14" t="s">
        <v>51</v>
      </c>
      <c r="B41" s="27">
        <f t="shared" si="6"/>
        <v>670.99734880588744</v>
      </c>
      <c r="C41" s="27">
        <f t="shared" si="7"/>
        <v>686.54465512692946</v>
      </c>
      <c r="D41" s="27">
        <f t="shared" si="8"/>
        <v>684.17191345957292</v>
      </c>
      <c r="E41" s="8">
        <f t="shared" si="9"/>
        <v>2.3170443741260874E-2</v>
      </c>
      <c r="F41" s="8">
        <f t="shared" si="9"/>
        <v>-3.4560631266117125E-3</v>
      </c>
      <c r="G41" s="7"/>
      <c r="I41" s="14" t="s">
        <v>38</v>
      </c>
      <c r="J41" s="27">
        <f t="shared" si="10"/>
        <v>329.22894372748846</v>
      </c>
      <c r="K41" s="27">
        <f t="shared" si="11"/>
        <v>344.54286116153219</v>
      </c>
      <c r="L41" s="27">
        <f t="shared" si="12"/>
        <v>345.74720818518995</v>
      </c>
      <c r="M41" s="8">
        <f t="shared" si="13"/>
        <v>4.6514493108234939E-2</v>
      </c>
      <c r="N41" s="8">
        <f t="shared" si="13"/>
        <v>3.4954926060509085E-3</v>
      </c>
      <c r="O41" s="7"/>
    </row>
    <row r="42" spans="1:15" x14ac:dyDescent="0.35">
      <c r="A42" s="42" t="s">
        <v>58</v>
      </c>
      <c r="B42" s="56">
        <f>B22/$B$8</f>
        <v>6536.0603433150063</v>
      </c>
      <c r="C42" s="56">
        <f>C22/$C$8</f>
        <v>6826.5520119200892</v>
      </c>
      <c r="D42" s="56">
        <f>D22/$D$8</f>
        <v>6412.8343210883422</v>
      </c>
      <c r="E42" s="45">
        <f t="shared" si="9"/>
        <v>4.4444459406222249E-2</v>
      </c>
      <c r="F42" s="45">
        <f t="shared" si="9"/>
        <v>-6.0604195223201922E-2</v>
      </c>
      <c r="G42" s="43"/>
      <c r="I42" s="14" t="s">
        <v>46</v>
      </c>
      <c r="J42" s="27">
        <f t="shared" si="10"/>
        <v>164.41069329084399</v>
      </c>
      <c r="K42" s="27">
        <f t="shared" si="11"/>
        <v>170.6597830803139</v>
      </c>
      <c r="L42" s="27">
        <f t="shared" si="12"/>
        <v>203.07774869694205</v>
      </c>
      <c r="M42" s="8">
        <f t="shared" si="13"/>
        <v>3.800902279765471E-2</v>
      </c>
      <c r="N42" s="8">
        <f t="shared" si="13"/>
        <v>0.18995667890525789</v>
      </c>
      <c r="O42" s="7"/>
    </row>
    <row r="43" spans="1:15" x14ac:dyDescent="0.35">
      <c r="A43" s="42" t="s">
        <v>59</v>
      </c>
      <c r="B43" s="56">
        <f t="shared" ref="B43:B44" si="14">B23/$B$8</f>
        <v>6284.4226160371445</v>
      </c>
      <c r="C43" s="56">
        <f t="shared" ref="C43:C44" si="15">C23/$C$8</f>
        <v>6569.9379879700027</v>
      </c>
      <c r="D43" s="56">
        <f t="shared" ref="D43:D44" si="16">D23/$D$8</f>
        <v>6145.4565887787458</v>
      </c>
      <c r="E43" s="45">
        <f t="shared" si="9"/>
        <v>4.5432236082318028E-2</v>
      </c>
      <c r="F43" s="45">
        <f t="shared" si="9"/>
        <v>-6.4609650801653054E-2</v>
      </c>
      <c r="G43" s="43"/>
      <c r="I43" s="14" t="s">
        <v>47</v>
      </c>
      <c r="J43" s="27">
        <f t="shared" si="10"/>
        <v>64.109086472110334</v>
      </c>
      <c r="K43" s="27">
        <f t="shared" si="11"/>
        <v>61.421320553872178</v>
      </c>
      <c r="L43" s="27">
        <f t="shared" si="12"/>
        <v>89.00331805053311</v>
      </c>
      <c r="M43" s="8">
        <f t="shared" si="13"/>
        <v>-4.1924882511115293E-2</v>
      </c>
      <c r="N43" s="8">
        <f t="shared" si="13"/>
        <v>0.44906226775878205</v>
      </c>
      <c r="O43" s="7"/>
    </row>
    <row r="44" spans="1:15" x14ac:dyDescent="0.35">
      <c r="A44" s="42" t="s">
        <v>54</v>
      </c>
      <c r="B44" s="56">
        <f t="shared" si="14"/>
        <v>896.18065939590269</v>
      </c>
      <c r="C44" s="56">
        <f t="shared" si="15"/>
        <v>910.36450200330523</v>
      </c>
      <c r="D44" s="56">
        <f t="shared" si="16"/>
        <v>984.02567636548531</v>
      </c>
      <c r="E44" s="45">
        <f t="shared" si="9"/>
        <v>1.5826990304570489E-2</v>
      </c>
      <c r="F44" s="45">
        <f t="shared" si="9"/>
        <v>8.0913935242515236E-2</v>
      </c>
      <c r="G44" s="43"/>
      <c r="I44" s="14" t="s">
        <v>48</v>
      </c>
      <c r="J44" s="27">
        <f t="shared" si="10"/>
        <v>20.379018194977679</v>
      </c>
      <c r="K44" s="27">
        <f t="shared" si="11"/>
        <v>20.31051855458502</v>
      </c>
      <c r="L44" s="27">
        <f t="shared" si="12"/>
        <v>34.393630197068589</v>
      </c>
      <c r="M44" s="8">
        <f t="shared" si="13"/>
        <v>-3.3612826553901616E-3</v>
      </c>
      <c r="N44" s="8">
        <f t="shared" si="13"/>
        <v>0.69339005819250055</v>
      </c>
      <c r="O44" s="7"/>
    </row>
    <row r="45" spans="1:15" x14ac:dyDescent="0.35">
      <c r="I45" s="14" t="s">
        <v>49</v>
      </c>
      <c r="J45" s="27">
        <f t="shared" si="10"/>
        <v>0</v>
      </c>
      <c r="K45" s="27">
        <f t="shared" si="11"/>
        <v>0</v>
      </c>
      <c r="L45" s="27">
        <f t="shared" si="12"/>
        <v>0.13649686476179868</v>
      </c>
      <c r="M45" s="8" t="str">
        <f t="shared" si="13"/>
        <v/>
      </c>
      <c r="N45" s="8" t="str">
        <f t="shared" si="13"/>
        <v/>
      </c>
      <c r="O45" s="7"/>
    </row>
    <row r="46" spans="1:15" x14ac:dyDescent="0.35">
      <c r="B46" s="12"/>
      <c r="C46" s="12"/>
      <c r="D46" s="12"/>
      <c r="I46" s="14" t="s">
        <v>50</v>
      </c>
      <c r="J46" s="27">
        <f t="shared" si="10"/>
        <v>-23.71548736791663</v>
      </c>
      <c r="K46" s="27">
        <f t="shared" si="11"/>
        <v>-28.571775312395374</v>
      </c>
      <c r="L46" s="27">
        <f t="shared" si="12"/>
        <v>-26.757430903393068</v>
      </c>
      <c r="M46" s="8">
        <f t="shared" si="13"/>
        <v>0.20477285029564887</v>
      </c>
      <c r="N46" s="8">
        <f t="shared" si="13"/>
        <v>-6.3501283667703481E-2</v>
      </c>
      <c r="O46" s="7"/>
    </row>
    <row r="47" spans="1:15" x14ac:dyDescent="0.35">
      <c r="A47" s="54"/>
      <c r="I47" s="14" t="s">
        <v>51</v>
      </c>
      <c r="J47" s="27">
        <f t="shared" si="10"/>
        <v>670.99734880588744</v>
      </c>
      <c r="K47" s="27">
        <f t="shared" si="11"/>
        <v>686.54465512692946</v>
      </c>
      <c r="L47" s="27">
        <f t="shared" si="12"/>
        <v>684.17191345957292</v>
      </c>
      <c r="M47" s="8">
        <f t="shared" si="13"/>
        <v>2.3170443741260874E-2</v>
      </c>
      <c r="N47" s="8">
        <f t="shared" si="13"/>
        <v>-3.4560631266117125E-3</v>
      </c>
      <c r="O47" s="7"/>
    </row>
    <row r="48" spans="1:15" x14ac:dyDescent="0.35">
      <c r="B48" s="12"/>
      <c r="C48" s="12"/>
      <c r="D48" s="12"/>
      <c r="I48" s="42" t="s">
        <v>58</v>
      </c>
      <c r="J48" s="56">
        <f>J25/$B$8</f>
        <v>4874.8592344396657</v>
      </c>
      <c r="K48" s="56">
        <f>K25/$C$8</f>
        <v>5088.2234752261702</v>
      </c>
      <c r="L48" s="56">
        <f>L25/$D$8</f>
        <v>4834.6688447292854</v>
      </c>
      <c r="M48" s="45">
        <f t="shared" si="13"/>
        <v>4.3768287559800563E-2</v>
      </c>
      <c r="N48" s="45">
        <f t="shared" si="13"/>
        <v>-4.9831661626382154E-2</v>
      </c>
      <c r="O48" s="43"/>
    </row>
    <row r="49" spans="9:15" x14ac:dyDescent="0.35">
      <c r="I49" s="42" t="s">
        <v>59</v>
      </c>
      <c r="J49" s="56">
        <f t="shared" ref="J49:J50" si="17">J26/$B$8</f>
        <v>4623.2215071618039</v>
      </c>
      <c r="K49" s="56">
        <f t="shared" ref="K49:K50" si="18">K26/$C$8</f>
        <v>4831.6094512760837</v>
      </c>
      <c r="L49" s="56">
        <f t="shared" ref="L49:L50" si="19">L26/$D$8</f>
        <v>4567.291112419688</v>
      </c>
      <c r="M49" s="45">
        <f t="shared" si="13"/>
        <v>4.5074185563349585E-2</v>
      </c>
      <c r="N49" s="45">
        <f t="shared" si="13"/>
        <v>-5.4706064619230804E-2</v>
      </c>
      <c r="O49" s="43"/>
    </row>
    <row r="50" spans="9:15" x14ac:dyDescent="0.35">
      <c r="I50" s="42" t="s">
        <v>54</v>
      </c>
      <c r="J50" s="56">
        <f t="shared" si="17"/>
        <v>896.18065939590269</v>
      </c>
      <c r="K50" s="56">
        <f t="shared" si="18"/>
        <v>910.36450200330523</v>
      </c>
      <c r="L50" s="56">
        <f t="shared" si="19"/>
        <v>984.02567636548531</v>
      </c>
      <c r="M50" s="45">
        <f t="shared" si="13"/>
        <v>1.5826990304570489E-2</v>
      </c>
      <c r="N50" s="45">
        <f t="shared" si="13"/>
        <v>8.0913935242515236E-2</v>
      </c>
      <c r="O50" s="43"/>
    </row>
    <row r="51" spans="9:15" x14ac:dyDescent="0.35">
      <c r="J51" s="12"/>
      <c r="K51" s="12"/>
      <c r="L51" s="12"/>
    </row>
  </sheetData>
  <mergeCells count="16">
    <mergeCell ref="A6:A7"/>
    <mergeCell ref="B6:D6"/>
    <mergeCell ref="E6:F6"/>
    <mergeCell ref="G6:G7"/>
    <mergeCell ref="A27:A28"/>
    <mergeCell ref="B27:D27"/>
    <mergeCell ref="E27:F27"/>
    <mergeCell ref="G27:G28"/>
    <mergeCell ref="I30:I31"/>
    <mergeCell ref="J30:L30"/>
    <mergeCell ref="M30:N30"/>
    <mergeCell ref="O30:O31"/>
    <mergeCell ref="I6:I7"/>
    <mergeCell ref="J6:L6"/>
    <mergeCell ref="M6:N6"/>
    <mergeCell ref="O6:O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D1203-8EE3-4577-9432-09A7BB4E6642}">
  <sheetPr>
    <tabColor theme="5"/>
  </sheetPr>
  <dimension ref="A1:AE55"/>
  <sheetViews>
    <sheetView topLeftCell="A31" zoomScale="85" zoomScaleNormal="85" workbookViewId="0">
      <selection activeCell="F40" sqref="F40"/>
    </sheetView>
  </sheetViews>
  <sheetFormatPr defaultRowHeight="14.5" x14ac:dyDescent="0.35"/>
  <cols>
    <col min="1" max="1" width="37.81640625" style="21" customWidth="1"/>
    <col min="2" max="2" width="19.81640625" style="21" customWidth="1"/>
    <col min="3" max="4" width="20" style="21" bestFit="1" customWidth="1"/>
    <col min="5" max="6" width="16.453125" style="21" customWidth="1"/>
    <col min="7" max="7" width="17.81640625" style="21" customWidth="1"/>
    <col min="8" max="8" width="8.81640625" style="21"/>
    <col min="9" max="9" width="37.81640625" style="21" customWidth="1"/>
    <col min="10" max="10" width="19.81640625" style="21" customWidth="1"/>
    <col min="11" max="12" width="20" style="21" bestFit="1" customWidth="1"/>
    <col min="13" max="14" width="16.453125" style="21" customWidth="1"/>
    <col min="15" max="15" width="25.453125" style="21" customWidth="1"/>
    <col min="16" max="16" width="8.81640625" style="21"/>
    <col min="17" max="17" width="37.81640625" style="21" customWidth="1"/>
    <col min="18" max="18" width="19.81640625" style="21" customWidth="1"/>
    <col min="19" max="20" width="20" style="21" bestFit="1" customWidth="1"/>
    <col min="21" max="22" width="16.453125" style="21" customWidth="1"/>
    <col min="23" max="23" width="17.81640625" style="21" customWidth="1"/>
    <col min="25" max="25" width="37.81640625" style="21" customWidth="1"/>
    <col min="26" max="26" width="19.81640625" style="21" customWidth="1"/>
    <col min="27" max="28" width="20" style="21" bestFit="1" customWidth="1"/>
    <col min="29" max="30" width="16.453125" style="21" customWidth="1"/>
    <col min="31" max="31" width="17.81640625" style="21" customWidth="1"/>
  </cols>
  <sheetData>
    <row r="1" spans="1:31" ht="18.5" x14ac:dyDescent="0.45">
      <c r="A1" s="2" t="s">
        <v>105</v>
      </c>
      <c r="B1" s="2"/>
      <c r="C1" s="2"/>
      <c r="D1" s="2"/>
      <c r="E1" s="2"/>
      <c r="F1" s="2"/>
      <c r="J1" s="2"/>
      <c r="K1" s="2"/>
      <c r="L1" s="2"/>
      <c r="M1" s="2"/>
      <c r="N1" s="2"/>
      <c r="R1" s="2"/>
      <c r="S1" s="2"/>
      <c r="T1" s="2"/>
      <c r="U1" s="2"/>
      <c r="V1" s="2"/>
      <c r="Y1" s="2"/>
      <c r="Z1" s="2"/>
      <c r="AA1" s="2"/>
      <c r="AB1" s="2"/>
      <c r="AC1" s="2"/>
      <c r="AD1" s="2"/>
    </row>
    <row r="2" spans="1:31" ht="15.5" x14ac:dyDescent="0.35">
      <c r="A2" s="3" t="s">
        <v>142</v>
      </c>
      <c r="B2" s="4"/>
      <c r="C2" s="4"/>
      <c r="D2" s="4"/>
      <c r="E2" s="4"/>
      <c r="F2" s="4"/>
      <c r="I2" s="4" t="s">
        <v>141</v>
      </c>
      <c r="J2" s="4"/>
      <c r="K2" s="4"/>
      <c r="L2" s="4"/>
      <c r="M2" s="4"/>
      <c r="N2" s="4"/>
      <c r="R2" s="4"/>
      <c r="S2" s="4"/>
      <c r="T2" s="4"/>
      <c r="U2" s="4"/>
      <c r="V2" s="4"/>
      <c r="Y2" s="3"/>
      <c r="Z2" s="4"/>
      <c r="AA2" s="4"/>
      <c r="AB2" s="4"/>
      <c r="AC2" s="4"/>
      <c r="AD2" s="4"/>
    </row>
    <row r="3" spans="1:31" ht="15.5" x14ac:dyDescent="0.35">
      <c r="A3" s="5" t="s">
        <v>136</v>
      </c>
      <c r="B3" s="6"/>
      <c r="C3" s="6"/>
      <c r="D3" s="6"/>
      <c r="E3" s="6"/>
      <c r="F3" s="6"/>
      <c r="I3" s="4" t="s">
        <v>144</v>
      </c>
      <c r="J3" s="6"/>
      <c r="K3" s="6"/>
      <c r="L3" s="6"/>
      <c r="M3" s="6"/>
      <c r="N3" s="6"/>
      <c r="R3" s="6"/>
      <c r="S3" s="6"/>
      <c r="T3" s="6"/>
      <c r="U3" s="6"/>
      <c r="V3" s="6"/>
      <c r="Y3" s="5"/>
      <c r="Z3" s="6"/>
      <c r="AA3" s="6"/>
      <c r="AB3" s="6"/>
      <c r="AC3" s="6"/>
      <c r="AD3" s="6"/>
    </row>
    <row r="4" spans="1:31" ht="15.5" x14ac:dyDescent="0.35">
      <c r="A4" s="5"/>
      <c r="B4" s="6"/>
      <c r="C4" s="6"/>
      <c r="D4" s="6"/>
      <c r="E4" s="6"/>
      <c r="F4" s="6"/>
      <c r="I4" s="5"/>
      <c r="J4" s="6"/>
      <c r="K4" s="6"/>
      <c r="L4" s="6"/>
      <c r="M4" s="6"/>
      <c r="N4" s="6"/>
      <c r="Q4" s="5"/>
      <c r="R4" s="6"/>
      <c r="S4" s="6"/>
      <c r="T4" s="6"/>
      <c r="U4" s="6"/>
      <c r="V4" s="6"/>
      <c r="Y4" s="5"/>
      <c r="Z4" s="6"/>
      <c r="AA4" s="6"/>
      <c r="AB4" s="6"/>
      <c r="AC4" s="6"/>
      <c r="AD4" s="6"/>
    </row>
    <row r="5" spans="1:31" x14ac:dyDescent="0.35">
      <c r="A5" s="38" t="s">
        <v>143</v>
      </c>
      <c r="I5" s="38" t="s">
        <v>6</v>
      </c>
      <c r="Q5" s="38" t="s">
        <v>97</v>
      </c>
      <c r="Y5" s="38" t="s">
        <v>157</v>
      </c>
    </row>
    <row r="6" spans="1:31" x14ac:dyDescent="0.35">
      <c r="A6" s="114" t="s">
        <v>7</v>
      </c>
      <c r="B6" s="114" t="s">
        <v>1</v>
      </c>
      <c r="C6" s="114"/>
      <c r="D6" s="114"/>
      <c r="E6" s="115" t="s">
        <v>2</v>
      </c>
      <c r="F6" s="117"/>
      <c r="G6" s="118" t="s">
        <v>28</v>
      </c>
      <c r="I6" s="118" t="s">
        <v>7</v>
      </c>
      <c r="J6" s="115" t="s">
        <v>1</v>
      </c>
      <c r="K6" s="116"/>
      <c r="L6" s="117"/>
      <c r="M6" s="115" t="s">
        <v>2</v>
      </c>
      <c r="N6" s="117"/>
      <c r="O6" s="118" t="s">
        <v>28</v>
      </c>
      <c r="Q6" s="114" t="s">
        <v>7</v>
      </c>
      <c r="R6" s="114" t="s">
        <v>1</v>
      </c>
      <c r="S6" s="114"/>
      <c r="T6" s="114"/>
      <c r="U6" s="115" t="s">
        <v>2</v>
      </c>
      <c r="V6" s="117"/>
      <c r="W6" s="118" t="s">
        <v>28</v>
      </c>
      <c r="Y6" s="114" t="s">
        <v>7</v>
      </c>
      <c r="Z6" s="114" t="s">
        <v>1</v>
      </c>
      <c r="AA6" s="114"/>
      <c r="AB6" s="114"/>
      <c r="AC6" s="115" t="s">
        <v>2</v>
      </c>
      <c r="AD6" s="117"/>
      <c r="AE6" s="118" t="s">
        <v>28</v>
      </c>
    </row>
    <row r="7" spans="1:31" x14ac:dyDescent="0.35">
      <c r="A7" s="114"/>
      <c r="B7" s="65">
        <v>2018</v>
      </c>
      <c r="C7" s="65">
        <v>2019</v>
      </c>
      <c r="D7" s="65">
        <v>2020</v>
      </c>
      <c r="E7" s="65" t="s">
        <v>15</v>
      </c>
      <c r="F7" s="65" t="s">
        <v>16</v>
      </c>
      <c r="G7" s="119"/>
      <c r="I7" s="119"/>
      <c r="J7" s="65">
        <v>2018</v>
      </c>
      <c r="K7" s="65">
        <v>2019</v>
      </c>
      <c r="L7" s="65">
        <v>2020</v>
      </c>
      <c r="M7" s="65" t="s">
        <v>15</v>
      </c>
      <c r="N7" s="65" t="s">
        <v>16</v>
      </c>
      <c r="O7" s="119"/>
      <c r="Q7" s="114"/>
      <c r="R7" s="37">
        <v>2018</v>
      </c>
      <c r="S7" s="37">
        <v>2019</v>
      </c>
      <c r="T7" s="37">
        <v>2020</v>
      </c>
      <c r="U7" s="37" t="s">
        <v>15</v>
      </c>
      <c r="V7" s="37" t="s">
        <v>16</v>
      </c>
      <c r="W7" s="119"/>
      <c r="Y7" s="114"/>
      <c r="Z7" s="65">
        <v>2018</v>
      </c>
      <c r="AA7" s="65">
        <v>2019</v>
      </c>
      <c r="AB7" s="65">
        <v>2020</v>
      </c>
      <c r="AC7" s="65" t="s">
        <v>15</v>
      </c>
      <c r="AD7" s="65" t="s">
        <v>16</v>
      </c>
      <c r="AE7" s="119"/>
    </row>
    <row r="8" spans="1:31" x14ac:dyDescent="0.35">
      <c r="A8" s="42" t="s">
        <v>63</v>
      </c>
      <c r="B8" s="63">
        <f>R8+Z8</f>
        <v>4336912</v>
      </c>
      <c r="C8" s="63">
        <f t="shared" ref="C8:D23" si="0">S8+AA8</f>
        <v>4486363</v>
      </c>
      <c r="D8" s="63">
        <f t="shared" si="0"/>
        <v>4725680</v>
      </c>
      <c r="E8" s="45">
        <f>IFERROR((C8-B8)/B8, "")</f>
        <v>3.446023345643167E-2</v>
      </c>
      <c r="F8" s="45">
        <f>IFERROR((D8-C8)/C8, "")</f>
        <v>5.3343209187486612E-2</v>
      </c>
      <c r="G8" s="43"/>
      <c r="I8" s="42" t="s">
        <v>29</v>
      </c>
      <c r="J8" s="63">
        <v>459247</v>
      </c>
      <c r="K8" s="63">
        <v>470225</v>
      </c>
      <c r="L8" s="63">
        <v>468657</v>
      </c>
      <c r="M8" s="45">
        <f>IFERROR((K8-J8)/J8, "")</f>
        <v>2.3904347769283196E-2</v>
      </c>
      <c r="N8" s="45">
        <f>IFERROR((L8-K8)/K8, "")</f>
        <v>-3.3345738742091551E-3</v>
      </c>
      <c r="O8" s="43"/>
      <c r="Q8" s="42" t="s">
        <v>63</v>
      </c>
      <c r="R8" s="63">
        <v>3761786</v>
      </c>
      <c r="S8" s="63">
        <v>3868221</v>
      </c>
      <c r="T8" s="63">
        <v>4078308</v>
      </c>
      <c r="U8" s="45">
        <f>IFERROR((S8-R8)/R8, "")</f>
        <v>2.8293741323934959E-2</v>
      </c>
      <c r="V8" s="45">
        <f>IFERROR((T8-S8)/S8, "")</f>
        <v>5.4311012736862757E-2</v>
      </c>
      <c r="W8" s="43"/>
      <c r="Y8" s="42" t="s">
        <v>63</v>
      </c>
      <c r="Z8" s="63">
        <v>575126</v>
      </c>
      <c r="AA8" s="63">
        <v>618142</v>
      </c>
      <c r="AB8" s="63">
        <v>647372</v>
      </c>
      <c r="AC8" s="45">
        <f>IFERROR((AA8-Z8)/Z8, "")</f>
        <v>7.4794045130979994E-2</v>
      </c>
      <c r="AD8" s="45">
        <f>IFERROR((AB8-AA8)/AA8, "")</f>
        <v>4.7286869360114669E-2</v>
      </c>
      <c r="AE8" s="43"/>
    </row>
    <row r="9" spans="1:31" x14ac:dyDescent="0.35">
      <c r="A9" s="7" t="s">
        <v>31</v>
      </c>
      <c r="B9" s="27">
        <f>R9+Z9</f>
        <v>927395968.14999998</v>
      </c>
      <c r="C9" s="27">
        <f t="shared" si="0"/>
        <v>978096387.17999995</v>
      </c>
      <c r="D9" s="27">
        <f t="shared" si="0"/>
        <v>930487240.23000002</v>
      </c>
      <c r="E9" s="8">
        <f>IFERROR((C9-B9)/B9, "")</f>
        <v>5.4669656512674775E-2</v>
      </c>
      <c r="F9" s="8">
        <f>IFERROR((D9-C9)/C9, "")</f>
        <v>-4.8675312141029693E-2</v>
      </c>
      <c r="G9" s="7"/>
      <c r="I9" s="7" t="s">
        <v>31</v>
      </c>
      <c r="J9" s="27">
        <v>1385960027</v>
      </c>
      <c r="K9" s="27">
        <v>1423886458</v>
      </c>
      <c r="L9" s="27">
        <v>1292997705</v>
      </c>
      <c r="M9" s="8">
        <f>IFERROR((K9-J9)/J9, "")</f>
        <v>2.7364736544454468E-2</v>
      </c>
      <c r="N9" s="8">
        <f>IFERROR((L9-K9)/K9, "")</f>
        <v>-9.192358861523775E-2</v>
      </c>
      <c r="O9" s="46" t="s">
        <v>73</v>
      </c>
      <c r="Q9" s="7" t="s">
        <v>31</v>
      </c>
      <c r="R9" s="27">
        <v>711741591.04999995</v>
      </c>
      <c r="S9" s="27">
        <v>751913285.55999994</v>
      </c>
      <c r="T9" s="27">
        <v>705494602.35000002</v>
      </c>
      <c r="U9" s="8">
        <f>IFERROR((S9-R9)/R9, "")</f>
        <v>5.6441403755450793E-2</v>
      </c>
      <c r="V9" s="8">
        <f>IFERROR((T9-S9)/S9, "")</f>
        <v>-6.173409102012186E-2</v>
      </c>
      <c r="W9" s="7"/>
      <c r="Y9" s="7" t="s">
        <v>31</v>
      </c>
      <c r="Z9" s="27">
        <v>215654377.09999999</v>
      </c>
      <c r="AA9" s="27">
        <v>226183101.62</v>
      </c>
      <c r="AB9" s="27">
        <v>224992637.88</v>
      </c>
      <c r="AC9" s="8">
        <f>IFERROR((AA9-Z9)/Z9, "")</f>
        <v>4.8822215721212973E-2</v>
      </c>
      <c r="AD9" s="8">
        <f>IFERROR((AB9-AA9)/AA9, "")</f>
        <v>-5.2632744509802229E-3</v>
      </c>
      <c r="AE9" s="7"/>
    </row>
    <row r="10" spans="1:31" x14ac:dyDescent="0.35">
      <c r="A10" s="7" t="s">
        <v>32</v>
      </c>
      <c r="B10" s="27">
        <f t="shared" ref="B10:B24" si="1">R10+Z10</f>
        <v>589981325.54999995</v>
      </c>
      <c r="C10" s="27">
        <f t="shared" si="0"/>
        <v>648761242.86000001</v>
      </c>
      <c r="D10" s="27">
        <f t="shared" si="0"/>
        <v>627287863.69000006</v>
      </c>
      <c r="E10" s="8">
        <f t="shared" ref="E10:E27" si="2">IFERROR((C10-B10)/B10, "")</f>
        <v>9.9630131945623021E-2</v>
      </c>
      <c r="F10" s="8">
        <f t="shared" ref="F10:F27" si="3">IFERROR((D10-C10)/C10, "")</f>
        <v>-3.3099047463650388E-2</v>
      </c>
      <c r="G10" s="7"/>
      <c r="I10" s="7" t="s">
        <v>32</v>
      </c>
      <c r="J10" s="27">
        <v>822205663</v>
      </c>
      <c r="K10" s="27">
        <v>905683769</v>
      </c>
      <c r="L10" s="27">
        <v>844377693</v>
      </c>
      <c r="M10" s="8">
        <f t="shared" ref="M10:M21" si="4">IFERROR((K10-J10)/J10, "")</f>
        <v>0.10152947097860113</v>
      </c>
      <c r="N10" s="8">
        <f t="shared" ref="N10:N21" si="5">IFERROR((L10-K10)/K10, "")</f>
        <v>-6.769037725793671E-2</v>
      </c>
      <c r="O10" s="46" t="s">
        <v>74</v>
      </c>
      <c r="Q10" s="7" t="s">
        <v>32</v>
      </c>
      <c r="R10" s="27">
        <v>468133869.69</v>
      </c>
      <c r="S10" s="27">
        <v>513084726.30000001</v>
      </c>
      <c r="T10" s="27">
        <v>497507203.16000003</v>
      </c>
      <c r="U10" s="8">
        <f t="shared" ref="U10:U27" si="6">IFERROR((S10-R10)/R10, "")</f>
        <v>9.6021372347543751E-2</v>
      </c>
      <c r="V10" s="8">
        <f t="shared" ref="V10:V27" si="7">IFERROR((T10-S10)/S10, "")</f>
        <v>-3.0360527884612621E-2</v>
      </c>
      <c r="W10" s="7"/>
      <c r="Y10" s="7" t="s">
        <v>32</v>
      </c>
      <c r="Z10" s="27">
        <v>121847455.86</v>
      </c>
      <c r="AA10" s="27">
        <v>135676516.56</v>
      </c>
      <c r="AB10" s="27">
        <v>129780660.53</v>
      </c>
      <c r="AC10" s="8">
        <f t="shared" ref="AC10:AC27" si="8">IFERROR((AA10-Z10)/Z10, "")</f>
        <v>0.11349486620294547</v>
      </c>
      <c r="AD10" s="8">
        <f t="shared" ref="AD10:AD27" si="9">IFERROR((AB10-AA10)/AA10, "")</f>
        <v>-4.3455243246849476E-2</v>
      </c>
      <c r="AE10" s="7"/>
    </row>
    <row r="11" spans="1:31" x14ac:dyDescent="0.35">
      <c r="A11" s="7" t="s">
        <v>33</v>
      </c>
      <c r="B11" s="27">
        <f t="shared" si="1"/>
        <v>192963030.41999999</v>
      </c>
      <c r="C11" s="27">
        <f t="shared" si="0"/>
        <v>209788568.70000002</v>
      </c>
      <c r="D11" s="27">
        <f t="shared" si="0"/>
        <v>192563999.22999999</v>
      </c>
      <c r="E11" s="8">
        <f t="shared" si="2"/>
        <v>8.7195657341086821E-2</v>
      </c>
      <c r="F11" s="8">
        <f t="shared" si="3"/>
        <v>-8.2104423404648672E-2</v>
      </c>
      <c r="G11" s="7"/>
      <c r="I11" s="7" t="s">
        <v>64</v>
      </c>
      <c r="J11" s="27">
        <v>809863816</v>
      </c>
      <c r="K11" s="27">
        <v>839539863</v>
      </c>
      <c r="L11" s="27">
        <v>780206114</v>
      </c>
      <c r="M11" s="8">
        <f t="shared" si="4"/>
        <v>3.6643255833521522E-2</v>
      </c>
      <c r="N11" s="8">
        <f t="shared" si="5"/>
        <v>-7.0674129502293806E-2</v>
      </c>
      <c r="O11" s="46" t="s">
        <v>66</v>
      </c>
      <c r="Q11" s="7" t="s">
        <v>33</v>
      </c>
      <c r="R11" s="27">
        <v>159859890.91</v>
      </c>
      <c r="S11" s="27">
        <v>171704281.52000001</v>
      </c>
      <c r="T11" s="27">
        <v>159010171.91</v>
      </c>
      <c r="U11" s="8">
        <f t="shared" si="6"/>
        <v>7.4092322611857178E-2</v>
      </c>
      <c r="V11" s="8">
        <f t="shared" si="7"/>
        <v>-7.3930070337363207E-2</v>
      </c>
      <c r="W11" s="7"/>
      <c r="Y11" s="7" t="s">
        <v>33</v>
      </c>
      <c r="Z11" s="27">
        <v>33103139.510000002</v>
      </c>
      <c r="AA11" s="27">
        <v>38084287.18</v>
      </c>
      <c r="AB11" s="27">
        <v>33553827.32</v>
      </c>
      <c r="AC11" s="8">
        <f t="shared" si="8"/>
        <v>0.15047357271038483</v>
      </c>
      <c r="AD11" s="8">
        <f t="shared" si="9"/>
        <v>-0.11895876739368709</v>
      </c>
      <c r="AE11" s="7"/>
    </row>
    <row r="12" spans="1:31" x14ac:dyDescent="0.35">
      <c r="A12" s="7" t="s">
        <v>34</v>
      </c>
      <c r="B12" s="27">
        <f t="shared" si="1"/>
        <v>547012043.63999999</v>
      </c>
      <c r="C12" s="27">
        <f t="shared" si="0"/>
        <v>570833124.66999996</v>
      </c>
      <c r="D12" s="27">
        <f t="shared" si="0"/>
        <v>557109208.47000003</v>
      </c>
      <c r="E12" s="8">
        <f t="shared" si="2"/>
        <v>4.354763538931717E-2</v>
      </c>
      <c r="F12" s="8">
        <f t="shared" si="3"/>
        <v>-2.4041905781017454E-2</v>
      </c>
      <c r="G12" s="7"/>
      <c r="I12" s="7" t="s">
        <v>65</v>
      </c>
      <c r="J12" s="27">
        <v>213341831</v>
      </c>
      <c r="K12" s="27">
        <v>241096369</v>
      </c>
      <c r="L12" s="27">
        <v>226763696</v>
      </c>
      <c r="M12" s="8">
        <f t="shared" si="4"/>
        <v>0.13009421485653228</v>
      </c>
      <c r="N12" s="8">
        <f t="shared" si="5"/>
        <v>-5.9447900685721235E-2</v>
      </c>
      <c r="O12" s="46" t="s">
        <v>66</v>
      </c>
      <c r="Q12" s="7" t="s">
        <v>34</v>
      </c>
      <c r="R12" s="27">
        <v>450586840.43000001</v>
      </c>
      <c r="S12" s="27">
        <v>469624338.62</v>
      </c>
      <c r="T12" s="27">
        <v>455672988.80000001</v>
      </c>
      <c r="U12" s="8">
        <f t="shared" si="6"/>
        <v>4.225045314646185E-2</v>
      </c>
      <c r="V12" s="8">
        <f t="shared" si="7"/>
        <v>-2.9707467592067945E-2</v>
      </c>
      <c r="W12" s="7"/>
      <c r="Y12" s="7" t="s">
        <v>34</v>
      </c>
      <c r="Z12" s="27">
        <v>96425203.209999993</v>
      </c>
      <c r="AA12" s="27">
        <v>101208786.05</v>
      </c>
      <c r="AB12" s="27">
        <v>101436219.67</v>
      </c>
      <c r="AC12" s="8">
        <f t="shared" si="8"/>
        <v>4.9609258583381562E-2</v>
      </c>
      <c r="AD12" s="8">
        <f t="shared" si="9"/>
        <v>2.2471726900038713E-3</v>
      </c>
      <c r="AE12" s="7"/>
    </row>
    <row r="13" spans="1:31" x14ac:dyDescent="0.35">
      <c r="A13" s="7" t="s">
        <v>35</v>
      </c>
      <c r="B13" s="27">
        <f t="shared" si="1"/>
        <v>10523124.77</v>
      </c>
      <c r="C13" s="27">
        <f t="shared" si="0"/>
        <v>9995496</v>
      </c>
      <c r="D13" s="27">
        <f t="shared" si="0"/>
        <v>11320183.48</v>
      </c>
      <c r="E13" s="8">
        <f t="shared" si="2"/>
        <v>-5.013993291272166E-2</v>
      </c>
      <c r="F13" s="8">
        <f t="shared" si="3"/>
        <v>0.13252843880883955</v>
      </c>
      <c r="G13" s="7"/>
      <c r="I13" s="7" t="s">
        <v>70</v>
      </c>
      <c r="J13" s="27">
        <v>242568471</v>
      </c>
      <c r="K13" s="27">
        <v>247887784</v>
      </c>
      <c r="L13" s="27">
        <v>229787500</v>
      </c>
      <c r="M13" s="8">
        <f t="shared" si="4"/>
        <v>2.1929119551567771E-2</v>
      </c>
      <c r="N13" s="8">
        <f t="shared" si="5"/>
        <v>-7.3018055621490413E-2</v>
      </c>
      <c r="O13" s="46" t="s">
        <v>71</v>
      </c>
      <c r="Q13" s="7" t="s">
        <v>35</v>
      </c>
      <c r="R13" s="27">
        <v>6369113.4100000001</v>
      </c>
      <c r="S13" s="27">
        <v>6063552.4800000004</v>
      </c>
      <c r="T13" s="27">
        <v>6860962.6799999997</v>
      </c>
      <c r="U13" s="8">
        <f t="shared" si="6"/>
        <v>-4.7975426143338169E-2</v>
      </c>
      <c r="V13" s="8">
        <f t="shared" si="7"/>
        <v>0.13150874881188448</v>
      </c>
      <c r="W13" s="7"/>
      <c r="Y13" s="7" t="s">
        <v>35</v>
      </c>
      <c r="Z13" s="27">
        <v>4154011.36</v>
      </c>
      <c r="AA13" s="27">
        <v>3931943.52</v>
      </c>
      <c r="AB13" s="27">
        <v>4459220.8</v>
      </c>
      <c r="AC13" s="8">
        <f t="shared" si="8"/>
        <v>-5.3458650146782423E-2</v>
      </c>
      <c r="AD13" s="8">
        <f t="shared" si="9"/>
        <v>0.13410092930327744</v>
      </c>
      <c r="AE13" s="7"/>
    </row>
    <row r="14" spans="1:31" x14ac:dyDescent="0.35">
      <c r="A14" s="7" t="s">
        <v>36</v>
      </c>
      <c r="B14" s="27">
        <f t="shared" si="1"/>
        <v>91987589.159999996</v>
      </c>
      <c r="C14" s="27">
        <f t="shared" si="0"/>
        <v>108843614.70999999</v>
      </c>
      <c r="D14" s="27">
        <f t="shared" si="0"/>
        <v>99897328.609999999</v>
      </c>
      <c r="E14" s="8">
        <f t="shared" si="2"/>
        <v>0.1832423884996183</v>
      </c>
      <c r="F14" s="8">
        <f t="shared" si="3"/>
        <v>-8.2193945173873892E-2</v>
      </c>
      <c r="G14" s="7"/>
      <c r="I14" s="7" t="s">
        <v>69</v>
      </c>
      <c r="J14" s="27">
        <v>124138881</v>
      </c>
      <c r="K14" s="27">
        <v>124607715</v>
      </c>
      <c r="L14" s="27">
        <v>129729757</v>
      </c>
      <c r="M14" s="8">
        <f t="shared" si="4"/>
        <v>3.7766894322174534E-3</v>
      </c>
      <c r="N14" s="8">
        <f t="shared" si="5"/>
        <v>4.1105336054031646E-2</v>
      </c>
      <c r="O14" s="46" t="s">
        <v>71</v>
      </c>
      <c r="Q14" s="7" t="s">
        <v>36</v>
      </c>
      <c r="R14" s="27">
        <v>79579694.689999998</v>
      </c>
      <c r="S14" s="27">
        <v>94695223.239999995</v>
      </c>
      <c r="T14" s="27">
        <v>86888806.269999996</v>
      </c>
      <c r="U14" s="8">
        <f t="shared" si="6"/>
        <v>0.18994202740890156</v>
      </c>
      <c r="V14" s="8">
        <f t="shared" si="7"/>
        <v>-8.2437283559858673E-2</v>
      </c>
      <c r="W14" s="7"/>
      <c r="Y14" s="7" t="s">
        <v>36</v>
      </c>
      <c r="Z14" s="27">
        <v>12407894.470000001</v>
      </c>
      <c r="AA14" s="27">
        <v>14148391.470000001</v>
      </c>
      <c r="AB14" s="27">
        <v>13008522.34</v>
      </c>
      <c r="AC14" s="8">
        <f t="shared" si="8"/>
        <v>0.14027335614500919</v>
      </c>
      <c r="AD14" s="8">
        <f t="shared" si="9"/>
        <v>-8.0565280683458557E-2</v>
      </c>
      <c r="AE14" s="7"/>
    </row>
    <row r="15" spans="1:31" x14ac:dyDescent="0.35">
      <c r="A15" s="7" t="s">
        <v>37</v>
      </c>
      <c r="B15" s="27">
        <f t="shared" si="1"/>
        <v>305393808.53999996</v>
      </c>
      <c r="C15" s="27">
        <f t="shared" si="0"/>
        <v>332022227.77999997</v>
      </c>
      <c r="D15" s="27">
        <f t="shared" si="0"/>
        <v>334009387.42000002</v>
      </c>
      <c r="E15" s="8">
        <f t="shared" si="2"/>
        <v>8.7193710204220676E-2</v>
      </c>
      <c r="F15" s="8">
        <f t="shared" si="3"/>
        <v>5.9850198984772486E-3</v>
      </c>
      <c r="G15" s="7"/>
      <c r="I15" s="7" t="s">
        <v>67</v>
      </c>
      <c r="J15" s="27">
        <v>341090003</v>
      </c>
      <c r="K15" s="27">
        <v>375359402</v>
      </c>
      <c r="L15" s="27">
        <v>347391529</v>
      </c>
      <c r="M15" s="8">
        <f t="shared" si="4"/>
        <v>0.10047025330144314</v>
      </c>
      <c r="N15" s="8">
        <f t="shared" si="5"/>
        <v>-7.4509584283704716E-2</v>
      </c>
      <c r="O15" s="46" t="s">
        <v>68</v>
      </c>
      <c r="Q15" s="7" t="s">
        <v>37</v>
      </c>
      <c r="R15" s="27">
        <v>231203759.66999999</v>
      </c>
      <c r="S15" s="27">
        <v>246871553.91</v>
      </c>
      <c r="T15" s="27">
        <v>249425633.78</v>
      </c>
      <c r="U15" s="8">
        <f t="shared" si="6"/>
        <v>6.7766174141643931E-2</v>
      </c>
      <c r="V15" s="8">
        <f t="shared" si="7"/>
        <v>1.0345784394953522E-2</v>
      </c>
      <c r="W15" s="7"/>
      <c r="Y15" s="7" t="s">
        <v>37</v>
      </c>
      <c r="Z15" s="27">
        <v>74190048.870000005</v>
      </c>
      <c r="AA15" s="27">
        <v>85150673.870000005</v>
      </c>
      <c r="AB15" s="27">
        <v>84583753.640000001</v>
      </c>
      <c r="AC15" s="8">
        <f t="shared" si="8"/>
        <v>0.14773713142049316</v>
      </c>
      <c r="AD15" s="8">
        <f t="shared" si="9"/>
        <v>-6.6578478388265531E-3</v>
      </c>
      <c r="AE15" s="7"/>
    </row>
    <row r="16" spans="1:31" x14ac:dyDescent="0.35">
      <c r="A16" s="14" t="s">
        <v>56</v>
      </c>
      <c r="B16" s="27">
        <f t="shared" si="1"/>
        <v>828691758.21000004</v>
      </c>
      <c r="C16" s="27">
        <f t="shared" si="0"/>
        <v>909750138.22000003</v>
      </c>
      <c r="D16" s="27">
        <f t="shared" si="0"/>
        <v>1015148824.03</v>
      </c>
      <c r="E16" s="8">
        <f t="shared" si="2"/>
        <v>9.7814874115664682E-2</v>
      </c>
      <c r="F16" s="8">
        <f t="shared" si="3"/>
        <v>0.11585454223312461</v>
      </c>
      <c r="G16" s="7"/>
      <c r="I16" s="14" t="s">
        <v>72</v>
      </c>
      <c r="J16" s="27">
        <v>246718900</v>
      </c>
      <c r="K16" s="27">
        <v>267056881</v>
      </c>
      <c r="L16" s="27">
        <v>291553881</v>
      </c>
      <c r="M16" s="8">
        <f t="shared" si="4"/>
        <v>8.2433818406291534E-2</v>
      </c>
      <c r="N16" s="8">
        <f t="shared" si="5"/>
        <v>9.1729521846696027E-2</v>
      </c>
      <c r="O16" s="46" t="s">
        <v>68</v>
      </c>
      <c r="Q16" s="14" t="s">
        <v>56</v>
      </c>
      <c r="R16" s="27">
        <v>564898515.57000005</v>
      </c>
      <c r="S16" s="27">
        <v>613013382.52999997</v>
      </c>
      <c r="T16" s="27">
        <v>688327519.28999996</v>
      </c>
      <c r="U16" s="8">
        <f t="shared" si="6"/>
        <v>8.517435545294455E-2</v>
      </c>
      <c r="V16" s="8">
        <f t="shared" si="7"/>
        <v>0.12285887862540135</v>
      </c>
      <c r="W16" s="7"/>
      <c r="Y16" s="14" t="s">
        <v>56</v>
      </c>
      <c r="Z16" s="27">
        <v>263793242.63999999</v>
      </c>
      <c r="AA16" s="27">
        <v>296736755.69</v>
      </c>
      <c r="AB16" s="27">
        <v>326821304.74000001</v>
      </c>
      <c r="AC16" s="8">
        <f t="shared" si="8"/>
        <v>0.12488383978416838</v>
      </c>
      <c r="AD16" s="8">
        <f t="shared" si="9"/>
        <v>0.10138463966165773</v>
      </c>
      <c r="AE16" s="7"/>
    </row>
    <row r="17" spans="1:31" x14ac:dyDescent="0.35">
      <c r="A17" s="14" t="s">
        <v>57</v>
      </c>
      <c r="B17" s="27">
        <f t="shared" si="1"/>
        <v>677853216.63</v>
      </c>
      <c r="C17" s="27">
        <f t="shared" si="0"/>
        <v>743605961.78999996</v>
      </c>
      <c r="D17" s="27">
        <f t="shared" si="0"/>
        <v>823847869.70000005</v>
      </c>
      <c r="E17" s="8">
        <f t="shared" si="2"/>
        <v>9.7001450383159438E-2</v>
      </c>
      <c r="F17" s="8">
        <f t="shared" si="3"/>
        <v>0.10790917775436154</v>
      </c>
      <c r="G17" s="51"/>
      <c r="I17" s="14" t="s">
        <v>75</v>
      </c>
      <c r="J17" s="27">
        <v>102975407</v>
      </c>
      <c r="K17" s="27">
        <v>113981010</v>
      </c>
      <c r="L17" s="27">
        <v>119778992</v>
      </c>
      <c r="M17" s="8">
        <f t="shared" si="4"/>
        <v>0.10687603303184808</v>
      </c>
      <c r="N17" s="8">
        <f t="shared" si="5"/>
        <v>5.0867964760094683E-2</v>
      </c>
      <c r="O17" s="46" t="s">
        <v>68</v>
      </c>
      <c r="Q17" s="14" t="s">
        <v>57</v>
      </c>
      <c r="R17" s="27">
        <v>427308501.44999999</v>
      </c>
      <c r="S17" s="27">
        <v>462644454.38999999</v>
      </c>
      <c r="T17" s="27">
        <v>518076876.89999998</v>
      </c>
      <c r="U17" s="8">
        <f t="shared" si="6"/>
        <v>8.269424273117279E-2</v>
      </c>
      <c r="V17" s="8">
        <f t="shared" si="7"/>
        <v>0.11981646377473179</v>
      </c>
      <c r="W17" s="51"/>
      <c r="Y17" s="14" t="s">
        <v>57</v>
      </c>
      <c r="Z17" s="27">
        <v>250544715.18000001</v>
      </c>
      <c r="AA17" s="27">
        <v>280961507.39999998</v>
      </c>
      <c r="AB17" s="27">
        <v>305770992.80000001</v>
      </c>
      <c r="AC17" s="8">
        <f t="shared" si="8"/>
        <v>0.12140264941588368</v>
      </c>
      <c r="AD17" s="8">
        <f t="shared" si="9"/>
        <v>8.8302079632136959E-2</v>
      </c>
      <c r="AE17" s="51"/>
    </row>
    <row r="18" spans="1:31" x14ac:dyDescent="0.35">
      <c r="A18" s="14" t="s">
        <v>38</v>
      </c>
      <c r="B18" s="27">
        <f t="shared" si="1"/>
        <v>248230829.71000001</v>
      </c>
      <c r="C18" s="27">
        <f t="shared" si="0"/>
        <v>270012188.36000001</v>
      </c>
      <c r="D18" s="27">
        <f t="shared" si="0"/>
        <v>278403561.09000003</v>
      </c>
      <c r="E18" s="8">
        <f t="shared" si="2"/>
        <v>8.7746387809469348E-2</v>
      </c>
      <c r="F18" s="8">
        <f t="shared" si="3"/>
        <v>3.1077755344925493E-2</v>
      </c>
      <c r="G18" s="7"/>
      <c r="I18" s="7" t="s">
        <v>78</v>
      </c>
      <c r="J18" s="27">
        <v>139875925</v>
      </c>
      <c r="K18" s="27">
        <v>146591139</v>
      </c>
      <c r="L18" s="27">
        <v>146251610</v>
      </c>
      <c r="M18" s="8">
        <f t="shared" si="4"/>
        <v>4.8008361696267605E-2</v>
      </c>
      <c r="N18" s="8">
        <f t="shared" si="5"/>
        <v>-2.3161631890997176E-3</v>
      </c>
      <c r="O18" s="46" t="s">
        <v>68</v>
      </c>
      <c r="Q18" s="14" t="s">
        <v>38</v>
      </c>
      <c r="R18" s="27">
        <v>188163132.08000001</v>
      </c>
      <c r="S18" s="27">
        <v>200840876.69999999</v>
      </c>
      <c r="T18" s="27">
        <v>206231705.99000001</v>
      </c>
      <c r="U18" s="8">
        <f t="shared" si="6"/>
        <v>6.7376347746007259E-2</v>
      </c>
      <c r="V18" s="8">
        <f t="shared" si="7"/>
        <v>2.6841295350708963E-2</v>
      </c>
      <c r="W18" s="7"/>
      <c r="Y18" s="14" t="s">
        <v>38</v>
      </c>
      <c r="Z18" s="27">
        <v>60067697.630000003</v>
      </c>
      <c r="AA18" s="27">
        <v>69171311.659999996</v>
      </c>
      <c r="AB18" s="27">
        <v>72171855.099999994</v>
      </c>
      <c r="AC18" s="8">
        <f t="shared" si="8"/>
        <v>0.15155590091159607</v>
      </c>
      <c r="AD18" s="8">
        <f t="shared" si="9"/>
        <v>4.3378437794394688E-2</v>
      </c>
      <c r="AE18" s="7"/>
    </row>
    <row r="19" spans="1:31" x14ac:dyDescent="0.35">
      <c r="A19" s="14" t="s">
        <v>46</v>
      </c>
      <c r="B19" s="27">
        <f t="shared" si="1"/>
        <v>33620742.409999996</v>
      </c>
      <c r="C19" s="27">
        <f t="shared" si="0"/>
        <v>35473333.380000003</v>
      </c>
      <c r="D19" s="27">
        <f t="shared" si="0"/>
        <v>32732811.950000003</v>
      </c>
      <c r="E19" s="8">
        <f t="shared" si="2"/>
        <v>5.5102619311850183E-2</v>
      </c>
      <c r="F19" s="8">
        <f t="shared" si="3"/>
        <v>-7.7255819199249995E-2</v>
      </c>
      <c r="G19" s="7"/>
      <c r="I19" s="14" t="s">
        <v>76</v>
      </c>
      <c r="J19" s="27">
        <v>852896479</v>
      </c>
      <c r="K19" s="27">
        <v>942155056</v>
      </c>
      <c r="L19" s="27">
        <v>980489178</v>
      </c>
      <c r="M19" s="8">
        <f t="shared" si="4"/>
        <v>0.10465347108086724</v>
      </c>
      <c r="N19" s="8">
        <f t="shared" si="5"/>
        <v>4.0687699711288286E-2</v>
      </c>
      <c r="O19" s="7" t="s">
        <v>77</v>
      </c>
      <c r="Q19" s="14" t="s">
        <v>46</v>
      </c>
      <c r="R19" s="27">
        <v>30631841.449999999</v>
      </c>
      <c r="S19" s="27">
        <v>32230602.010000002</v>
      </c>
      <c r="T19" s="27">
        <v>29039712.620000001</v>
      </c>
      <c r="U19" s="8">
        <f t="shared" si="6"/>
        <v>5.2192766883102371E-2</v>
      </c>
      <c r="V19" s="8">
        <f t="shared" si="7"/>
        <v>-9.900185510062709E-2</v>
      </c>
      <c r="W19" s="7"/>
      <c r="Y19" s="14" t="s">
        <v>46</v>
      </c>
      <c r="Z19" s="27">
        <v>2988900.96</v>
      </c>
      <c r="AA19" s="27">
        <v>3242731.37</v>
      </c>
      <c r="AB19" s="27">
        <v>3693099.33</v>
      </c>
      <c r="AC19" s="8">
        <f t="shared" si="8"/>
        <v>8.4924329510068522E-2</v>
      </c>
      <c r="AD19" s="8">
        <f t="shared" si="9"/>
        <v>0.1388853742763157</v>
      </c>
      <c r="AE19" s="7"/>
    </row>
    <row r="20" spans="1:31" x14ac:dyDescent="0.35">
      <c r="A20" s="14" t="s">
        <v>47</v>
      </c>
      <c r="B20" s="27">
        <f t="shared" si="1"/>
        <v>45209960.649999999</v>
      </c>
      <c r="C20" s="27">
        <f t="shared" si="0"/>
        <v>56548372.469999999</v>
      </c>
      <c r="D20" s="27">
        <f t="shared" si="0"/>
        <v>113738532.32000001</v>
      </c>
      <c r="E20" s="8">
        <f t="shared" si="2"/>
        <v>0.25079455184175214</v>
      </c>
      <c r="F20" s="8">
        <f t="shared" si="3"/>
        <v>1.0113493519259196</v>
      </c>
      <c r="G20" s="7"/>
      <c r="I20" s="42" t="s">
        <v>59</v>
      </c>
      <c r="J20" s="44">
        <f>SUM(J9:J19)</f>
        <v>5281635403</v>
      </c>
      <c r="K20" s="44">
        <f t="shared" ref="K20:L20" si="10">SUM(K9:K19)</f>
        <v>5627845446</v>
      </c>
      <c r="L20" s="44">
        <f t="shared" si="10"/>
        <v>5389327655</v>
      </c>
      <c r="M20" s="45">
        <f t="shared" si="4"/>
        <v>6.554978081284267E-2</v>
      </c>
      <c r="N20" s="45">
        <f t="shared" si="5"/>
        <v>-4.2381723749987998E-2</v>
      </c>
      <c r="O20" s="42"/>
      <c r="Q20" s="14" t="s">
        <v>47</v>
      </c>
      <c r="R20" s="27">
        <v>40662100.469999999</v>
      </c>
      <c r="S20" s="27">
        <v>53968960.810000002</v>
      </c>
      <c r="T20" s="27">
        <v>108152682.95</v>
      </c>
      <c r="U20" s="8">
        <f t="shared" si="6"/>
        <v>0.3272546225155693</v>
      </c>
      <c r="V20" s="8">
        <f t="shared" si="7"/>
        <v>1.0039793489957325</v>
      </c>
      <c r="W20" s="7"/>
      <c r="Y20" s="14" t="s">
        <v>47</v>
      </c>
      <c r="Z20" s="27">
        <v>4547860.18</v>
      </c>
      <c r="AA20" s="27">
        <v>2579411.66</v>
      </c>
      <c r="AB20" s="27">
        <v>5585849.3700000001</v>
      </c>
      <c r="AC20" s="8">
        <f t="shared" si="8"/>
        <v>-0.43282960383359886</v>
      </c>
      <c r="AD20" s="8">
        <f t="shared" si="9"/>
        <v>1.1655517250782683</v>
      </c>
      <c r="AE20" s="7"/>
    </row>
    <row r="21" spans="1:31" x14ac:dyDescent="0.35">
      <c r="A21" s="14" t="s">
        <v>48</v>
      </c>
      <c r="B21" s="27">
        <f t="shared" si="1"/>
        <v>5483733.2400000002</v>
      </c>
      <c r="C21" s="27">
        <f t="shared" si="0"/>
        <v>5903990.25</v>
      </c>
      <c r="D21" s="27">
        <f t="shared" si="0"/>
        <v>6459149.7000000002</v>
      </c>
      <c r="E21" s="8">
        <f t="shared" si="2"/>
        <v>7.6637026566959657E-2</v>
      </c>
      <c r="F21" s="8">
        <f t="shared" si="3"/>
        <v>9.4031227439781123E-2</v>
      </c>
      <c r="G21" s="7"/>
      <c r="I21" s="42" t="s">
        <v>54</v>
      </c>
      <c r="J21" s="44">
        <v>0</v>
      </c>
      <c r="K21" s="44">
        <v>0</v>
      </c>
      <c r="L21" s="44">
        <v>0</v>
      </c>
      <c r="M21" s="62" t="str">
        <f t="shared" si="4"/>
        <v/>
      </c>
      <c r="N21" s="62" t="str">
        <f t="shared" si="5"/>
        <v/>
      </c>
      <c r="O21" s="42"/>
      <c r="Q21" s="14" t="s">
        <v>48</v>
      </c>
      <c r="R21" s="27">
        <v>5252338.08</v>
      </c>
      <c r="S21" s="27">
        <v>5643982.4299999997</v>
      </c>
      <c r="T21" s="27">
        <v>5827235.25</v>
      </c>
      <c r="U21" s="8">
        <f t="shared" si="6"/>
        <v>7.4565716074392455E-2</v>
      </c>
      <c r="V21" s="8">
        <f t="shared" si="7"/>
        <v>3.2468708447060193E-2</v>
      </c>
      <c r="W21" s="7"/>
      <c r="Y21" s="14" t="s">
        <v>48</v>
      </c>
      <c r="Z21" s="27">
        <v>231395.16</v>
      </c>
      <c r="AA21" s="27">
        <v>260007.82</v>
      </c>
      <c r="AB21" s="27">
        <v>631914.44999999995</v>
      </c>
      <c r="AC21" s="8">
        <f t="shared" si="8"/>
        <v>0.12365280241816641</v>
      </c>
      <c r="AD21" s="8">
        <f t="shared" si="9"/>
        <v>1.4303670943435467</v>
      </c>
      <c r="AE21" s="7"/>
    </row>
    <row r="22" spans="1:31" x14ac:dyDescent="0.35">
      <c r="A22" s="14" t="s">
        <v>49</v>
      </c>
      <c r="B22" s="27">
        <f t="shared" si="1"/>
        <v>0</v>
      </c>
      <c r="C22" s="27">
        <f t="shared" si="0"/>
        <v>0</v>
      </c>
      <c r="D22" s="27">
        <f t="shared" si="0"/>
        <v>0</v>
      </c>
      <c r="E22" s="8" t="str">
        <f t="shared" si="2"/>
        <v/>
      </c>
      <c r="F22" s="8" t="str">
        <f t="shared" si="3"/>
        <v/>
      </c>
      <c r="G22" s="7"/>
      <c r="Q22" s="14" t="s">
        <v>49</v>
      </c>
      <c r="R22" s="27">
        <v>0</v>
      </c>
      <c r="S22" s="27">
        <v>0</v>
      </c>
      <c r="T22" s="27">
        <v>0</v>
      </c>
      <c r="U22" s="8" t="str">
        <f t="shared" si="6"/>
        <v/>
      </c>
      <c r="V22" s="8" t="str">
        <f t="shared" si="7"/>
        <v/>
      </c>
      <c r="W22" s="7"/>
      <c r="Y22" s="14" t="s">
        <v>49</v>
      </c>
      <c r="Z22" s="27">
        <v>0</v>
      </c>
      <c r="AA22" s="27">
        <v>0</v>
      </c>
      <c r="AB22" s="27">
        <v>0</v>
      </c>
      <c r="AC22" s="8" t="str">
        <f t="shared" si="8"/>
        <v/>
      </c>
      <c r="AD22" s="8" t="str">
        <f t="shared" si="9"/>
        <v/>
      </c>
      <c r="AE22" s="7"/>
    </row>
    <row r="23" spans="1:31" x14ac:dyDescent="0.35">
      <c r="A23" s="14" t="s">
        <v>50</v>
      </c>
      <c r="B23" s="27">
        <f t="shared" si="1"/>
        <v>-124648</v>
      </c>
      <c r="C23" s="27">
        <f t="shared" si="0"/>
        <v>-485524.02999999997</v>
      </c>
      <c r="D23" s="27">
        <f t="shared" si="0"/>
        <v>-2772277.5500000003</v>
      </c>
      <c r="E23" s="8">
        <f t="shared" si="2"/>
        <v>2.8951610134137731</v>
      </c>
      <c r="F23" s="8">
        <f t="shared" si="3"/>
        <v>4.7098668216277586</v>
      </c>
      <c r="G23" s="7"/>
      <c r="Q23" s="14" t="s">
        <v>50</v>
      </c>
      <c r="R23" s="27">
        <v>-72458.63</v>
      </c>
      <c r="S23" s="27">
        <v>-99540.24</v>
      </c>
      <c r="T23" s="27">
        <v>-2482369.6800000002</v>
      </c>
      <c r="U23" s="8">
        <f t="shared" si="6"/>
        <v>0.3737527193103154</v>
      </c>
      <c r="V23" s="8">
        <f t="shared" si="7"/>
        <v>23.938353373469862</v>
      </c>
      <c r="W23" s="7"/>
      <c r="Y23" s="14" t="s">
        <v>50</v>
      </c>
      <c r="Z23" s="27">
        <v>-52189.37</v>
      </c>
      <c r="AA23" s="27">
        <v>-385983.79</v>
      </c>
      <c r="AB23" s="27">
        <v>-289907.87</v>
      </c>
      <c r="AC23" s="8">
        <f t="shared" si="8"/>
        <v>6.3958315649336246</v>
      </c>
      <c r="AD23" s="8">
        <f t="shared" si="9"/>
        <v>-0.24891180015616715</v>
      </c>
      <c r="AE23" s="7"/>
    </row>
    <row r="24" spans="1:31" x14ac:dyDescent="0.35">
      <c r="A24" s="14" t="s">
        <v>51</v>
      </c>
      <c r="B24" s="27">
        <f t="shared" si="1"/>
        <v>778100177.60000002</v>
      </c>
      <c r="C24" s="27">
        <f t="shared" ref="C24" si="11">S24+AA24</f>
        <v>807240900.19999993</v>
      </c>
      <c r="D24" s="27">
        <f t="shared" ref="D24" si="12">T24+AB24</f>
        <v>846425704.25</v>
      </c>
      <c r="E24" s="8">
        <f t="shared" si="2"/>
        <v>3.7451119327440059E-2</v>
      </c>
      <c r="F24" s="8">
        <f t="shared" si="3"/>
        <v>4.8541648521887019E-2</v>
      </c>
      <c r="G24" s="7"/>
      <c r="Q24" s="14" t="s">
        <v>51</v>
      </c>
      <c r="R24" s="27">
        <v>757006039.98000002</v>
      </c>
      <c r="S24" s="27">
        <v>783827093.88999999</v>
      </c>
      <c r="T24" s="27">
        <v>816689114.54999995</v>
      </c>
      <c r="U24" s="8">
        <f t="shared" si="6"/>
        <v>3.5430435813574981E-2</v>
      </c>
      <c r="V24" s="8">
        <f t="shared" si="7"/>
        <v>4.1925088984754749E-2</v>
      </c>
      <c r="W24" s="7"/>
      <c r="Y24" s="14" t="s">
        <v>51</v>
      </c>
      <c r="Z24" s="27">
        <v>21094137.620000001</v>
      </c>
      <c r="AA24" s="27">
        <v>23413806.309999999</v>
      </c>
      <c r="AB24" s="27">
        <v>29736589.699999999</v>
      </c>
      <c r="AC24" s="8">
        <f t="shared" si="8"/>
        <v>0.10996745786851454</v>
      </c>
      <c r="AD24" s="8">
        <f t="shared" si="9"/>
        <v>0.27004508819651207</v>
      </c>
      <c r="AE24" s="7"/>
    </row>
    <row r="25" spans="1:31" x14ac:dyDescent="0.35">
      <c r="A25" s="42" t="s">
        <v>58</v>
      </c>
      <c r="B25" s="44">
        <f>SUM(B9:B16)+B18</f>
        <v>3742179478.1499996</v>
      </c>
      <c r="C25" s="44">
        <f t="shared" ref="C25:D25" si="13">SUM(C9:C16)+C18</f>
        <v>4038102988.48</v>
      </c>
      <c r="D25" s="44">
        <f t="shared" si="13"/>
        <v>4046227596.25</v>
      </c>
      <c r="E25" s="45">
        <f t="shared" si="2"/>
        <v>7.9077850770614147E-2</v>
      </c>
      <c r="F25" s="45">
        <f t="shared" si="3"/>
        <v>2.0119862700822794E-3</v>
      </c>
      <c r="G25" s="42"/>
      <c r="Q25" s="42" t="s">
        <v>58</v>
      </c>
      <c r="R25" s="44">
        <f>SUM(R9:R16)+R18</f>
        <v>2860536407.5000005</v>
      </c>
      <c r="S25" s="44">
        <f t="shared" ref="S25:T25" si="14">SUM(S9:S16)+S18</f>
        <v>3067811220.8599997</v>
      </c>
      <c r="T25" s="44">
        <f t="shared" si="14"/>
        <v>3055419594.2300005</v>
      </c>
      <c r="U25" s="45">
        <f t="shared" si="6"/>
        <v>7.2460120702029257E-2</v>
      </c>
      <c r="V25" s="45">
        <f t="shared" si="7"/>
        <v>-4.0392402719374026E-3</v>
      </c>
      <c r="W25" s="42"/>
      <c r="Y25" s="42" t="s">
        <v>58</v>
      </c>
      <c r="Z25" s="44">
        <f>SUM(Z9:Z16)+Z18</f>
        <v>881643070.64999998</v>
      </c>
      <c r="AA25" s="44">
        <f t="shared" ref="AA25:AB25" si="15">SUM(AA9:AA16)+AA18</f>
        <v>970291767.62</v>
      </c>
      <c r="AB25" s="44">
        <f t="shared" si="15"/>
        <v>990808002.01999998</v>
      </c>
      <c r="AC25" s="45">
        <f t="shared" si="8"/>
        <v>0.10054941724278842</v>
      </c>
      <c r="AD25" s="45">
        <f t="shared" si="9"/>
        <v>2.1144397061436108E-2</v>
      </c>
      <c r="AE25" s="42"/>
    </row>
    <row r="26" spans="1:31" x14ac:dyDescent="0.35">
      <c r="A26" s="42" t="s">
        <v>59</v>
      </c>
      <c r="B26" s="44">
        <f>SUM(B9:B15)+SUM(B17:B18)</f>
        <v>3591340936.5699997</v>
      </c>
      <c r="C26" s="44">
        <f t="shared" ref="C26:D26" si="16">SUM(C9:C15)+SUM(C17:C18)</f>
        <v>3871958812.0499997</v>
      </c>
      <c r="D26" s="44">
        <f t="shared" si="16"/>
        <v>3854926641.9200001</v>
      </c>
      <c r="E26" s="45">
        <f t="shared" si="2"/>
        <v>7.8137353271731186E-2</v>
      </c>
      <c r="F26" s="45">
        <f t="shared" si="3"/>
        <v>-4.3988510613784124E-3</v>
      </c>
      <c r="G26" s="42"/>
      <c r="Q26" s="42" t="s">
        <v>59</v>
      </c>
      <c r="R26" s="44">
        <f>SUM(R9:R15)+SUM(R17:R18)</f>
        <v>2722946393.3800001</v>
      </c>
      <c r="S26" s="44">
        <f t="shared" ref="S26:T26" si="17">SUM(S9:S15)+SUM(S17:S18)</f>
        <v>2917442292.7200003</v>
      </c>
      <c r="T26" s="44">
        <f t="shared" si="17"/>
        <v>2885168951.8400002</v>
      </c>
      <c r="U26" s="45">
        <f t="shared" si="6"/>
        <v>7.1428471677906197E-2</v>
      </c>
      <c r="V26" s="45">
        <f t="shared" si="7"/>
        <v>-1.1062203684553745E-2</v>
      </c>
      <c r="W26" s="42"/>
      <c r="Y26" s="42" t="s">
        <v>59</v>
      </c>
      <c r="Z26" s="44">
        <f>SUM(Z9:Z15)+SUM(Z17:Z18)</f>
        <v>868394543.19000006</v>
      </c>
      <c r="AA26" s="44">
        <f t="shared" ref="AA26:AB26" si="18">SUM(AA9:AA15)+SUM(AA17:AA18)</f>
        <v>954516519.32999992</v>
      </c>
      <c r="AB26" s="44">
        <f t="shared" si="18"/>
        <v>969757690.07999992</v>
      </c>
      <c r="AC26" s="45">
        <f t="shared" si="8"/>
        <v>9.9173787785026238E-2</v>
      </c>
      <c r="AD26" s="45">
        <f t="shared" si="9"/>
        <v>1.5967424807585496E-2</v>
      </c>
      <c r="AE26" s="42"/>
    </row>
    <row r="27" spans="1:31" x14ac:dyDescent="0.35">
      <c r="A27" s="42" t="s">
        <v>54</v>
      </c>
      <c r="B27" s="44">
        <f>SUM(B19:B24)</f>
        <v>862289965.89999998</v>
      </c>
      <c r="C27" s="44">
        <f t="shared" ref="C27:D27" si="19">SUM(C19:C24)</f>
        <v>904681072.26999998</v>
      </c>
      <c r="D27" s="44">
        <f t="shared" si="19"/>
        <v>996583920.66999996</v>
      </c>
      <c r="E27" s="45">
        <f t="shared" si="2"/>
        <v>4.9161080432792735E-2</v>
      </c>
      <c r="F27" s="45">
        <f t="shared" si="3"/>
        <v>0.10158590824653815</v>
      </c>
      <c r="G27" s="42"/>
      <c r="Q27" s="42" t="s">
        <v>54</v>
      </c>
      <c r="R27" s="44">
        <f>SUM(R19:R24)</f>
        <v>833479861.35000002</v>
      </c>
      <c r="S27" s="44">
        <f t="shared" ref="S27:T27" si="20">SUM(S19:S24)</f>
        <v>875571098.89999998</v>
      </c>
      <c r="T27" s="44">
        <f t="shared" si="20"/>
        <v>957226375.68999994</v>
      </c>
      <c r="U27" s="45">
        <f t="shared" si="6"/>
        <v>5.0500605355748046E-2</v>
      </c>
      <c r="V27" s="45">
        <f t="shared" si="7"/>
        <v>9.3259447339668192E-2</v>
      </c>
      <c r="W27" s="42"/>
      <c r="Y27" s="42" t="s">
        <v>54</v>
      </c>
      <c r="Z27" s="44">
        <f>SUM(Z19:Z24)</f>
        <v>28810104.550000001</v>
      </c>
      <c r="AA27" s="44">
        <f t="shared" ref="AA27:AB27" si="21">SUM(AA19:AA24)</f>
        <v>29109973.369999997</v>
      </c>
      <c r="AB27" s="44">
        <f t="shared" si="21"/>
        <v>39357544.979999997</v>
      </c>
      <c r="AC27" s="45">
        <f t="shared" si="8"/>
        <v>1.0408459972075894E-2</v>
      </c>
      <c r="AD27" s="45">
        <f t="shared" si="9"/>
        <v>0.35202957693396203</v>
      </c>
      <c r="AE27" s="42"/>
    </row>
    <row r="28" spans="1:31" x14ac:dyDescent="0.35">
      <c r="B28" s="12"/>
    </row>
    <row r="30" spans="1:31" x14ac:dyDescent="0.35">
      <c r="A30" s="114" t="s">
        <v>7</v>
      </c>
      <c r="B30" s="114" t="s">
        <v>62</v>
      </c>
      <c r="C30" s="114"/>
      <c r="D30" s="114"/>
      <c r="E30" s="115" t="s">
        <v>2</v>
      </c>
      <c r="F30" s="117"/>
      <c r="G30" s="118" t="s">
        <v>28</v>
      </c>
      <c r="I30" s="118" t="s">
        <v>7</v>
      </c>
      <c r="J30" s="115" t="s">
        <v>62</v>
      </c>
      <c r="K30" s="116"/>
      <c r="L30" s="117"/>
      <c r="M30" s="115" t="s">
        <v>2</v>
      </c>
      <c r="N30" s="117"/>
      <c r="O30" s="118" t="s">
        <v>28</v>
      </c>
      <c r="Q30" s="114" t="s">
        <v>7</v>
      </c>
      <c r="R30" s="114" t="s">
        <v>62</v>
      </c>
      <c r="S30" s="114"/>
      <c r="T30" s="114"/>
      <c r="U30" s="115" t="s">
        <v>2</v>
      </c>
      <c r="V30" s="117"/>
      <c r="W30" s="118" t="s">
        <v>28</v>
      </c>
      <c r="Y30" s="114" t="s">
        <v>7</v>
      </c>
      <c r="Z30" s="114" t="s">
        <v>62</v>
      </c>
      <c r="AA30" s="114"/>
      <c r="AB30" s="114"/>
      <c r="AC30" s="115" t="s">
        <v>2</v>
      </c>
      <c r="AD30" s="117"/>
      <c r="AE30" s="118" t="s">
        <v>28</v>
      </c>
    </row>
    <row r="31" spans="1:31" x14ac:dyDescent="0.35">
      <c r="A31" s="114"/>
      <c r="B31" s="65">
        <v>2018</v>
      </c>
      <c r="C31" s="65">
        <v>2019</v>
      </c>
      <c r="D31" s="65">
        <v>2020</v>
      </c>
      <c r="E31" s="65" t="s">
        <v>15</v>
      </c>
      <c r="F31" s="65" t="s">
        <v>16</v>
      </c>
      <c r="G31" s="119"/>
      <c r="I31" s="119"/>
      <c r="J31" s="65">
        <v>2018</v>
      </c>
      <c r="K31" s="65">
        <v>2019</v>
      </c>
      <c r="L31" s="65">
        <v>2020</v>
      </c>
      <c r="M31" s="65" t="s">
        <v>15</v>
      </c>
      <c r="N31" s="65" t="s">
        <v>16</v>
      </c>
      <c r="O31" s="119"/>
      <c r="Q31" s="114"/>
      <c r="R31" s="37">
        <v>2018</v>
      </c>
      <c r="S31" s="37">
        <v>2019</v>
      </c>
      <c r="T31" s="37">
        <v>2020</v>
      </c>
      <c r="U31" s="37" t="s">
        <v>15</v>
      </c>
      <c r="V31" s="37" t="s">
        <v>16</v>
      </c>
      <c r="W31" s="119"/>
      <c r="Y31" s="114"/>
      <c r="Z31" s="65">
        <v>2018</v>
      </c>
      <c r="AA31" s="65">
        <v>2019</v>
      </c>
      <c r="AB31" s="65">
        <v>2020</v>
      </c>
      <c r="AC31" s="65" t="s">
        <v>15</v>
      </c>
      <c r="AD31" s="65" t="s">
        <v>16</v>
      </c>
      <c r="AE31" s="119"/>
    </row>
    <row r="32" spans="1:31" x14ac:dyDescent="0.35">
      <c r="A32" s="7" t="s">
        <v>31</v>
      </c>
      <c r="B32" s="27">
        <f>B9/($B$8/12)</f>
        <v>2566.0542842003711</v>
      </c>
      <c r="C32" s="27">
        <f>C9/($C$8/12)</f>
        <v>2616.1852364955757</v>
      </c>
      <c r="D32" s="27">
        <f>D9/($D$8/12)</f>
        <v>2362.8021539249376</v>
      </c>
      <c r="E32" s="8">
        <f>IFERROR((C32-B32)/B32, "")</f>
        <v>1.953620100863392E-2</v>
      </c>
      <c r="F32" s="8">
        <f>IFERROR((D32-C32)/C32, "")</f>
        <v>-9.6852118510556653E-2</v>
      </c>
      <c r="G32" s="7"/>
      <c r="I32" s="7" t="s">
        <v>31</v>
      </c>
      <c r="J32" s="27">
        <f>J9/$J$8</f>
        <v>3017.8967461954026</v>
      </c>
      <c r="K32" s="27">
        <f>K9/$K$8</f>
        <v>3028.0960348769208</v>
      </c>
      <c r="L32" s="27">
        <f>L9/$L$8</f>
        <v>2758.9424781876724</v>
      </c>
      <c r="M32" s="8">
        <f>IFERROR((K32-J32)/J32, "")</f>
        <v>3.3796016031285053E-3</v>
      </c>
      <c r="N32" s="8">
        <f>IFERROR((L32-K32)/K32, "")</f>
        <v>-8.88854097060328E-2</v>
      </c>
      <c r="O32" s="7"/>
      <c r="Q32" s="7" t="s">
        <v>31</v>
      </c>
      <c r="R32" s="27">
        <f>R9/($R$8/12)</f>
        <v>2270.437258419272</v>
      </c>
      <c r="S32" s="27">
        <f>S9/($S$8/12)</f>
        <v>2332.5863301812383</v>
      </c>
      <c r="T32" s="27">
        <f>T9/($T$8/12)</f>
        <v>2075.8449896868997</v>
      </c>
      <c r="U32" s="8">
        <f>IFERROR((S32-R32)/R32, "")</f>
        <v>2.7373172956664672E-2</v>
      </c>
      <c r="V32" s="8">
        <f>IFERROR((T32-S32)/S32, "")</f>
        <v>-0.11006724045853009</v>
      </c>
      <c r="W32" s="7"/>
      <c r="Y32" s="7" t="s">
        <v>31</v>
      </c>
      <c r="Z32" s="27">
        <f>Z9/($Z$8/12)</f>
        <v>4499.6270820654954</v>
      </c>
      <c r="AA32" s="27">
        <f>AA9/($AA$8/12)</f>
        <v>4390.8959744524718</v>
      </c>
      <c r="AB32" s="27">
        <f>AB9/($AB$8/12)</f>
        <v>4170.5721819294013</v>
      </c>
      <c r="AC32" s="8">
        <f>IFERROR((AA32-Z32)/Z32, "")</f>
        <v>-2.4164470883909783E-2</v>
      </c>
      <c r="AD32" s="8">
        <f>IFERROR((AB32-AA32)/AA32, "")</f>
        <v>-5.0177411126334892E-2</v>
      </c>
      <c r="AE32" s="7"/>
    </row>
    <row r="33" spans="1:31" x14ac:dyDescent="0.35">
      <c r="A33" s="7" t="s">
        <v>32</v>
      </c>
      <c r="B33" s="27">
        <f t="shared" ref="B33:B47" si="22">B10/($B$8/12)</f>
        <v>1632.4462904942502</v>
      </c>
      <c r="C33" s="27">
        <f t="shared" ref="C33:C47" si="23">C10/($C$8/12)</f>
        <v>1735.28867689039</v>
      </c>
      <c r="D33" s="27">
        <f t="shared" ref="D33:D47" si="24">D10/($D$8/12)</f>
        <v>1592.8827944930676</v>
      </c>
      <c r="E33" s="8">
        <f t="shared" ref="E33:E50" si="25">IFERROR((C33-B33)/B33, "")</f>
        <v>6.2998940298980705E-2</v>
      </c>
      <c r="F33" s="8">
        <f t="shared" ref="F33:F50" si="26">IFERROR((D33-C33)/C33, "")</f>
        <v>-8.2064664106787949E-2</v>
      </c>
      <c r="G33" s="7"/>
      <c r="I33" s="7" t="s">
        <v>32</v>
      </c>
      <c r="J33" s="27">
        <f t="shared" ref="J33:J44" si="27">J10/$J$8</f>
        <v>1790.3343146498507</v>
      </c>
      <c r="K33" s="27">
        <f t="shared" ref="K33:K44" si="28">K10/$K$8</f>
        <v>1926.0646903078314</v>
      </c>
      <c r="L33" s="27">
        <f t="shared" ref="L33:L44" si="29">L10/$L$8</f>
        <v>1801.6965349925424</v>
      </c>
      <c r="M33" s="8">
        <f t="shared" ref="M33:M44" si="30">IFERROR((K33-J33)/J33, "")</f>
        <v>7.5812866092848388E-2</v>
      </c>
      <c r="N33" s="8">
        <f t="shared" ref="N33:N44" si="31">IFERROR((L33-K33)/K33, "")</f>
        <v>-6.457112055535992E-2</v>
      </c>
      <c r="O33" s="7"/>
      <c r="Q33" s="7" t="s">
        <v>32</v>
      </c>
      <c r="R33" s="27">
        <f t="shared" ref="R33:R50" si="32">R10/($R$8/12)</f>
        <v>1493.3349308759189</v>
      </c>
      <c r="S33" s="27">
        <f t="shared" ref="S33:S50" si="33">S10/($S$8/12)</f>
        <v>1591.6920764351364</v>
      </c>
      <c r="T33" s="27">
        <f t="shared" ref="T33:T50" si="34">T10/($T$8/12)</f>
        <v>1463.8635527086233</v>
      </c>
      <c r="U33" s="8">
        <f t="shared" ref="U33:V50" si="35">IFERROR((S33-R33)/R33, "")</f>
        <v>6.5864089512408269E-2</v>
      </c>
      <c r="V33" s="8">
        <f t="shared" si="35"/>
        <v>-8.0309832296713277E-2</v>
      </c>
      <c r="W33" s="7"/>
      <c r="Y33" s="7" t="s">
        <v>32</v>
      </c>
      <c r="Z33" s="27">
        <f t="shared" ref="Z33:Z47" si="36">Z10/($Z$8/12)</f>
        <v>2542.3463211887483</v>
      </c>
      <c r="AA33" s="27">
        <f t="shared" ref="AA33:AA47" si="37">AA10/($AA$8/12)</f>
        <v>2633.8902690967448</v>
      </c>
      <c r="AB33" s="27">
        <f t="shared" ref="AB33:AB47" si="38">AB10/($AB$8/12)</f>
        <v>2405.6769930735345</v>
      </c>
      <c r="AC33" s="8">
        <f t="shared" ref="AC33:AC50" si="39">IFERROR((AA33-Z33)/Z33, "")</f>
        <v>3.600766234916114E-2</v>
      </c>
      <c r="AD33" s="8">
        <f t="shared" ref="AD33:AD50" si="40">IFERROR((AB33-AA33)/AA33, "")</f>
        <v>-8.664494443858238E-2</v>
      </c>
      <c r="AE33" s="7"/>
    </row>
    <row r="34" spans="1:31" x14ac:dyDescent="0.35">
      <c r="A34" s="7" t="s">
        <v>33</v>
      </c>
      <c r="B34" s="27">
        <f t="shared" si="22"/>
        <v>533.91822684896533</v>
      </c>
      <c r="C34" s="27">
        <f t="shared" si="23"/>
        <v>561.13667672455404</v>
      </c>
      <c r="D34" s="27">
        <f t="shared" si="24"/>
        <v>488.98105473921208</v>
      </c>
      <c r="E34" s="8">
        <f t="shared" si="25"/>
        <v>5.0978686448343059E-2</v>
      </c>
      <c r="F34" s="8">
        <f t="shared" si="26"/>
        <v>-0.12858831899302331</v>
      </c>
      <c r="G34" s="7"/>
      <c r="I34" s="7" t="s">
        <v>64</v>
      </c>
      <c r="J34" s="27">
        <f t="shared" si="27"/>
        <v>1763.4602207526668</v>
      </c>
      <c r="K34" s="27">
        <f t="shared" si="28"/>
        <v>1785.4003147429421</v>
      </c>
      <c r="L34" s="27">
        <f t="shared" si="29"/>
        <v>1664.7700002347133</v>
      </c>
      <c r="M34" s="8">
        <f t="shared" si="30"/>
        <v>1.2441502071938412E-2</v>
      </c>
      <c r="N34" s="8">
        <f t="shared" si="31"/>
        <v>-6.7564855630484699E-2</v>
      </c>
      <c r="O34" s="7"/>
      <c r="Q34" s="7" t="s">
        <v>33</v>
      </c>
      <c r="R34" s="27">
        <f t="shared" si="32"/>
        <v>509.94891546728064</v>
      </c>
      <c r="S34" s="27">
        <f t="shared" si="33"/>
        <v>532.66123580839883</v>
      </c>
      <c r="T34" s="27">
        <f t="shared" si="34"/>
        <v>467.87100506386469</v>
      </c>
      <c r="U34" s="8">
        <f t="shared" si="35"/>
        <v>4.4538422677703401E-2</v>
      </c>
      <c r="V34" s="8">
        <f t="shared" si="35"/>
        <v>-0.12163496494390957</v>
      </c>
      <c r="W34" s="7"/>
      <c r="Y34" s="7" t="s">
        <v>33</v>
      </c>
      <c r="Z34" s="27">
        <f t="shared" si="36"/>
        <v>690.69677621947199</v>
      </c>
      <c r="AA34" s="27">
        <f t="shared" si="37"/>
        <v>739.33084333373233</v>
      </c>
      <c r="AB34" s="27">
        <f t="shared" si="38"/>
        <v>621.96994593525824</v>
      </c>
      <c r="AC34" s="8">
        <f t="shared" si="39"/>
        <v>7.0413050688406073E-2</v>
      </c>
      <c r="AD34" s="8">
        <f t="shared" si="40"/>
        <v>-0.15873934985490337</v>
      </c>
      <c r="AE34" s="7"/>
    </row>
    <row r="35" spans="1:31" x14ac:dyDescent="0.35">
      <c r="A35" s="7" t="s">
        <v>34</v>
      </c>
      <c r="B35" s="27">
        <f t="shared" si="22"/>
        <v>1513.5526207771798</v>
      </c>
      <c r="C35" s="27">
        <f t="shared" si="23"/>
        <v>1526.8486959347695</v>
      </c>
      <c r="D35" s="27">
        <f t="shared" si="24"/>
        <v>1414.6769357298845</v>
      </c>
      <c r="E35" s="8">
        <f t="shared" si="25"/>
        <v>8.7846798155999609E-3</v>
      </c>
      <c r="F35" s="8">
        <f t="shared" si="26"/>
        <v>-7.3466192494084065E-2</v>
      </c>
      <c r="G35" s="7"/>
      <c r="I35" s="7" t="s">
        <v>65</v>
      </c>
      <c r="J35" s="27">
        <f t="shared" si="27"/>
        <v>464.54703242481713</v>
      </c>
      <c r="K35" s="27">
        <f t="shared" si="28"/>
        <v>512.72554415439413</v>
      </c>
      <c r="L35" s="27">
        <f t="shared" si="29"/>
        <v>483.85854900278883</v>
      </c>
      <c r="M35" s="8">
        <f t="shared" si="30"/>
        <v>0.10371072973622809</v>
      </c>
      <c r="N35" s="8">
        <f t="shared" si="31"/>
        <v>-5.6301066878214165E-2</v>
      </c>
      <c r="O35" s="7"/>
      <c r="Q35" s="7" t="s">
        <v>34</v>
      </c>
      <c r="R35" s="27">
        <f t="shared" si="32"/>
        <v>1437.3603615835668</v>
      </c>
      <c r="S35" s="27">
        <f t="shared" si="33"/>
        <v>1456.8692076900468</v>
      </c>
      <c r="T35" s="27">
        <f t="shared" si="34"/>
        <v>1340.7706984367046</v>
      </c>
      <c r="U35" s="8">
        <f t="shared" si="35"/>
        <v>1.3572689652431134E-2</v>
      </c>
      <c r="V35" s="8">
        <f t="shared" si="35"/>
        <v>-7.969041327836375E-2</v>
      </c>
      <c r="W35" s="7"/>
      <c r="Y35" s="7" t="s">
        <v>34</v>
      </c>
      <c r="Z35" s="27">
        <f t="shared" si="36"/>
        <v>2011.9111960161772</v>
      </c>
      <c r="AA35" s="27">
        <f t="shared" si="37"/>
        <v>1964.7676951250683</v>
      </c>
      <c r="AB35" s="27">
        <f t="shared" si="38"/>
        <v>1880.2707501096743</v>
      </c>
      <c r="AC35" s="8">
        <f t="shared" si="39"/>
        <v>-2.343219769563322E-2</v>
      </c>
      <c r="AD35" s="8">
        <f t="shared" si="40"/>
        <v>-4.3006074064147963E-2</v>
      </c>
      <c r="AE35" s="7"/>
    </row>
    <row r="36" spans="1:31" x14ac:dyDescent="0.35">
      <c r="A36" s="7" t="s">
        <v>35</v>
      </c>
      <c r="B36" s="27">
        <f t="shared" si="22"/>
        <v>29.116914809431226</v>
      </c>
      <c r="C36" s="27">
        <f t="shared" si="23"/>
        <v>26.735676983783971</v>
      </c>
      <c r="D36" s="27">
        <f t="shared" si="24"/>
        <v>28.745535406544665</v>
      </c>
      <c r="E36" s="8">
        <f t="shared" si="25"/>
        <v>-8.1781941570126457E-2</v>
      </c>
      <c r="F36" s="8">
        <f t="shared" si="26"/>
        <v>7.5175146078393151E-2</v>
      </c>
      <c r="G36" s="7"/>
      <c r="I36" s="7" t="s">
        <v>70</v>
      </c>
      <c r="J36" s="27">
        <f t="shared" si="27"/>
        <v>528.18738282449317</v>
      </c>
      <c r="K36" s="27">
        <f t="shared" si="28"/>
        <v>527.16844914668513</v>
      </c>
      <c r="L36" s="27">
        <f t="shared" si="29"/>
        <v>490.3106109585475</v>
      </c>
      <c r="M36" s="8">
        <f t="shared" si="30"/>
        <v>-1.9291140056380497E-3</v>
      </c>
      <c r="N36" s="8">
        <f t="shared" si="31"/>
        <v>-6.9916623894693483E-2</v>
      </c>
      <c r="O36" s="7"/>
      <c r="Q36" s="7" t="s">
        <v>35</v>
      </c>
      <c r="R36" s="27">
        <f t="shared" si="32"/>
        <v>20.317306970678288</v>
      </c>
      <c r="S36" s="27">
        <f t="shared" si="33"/>
        <v>18.810360049231935</v>
      </c>
      <c r="T36" s="27">
        <f t="shared" si="34"/>
        <v>20.187673947136901</v>
      </c>
      <c r="U36" s="8">
        <f t="shared" si="35"/>
        <v>-7.4170603595307305E-2</v>
      </c>
      <c r="V36" s="8">
        <f t="shared" si="35"/>
        <v>7.3221027896337582E-2</v>
      </c>
      <c r="W36" s="7"/>
      <c r="Y36" s="7" t="s">
        <v>35</v>
      </c>
      <c r="Z36" s="27">
        <f t="shared" si="36"/>
        <v>86.673418207488453</v>
      </c>
      <c r="AA36" s="27">
        <f t="shared" si="37"/>
        <v>76.330879053680221</v>
      </c>
      <c r="AB36" s="27">
        <f t="shared" si="38"/>
        <v>82.658270051840361</v>
      </c>
      <c r="AC36" s="8">
        <f t="shared" si="39"/>
        <v>-0.11932769432317893</v>
      </c>
      <c r="AD36" s="8">
        <f t="shared" si="40"/>
        <v>8.2894250355879676E-2</v>
      </c>
      <c r="AE36" s="7"/>
    </row>
    <row r="37" spans="1:31" x14ac:dyDescent="0.35">
      <c r="A37" s="7" t="s">
        <v>36</v>
      </c>
      <c r="B37" s="27">
        <f t="shared" si="22"/>
        <v>254.52466407434599</v>
      </c>
      <c r="C37" s="27">
        <f t="shared" si="23"/>
        <v>291.1318982703807</v>
      </c>
      <c r="D37" s="27">
        <f t="shared" si="24"/>
        <v>253.67099408339115</v>
      </c>
      <c r="E37" s="8">
        <f t="shared" si="25"/>
        <v>0.14382588158663409</v>
      </c>
      <c r="F37" s="8">
        <f t="shared" si="26"/>
        <v>-0.12867330721760614</v>
      </c>
      <c r="G37" s="7"/>
      <c r="I37" s="7" t="s">
        <v>69</v>
      </c>
      <c r="J37" s="27">
        <f t="shared" si="27"/>
        <v>270.30961770027892</v>
      </c>
      <c r="K37" s="27">
        <f t="shared" si="28"/>
        <v>264.99593811473233</v>
      </c>
      <c r="L37" s="27">
        <f t="shared" si="29"/>
        <v>276.81173438143463</v>
      </c>
      <c r="M37" s="8">
        <f t="shared" si="30"/>
        <v>-1.9657752582960025E-2</v>
      </c>
      <c r="N37" s="8">
        <f t="shared" si="31"/>
        <v>4.4588593888509165E-2</v>
      </c>
      <c r="O37" s="7"/>
      <c r="Q37" s="7" t="s">
        <v>36</v>
      </c>
      <c r="R37" s="27">
        <f t="shared" si="32"/>
        <v>253.8571668563815</v>
      </c>
      <c r="S37" s="27">
        <f t="shared" si="33"/>
        <v>293.76363937841194</v>
      </c>
      <c r="T37" s="27">
        <f t="shared" si="34"/>
        <v>255.66133681909261</v>
      </c>
      <c r="U37" s="8">
        <f t="shared" si="35"/>
        <v>0.15720049591748317</v>
      </c>
      <c r="V37" s="8">
        <f t="shared" si="35"/>
        <v>-0.12970394375540059</v>
      </c>
      <c r="W37" s="7"/>
      <c r="Y37" s="7" t="s">
        <v>36</v>
      </c>
      <c r="Z37" s="27">
        <f t="shared" si="36"/>
        <v>258.89063203541485</v>
      </c>
      <c r="AA37" s="27">
        <f t="shared" si="37"/>
        <v>274.66293770686997</v>
      </c>
      <c r="AB37" s="27">
        <f t="shared" si="38"/>
        <v>241.13225175015293</v>
      </c>
      <c r="AC37" s="8">
        <f t="shared" si="39"/>
        <v>6.0922658913736008E-2</v>
      </c>
      <c r="AD37" s="8">
        <f t="shared" si="40"/>
        <v>-0.1220793975214165</v>
      </c>
      <c r="AE37" s="7"/>
    </row>
    <row r="38" spans="1:31" x14ac:dyDescent="0.35">
      <c r="A38" s="7" t="s">
        <v>37</v>
      </c>
      <c r="B38" s="27">
        <f t="shared" si="22"/>
        <v>845.00808466484898</v>
      </c>
      <c r="C38" s="27">
        <f t="shared" si="23"/>
        <v>888.0838963231464</v>
      </c>
      <c r="D38" s="27">
        <f t="shared" si="24"/>
        <v>848.15574669465559</v>
      </c>
      <c r="E38" s="8">
        <f t="shared" si="25"/>
        <v>5.0976804175053965E-2</v>
      </c>
      <c r="F38" s="8">
        <f t="shared" si="26"/>
        <v>-4.4959884751656604E-2</v>
      </c>
      <c r="G38" s="7"/>
      <c r="I38" s="7" t="s">
        <v>67</v>
      </c>
      <c r="J38" s="27">
        <f t="shared" si="27"/>
        <v>742.71579999433857</v>
      </c>
      <c r="K38" s="27">
        <f t="shared" si="28"/>
        <v>798.25488223722687</v>
      </c>
      <c r="L38" s="27">
        <f t="shared" si="29"/>
        <v>741.24899233341228</v>
      </c>
      <c r="M38" s="8">
        <f t="shared" si="30"/>
        <v>7.477837719799639E-2</v>
      </c>
      <c r="N38" s="8">
        <f t="shared" si="31"/>
        <v>-7.1413142809784252E-2</v>
      </c>
      <c r="O38" s="7"/>
      <c r="Q38" s="7" t="s">
        <v>37</v>
      </c>
      <c r="R38" s="27">
        <f t="shared" si="32"/>
        <v>737.53401071724966</v>
      </c>
      <c r="S38" s="27">
        <f t="shared" si="33"/>
        <v>765.84524175842068</v>
      </c>
      <c r="T38" s="27">
        <f t="shared" si="34"/>
        <v>733.90916168175625</v>
      </c>
      <c r="U38" s="8">
        <f t="shared" si="35"/>
        <v>3.8386339653188925E-2</v>
      </c>
      <c r="V38" s="8">
        <f t="shared" si="35"/>
        <v>-4.1700435460482237E-2</v>
      </c>
      <c r="W38" s="7"/>
      <c r="Y38" s="7" t="s">
        <v>37</v>
      </c>
      <c r="Z38" s="27">
        <f t="shared" si="36"/>
        <v>1547.9748549709109</v>
      </c>
      <c r="AA38" s="27">
        <f t="shared" si="37"/>
        <v>1653.0313203762244</v>
      </c>
      <c r="AB38" s="27">
        <f t="shared" si="38"/>
        <v>1567.8853019284122</v>
      </c>
      <c r="AC38" s="8">
        <f t="shared" si="39"/>
        <v>6.7867036126557534E-2</v>
      </c>
      <c r="AD38" s="8">
        <f t="shared" si="40"/>
        <v>-5.1509017039334255E-2</v>
      </c>
      <c r="AE38" s="7"/>
    </row>
    <row r="39" spans="1:31" x14ac:dyDescent="0.35">
      <c r="A39" s="14" t="s">
        <v>56</v>
      </c>
      <c r="B39" s="27">
        <f t="shared" si="22"/>
        <v>2292.9450951552626</v>
      </c>
      <c r="C39" s="27">
        <f t="shared" si="23"/>
        <v>2433.3745750488761</v>
      </c>
      <c r="D39" s="27">
        <f t="shared" si="24"/>
        <v>2577.7847607878653</v>
      </c>
      <c r="E39" s="8">
        <f t="shared" si="25"/>
        <v>6.1244152854041424E-2</v>
      </c>
      <c r="F39" s="8">
        <f t="shared" si="26"/>
        <v>5.9345645844963511E-2</v>
      </c>
      <c r="G39" s="7"/>
      <c r="I39" s="14" t="s">
        <v>72</v>
      </c>
      <c r="J39" s="27">
        <f t="shared" si="27"/>
        <v>537.22484850200442</v>
      </c>
      <c r="K39" s="27">
        <f t="shared" si="28"/>
        <v>567.93424637141788</v>
      </c>
      <c r="L39" s="27">
        <f t="shared" si="29"/>
        <v>622.10503843962647</v>
      </c>
      <c r="M39" s="8">
        <f t="shared" si="30"/>
        <v>5.7163025789003293E-2</v>
      </c>
      <c r="N39" s="8">
        <f t="shared" si="31"/>
        <v>9.5382154561572161E-2</v>
      </c>
      <c r="O39" s="7"/>
      <c r="Q39" s="14" t="s">
        <v>56</v>
      </c>
      <c r="R39" s="27">
        <f t="shared" si="32"/>
        <v>1802.0116473504872</v>
      </c>
      <c r="S39" s="27">
        <f t="shared" si="33"/>
        <v>1901.6908781478617</v>
      </c>
      <c r="T39" s="27">
        <f t="shared" si="34"/>
        <v>2025.3326211458279</v>
      </c>
      <c r="U39" s="8">
        <f t="shared" si="35"/>
        <v>5.5315530809100837E-2</v>
      </c>
      <c r="V39" s="8">
        <f t="shared" si="35"/>
        <v>6.5016740848221496E-2</v>
      </c>
      <c r="W39" s="7"/>
      <c r="Y39" s="14" t="s">
        <v>56</v>
      </c>
      <c r="Z39" s="27">
        <f t="shared" si="36"/>
        <v>5504.0441775889112</v>
      </c>
      <c r="AA39" s="27">
        <f t="shared" si="37"/>
        <v>5760.5551285626925</v>
      </c>
      <c r="AB39" s="27">
        <f t="shared" si="38"/>
        <v>6058.1175226608511</v>
      </c>
      <c r="AC39" s="8">
        <f t="shared" si="39"/>
        <v>4.6604086503925536E-2</v>
      </c>
      <c r="AD39" s="8">
        <f t="shared" si="40"/>
        <v>5.1655159521475313E-2</v>
      </c>
      <c r="AE39" s="7"/>
    </row>
    <row r="40" spans="1:31" x14ac:dyDescent="0.35">
      <c r="A40" s="14" t="s">
        <v>57</v>
      </c>
      <c r="B40" s="27">
        <f t="shared" si="22"/>
        <v>1875.5830414728268</v>
      </c>
      <c r="C40" s="27">
        <f t="shared" si="23"/>
        <v>1988.9767148757246</v>
      </c>
      <c r="D40" s="27">
        <f t="shared" si="24"/>
        <v>2092.010977552437</v>
      </c>
      <c r="E40" s="8">
        <f t="shared" si="25"/>
        <v>6.0457826124218884E-2</v>
      </c>
      <c r="F40" s="8">
        <f t="shared" si="26"/>
        <v>5.1802649023545852E-2</v>
      </c>
      <c r="G40" s="51"/>
      <c r="I40" s="14" t="s">
        <v>75</v>
      </c>
      <c r="J40" s="27">
        <f t="shared" si="27"/>
        <v>224.22662967858255</v>
      </c>
      <c r="K40" s="27">
        <f t="shared" si="28"/>
        <v>242.39674623850286</v>
      </c>
      <c r="L40" s="27">
        <f t="shared" si="29"/>
        <v>255.57922318454649</v>
      </c>
      <c r="M40" s="8">
        <f t="shared" si="30"/>
        <v>8.103460586267669E-2</v>
      </c>
      <c r="N40" s="8">
        <f t="shared" si="31"/>
        <v>5.4383885718799721E-2</v>
      </c>
      <c r="O40" s="51"/>
      <c r="Q40" s="14" t="s">
        <v>57</v>
      </c>
      <c r="R40" s="27">
        <f t="shared" si="32"/>
        <v>1363.1030625878238</v>
      </c>
      <c r="S40" s="27">
        <f t="shared" si="33"/>
        <v>1435.2162021456375</v>
      </c>
      <c r="T40" s="27">
        <f t="shared" si="34"/>
        <v>1524.3876928373236</v>
      </c>
      <c r="U40" s="8">
        <f t="shared" si="35"/>
        <v>5.2903658965381725E-2</v>
      </c>
      <c r="V40" s="8">
        <f t="shared" si="35"/>
        <v>6.213105074927068E-2</v>
      </c>
      <c r="W40" s="51"/>
      <c r="Y40" s="14" t="s">
        <v>57</v>
      </c>
      <c r="Z40" s="27">
        <f t="shared" si="36"/>
        <v>5227.6137440491302</v>
      </c>
      <c r="AA40" s="27">
        <f t="shared" si="37"/>
        <v>5454.3099947908404</v>
      </c>
      <c r="AB40" s="27">
        <f t="shared" si="38"/>
        <v>5667.9187756035171</v>
      </c>
      <c r="AC40" s="8">
        <f t="shared" si="39"/>
        <v>4.3365149347495406E-2</v>
      </c>
      <c r="AD40" s="8">
        <f t="shared" si="40"/>
        <v>3.9163300402192874E-2</v>
      </c>
      <c r="AE40" s="51"/>
    </row>
    <row r="41" spans="1:31" x14ac:dyDescent="0.35">
      <c r="A41" s="14" t="s">
        <v>38</v>
      </c>
      <c r="B41" s="27">
        <f t="shared" si="22"/>
        <v>686.84122631955643</v>
      </c>
      <c r="C41" s="27">
        <f t="shared" si="23"/>
        <v>722.22115337523962</v>
      </c>
      <c r="D41" s="27">
        <f t="shared" si="24"/>
        <v>706.95492142506475</v>
      </c>
      <c r="E41" s="8">
        <f t="shared" si="25"/>
        <v>5.1511070826756843E-2</v>
      </c>
      <c r="F41" s="8">
        <f t="shared" si="26"/>
        <v>-2.1137890906171086E-2</v>
      </c>
      <c r="G41" s="7"/>
      <c r="I41" s="7" t="s">
        <v>78</v>
      </c>
      <c r="J41" s="27">
        <f t="shared" si="27"/>
        <v>304.57667660322221</v>
      </c>
      <c r="K41" s="27">
        <f t="shared" si="28"/>
        <v>311.74679993620077</v>
      </c>
      <c r="L41" s="27">
        <f t="shared" si="29"/>
        <v>312.06534843179554</v>
      </c>
      <c r="M41" s="8">
        <f t="shared" si="30"/>
        <v>2.3541275100060328E-2</v>
      </c>
      <c r="N41" s="8">
        <f t="shared" si="31"/>
        <v>1.0218180127589435E-3</v>
      </c>
      <c r="O41" s="7"/>
      <c r="Q41" s="14" t="s">
        <v>38</v>
      </c>
      <c r="R41" s="27">
        <f t="shared" si="32"/>
        <v>600.23552242472056</v>
      </c>
      <c r="S41" s="27">
        <f t="shared" si="33"/>
        <v>623.04881763477317</v>
      </c>
      <c r="T41" s="27">
        <f t="shared" si="34"/>
        <v>606.81549110072126</v>
      </c>
      <c r="U41" s="8">
        <f t="shared" si="35"/>
        <v>3.8007239421445238E-2</v>
      </c>
      <c r="V41" s="8">
        <f t="shared" si="35"/>
        <v>-2.6054662290632535E-2</v>
      </c>
      <c r="W41" s="7"/>
      <c r="Y41" s="14" t="s">
        <v>38</v>
      </c>
      <c r="Z41" s="27">
        <f t="shared" si="36"/>
        <v>1253.3120943236788</v>
      </c>
      <c r="AA41" s="27">
        <f t="shared" si="37"/>
        <v>1342.8237199866696</v>
      </c>
      <c r="AB41" s="27">
        <f t="shared" si="38"/>
        <v>1337.8123570373757</v>
      </c>
      <c r="AC41" s="8">
        <f t="shared" si="39"/>
        <v>7.1420060548680581E-2</v>
      </c>
      <c r="AD41" s="8">
        <f t="shared" si="40"/>
        <v>-3.7319589121822139E-3</v>
      </c>
      <c r="AE41" s="7"/>
    </row>
    <row r="42" spans="1:31" x14ac:dyDescent="0.35">
      <c r="A42" s="14" t="s">
        <v>46</v>
      </c>
      <c r="B42" s="27">
        <f t="shared" si="22"/>
        <v>93.026768567127945</v>
      </c>
      <c r="C42" s="27">
        <f t="shared" si="23"/>
        <v>94.88309362394439</v>
      </c>
      <c r="D42" s="27">
        <f t="shared" si="24"/>
        <v>83.118988886255522</v>
      </c>
      <c r="E42" s="8">
        <f t="shared" si="25"/>
        <v>1.9954740827925505E-2</v>
      </c>
      <c r="F42" s="8">
        <f t="shared" si="26"/>
        <v>-0.12398525689217321</v>
      </c>
      <c r="G42" s="7"/>
      <c r="I42" s="14" t="s">
        <v>76</v>
      </c>
      <c r="J42" s="27">
        <f t="shared" si="27"/>
        <v>1857.1628753154621</v>
      </c>
      <c r="K42" s="27">
        <f t="shared" si="28"/>
        <v>2003.6260428518262</v>
      </c>
      <c r="L42" s="27">
        <f t="shared" si="29"/>
        <v>2092.1253240642945</v>
      </c>
      <c r="M42" s="8">
        <f t="shared" si="30"/>
        <v>7.8863932443989634E-2</v>
      </c>
      <c r="N42" s="8">
        <f t="shared" si="31"/>
        <v>4.4169560247132943E-2</v>
      </c>
      <c r="O42" s="7"/>
      <c r="Q42" s="14" t="s">
        <v>46</v>
      </c>
      <c r="R42" s="27">
        <f t="shared" si="32"/>
        <v>97.714781595763284</v>
      </c>
      <c r="S42" s="27">
        <f t="shared" si="33"/>
        <v>99.985813664731154</v>
      </c>
      <c r="T42" s="27">
        <f t="shared" si="34"/>
        <v>85.446354576456713</v>
      </c>
      <c r="U42" s="8">
        <f t="shared" si="35"/>
        <v>2.3241438315473213E-2</v>
      </c>
      <c r="V42" s="8">
        <f t="shared" si="35"/>
        <v>-0.14541521997338178</v>
      </c>
      <c r="W42" s="7"/>
      <c r="Y42" s="14" t="s">
        <v>46</v>
      </c>
      <c r="Z42" s="27">
        <f t="shared" si="36"/>
        <v>62.363397794570233</v>
      </c>
      <c r="AA42" s="27">
        <f t="shared" si="37"/>
        <v>62.951193156265063</v>
      </c>
      <c r="AB42" s="27">
        <f t="shared" si="38"/>
        <v>68.457072533257545</v>
      </c>
      <c r="AC42" s="8">
        <f t="shared" si="39"/>
        <v>9.425326112458993E-3</v>
      </c>
      <c r="AD42" s="8">
        <f t="shared" si="40"/>
        <v>8.7462669108195015E-2</v>
      </c>
      <c r="AE42" s="7"/>
    </row>
    <row r="43" spans="1:31" x14ac:dyDescent="0.35">
      <c r="A43" s="14" t="s">
        <v>47</v>
      </c>
      <c r="B43" s="27">
        <f t="shared" si="22"/>
        <v>125.09350611679463</v>
      </c>
      <c r="C43" s="27">
        <f t="shared" si="23"/>
        <v>151.25402684535337</v>
      </c>
      <c r="D43" s="27">
        <f t="shared" si="24"/>
        <v>288.8181992517479</v>
      </c>
      <c r="E43" s="8">
        <f t="shared" si="25"/>
        <v>0.20912772805435434</v>
      </c>
      <c r="F43" s="8">
        <f t="shared" si="26"/>
        <v>0.90949097538437274</v>
      </c>
      <c r="G43" s="7"/>
      <c r="I43" s="67" t="s">
        <v>59</v>
      </c>
      <c r="J43" s="68">
        <f t="shared" si="27"/>
        <v>11500.642144641119</v>
      </c>
      <c r="K43" s="68">
        <f t="shared" si="28"/>
        <v>11968.40968897868</v>
      </c>
      <c r="L43" s="68">
        <f t="shared" si="29"/>
        <v>11499.513834211375</v>
      </c>
      <c r="M43" s="45">
        <f t="shared" si="30"/>
        <v>4.0673167502696686E-2</v>
      </c>
      <c r="N43" s="45">
        <f t="shared" si="31"/>
        <v>-3.9177791114478278E-2</v>
      </c>
      <c r="O43" s="42"/>
      <c r="Q43" s="14" t="s">
        <v>47</v>
      </c>
      <c r="R43" s="27">
        <f t="shared" si="32"/>
        <v>129.71104832651298</v>
      </c>
      <c r="S43" s="27">
        <f t="shared" si="33"/>
        <v>167.42257738634893</v>
      </c>
      <c r="T43" s="27">
        <f t="shared" si="34"/>
        <v>318.22809738744598</v>
      </c>
      <c r="U43" s="8">
        <f t="shared" si="35"/>
        <v>0.29073490305087379</v>
      </c>
      <c r="V43" s="8">
        <f t="shared" si="35"/>
        <v>0.90074781045267327</v>
      </c>
      <c r="W43" s="7"/>
      <c r="Y43" s="14" t="s">
        <v>47</v>
      </c>
      <c r="Z43" s="27">
        <f t="shared" si="36"/>
        <v>94.891071104418856</v>
      </c>
      <c r="AA43" s="27">
        <f t="shared" si="37"/>
        <v>50.074157588385837</v>
      </c>
      <c r="AB43" s="27">
        <f t="shared" si="38"/>
        <v>103.54200126048084</v>
      </c>
      <c r="AC43" s="8">
        <f t="shared" si="39"/>
        <v>-0.47229853129928467</v>
      </c>
      <c r="AD43" s="8">
        <f t="shared" si="40"/>
        <v>1.0677732037272716</v>
      </c>
      <c r="AE43" s="7"/>
    </row>
    <row r="44" spans="1:31" x14ac:dyDescent="0.35">
      <c r="A44" s="14" t="s">
        <v>48</v>
      </c>
      <c r="B44" s="27">
        <f t="shared" si="22"/>
        <v>15.173192096127384</v>
      </c>
      <c r="C44" s="27">
        <f t="shared" si="23"/>
        <v>15.791830264292035</v>
      </c>
      <c r="D44" s="27">
        <f t="shared" si="24"/>
        <v>16.401829239389887</v>
      </c>
      <c r="E44" s="8">
        <f t="shared" si="25"/>
        <v>4.0771787785020157E-2</v>
      </c>
      <c r="F44" s="8">
        <f t="shared" si="26"/>
        <v>3.862750326522707E-2</v>
      </c>
      <c r="G44" s="7"/>
      <c r="I44" s="67" t="s">
        <v>54</v>
      </c>
      <c r="J44" s="68">
        <f t="shared" si="27"/>
        <v>0</v>
      </c>
      <c r="K44" s="68">
        <f t="shared" si="28"/>
        <v>0</v>
      </c>
      <c r="L44" s="68">
        <f t="shared" si="29"/>
        <v>0</v>
      </c>
      <c r="M44" s="45" t="str">
        <f t="shared" si="30"/>
        <v/>
      </c>
      <c r="N44" s="45" t="str">
        <f t="shared" si="31"/>
        <v/>
      </c>
      <c r="O44" s="42"/>
      <c r="Q44" s="14" t="s">
        <v>48</v>
      </c>
      <c r="R44" s="27">
        <f t="shared" si="32"/>
        <v>16.754822565664288</v>
      </c>
      <c r="S44" s="27">
        <f t="shared" si="33"/>
        <v>17.508769317988811</v>
      </c>
      <c r="T44" s="27">
        <f t="shared" si="34"/>
        <v>17.146037768604039</v>
      </c>
      <c r="U44" s="8">
        <f t="shared" si="35"/>
        <v>4.4998790609074496E-2</v>
      </c>
      <c r="V44" s="8">
        <f t="shared" si="35"/>
        <v>-2.0717135670529158E-2</v>
      </c>
      <c r="W44" s="7"/>
      <c r="Y44" s="14" t="s">
        <v>48</v>
      </c>
      <c r="Z44" s="27">
        <f t="shared" si="36"/>
        <v>4.8280584080705795</v>
      </c>
      <c r="AA44" s="27">
        <f t="shared" si="37"/>
        <v>5.0475357442141124</v>
      </c>
      <c r="AB44" s="27">
        <f t="shared" si="38"/>
        <v>11.713471388938663</v>
      </c>
      <c r="AC44" s="8">
        <f t="shared" si="39"/>
        <v>4.5458716028922673E-2</v>
      </c>
      <c r="AD44" s="8">
        <f t="shared" si="40"/>
        <v>1.320631686930712</v>
      </c>
      <c r="AE44" s="7"/>
    </row>
    <row r="45" spans="1:31" x14ac:dyDescent="0.35">
      <c r="A45" s="14" t="s">
        <v>49</v>
      </c>
      <c r="B45" s="27">
        <f t="shared" si="22"/>
        <v>0</v>
      </c>
      <c r="C45" s="27">
        <f t="shared" si="23"/>
        <v>0</v>
      </c>
      <c r="D45" s="27">
        <f t="shared" si="24"/>
        <v>0</v>
      </c>
      <c r="E45" s="8" t="str">
        <f t="shared" si="25"/>
        <v/>
      </c>
      <c r="F45" s="8" t="str">
        <f t="shared" si="26"/>
        <v/>
      </c>
      <c r="G45" s="7"/>
      <c r="Q45" s="14" t="s">
        <v>49</v>
      </c>
      <c r="R45" s="27">
        <f t="shared" si="32"/>
        <v>0</v>
      </c>
      <c r="S45" s="27">
        <f t="shared" si="33"/>
        <v>0</v>
      </c>
      <c r="T45" s="27">
        <f t="shared" si="34"/>
        <v>0</v>
      </c>
      <c r="U45" s="8" t="str">
        <f t="shared" si="35"/>
        <v/>
      </c>
      <c r="V45" s="8" t="str">
        <f t="shared" si="35"/>
        <v/>
      </c>
      <c r="W45" s="7"/>
      <c r="Y45" s="14" t="s">
        <v>49</v>
      </c>
      <c r="Z45" s="27">
        <f t="shared" si="36"/>
        <v>0</v>
      </c>
      <c r="AA45" s="27">
        <f t="shared" si="37"/>
        <v>0</v>
      </c>
      <c r="AB45" s="27">
        <f t="shared" si="38"/>
        <v>0</v>
      </c>
      <c r="AC45" s="8" t="str">
        <f t="shared" si="39"/>
        <v/>
      </c>
      <c r="AD45" s="8" t="str">
        <f t="shared" si="40"/>
        <v/>
      </c>
      <c r="AE45" s="7"/>
    </row>
    <row r="46" spans="1:31" x14ac:dyDescent="0.35">
      <c r="A46" s="14" t="s">
        <v>50</v>
      </c>
      <c r="B46" s="27">
        <f t="shared" si="22"/>
        <v>-0.34489424733543134</v>
      </c>
      <c r="C46" s="27">
        <f t="shared" si="23"/>
        <v>-1.2986662826882265</v>
      </c>
      <c r="D46" s="27">
        <f t="shared" si="24"/>
        <v>-7.039691769226863</v>
      </c>
      <c r="E46" s="8">
        <f t="shared" si="25"/>
        <v>2.7654043021053694</v>
      </c>
      <c r="F46" s="8">
        <f t="shared" si="26"/>
        <v>4.4207088172450044</v>
      </c>
      <c r="G46" s="7"/>
      <c r="Q46" s="14" t="s">
        <v>50</v>
      </c>
      <c r="R46" s="27">
        <f t="shared" si="32"/>
        <v>-0.23114115475999963</v>
      </c>
      <c r="S46" s="27">
        <f t="shared" si="33"/>
        <v>-0.30879385640065549</v>
      </c>
      <c r="T46" s="27">
        <f t="shared" si="34"/>
        <v>-7.3041163541350977</v>
      </c>
      <c r="U46" s="8">
        <f t="shared" si="35"/>
        <v>0.335953593903625</v>
      </c>
      <c r="V46" s="8">
        <f t="shared" si="35"/>
        <v>22.653697127504099</v>
      </c>
      <c r="W46" s="7"/>
      <c r="Y46" s="14" t="s">
        <v>50</v>
      </c>
      <c r="Z46" s="27">
        <f t="shared" si="36"/>
        <v>-1.0889308429804949</v>
      </c>
      <c r="AA46" s="27">
        <f t="shared" si="37"/>
        <v>-7.4931091561485861</v>
      </c>
      <c r="AB46" s="27">
        <f t="shared" si="38"/>
        <v>-5.373872271275248</v>
      </c>
      <c r="AC46" s="8">
        <f t="shared" si="39"/>
        <v>5.8811616499348291</v>
      </c>
      <c r="AD46" s="8">
        <f t="shared" si="40"/>
        <v>-0.28282477149480273</v>
      </c>
      <c r="AE46" s="7"/>
    </row>
    <row r="47" spans="1:31" x14ac:dyDescent="0.35">
      <c r="A47" s="14" t="s">
        <v>51</v>
      </c>
      <c r="B47" s="27">
        <f t="shared" si="22"/>
        <v>2152.9609388431218</v>
      </c>
      <c r="C47" s="27">
        <f t="shared" si="23"/>
        <v>2159.1856928206657</v>
      </c>
      <c r="D47" s="27">
        <f t="shared" si="24"/>
        <v>2149.3432587479474</v>
      </c>
      <c r="E47" s="8">
        <f t="shared" si="25"/>
        <v>2.8912526303839013E-3</v>
      </c>
      <c r="F47" s="8">
        <f t="shared" si="26"/>
        <v>-4.5584009311679941E-3</v>
      </c>
      <c r="G47" s="7"/>
      <c r="Q47" s="14" t="s">
        <v>51</v>
      </c>
      <c r="R47" s="27">
        <f t="shared" si="32"/>
        <v>2414.829679242785</v>
      </c>
      <c r="S47" s="27">
        <f t="shared" si="33"/>
        <v>2431.5893860976403</v>
      </c>
      <c r="T47" s="27">
        <f t="shared" si="34"/>
        <v>2403.0233554209244</v>
      </c>
      <c r="U47" s="8">
        <f t="shared" si="35"/>
        <v>6.9403266818016691E-3</v>
      </c>
      <c r="V47" s="8">
        <f t="shared" si="35"/>
        <v>-1.1747884260409742E-2</v>
      </c>
      <c r="W47" s="7"/>
      <c r="Y47" s="14" t="s">
        <v>51</v>
      </c>
      <c r="Z47" s="27">
        <f t="shared" si="36"/>
        <v>440.12903509839589</v>
      </c>
      <c r="AA47" s="27">
        <f t="shared" si="37"/>
        <v>454.5325762041731</v>
      </c>
      <c r="AB47" s="27">
        <f t="shared" si="38"/>
        <v>551.21178611370283</v>
      </c>
      <c r="AC47" s="8">
        <f t="shared" si="39"/>
        <v>3.2725723497331029E-2</v>
      </c>
      <c r="AD47" s="8">
        <f t="shared" si="40"/>
        <v>0.21270028810014721</v>
      </c>
      <c r="AE47" s="7"/>
    </row>
    <row r="48" spans="1:31" x14ac:dyDescent="0.35">
      <c r="A48" s="42" t="s">
        <v>58</v>
      </c>
      <c r="B48" s="56">
        <f>B25/($B$8/12)</f>
        <v>10354.407407344212</v>
      </c>
      <c r="C48" s="56">
        <f>C25/($C$8/12)</f>
        <v>10801.006486046716</v>
      </c>
      <c r="D48" s="56">
        <f>D25/($D$8/12)</f>
        <v>10274.654897284623</v>
      </c>
      <c r="E48" s="45">
        <f t="shared" si="25"/>
        <v>4.3131302558728615E-2</v>
      </c>
      <c r="F48" s="45">
        <f t="shared" si="26"/>
        <v>-4.8731716756402282E-2</v>
      </c>
      <c r="G48" s="43"/>
      <c r="Q48" s="42" t="s">
        <v>58</v>
      </c>
      <c r="R48" s="56">
        <f t="shared" si="32"/>
        <v>9125.0371206655564</v>
      </c>
      <c r="S48" s="56">
        <f t="shared" si="33"/>
        <v>9516.9677870835185</v>
      </c>
      <c r="T48" s="56">
        <f t="shared" si="34"/>
        <v>8990.2565305906282</v>
      </c>
      <c r="U48" s="45">
        <f t="shared" si="35"/>
        <v>4.2951131182836846E-2</v>
      </c>
      <c r="V48" s="45">
        <f t="shared" si="35"/>
        <v>-5.5344440401253192E-2</v>
      </c>
      <c r="W48" s="43"/>
      <c r="Y48" s="42" t="s">
        <v>58</v>
      </c>
      <c r="Z48" s="56">
        <f>Z25/($Z$8/12)</f>
        <v>18395.476552616296</v>
      </c>
      <c r="AA48" s="56">
        <f>AA25/($AA$8/12)</f>
        <v>18836.288767694154</v>
      </c>
      <c r="AB48" s="56">
        <f>AB25/($AB$8/12)</f>
        <v>18366.095574476498</v>
      </c>
      <c r="AC48" s="45">
        <f t="shared" si="39"/>
        <v>2.3963076673605591E-2</v>
      </c>
      <c r="AD48" s="45">
        <f t="shared" si="40"/>
        <v>-2.4962093064960722E-2</v>
      </c>
      <c r="AE48" s="43"/>
    </row>
    <row r="49" spans="1:31" x14ac:dyDescent="0.35">
      <c r="A49" s="42" t="s">
        <v>59</v>
      </c>
      <c r="B49" s="56">
        <f t="shared" ref="B49:B50" si="41">B26/($B$8/12)</f>
        <v>9937.0453536617752</v>
      </c>
      <c r="C49" s="56">
        <f t="shared" ref="C49:C50" si="42">C26/($C$8/12)</f>
        <v>10356.608625873563</v>
      </c>
      <c r="D49" s="56">
        <f t="shared" ref="D49:D50" si="43">D26/($D$8/12)</f>
        <v>9788.8811140491944</v>
      </c>
      <c r="E49" s="45">
        <f t="shared" si="25"/>
        <v>4.2222135179968763E-2</v>
      </c>
      <c r="F49" s="45">
        <f t="shared" si="26"/>
        <v>-5.4817897666426675E-2</v>
      </c>
      <c r="G49" s="43"/>
      <c r="Q49" s="42" t="s">
        <v>59</v>
      </c>
      <c r="R49" s="56">
        <f t="shared" si="32"/>
        <v>8686.1285359028934</v>
      </c>
      <c r="S49" s="56">
        <f t="shared" si="33"/>
        <v>9050.4931110812959</v>
      </c>
      <c r="T49" s="56">
        <f t="shared" si="34"/>
        <v>8489.3116022821232</v>
      </c>
      <c r="U49" s="45">
        <f t="shared" si="35"/>
        <v>4.1947868221423691E-2</v>
      </c>
      <c r="V49" s="45">
        <f t="shared" si="35"/>
        <v>-6.2005627970930108E-2</v>
      </c>
      <c r="W49" s="43"/>
      <c r="Y49" s="42" t="s">
        <v>59</v>
      </c>
      <c r="Z49" s="56">
        <f t="shared" ref="Z49:Z50" si="44">Z26/($Z$8/12)</f>
        <v>18119.046119076516</v>
      </c>
      <c r="AA49" s="56">
        <f t="shared" ref="AA49:AA50" si="45">AA26/($AA$8/12)</f>
        <v>18530.043633922302</v>
      </c>
      <c r="AB49" s="56">
        <f t="shared" ref="AB49:AB50" si="46">AB26/($AB$8/12)</f>
        <v>17975.896827419165</v>
      </c>
      <c r="AC49" s="45">
        <f t="shared" si="39"/>
        <v>2.2683176153134751E-2</v>
      </c>
      <c r="AD49" s="45">
        <f t="shared" si="40"/>
        <v>-2.9905315791522457E-2</v>
      </c>
      <c r="AE49" s="43"/>
    </row>
    <row r="50" spans="1:31" x14ac:dyDescent="0.35">
      <c r="A50" s="42" t="s">
        <v>54</v>
      </c>
      <c r="B50" s="56">
        <f t="shared" si="41"/>
        <v>2385.9095113758362</v>
      </c>
      <c r="C50" s="56">
        <f t="shared" si="42"/>
        <v>2419.8159772715671</v>
      </c>
      <c r="D50" s="56">
        <f t="shared" si="43"/>
        <v>2530.6425843561137</v>
      </c>
      <c r="E50" s="45">
        <f t="shared" si="25"/>
        <v>1.4211128181545621E-2</v>
      </c>
      <c r="F50" s="45">
        <f t="shared" si="26"/>
        <v>4.5799601343862406E-2</v>
      </c>
      <c r="G50" s="43"/>
      <c r="Q50" s="42" t="s">
        <v>54</v>
      </c>
      <c r="R50" s="56">
        <f t="shared" si="32"/>
        <v>2658.7791905759659</v>
      </c>
      <c r="S50" s="56">
        <f t="shared" si="33"/>
        <v>2716.1977526103083</v>
      </c>
      <c r="T50" s="56">
        <f t="shared" si="34"/>
        <v>2816.539728799296</v>
      </c>
      <c r="U50" s="45">
        <f t="shared" si="35"/>
        <v>2.1595837005894382E-2</v>
      </c>
      <c r="V50" s="45">
        <f t="shared" si="35"/>
        <v>3.6942073194986449E-2</v>
      </c>
      <c r="W50" s="43"/>
      <c r="Y50" s="42" t="s">
        <v>54</v>
      </c>
      <c r="Z50" s="56">
        <f t="shared" si="44"/>
        <v>601.12263156247502</v>
      </c>
      <c r="AA50" s="56">
        <f t="shared" si="45"/>
        <v>565.11235353688949</v>
      </c>
      <c r="AB50" s="56">
        <f t="shared" si="46"/>
        <v>729.5504590251046</v>
      </c>
      <c r="AC50" s="45">
        <f t="shared" si="39"/>
        <v>-5.9905044553031382E-2</v>
      </c>
      <c r="AD50" s="45">
        <f t="shared" si="40"/>
        <v>0.29098303100089795</v>
      </c>
      <c r="AE50" s="43"/>
    </row>
    <row r="53" spans="1:31" x14ac:dyDescent="0.35">
      <c r="A53" s="54"/>
      <c r="Q53" s="54"/>
      <c r="Y53" s="54"/>
    </row>
    <row r="54" spans="1:31" x14ac:dyDescent="0.35">
      <c r="B54" s="12"/>
      <c r="C54" s="12"/>
      <c r="D54" s="12"/>
    </row>
    <row r="55" spans="1:31" x14ac:dyDescent="0.35">
      <c r="B55" s="104"/>
      <c r="C55" s="104"/>
      <c r="D55" s="104"/>
    </row>
  </sheetData>
  <mergeCells count="32">
    <mergeCell ref="Q6:Q7"/>
    <mergeCell ref="R6:T6"/>
    <mergeCell ref="U6:V6"/>
    <mergeCell ref="W6:W7"/>
    <mergeCell ref="Q30:Q31"/>
    <mergeCell ref="R30:T30"/>
    <mergeCell ref="U30:V30"/>
    <mergeCell ref="W30:W31"/>
    <mergeCell ref="AE6:AE7"/>
    <mergeCell ref="AE30:AE31"/>
    <mergeCell ref="I6:I7"/>
    <mergeCell ref="J6:L6"/>
    <mergeCell ref="M6:N6"/>
    <mergeCell ref="O6:O7"/>
    <mergeCell ref="I30:I31"/>
    <mergeCell ref="J30:L30"/>
    <mergeCell ref="M30:N30"/>
    <mergeCell ref="O30:O31"/>
    <mergeCell ref="Y6:Y7"/>
    <mergeCell ref="Z6:AB6"/>
    <mergeCell ref="AC6:AD6"/>
    <mergeCell ref="Y30:Y31"/>
    <mergeCell ref="Z30:AB30"/>
    <mergeCell ref="AC30:AD30"/>
    <mergeCell ref="A6:A7"/>
    <mergeCell ref="B6:D6"/>
    <mergeCell ref="E6:F6"/>
    <mergeCell ref="G6:G7"/>
    <mergeCell ref="A30:A31"/>
    <mergeCell ref="B30:D30"/>
    <mergeCell ref="E30:F30"/>
    <mergeCell ref="G30:G3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D712A58CC08C4881FD312BDEE7828F" ma:contentTypeVersion="18" ma:contentTypeDescription="Create a new document." ma:contentTypeScope="" ma:versionID="3e465648bc2416bf3331cb4bfc901fe2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5b6704dc-846a-4f54-9541-bd5523c0ad09" targetNamespace="http://schemas.microsoft.com/office/2006/metadata/properties" ma:root="true" ma:fieldsID="95cf926887d78b97aa7756545dadeee2" ns1:_="" ns2:_="" ns3:_="">
    <xsd:import namespace="http://schemas.microsoft.com/sharepoint/v3"/>
    <xsd:import namespace="59da1016-2a1b-4f8a-9768-d7a4932f6f16"/>
    <xsd:import namespace="5b6704dc-846a-4f54-9541-bd5523c0ad09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8" nillable="true" ma:displayName="URL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704dc-846a-4f54-9541-bd5523c0ad09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IATopic xmlns="59da1016-2a1b-4f8a-9768-d7a4932f6f16" xsi:nil="true"/>
    <Meta_x0020_Keywords xmlns="5b6704dc-846a-4f54-9541-bd5523c0ad09" xsi:nil="true"/>
    <IASubtopic xmlns="59da1016-2a1b-4f8a-9768-d7a4932f6f16" xsi:nil="true"/>
    <URL xmlns="http://schemas.microsoft.com/sharepoint/v3">
      <Url xsi:nil="true"/>
      <Description xsi:nil="true"/>
    </URL>
    <Meta_x0020_Description xmlns="5b6704dc-846a-4f54-9541-bd5523c0ad09" xsi:nil="true"/>
  </documentManagement>
</p:properties>
</file>

<file path=customXml/itemProps1.xml><?xml version="1.0" encoding="utf-8"?>
<ds:datastoreItem xmlns:ds="http://schemas.openxmlformats.org/officeDocument/2006/customXml" ds:itemID="{D9504102-053A-43CD-A18C-1ABB30A464D3}"/>
</file>

<file path=customXml/itemProps2.xml><?xml version="1.0" encoding="utf-8"?>
<ds:datastoreItem xmlns:ds="http://schemas.openxmlformats.org/officeDocument/2006/customXml" ds:itemID="{288EC9E5-E392-4644-9507-0E43EF5C699D}"/>
</file>

<file path=customXml/itemProps3.xml><?xml version="1.0" encoding="utf-8"?>
<ds:datastoreItem xmlns:ds="http://schemas.openxmlformats.org/officeDocument/2006/customXml" ds:itemID="{24317F14-1FF6-4FD3-A30C-E6E7AE6A56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Index</vt:lpstr>
      <vt:lpstr>THCE_Statewide</vt:lpstr>
      <vt:lpstr>THCE_Comm</vt:lpstr>
      <vt:lpstr>THCE_Mcare</vt:lpstr>
      <vt:lpstr>THCE_Maid</vt:lpstr>
      <vt:lpstr>THCE_NCPHI</vt:lpstr>
      <vt:lpstr>THCE_Other</vt:lpstr>
      <vt:lpstr>TME_StatewideServCat</vt:lpstr>
      <vt:lpstr>TME_Mcare_ServCat</vt:lpstr>
      <vt:lpstr>TME_Comm_ServCat</vt:lpstr>
      <vt:lpstr>TME_Maid_ServCat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2019-10-04T13:40:41Z</dcterms:created>
  <dcterms:modified xsi:type="dcterms:W3CDTF">2023-05-01T23:41:10Z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0x01010024D712A58CC08C4881FD312BDEE7828F</vt:lpwstr>
  </property>
</Properties>
</file>