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E9C086F5-D8D7-4592-A686-896EA9E4723D}" xr6:coauthVersionLast="47" xr6:coauthVersionMax="47" xr10:uidLastSave="{00000000-0000-0000-0000-000000000000}"/>
  <bookViews>
    <workbookView xWindow="-110" yWindow="-110" windowWidth="19420" windowHeight="10420" tabRatio="900" firstSheet="8" activeTab="13" xr2:uid="{00000000-000D-0000-FFFF-FFFF00000000}"/>
  </bookViews>
  <sheets>
    <sheet name="Index" sheetId="4" r:id="rId1"/>
    <sheet name="THCE_Statewide" sheetId="5" r:id="rId2"/>
    <sheet name="THCE_Comm" sheetId="71" r:id="rId3"/>
    <sheet name="THCE_Mcare" sheetId="69" r:id="rId4"/>
    <sheet name="THCE_Maid" sheetId="70" r:id="rId5"/>
    <sheet name="THCE_NCPHI" sheetId="9" r:id="rId6"/>
    <sheet name="THCE_Other" sheetId="10" r:id="rId7"/>
    <sheet name="TME_Statewide_ServCat" sheetId="91" r:id="rId8"/>
    <sheet name="TME_Comm_ServCat" sheetId="52" r:id="rId9"/>
    <sheet name="TME_Mcare_ServCat" sheetId="81" r:id="rId10"/>
    <sheet name="TME_Maid_ServCat" sheetId="80" r:id="rId11"/>
    <sheet name="Comm_MM_Full_Partial" sheetId="102" r:id="rId12"/>
    <sheet name="TME_Payer" sheetId="100" r:id="rId13"/>
    <sheet name="TME_Provider" sheetId="101" r:id="rId14"/>
    <sheet name="Entity_Name" sheetId="10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70" l="1"/>
  <c r="C31" i="70" s="1"/>
  <c r="C8" i="91"/>
  <c r="B8" i="91"/>
  <c r="B52" i="80"/>
  <c r="B53" i="80"/>
  <c r="B54" i="80"/>
  <c r="B55" i="80"/>
  <c r="I55" i="80"/>
  <c r="H55" i="80"/>
  <c r="H54" i="80"/>
  <c r="I54" i="80"/>
  <c r="I53" i="80"/>
  <c r="H53" i="80"/>
  <c r="H52" i="80"/>
  <c r="I52" i="80"/>
  <c r="I50" i="80"/>
  <c r="I51" i="80"/>
  <c r="I49" i="80"/>
  <c r="H49" i="80"/>
  <c r="H50" i="80"/>
  <c r="H51" i="80"/>
  <c r="C22" i="81" l="1"/>
  <c r="H34" i="80"/>
  <c r="H33" i="80"/>
  <c r="I34" i="80" l="1"/>
  <c r="I35" i="80"/>
  <c r="I36" i="80"/>
  <c r="I37" i="80"/>
  <c r="I38" i="80"/>
  <c r="I39" i="80"/>
  <c r="I40" i="80"/>
  <c r="I41" i="80"/>
  <c r="I42" i="80"/>
  <c r="I43" i="80"/>
  <c r="I44" i="80"/>
  <c r="I45" i="80"/>
  <c r="I46" i="80"/>
  <c r="I47" i="80"/>
  <c r="I48" i="80"/>
  <c r="I33" i="80"/>
  <c r="H35" i="80"/>
  <c r="H36" i="80"/>
  <c r="H37" i="80"/>
  <c r="H38" i="80"/>
  <c r="H39" i="80"/>
  <c r="H40" i="80"/>
  <c r="H41" i="80"/>
  <c r="H42" i="80"/>
  <c r="H43" i="80"/>
  <c r="H44" i="80"/>
  <c r="H45" i="80"/>
  <c r="H46" i="80"/>
  <c r="H47" i="80"/>
  <c r="H48" i="80"/>
  <c r="C28" i="69" l="1"/>
  <c r="C30" i="70"/>
  <c r="C34" i="9"/>
  <c r="C23" i="10"/>
  <c r="C22" i="10"/>
  <c r="E25" i="102" l="1"/>
  <c r="D25" i="102"/>
  <c r="E24" i="102"/>
  <c r="D24" i="102"/>
  <c r="E23" i="102"/>
  <c r="D23" i="102"/>
  <c r="E22" i="102"/>
  <c r="D22" i="102"/>
  <c r="C9" i="5" l="1"/>
  <c r="B9" i="5"/>
  <c r="D30" i="70" l="1"/>
  <c r="E12" i="70"/>
  <c r="A30" i="70"/>
  <c r="D18" i="69"/>
  <c r="C18" i="69"/>
  <c r="C17" i="69"/>
  <c r="D16" i="71"/>
  <c r="C16" i="71"/>
  <c r="D15" i="71"/>
  <c r="C15" i="71"/>
  <c r="C9" i="52"/>
  <c r="B9" i="52"/>
  <c r="P9" i="52"/>
  <c r="J9" i="52"/>
  <c r="D17" i="69"/>
  <c r="E30" i="70" l="1"/>
  <c r="D9" i="52"/>
  <c r="D19" i="69"/>
  <c r="C19" i="69"/>
  <c r="B9" i="81"/>
  <c r="C9" i="81"/>
  <c r="P9" i="81"/>
  <c r="V9" i="81"/>
  <c r="D9" i="81" l="1"/>
  <c r="I20" i="81" l="1"/>
  <c r="D9" i="69" s="1"/>
  <c r="D11" i="69" l="1"/>
  <c r="C11" i="69"/>
  <c r="E11" i="69" l="1"/>
  <c r="D11" i="70"/>
  <c r="D13" i="70" s="1"/>
  <c r="C11" i="70"/>
  <c r="B26" i="5" l="1"/>
  <c r="C14" i="5"/>
  <c r="B14" i="5"/>
  <c r="B39" i="5" l="1"/>
  <c r="H27" i="80"/>
  <c r="I26" i="80"/>
  <c r="H26" i="80"/>
  <c r="H28" i="80"/>
  <c r="I27" i="80"/>
  <c r="I28" i="80"/>
  <c r="E17" i="10"/>
  <c r="D14" i="5"/>
  <c r="D25" i="10"/>
  <c r="E10" i="10"/>
  <c r="C26" i="5"/>
  <c r="D26" i="5" s="1"/>
  <c r="C25" i="10"/>
  <c r="C31" i="9"/>
  <c r="J41" i="80" l="1"/>
  <c r="J45" i="80"/>
  <c r="J48" i="80"/>
  <c r="J47" i="80"/>
  <c r="J44" i="80"/>
  <c r="J46" i="80"/>
  <c r="J40" i="80"/>
  <c r="J39" i="80"/>
  <c r="J38" i="80"/>
  <c r="J37" i="80"/>
  <c r="J35" i="80"/>
  <c r="J36" i="80"/>
  <c r="J42" i="80"/>
  <c r="J34" i="80"/>
  <c r="J43" i="80"/>
  <c r="J33" i="80"/>
  <c r="J26" i="80"/>
  <c r="J49" i="80"/>
  <c r="J27" i="80"/>
  <c r="J28" i="80"/>
  <c r="J51" i="80"/>
  <c r="C39" i="5"/>
  <c r="E25" i="10"/>
  <c r="J52" i="80" l="1"/>
  <c r="J50" i="80"/>
  <c r="J55" i="80"/>
  <c r="J54" i="80"/>
  <c r="J53" i="80"/>
  <c r="B10" i="81" l="1"/>
  <c r="J21" i="81"/>
  <c r="D10" i="69"/>
  <c r="C26" i="70"/>
  <c r="C10" i="69" l="1"/>
  <c r="E10" i="69" s="1"/>
  <c r="T33" i="81"/>
  <c r="C8" i="81"/>
  <c r="U34" i="81"/>
  <c r="U35" i="81"/>
  <c r="E10" i="70"/>
  <c r="C21" i="70"/>
  <c r="B22" i="5" s="1"/>
  <c r="B27" i="5" s="1"/>
  <c r="C23" i="9"/>
  <c r="D23" i="9"/>
  <c r="C23" i="5" s="1"/>
  <c r="D28" i="69"/>
  <c r="D28" i="70"/>
  <c r="E18" i="69"/>
  <c r="U33" i="81"/>
  <c r="T34" i="81"/>
  <c r="T36" i="81"/>
  <c r="T40" i="81"/>
  <c r="T44" i="81"/>
  <c r="T48" i="81"/>
  <c r="U36" i="81"/>
  <c r="U38" i="81"/>
  <c r="U40" i="81"/>
  <c r="U42" i="81"/>
  <c r="U44" i="81"/>
  <c r="U46" i="81"/>
  <c r="U48" i="81"/>
  <c r="T38" i="81"/>
  <c r="T42" i="81"/>
  <c r="T46" i="81"/>
  <c r="U37" i="81"/>
  <c r="U39" i="81"/>
  <c r="U41" i="81"/>
  <c r="U43" i="81"/>
  <c r="U45" i="81"/>
  <c r="T35" i="81"/>
  <c r="T39" i="81"/>
  <c r="T43" i="81"/>
  <c r="T37" i="81"/>
  <c r="T41" i="81"/>
  <c r="T45" i="81"/>
  <c r="B11" i="81"/>
  <c r="B15" i="81"/>
  <c r="B19" i="81"/>
  <c r="B23" i="81"/>
  <c r="C12" i="81"/>
  <c r="C16" i="81"/>
  <c r="C18" i="81"/>
  <c r="C20" i="81"/>
  <c r="U47" i="81"/>
  <c r="B12" i="81"/>
  <c r="B16" i="81"/>
  <c r="B20" i="81"/>
  <c r="T47" i="81"/>
  <c r="B13" i="81"/>
  <c r="B17" i="81"/>
  <c r="B21" i="81"/>
  <c r="B25" i="81"/>
  <c r="C11" i="81"/>
  <c r="C13" i="81"/>
  <c r="C15" i="81"/>
  <c r="C17" i="81"/>
  <c r="C19" i="81"/>
  <c r="C21" i="81"/>
  <c r="C23" i="81"/>
  <c r="C25" i="81"/>
  <c r="B8" i="81"/>
  <c r="B14" i="81"/>
  <c r="B18" i="81"/>
  <c r="B22" i="81"/>
  <c r="C14" i="81"/>
  <c r="B24" i="81"/>
  <c r="C24" i="81"/>
  <c r="T27" i="81"/>
  <c r="C10" i="81"/>
  <c r="J12" i="81"/>
  <c r="C33" i="9"/>
  <c r="D30" i="9"/>
  <c r="D33" i="9"/>
  <c r="D32" i="9"/>
  <c r="C32" i="9"/>
  <c r="C30" i="9"/>
  <c r="J11" i="81"/>
  <c r="J19" i="81"/>
  <c r="J15" i="81"/>
  <c r="H20" i="81"/>
  <c r="C9" i="69" s="1"/>
  <c r="J14" i="81"/>
  <c r="J16" i="81"/>
  <c r="J13" i="81"/>
  <c r="J10" i="81"/>
  <c r="J18" i="81"/>
  <c r="J9" i="81"/>
  <c r="J17" i="81"/>
  <c r="V23" i="81"/>
  <c r="V18" i="81"/>
  <c r="V25" i="81"/>
  <c r="V24" i="81"/>
  <c r="T28" i="81"/>
  <c r="T51" i="81" s="1"/>
  <c r="V20" i="81"/>
  <c r="V17" i="81"/>
  <c r="V15" i="81"/>
  <c r="V12" i="81"/>
  <c r="V8" i="81"/>
  <c r="V16" i="81"/>
  <c r="V14" i="81"/>
  <c r="V22" i="81"/>
  <c r="V11" i="81"/>
  <c r="V19" i="81"/>
  <c r="T26" i="81"/>
  <c r="T49" i="81" s="1"/>
  <c r="U27" i="81"/>
  <c r="U26" i="81"/>
  <c r="U49" i="81" s="1"/>
  <c r="V13" i="81"/>
  <c r="V21" i="81"/>
  <c r="V10" i="81"/>
  <c r="U28" i="81"/>
  <c r="U51" i="81" s="1"/>
  <c r="C28" i="70"/>
  <c r="E20" i="70"/>
  <c r="D35" i="9"/>
  <c r="D29" i="70" s="1"/>
  <c r="C35" i="9"/>
  <c r="C29" i="70" s="1"/>
  <c r="U50" i="81" l="1"/>
  <c r="D8" i="69"/>
  <c r="T50" i="81"/>
  <c r="T55" i="81" s="1"/>
  <c r="C8" i="69"/>
  <c r="C26" i="69" s="1"/>
  <c r="T54" i="81"/>
  <c r="T52" i="81"/>
  <c r="T53" i="81"/>
  <c r="U54" i="81"/>
  <c r="U55" i="81"/>
  <c r="U53" i="81"/>
  <c r="U52" i="81"/>
  <c r="V52" i="81" s="1"/>
  <c r="D14" i="81"/>
  <c r="C48" i="81"/>
  <c r="D16" i="81"/>
  <c r="D21" i="81"/>
  <c r="C46" i="81"/>
  <c r="C45" i="81"/>
  <c r="C44" i="81"/>
  <c r="E29" i="70"/>
  <c r="D34" i="9"/>
  <c r="B23" i="5"/>
  <c r="B39" i="81"/>
  <c r="E28" i="69"/>
  <c r="E28" i="70"/>
  <c r="D29" i="9"/>
  <c r="C9" i="71"/>
  <c r="D17" i="81"/>
  <c r="D20" i="81"/>
  <c r="D13" i="81"/>
  <c r="B43" i="81"/>
  <c r="D19" i="81"/>
  <c r="D11" i="81"/>
  <c r="D22" i="81"/>
  <c r="B26" i="81"/>
  <c r="D18" i="81"/>
  <c r="B46" i="81"/>
  <c r="D8" i="81"/>
  <c r="B38" i="81"/>
  <c r="C27" i="81"/>
  <c r="D15" i="81"/>
  <c r="B41" i="81"/>
  <c r="D12" i="81"/>
  <c r="D25" i="81"/>
  <c r="D23" i="81"/>
  <c r="B45" i="81"/>
  <c r="C40" i="81"/>
  <c r="B48" i="81"/>
  <c r="C41" i="81"/>
  <c r="C38" i="81"/>
  <c r="B44" i="81"/>
  <c r="C39" i="81"/>
  <c r="B42" i="81"/>
  <c r="C37" i="81"/>
  <c r="B37" i="81"/>
  <c r="C36" i="81"/>
  <c r="B40" i="81"/>
  <c r="B35" i="81"/>
  <c r="C29" i="9"/>
  <c r="B10" i="5"/>
  <c r="C42" i="81"/>
  <c r="C34" i="81"/>
  <c r="B36" i="81"/>
  <c r="C43" i="81"/>
  <c r="C35" i="81"/>
  <c r="B34" i="81"/>
  <c r="B47" i="81"/>
  <c r="D24" i="81"/>
  <c r="C47" i="81"/>
  <c r="B28" i="81"/>
  <c r="B51" i="81" s="1"/>
  <c r="C28" i="81"/>
  <c r="C51" i="81" s="1"/>
  <c r="C26" i="81"/>
  <c r="C33" i="81"/>
  <c r="B33" i="81"/>
  <c r="D10" i="81"/>
  <c r="B27" i="81"/>
  <c r="J20" i="81"/>
  <c r="V27" i="81"/>
  <c r="V26" i="81"/>
  <c r="V28" i="81"/>
  <c r="E33" i="9"/>
  <c r="E30" i="9"/>
  <c r="E20" i="9"/>
  <c r="E32" i="9"/>
  <c r="E24" i="9"/>
  <c r="E19" i="9"/>
  <c r="E18" i="9"/>
  <c r="E22" i="9"/>
  <c r="D31" i="9"/>
  <c r="V55" i="81" l="1"/>
  <c r="D26" i="69"/>
  <c r="E26" i="69" s="1"/>
  <c r="E8" i="69"/>
  <c r="D48" i="81"/>
  <c r="V53" i="81"/>
  <c r="V54" i="81"/>
  <c r="B49" i="81"/>
  <c r="C49" i="81"/>
  <c r="C50" i="81"/>
  <c r="B50" i="81"/>
  <c r="E29" i="9"/>
  <c r="D45" i="81"/>
  <c r="D44" i="81"/>
  <c r="D46" i="81"/>
  <c r="B35" i="5"/>
  <c r="D9" i="71"/>
  <c r="E9" i="71" s="1"/>
  <c r="D41" i="81"/>
  <c r="D51" i="81"/>
  <c r="D43" i="81"/>
  <c r="D42" i="81"/>
  <c r="D37" i="81"/>
  <c r="D39" i="81"/>
  <c r="D36" i="81"/>
  <c r="D26" i="81"/>
  <c r="D35" i="81"/>
  <c r="D34" i="81"/>
  <c r="D38" i="81"/>
  <c r="D40" i="81"/>
  <c r="D28" i="81"/>
  <c r="D47" i="81"/>
  <c r="D33" i="81"/>
  <c r="E31" i="9"/>
  <c r="E21" i="9"/>
  <c r="D27" i="81"/>
  <c r="E35" i="9"/>
  <c r="E23" i="9"/>
  <c r="E11" i="9"/>
  <c r="E10" i="9"/>
  <c r="E8" i="9"/>
  <c r="E13" i="9"/>
  <c r="E12" i="9"/>
  <c r="E9" i="9"/>
  <c r="D49" i="81" l="1"/>
  <c r="C52" i="81"/>
  <c r="C53" i="81"/>
  <c r="D53" i="81" s="1"/>
  <c r="B52" i="81"/>
  <c r="B53" i="81"/>
  <c r="B54" i="81"/>
  <c r="B55" i="81"/>
  <c r="C54" i="81"/>
  <c r="D54" i="81" s="1"/>
  <c r="C55" i="81"/>
  <c r="D50" i="81"/>
  <c r="C10" i="5"/>
  <c r="E34" i="9"/>
  <c r="D52" i="81" l="1"/>
  <c r="D55" i="81"/>
  <c r="B8" i="52"/>
  <c r="N33" i="52" l="1"/>
  <c r="H33" i="52"/>
  <c r="V33" i="81"/>
  <c r="P18" i="81"/>
  <c r="P20" i="81"/>
  <c r="P12" i="81"/>
  <c r="P10" i="81"/>
  <c r="P15" i="81"/>
  <c r="P23" i="81"/>
  <c r="N27" i="81"/>
  <c r="P11" i="81"/>
  <c r="P13" i="81"/>
  <c r="P19" i="81"/>
  <c r="P21" i="81"/>
  <c r="P16" i="81"/>
  <c r="P24" i="81"/>
  <c r="P14" i="81"/>
  <c r="N28" i="81"/>
  <c r="N51" i="81" s="1"/>
  <c r="P22" i="81"/>
  <c r="P25" i="81"/>
  <c r="P17" i="81"/>
  <c r="O28" i="81"/>
  <c r="O27" i="81"/>
  <c r="D7" i="69" s="1"/>
  <c r="N33" i="81"/>
  <c r="O26" i="81"/>
  <c r="O49" i="81" s="1"/>
  <c r="P8" i="81"/>
  <c r="N26" i="81"/>
  <c r="N49" i="81" s="1"/>
  <c r="O44" i="81"/>
  <c r="O39" i="81"/>
  <c r="O48" i="81"/>
  <c r="O38" i="81"/>
  <c r="O47" i="81"/>
  <c r="O46" i="81"/>
  <c r="O41" i="81"/>
  <c r="O36" i="81"/>
  <c r="O42" i="81"/>
  <c r="O40" i="81"/>
  <c r="O35" i="81"/>
  <c r="O43" i="81"/>
  <c r="N44" i="81"/>
  <c r="N39" i="81"/>
  <c r="N41" i="81"/>
  <c r="N40" i="81"/>
  <c r="N48" i="81"/>
  <c r="N36" i="81"/>
  <c r="N35" i="81"/>
  <c r="N38" i="81"/>
  <c r="N46" i="81"/>
  <c r="N37" i="81"/>
  <c r="N34" i="81"/>
  <c r="O37" i="81"/>
  <c r="N42" i="81"/>
  <c r="O45" i="81"/>
  <c r="O34" i="81"/>
  <c r="N47" i="81"/>
  <c r="N45" i="81"/>
  <c r="O33" i="81"/>
  <c r="N43" i="81"/>
  <c r="C8" i="52"/>
  <c r="P8" i="52"/>
  <c r="J8" i="52"/>
  <c r="O41" i="52"/>
  <c r="I41" i="52"/>
  <c r="O42" i="52"/>
  <c r="N42" i="52"/>
  <c r="I42" i="52"/>
  <c r="H42" i="52"/>
  <c r="D8" i="52" l="1"/>
  <c r="J9" i="91"/>
  <c r="N50" i="81"/>
  <c r="C7" i="69"/>
  <c r="N55" i="81"/>
  <c r="N54" i="81"/>
  <c r="N52" i="81"/>
  <c r="N53" i="81"/>
  <c r="H41" i="52"/>
  <c r="N40" i="52"/>
  <c r="H40" i="52"/>
  <c r="N41" i="52"/>
  <c r="B27" i="80"/>
  <c r="B50" i="80" s="1"/>
  <c r="B26" i="80"/>
  <c r="B49" i="80" s="1"/>
  <c r="V47" i="81"/>
  <c r="V35" i="81"/>
  <c r="V40" i="81"/>
  <c r="V46" i="81"/>
  <c r="V51" i="81"/>
  <c r="V49" i="81"/>
  <c r="V42" i="81"/>
  <c r="V36" i="81"/>
  <c r="V41" i="81"/>
  <c r="V43" i="81"/>
  <c r="V34" i="81"/>
  <c r="V50" i="81"/>
  <c r="V44" i="81"/>
  <c r="V39" i="81"/>
  <c r="V45" i="81"/>
  <c r="V48" i="81"/>
  <c r="V38" i="81"/>
  <c r="V37" i="81"/>
  <c r="P38" i="81"/>
  <c r="P27" i="81"/>
  <c r="P28" i="81"/>
  <c r="P47" i="81"/>
  <c r="P35" i="81"/>
  <c r="P36" i="81"/>
  <c r="P44" i="81"/>
  <c r="P48" i="81"/>
  <c r="P26" i="81"/>
  <c r="P43" i="81"/>
  <c r="P46" i="81"/>
  <c r="P41" i="81"/>
  <c r="P39" i="81"/>
  <c r="P40" i="81"/>
  <c r="P42" i="81"/>
  <c r="P33" i="81"/>
  <c r="P34" i="81"/>
  <c r="P49" i="81"/>
  <c r="O51" i="81"/>
  <c r="P51" i="81" s="1"/>
  <c r="O50" i="81"/>
  <c r="P45" i="81"/>
  <c r="P37" i="81"/>
  <c r="P18" i="52"/>
  <c r="P42" i="52"/>
  <c r="C18" i="52"/>
  <c r="B18" i="52"/>
  <c r="J18" i="52"/>
  <c r="C25" i="69" l="1"/>
  <c r="C12" i="69"/>
  <c r="O52" i="81"/>
  <c r="P52" i="81" s="1"/>
  <c r="O53" i="81"/>
  <c r="P53" i="81" s="1"/>
  <c r="O55" i="81"/>
  <c r="P55" i="81" s="1"/>
  <c r="O54" i="81"/>
  <c r="P54" i="81" s="1"/>
  <c r="P50" i="81"/>
  <c r="D18" i="52"/>
  <c r="B34" i="5"/>
  <c r="H18" i="91"/>
  <c r="I18" i="91"/>
  <c r="B14" i="91"/>
  <c r="C14" i="91"/>
  <c r="B41" i="52"/>
  <c r="C41" i="52"/>
  <c r="C41" i="80"/>
  <c r="B41" i="80"/>
  <c r="C27" i="70"/>
  <c r="P41" i="52"/>
  <c r="J18" i="91" l="1"/>
  <c r="D14" i="91"/>
  <c r="D41" i="80"/>
  <c r="D41" i="52"/>
  <c r="E9" i="70" l="1"/>
  <c r="O38" i="52" l="1"/>
  <c r="O37" i="52"/>
  <c r="O36" i="52"/>
  <c r="O39" i="52"/>
  <c r="O43" i="52"/>
  <c r="O44" i="52"/>
  <c r="O45" i="52"/>
  <c r="O46" i="52"/>
  <c r="O47" i="52"/>
  <c r="O48" i="52"/>
  <c r="O35" i="52"/>
  <c r="C47" i="80" l="1"/>
  <c r="C38" i="80"/>
  <c r="C33" i="80"/>
  <c r="B39" i="80"/>
  <c r="B35" i="80"/>
  <c r="B45" i="80"/>
  <c r="B40" i="80"/>
  <c r="B36" i="80"/>
  <c r="B46" i="80"/>
  <c r="B42" i="80"/>
  <c r="B37" i="80"/>
  <c r="B47" i="80"/>
  <c r="B43" i="80"/>
  <c r="B38" i="80"/>
  <c r="B48" i="80"/>
  <c r="B44" i="80"/>
  <c r="B33" i="80"/>
  <c r="B34" i="80"/>
  <c r="C45" i="80"/>
  <c r="C36" i="80"/>
  <c r="C44" i="80"/>
  <c r="C35" i="80"/>
  <c r="C40" i="80"/>
  <c r="C46" i="80"/>
  <c r="C37" i="80"/>
  <c r="C48" i="80"/>
  <c r="O40" i="52"/>
  <c r="C43" i="80"/>
  <c r="C34" i="80"/>
  <c r="C39" i="80"/>
  <c r="C42" i="80"/>
  <c r="C28" i="80"/>
  <c r="C51" i="80" s="1"/>
  <c r="C26" i="80"/>
  <c r="C49" i="80" s="1"/>
  <c r="C27" i="80"/>
  <c r="C50" i="80" s="1"/>
  <c r="B28" i="80"/>
  <c r="B51" i="80" s="1"/>
  <c r="O28" i="52"/>
  <c r="O51" i="52" s="1"/>
  <c r="C52" i="80" l="1"/>
  <c r="C53" i="80"/>
  <c r="D53" i="80" s="1"/>
  <c r="C54" i="80"/>
  <c r="D54" i="80" s="1"/>
  <c r="C55" i="80"/>
  <c r="D38" i="80"/>
  <c r="D39" i="80"/>
  <c r="D44" i="80"/>
  <c r="D47" i="80"/>
  <c r="D48" i="80"/>
  <c r="D46" i="80"/>
  <c r="D35" i="80"/>
  <c r="D33" i="80"/>
  <c r="D37" i="80"/>
  <c r="D40" i="80"/>
  <c r="D45" i="80"/>
  <c r="D42" i="80"/>
  <c r="D43" i="80"/>
  <c r="P40" i="52"/>
  <c r="D34" i="80"/>
  <c r="D36" i="80"/>
  <c r="D49" i="80"/>
  <c r="D50" i="80"/>
  <c r="D51" i="80"/>
  <c r="D27" i="80"/>
  <c r="D28" i="80"/>
  <c r="D26" i="80"/>
  <c r="I48" i="52"/>
  <c r="I47" i="52"/>
  <c r="I46" i="52"/>
  <c r="I45" i="52"/>
  <c r="H48" i="52"/>
  <c r="H47" i="52"/>
  <c r="H46" i="52"/>
  <c r="H45" i="52"/>
  <c r="H44" i="52"/>
  <c r="I44" i="52"/>
  <c r="I43" i="52"/>
  <c r="N46" i="52"/>
  <c r="N45" i="52"/>
  <c r="N44" i="52"/>
  <c r="D55" i="80" l="1"/>
  <c r="D52" i="80"/>
  <c r="H43" i="52"/>
  <c r="H28" i="52"/>
  <c r="N43" i="52"/>
  <c r="P43" i="52" s="1"/>
  <c r="N28" i="52"/>
  <c r="N47" i="52"/>
  <c r="P47" i="52" s="1"/>
  <c r="N48" i="52"/>
  <c r="P48" i="52" s="1"/>
  <c r="C25" i="52"/>
  <c r="P22" i="52"/>
  <c r="P45" i="52"/>
  <c r="P21" i="52"/>
  <c r="P44" i="52"/>
  <c r="P23" i="52"/>
  <c r="P46" i="52"/>
  <c r="C21" i="52"/>
  <c r="C23" i="52"/>
  <c r="B23" i="52"/>
  <c r="B24" i="52"/>
  <c r="B25" i="52"/>
  <c r="C22" i="52"/>
  <c r="J24" i="52"/>
  <c r="C24" i="52"/>
  <c r="D24" i="52" s="1"/>
  <c r="B22" i="52"/>
  <c r="B21" i="52"/>
  <c r="C20" i="52"/>
  <c r="I28" i="52"/>
  <c r="J25" i="52"/>
  <c r="J23" i="52"/>
  <c r="J22" i="52"/>
  <c r="J21" i="52"/>
  <c r="P25" i="52"/>
  <c r="P24" i="52"/>
  <c r="C13" i="5"/>
  <c r="B13" i="5"/>
  <c r="D22" i="52" l="1"/>
  <c r="D21" i="52"/>
  <c r="D23" i="52"/>
  <c r="C44" i="52"/>
  <c r="I21" i="91"/>
  <c r="C17" i="91"/>
  <c r="B44" i="52"/>
  <c r="B17" i="91"/>
  <c r="H21" i="91"/>
  <c r="C45" i="52"/>
  <c r="C18" i="91"/>
  <c r="I22" i="91"/>
  <c r="B46" i="52"/>
  <c r="H23" i="91"/>
  <c r="B19" i="91"/>
  <c r="C16" i="91"/>
  <c r="C24" i="91" s="1"/>
  <c r="I20" i="91"/>
  <c r="B48" i="52"/>
  <c r="H25" i="91"/>
  <c r="B21" i="91"/>
  <c r="C46" i="52"/>
  <c r="C19" i="91"/>
  <c r="I23" i="91"/>
  <c r="C48" i="52"/>
  <c r="I25" i="91"/>
  <c r="C21" i="91"/>
  <c r="C20" i="91"/>
  <c r="I24" i="91"/>
  <c r="B20" i="91"/>
  <c r="B40" i="91" s="1"/>
  <c r="H24" i="91"/>
  <c r="B45" i="52"/>
  <c r="B18" i="91"/>
  <c r="H22" i="91"/>
  <c r="C43" i="52"/>
  <c r="C47" i="52"/>
  <c r="B47" i="52"/>
  <c r="D13" i="5"/>
  <c r="P28" i="52"/>
  <c r="N51" i="52"/>
  <c r="P51" i="52" s="1"/>
  <c r="D25" i="52"/>
  <c r="J28" i="52"/>
  <c r="C28" i="52"/>
  <c r="C51" i="52" s="1"/>
  <c r="E9" i="10"/>
  <c r="J23" i="91" l="1"/>
  <c r="C17" i="71"/>
  <c r="C24" i="71" s="1"/>
  <c r="J25" i="91"/>
  <c r="D45" i="52"/>
  <c r="D44" i="52"/>
  <c r="J22" i="91"/>
  <c r="D18" i="91"/>
  <c r="D17" i="91"/>
  <c r="D21" i="91"/>
  <c r="D19" i="91"/>
  <c r="J24" i="91"/>
  <c r="D46" i="52"/>
  <c r="I28" i="91"/>
  <c r="D20" i="91"/>
  <c r="J21" i="91"/>
  <c r="D47" i="52"/>
  <c r="D17" i="71"/>
  <c r="D24" i="71" s="1"/>
  <c r="D48" i="52"/>
  <c r="D21" i="70"/>
  <c r="B20" i="5" l="1"/>
  <c r="C22" i="5"/>
  <c r="E24" i="71"/>
  <c r="C20" i="5"/>
  <c r="E21" i="70"/>
  <c r="J45" i="52"/>
  <c r="J44" i="52"/>
  <c r="J42" i="52"/>
  <c r="J46" i="52"/>
  <c r="J48" i="52"/>
  <c r="H51" i="52"/>
  <c r="J41" i="52"/>
  <c r="J43" i="52"/>
  <c r="I51" i="52"/>
  <c r="J47" i="52"/>
  <c r="E17" i="71"/>
  <c r="C8" i="5" l="1"/>
  <c r="D12" i="69"/>
  <c r="B8" i="5"/>
  <c r="E13" i="70"/>
  <c r="D31" i="70"/>
  <c r="J51" i="52"/>
  <c r="O34" i="52"/>
  <c r="O33" i="52"/>
  <c r="B20" i="52"/>
  <c r="D20" i="52" s="1"/>
  <c r="C19" i="52"/>
  <c r="I40" i="52"/>
  <c r="I39" i="52"/>
  <c r="H39" i="52"/>
  <c r="I38" i="52"/>
  <c r="H38" i="52"/>
  <c r="I37" i="52"/>
  <c r="H37" i="52"/>
  <c r="I36" i="52"/>
  <c r="H36" i="52"/>
  <c r="I35" i="52"/>
  <c r="H35" i="52"/>
  <c r="I34" i="52"/>
  <c r="I33" i="52"/>
  <c r="E7" i="9"/>
  <c r="D23" i="5"/>
  <c r="D10" i="5"/>
  <c r="C35" i="5"/>
  <c r="B25" i="5"/>
  <c r="I49" i="52" l="1"/>
  <c r="N34" i="52"/>
  <c r="N26" i="52"/>
  <c r="N49" i="52" s="1"/>
  <c r="N27" i="52"/>
  <c r="H34" i="52"/>
  <c r="J34" i="52" s="1"/>
  <c r="H27" i="52"/>
  <c r="C7" i="71" s="1"/>
  <c r="C22" i="71" s="1"/>
  <c r="H26" i="52"/>
  <c r="I50" i="52"/>
  <c r="C15" i="91"/>
  <c r="I19" i="91"/>
  <c r="B16" i="91"/>
  <c r="H20" i="91"/>
  <c r="C42" i="52"/>
  <c r="B43" i="52"/>
  <c r="E12" i="69"/>
  <c r="E31" i="70"/>
  <c r="N35" i="52"/>
  <c r="P35" i="52" s="1"/>
  <c r="N36" i="52"/>
  <c r="P36" i="52" s="1"/>
  <c r="N37" i="52"/>
  <c r="P37" i="52" s="1"/>
  <c r="N38" i="52"/>
  <c r="P38" i="52" s="1"/>
  <c r="N39" i="52"/>
  <c r="P39" i="52" s="1"/>
  <c r="J38" i="52"/>
  <c r="P34" i="52"/>
  <c r="C16" i="52"/>
  <c r="C13" i="52"/>
  <c r="I13" i="91" s="1"/>
  <c r="J36" i="52"/>
  <c r="P33" i="52"/>
  <c r="C17" i="52"/>
  <c r="J40" i="52"/>
  <c r="C12" i="52"/>
  <c r="I12" i="91" s="1"/>
  <c r="J35" i="52"/>
  <c r="B28" i="52"/>
  <c r="B51" i="52" s="1"/>
  <c r="J33" i="52"/>
  <c r="C14" i="52"/>
  <c r="I14" i="91" s="1"/>
  <c r="J37" i="52"/>
  <c r="O26" i="52"/>
  <c r="O49" i="52" s="1"/>
  <c r="O27" i="52"/>
  <c r="I27" i="52"/>
  <c r="D7" i="71" s="1"/>
  <c r="D22" i="71" s="1"/>
  <c r="B16" i="52"/>
  <c r="B11" i="52"/>
  <c r="B17" i="52"/>
  <c r="C11" i="52"/>
  <c r="B12" i="52"/>
  <c r="H12" i="91" s="1"/>
  <c r="B15" i="52"/>
  <c r="H15" i="91" s="1"/>
  <c r="B19" i="52"/>
  <c r="D19" i="52" s="1"/>
  <c r="B13" i="52"/>
  <c r="H13" i="91" s="1"/>
  <c r="I26" i="52"/>
  <c r="C10" i="52"/>
  <c r="C15" i="52"/>
  <c r="I15" i="91" s="1"/>
  <c r="B10" i="52"/>
  <c r="B33" i="52" s="1"/>
  <c r="B14" i="52"/>
  <c r="H14" i="91" s="1"/>
  <c r="E16" i="10"/>
  <c r="C25" i="5"/>
  <c r="D25" i="5" s="1"/>
  <c r="D35" i="5"/>
  <c r="P17" i="52"/>
  <c r="P13" i="52"/>
  <c r="P16" i="52"/>
  <c r="P20" i="52"/>
  <c r="P19" i="52"/>
  <c r="P15" i="52"/>
  <c r="P14" i="52"/>
  <c r="P12" i="52"/>
  <c r="P11" i="52"/>
  <c r="P10" i="52"/>
  <c r="J17" i="52"/>
  <c r="J13" i="52"/>
  <c r="J10" i="52"/>
  <c r="J14" i="52"/>
  <c r="J12" i="52"/>
  <c r="J16" i="52"/>
  <c r="J19" i="52"/>
  <c r="J15" i="52"/>
  <c r="J20" i="52"/>
  <c r="J11" i="52"/>
  <c r="I55" i="52" l="1"/>
  <c r="I54" i="52"/>
  <c r="I53" i="52"/>
  <c r="I52" i="52"/>
  <c r="N53" i="52"/>
  <c r="N52" i="52"/>
  <c r="O52" i="52"/>
  <c r="O53" i="52"/>
  <c r="P53" i="52" s="1"/>
  <c r="O50" i="52"/>
  <c r="D8" i="71"/>
  <c r="N50" i="52"/>
  <c r="C8" i="71"/>
  <c r="H50" i="52"/>
  <c r="H49" i="52"/>
  <c r="J12" i="91"/>
  <c r="D43" i="52"/>
  <c r="J13" i="91"/>
  <c r="H28" i="91"/>
  <c r="J28" i="91" s="1"/>
  <c r="J20" i="91"/>
  <c r="B13" i="91"/>
  <c r="H17" i="91"/>
  <c r="B24" i="91"/>
  <c r="D24" i="91" s="1"/>
  <c r="D16" i="91"/>
  <c r="J15" i="91"/>
  <c r="C12" i="91"/>
  <c r="I16" i="91"/>
  <c r="B15" i="91"/>
  <c r="D15" i="91" s="1"/>
  <c r="H19" i="91"/>
  <c r="J19" i="91" s="1"/>
  <c r="B10" i="91"/>
  <c r="H11" i="91"/>
  <c r="B9" i="91"/>
  <c r="H10" i="91"/>
  <c r="C9" i="91"/>
  <c r="I10" i="91"/>
  <c r="C10" i="91"/>
  <c r="I11" i="91"/>
  <c r="B12" i="91"/>
  <c r="H16" i="91"/>
  <c r="J14" i="91"/>
  <c r="C13" i="91"/>
  <c r="I17" i="91"/>
  <c r="B11" i="91"/>
  <c r="C11" i="91"/>
  <c r="C38" i="52"/>
  <c r="B38" i="52"/>
  <c r="C39" i="52"/>
  <c r="B36" i="52"/>
  <c r="B40" i="52"/>
  <c r="B37" i="52"/>
  <c r="B42" i="52"/>
  <c r="B35" i="52"/>
  <c r="B34" i="52"/>
  <c r="C35" i="52"/>
  <c r="C36" i="52"/>
  <c r="C34" i="52"/>
  <c r="B39" i="52"/>
  <c r="C37" i="52"/>
  <c r="C40" i="52"/>
  <c r="C33" i="52"/>
  <c r="P49" i="52"/>
  <c r="P50" i="52"/>
  <c r="D16" i="52"/>
  <c r="D12" i="52"/>
  <c r="J50" i="52"/>
  <c r="J39" i="52"/>
  <c r="D13" i="52"/>
  <c r="P27" i="52"/>
  <c r="J27" i="52"/>
  <c r="D14" i="52"/>
  <c r="D28" i="52"/>
  <c r="D51" i="52"/>
  <c r="B26" i="52"/>
  <c r="B49" i="52" s="1"/>
  <c r="B27" i="52"/>
  <c r="B50" i="52" s="1"/>
  <c r="C26" i="52"/>
  <c r="C49" i="52" s="1"/>
  <c r="C27" i="52"/>
  <c r="C50" i="52" s="1"/>
  <c r="D17" i="52"/>
  <c r="D15" i="52"/>
  <c r="P26" i="52"/>
  <c r="D10" i="52"/>
  <c r="J26" i="52"/>
  <c r="C24" i="5"/>
  <c r="B24" i="5"/>
  <c r="C22" i="91" l="1"/>
  <c r="C23" i="91"/>
  <c r="J52" i="52"/>
  <c r="J49" i="52"/>
  <c r="H52" i="52"/>
  <c r="H53" i="52"/>
  <c r="J53" i="52" s="1"/>
  <c r="J54" i="52"/>
  <c r="H55" i="52"/>
  <c r="H54" i="52"/>
  <c r="J55" i="52"/>
  <c r="B52" i="52"/>
  <c r="B53" i="52"/>
  <c r="C53" i="52"/>
  <c r="C52" i="52"/>
  <c r="B7" i="5"/>
  <c r="B32" i="5" s="1"/>
  <c r="C23" i="71"/>
  <c r="C10" i="71"/>
  <c r="C25" i="71" s="1"/>
  <c r="B55" i="52"/>
  <c r="B54" i="52"/>
  <c r="N54" i="52"/>
  <c r="N55" i="52"/>
  <c r="P52" i="52"/>
  <c r="C7" i="5"/>
  <c r="D23" i="71"/>
  <c r="D10" i="71"/>
  <c r="C55" i="52"/>
  <c r="D55" i="52" s="1"/>
  <c r="C54" i="52"/>
  <c r="D54" i="52" s="1"/>
  <c r="O54" i="52"/>
  <c r="P54" i="52" s="1"/>
  <c r="O55" i="52"/>
  <c r="P55" i="52" s="1"/>
  <c r="D10" i="91"/>
  <c r="D13" i="91"/>
  <c r="D12" i="91"/>
  <c r="D9" i="91"/>
  <c r="D34" i="52"/>
  <c r="I26" i="91"/>
  <c r="I27" i="91"/>
  <c r="J10" i="91"/>
  <c r="D42" i="52"/>
  <c r="J17" i="91"/>
  <c r="H27" i="91"/>
  <c r="H26" i="91"/>
  <c r="J11" i="91"/>
  <c r="J16" i="91"/>
  <c r="D37" i="52"/>
  <c r="B23" i="91"/>
  <c r="B22" i="91"/>
  <c r="D11" i="91"/>
  <c r="D33" i="52"/>
  <c r="D40" i="52"/>
  <c r="D38" i="52"/>
  <c r="D36" i="52"/>
  <c r="D35" i="52"/>
  <c r="D39" i="52"/>
  <c r="D49" i="52"/>
  <c r="D27" i="52"/>
  <c r="D26" i="52"/>
  <c r="E15" i="10"/>
  <c r="D24" i="5"/>
  <c r="E19" i="70"/>
  <c r="D52" i="52" l="1"/>
  <c r="E10" i="71"/>
  <c r="D25" i="71"/>
  <c r="E25" i="71" s="1"/>
  <c r="D53" i="52"/>
  <c r="J27" i="91"/>
  <c r="J26" i="91"/>
  <c r="I8" i="91"/>
  <c r="C39" i="91"/>
  <c r="C44" i="91"/>
  <c r="C37" i="91"/>
  <c r="C41" i="91"/>
  <c r="C36" i="91"/>
  <c r="C40" i="91"/>
  <c r="C38" i="91"/>
  <c r="C34" i="91"/>
  <c r="C35" i="91"/>
  <c r="C30" i="91"/>
  <c r="C29" i="91"/>
  <c r="C32" i="91"/>
  <c r="C33" i="91"/>
  <c r="C43" i="91"/>
  <c r="C46" i="91" s="1"/>
  <c r="C31" i="91"/>
  <c r="C42" i="91"/>
  <c r="C45" i="91" s="1"/>
  <c r="D23" i="91"/>
  <c r="D22" i="91"/>
  <c r="I36" i="81"/>
  <c r="I44" i="81"/>
  <c r="I42" i="81"/>
  <c r="I34" i="81"/>
  <c r="I38" i="81"/>
  <c r="I35" i="81"/>
  <c r="I41" i="81"/>
  <c r="I32" i="81"/>
  <c r="I33" i="81"/>
  <c r="I37" i="81"/>
  <c r="I40" i="81"/>
  <c r="I39" i="81"/>
  <c r="I43" i="81"/>
  <c r="D20" i="69"/>
  <c r="C21" i="5" s="1"/>
  <c r="C27" i="5" s="1"/>
  <c r="D50" i="52"/>
  <c r="D20" i="5"/>
  <c r="E15" i="71"/>
  <c r="E16" i="71"/>
  <c r="E17" i="69"/>
  <c r="E18" i="70"/>
  <c r="I51" i="91" l="1"/>
  <c r="I35" i="91"/>
  <c r="I39" i="91"/>
  <c r="I44" i="91"/>
  <c r="I48" i="91"/>
  <c r="I42" i="91"/>
  <c r="I38" i="91"/>
  <c r="I49" i="91"/>
  <c r="I53" i="91" s="1"/>
  <c r="I36" i="91"/>
  <c r="I40" i="91"/>
  <c r="I45" i="91"/>
  <c r="I33" i="91"/>
  <c r="I37" i="91"/>
  <c r="I46" i="91"/>
  <c r="I34" i="91"/>
  <c r="I43" i="91"/>
  <c r="I47" i="91"/>
  <c r="I41" i="91"/>
  <c r="I50" i="91"/>
  <c r="I55" i="91" s="1"/>
  <c r="I54" i="91"/>
  <c r="D29" i="69"/>
  <c r="D22" i="5"/>
  <c r="E8" i="71"/>
  <c r="E23" i="71"/>
  <c r="C34" i="5"/>
  <c r="D26" i="70"/>
  <c r="E7" i="70"/>
  <c r="D27" i="70"/>
  <c r="E8" i="70"/>
  <c r="D25" i="69"/>
  <c r="E7" i="69"/>
  <c r="E7" i="71"/>
  <c r="E22" i="71"/>
  <c r="I52" i="91" l="1"/>
  <c r="E27" i="70"/>
  <c r="E25" i="69"/>
  <c r="C38" i="5"/>
  <c r="D24" i="10"/>
  <c r="B12" i="5"/>
  <c r="D22" i="10"/>
  <c r="E7" i="10"/>
  <c r="C11" i="5"/>
  <c r="D9" i="5"/>
  <c r="D34" i="5"/>
  <c r="B11" i="5"/>
  <c r="C12" i="5"/>
  <c r="D23" i="10"/>
  <c r="E8" i="10"/>
  <c r="E26" i="70"/>
  <c r="E9" i="69"/>
  <c r="D27" i="69"/>
  <c r="B15" i="5" l="1"/>
  <c r="C15" i="5"/>
  <c r="D39" i="5"/>
  <c r="B37" i="5"/>
  <c r="B36" i="5"/>
  <c r="E23" i="10"/>
  <c r="C32" i="5"/>
  <c r="D32" i="5" s="1"/>
  <c r="D11" i="5"/>
  <c r="C36" i="5"/>
  <c r="E22" i="10"/>
  <c r="D7" i="5"/>
  <c r="D12" i="5"/>
  <c r="C37" i="5"/>
  <c r="D11" i="52"/>
  <c r="D8" i="5"/>
  <c r="C33" i="5"/>
  <c r="C40" i="5" l="1"/>
  <c r="D37" i="5"/>
  <c r="D36" i="5"/>
  <c r="D15" i="5"/>
  <c r="C27" i="69"/>
  <c r="C20" i="69"/>
  <c r="E19" i="69"/>
  <c r="J8" i="81"/>
  <c r="E20" i="69" l="1"/>
  <c r="C29" i="69"/>
  <c r="H36" i="81"/>
  <c r="J36" i="81" s="1"/>
  <c r="H43" i="81"/>
  <c r="J43" i="81" s="1"/>
  <c r="H40" i="81"/>
  <c r="J40" i="81" s="1"/>
  <c r="H42" i="81"/>
  <c r="J42" i="81" s="1"/>
  <c r="H33" i="81"/>
  <c r="J33" i="81" s="1"/>
  <c r="H44" i="81"/>
  <c r="J44" i="81" s="1"/>
  <c r="H34" i="81"/>
  <c r="J34" i="81" s="1"/>
  <c r="B43" i="91"/>
  <c r="E27" i="69"/>
  <c r="H32" i="81"/>
  <c r="J32" i="81" s="1"/>
  <c r="H38" i="81"/>
  <c r="J38" i="81" s="1"/>
  <c r="H41" i="81"/>
  <c r="J41" i="81" s="1"/>
  <c r="H37" i="81"/>
  <c r="J37" i="81" s="1"/>
  <c r="H35" i="81"/>
  <c r="J35" i="81" s="1"/>
  <c r="B21" i="5"/>
  <c r="B40" i="5" s="1"/>
  <c r="H39" i="81"/>
  <c r="J39" i="81" s="1"/>
  <c r="D43" i="91" l="1"/>
  <c r="B34" i="91"/>
  <c r="D34" i="91" s="1"/>
  <c r="B36" i="91"/>
  <c r="D36" i="91" s="1"/>
  <c r="B30" i="91"/>
  <c r="D30" i="91" s="1"/>
  <c r="D8" i="91"/>
  <c r="D40" i="91"/>
  <c r="D21" i="5"/>
  <c r="B33" i="5"/>
  <c r="D33" i="5" s="1"/>
  <c r="B33" i="91"/>
  <c r="D33" i="91" s="1"/>
  <c r="B41" i="91"/>
  <c r="D41" i="91" s="1"/>
  <c r="H8" i="91"/>
  <c r="B29" i="91"/>
  <c r="D29" i="91" s="1"/>
  <c r="B38" i="91"/>
  <c r="D38" i="91" s="1"/>
  <c r="B44" i="91"/>
  <c r="D44" i="91" s="1"/>
  <c r="B42" i="91"/>
  <c r="B32" i="91"/>
  <c r="D32" i="91" s="1"/>
  <c r="B37" i="91"/>
  <c r="D37" i="91" s="1"/>
  <c r="B31" i="91"/>
  <c r="D31" i="91" s="1"/>
  <c r="B39" i="91"/>
  <c r="D39" i="91" s="1"/>
  <c r="B35" i="91"/>
  <c r="D35" i="91" s="1"/>
  <c r="E29" i="69"/>
  <c r="B46" i="91" l="1"/>
  <c r="D46" i="91" s="1"/>
  <c r="J8" i="91"/>
  <c r="H51" i="91"/>
  <c r="J51" i="91" s="1"/>
  <c r="H37" i="91"/>
  <c r="J37" i="91" s="1"/>
  <c r="H41" i="91"/>
  <c r="J41" i="91" s="1"/>
  <c r="H45" i="91"/>
  <c r="J45" i="91" s="1"/>
  <c r="H49" i="91"/>
  <c r="H52" i="91" s="1"/>
  <c r="J52" i="91" s="1"/>
  <c r="H34" i="91"/>
  <c r="J34" i="91" s="1"/>
  <c r="H38" i="91"/>
  <c r="J38" i="91" s="1"/>
  <c r="H42" i="91"/>
  <c r="J42" i="91" s="1"/>
  <c r="H46" i="91"/>
  <c r="J46" i="91" s="1"/>
  <c r="H33" i="91"/>
  <c r="J33" i="91" s="1"/>
  <c r="H35" i="91"/>
  <c r="J35" i="91" s="1"/>
  <c r="H43" i="91"/>
  <c r="J43" i="91" s="1"/>
  <c r="H47" i="91"/>
  <c r="J47" i="91" s="1"/>
  <c r="H50" i="91"/>
  <c r="H36" i="91"/>
  <c r="J36" i="91" s="1"/>
  <c r="H40" i="91"/>
  <c r="J40" i="91" s="1"/>
  <c r="H44" i="91"/>
  <c r="J44" i="91" s="1"/>
  <c r="H48" i="91"/>
  <c r="J48" i="91" s="1"/>
  <c r="H39" i="91"/>
  <c r="J39" i="91" s="1"/>
  <c r="D42" i="91"/>
  <c r="B45" i="91"/>
  <c r="D45" i="91" s="1"/>
  <c r="J50" i="91"/>
  <c r="J49" i="91"/>
  <c r="H53" i="91"/>
  <c r="J53" i="91" s="1"/>
  <c r="D27" i="5"/>
  <c r="C24" i="10"/>
  <c r="E24" i="10" s="1"/>
  <c r="D40" i="5"/>
  <c r="B38" i="5"/>
  <c r="D38" i="5" s="1"/>
  <c r="H54" i="91" l="1"/>
  <c r="J54" i="91" s="1"/>
  <c r="H55" i="91"/>
  <c r="J55" i="91" s="1"/>
</calcChain>
</file>

<file path=xl/sharedStrings.xml><?xml version="1.0" encoding="utf-8"?>
<sst xmlns="http://schemas.openxmlformats.org/spreadsheetml/2006/main" count="1628" uniqueCount="362">
  <si>
    <t>THCE Component</t>
  </si>
  <si>
    <t>Total Expenses</t>
  </si>
  <si>
    <t>Percent Change</t>
  </si>
  <si>
    <t>Commercial</t>
  </si>
  <si>
    <t>NCPHI</t>
  </si>
  <si>
    <t>Program Type</t>
  </si>
  <si>
    <t>Medicare FFS</t>
  </si>
  <si>
    <t>Service Category</t>
  </si>
  <si>
    <t>Large Group</t>
  </si>
  <si>
    <t>Self-Insured</t>
  </si>
  <si>
    <t>VA</t>
  </si>
  <si>
    <t>Medicare Advantage</t>
  </si>
  <si>
    <t>Payer</t>
  </si>
  <si>
    <t>Market Sector</t>
  </si>
  <si>
    <t>Total</t>
  </si>
  <si>
    <t>Small Group</t>
  </si>
  <si>
    <t>Cigna</t>
  </si>
  <si>
    <t>Data Source</t>
  </si>
  <si>
    <t>CGT-1</t>
  </si>
  <si>
    <t>CMS</t>
  </si>
  <si>
    <t>Oregon Department of Corrections</t>
  </si>
  <si>
    <t>Commercial (Full and Partial Claims)</t>
  </si>
  <si>
    <t>Commercial Partial Claims</t>
  </si>
  <si>
    <t>Commercial Full Claims</t>
  </si>
  <si>
    <t>Market Type</t>
  </si>
  <si>
    <t>Medicaid CCO</t>
  </si>
  <si>
    <t>Medicaid Open Card</t>
  </si>
  <si>
    <t>Member Month</t>
  </si>
  <si>
    <t>Note</t>
  </si>
  <si>
    <t>Person</t>
  </si>
  <si>
    <t>TME PMPM/TME Per Person</t>
  </si>
  <si>
    <t>Claims Hospital Inpatient</t>
  </si>
  <si>
    <t>Claims Hospital Outpatient</t>
  </si>
  <si>
    <t>Claims Professional PCPs</t>
  </si>
  <si>
    <t>Claims Professional Specialty</t>
  </si>
  <si>
    <t>Claims Professional BH</t>
  </si>
  <si>
    <t>Claims Professional Other</t>
  </si>
  <si>
    <t>Claims LTC</t>
  </si>
  <si>
    <t>Claims Other</t>
  </si>
  <si>
    <t>PMPY</t>
  </si>
  <si>
    <t>Medicare</t>
  </si>
  <si>
    <t>Medicaid</t>
  </si>
  <si>
    <t>TME PMPY/Per Person</t>
  </si>
  <si>
    <t>Member Year/Person</t>
  </si>
  <si>
    <t>Member Year</t>
  </si>
  <si>
    <t>Non-Claims Prospective Payments</t>
  </si>
  <si>
    <t>Non-Claims Performance Incentives</t>
  </si>
  <si>
    <t>Non-Claims Support Population Health</t>
  </si>
  <si>
    <t>Non-Claims Provider Salaries</t>
  </si>
  <si>
    <t>Non-Claims Recovery</t>
  </si>
  <si>
    <t>Non-Claims Other</t>
  </si>
  <si>
    <t>Denominator is the entire state.</t>
  </si>
  <si>
    <t>BH services provided by additional contracts</t>
  </si>
  <si>
    <t>Non-Claims: Total</t>
  </si>
  <si>
    <t>Medicaid Rx Rebate</t>
  </si>
  <si>
    <t>exclude rx rebates</t>
  </si>
  <si>
    <t>Claims Retail Pharmacy (Gross of Rebates)</t>
  </si>
  <si>
    <t>Claims Retail Pharmacy (Net of Rebates)</t>
  </si>
  <si>
    <t>Claims: Total (Gross of Rebates)</t>
  </si>
  <si>
    <t>Claims: Total (Net of Rebates)</t>
  </si>
  <si>
    <t>TME Per Person</t>
  </si>
  <si>
    <t>Expenses PMPY</t>
  </si>
  <si>
    <t>Member Months</t>
  </si>
  <si>
    <t>Claims Professional Physician</t>
  </si>
  <si>
    <t>Claims Professional Other Providers</t>
  </si>
  <si>
    <t>CGT Professional</t>
  </si>
  <si>
    <t>Claims Non Hospital Outpatient</t>
  </si>
  <si>
    <t>CGT Other</t>
  </si>
  <si>
    <t>Claims Home Health Agency</t>
  </si>
  <si>
    <t>Claims Skilled Nursing Facility</t>
  </si>
  <si>
    <t>CGT LTC</t>
  </si>
  <si>
    <t>Claims Hospice</t>
  </si>
  <si>
    <t>CGT Inpatient</t>
  </si>
  <si>
    <t>CGT Outpatient</t>
  </si>
  <si>
    <t>Claims DME</t>
  </si>
  <si>
    <t>Claims Part D</t>
  </si>
  <si>
    <t>CGT Retail (Rx net of rebates)</t>
  </si>
  <si>
    <t>Claims Other Suppliers</t>
  </si>
  <si>
    <t>Individual</t>
  </si>
  <si>
    <t>Student</t>
  </si>
  <si>
    <t>AllCare CCO</t>
  </si>
  <si>
    <t>MLR</t>
  </si>
  <si>
    <t>TME PMPY/TME Per Person</t>
  </si>
  <si>
    <t>Total excluding duals</t>
  </si>
  <si>
    <t>Total including duals</t>
  </si>
  <si>
    <t>Dual: Medicare Advantage</t>
  </si>
  <si>
    <t>Dual: Medicaid Expenses</t>
  </si>
  <si>
    <t>MA + FFS + MA dual</t>
  </si>
  <si>
    <t>CCO + Open Card</t>
  </si>
  <si>
    <t>Per Capita</t>
  </si>
  <si>
    <t>SHCE</t>
  </si>
  <si>
    <t>NW Pharmacy Purchasing Program (ArrayRx)</t>
  </si>
  <si>
    <t>Not rolled up to statewide.</t>
  </si>
  <si>
    <t>Claims Professional</t>
  </si>
  <si>
    <t>Statewide including Medicare FFS</t>
  </si>
  <si>
    <t>Member/Person</t>
  </si>
  <si>
    <t>Statewide excluding Medicare FFS</t>
  </si>
  <si>
    <t>Medicaid duals</t>
  </si>
  <si>
    <t>Sum of rx rebates data are applied to the entire Medicaid market</t>
  </si>
  <si>
    <t>Exhibit L</t>
  </si>
  <si>
    <t>Commercial NCPHI</t>
  </si>
  <si>
    <t>denominator is total number of people</t>
  </si>
  <si>
    <t>MA + FFS + MA dual + Medicaid dual</t>
  </si>
  <si>
    <t>from TCHE_NCPHI tab</t>
  </si>
  <si>
    <t>Full + Partial Claims</t>
  </si>
  <si>
    <t>denominator is MA including duals.</t>
  </si>
  <si>
    <t>Medicare Advantage NCPHI</t>
  </si>
  <si>
    <t>Medicaid CCO NCPHI</t>
  </si>
  <si>
    <t>Not roll up to Medicaid TCHE. It is in Medicare TCHE.</t>
  </si>
  <si>
    <t>THCE has duals in Medicare</t>
  </si>
  <si>
    <t>Medicaid CCO NCPHI including duals.</t>
  </si>
  <si>
    <t>2020-2021 Annual Report on the Performance of the Oregon Health Care System</t>
  </si>
  <si>
    <t>2020-2021</t>
  </si>
  <si>
    <t>2020-2021 Annual Report on the Performance of the Massachusetts Health Care System</t>
  </si>
  <si>
    <t>Components of Total Health Care Expenditures, Commercial Spending by Service Category, 2020-2021: Gross/Net of Prescription Drug Rebates</t>
  </si>
  <si>
    <t>Person (part A and/or Part B)</t>
  </si>
  <si>
    <t>The numbers include duals.</t>
  </si>
  <si>
    <t>THCE_NCPHI tab</t>
  </si>
  <si>
    <t>Demographic Score</t>
  </si>
  <si>
    <t>This is the number for provider organizations to compare</t>
  </si>
  <si>
    <t>This is the number for payer to compare</t>
  </si>
  <si>
    <t>Medicare part is not complete.</t>
  </si>
  <si>
    <t>Medicaid CCO Other Spending</t>
  </si>
  <si>
    <t>Total Medical Expenses</t>
  </si>
  <si>
    <t xml:space="preserve">Medicare FFS data is reported without the additional granularity for professional services. </t>
  </si>
  <si>
    <t>Statewide data are presented here with and without Medicare FFS data</t>
  </si>
  <si>
    <t xml:space="preserve">Net of prescription drug rebates </t>
  </si>
  <si>
    <t>Market</t>
  </si>
  <si>
    <t>Member Months in 2020</t>
  </si>
  <si>
    <t>Member Months in 2021</t>
  </si>
  <si>
    <t>TME PMPM Growth, Adjusted</t>
  </si>
  <si>
    <t>95% CI Lower</t>
  </si>
  <si>
    <t>95% CI Upper</t>
  </si>
  <si>
    <t>Type</t>
  </si>
  <si>
    <t>Number of Payers</t>
  </si>
  <si>
    <t>All</t>
  </si>
  <si>
    <t>Medicare Advantage + Medicaid + Commercial Full Claims</t>
  </si>
  <si>
    <t>MM &gt;= 60K</t>
  </si>
  <si>
    <t>Yamhill Community Care</t>
  </si>
  <si>
    <t xml:space="preserve">Gross of prescription drug rebates </t>
  </si>
  <si>
    <t>Group</t>
  </si>
  <si>
    <t>Provider Organization Name</t>
  </si>
  <si>
    <t>1. more than 20,000 attributed patients</t>
  </si>
  <si>
    <t>Oregon Medical Group</t>
  </si>
  <si>
    <t>Legacy Health</t>
  </si>
  <si>
    <t>Praxis Health</t>
  </si>
  <si>
    <t>PeaceHealth</t>
  </si>
  <si>
    <t>Salem Clinic</t>
  </si>
  <si>
    <t>2. 10,000 to 20,000 attributed patients</t>
  </si>
  <si>
    <t>The Corvallis Clinic</t>
  </si>
  <si>
    <t>Salem Health</t>
  </si>
  <si>
    <t>3. Fewer than 10,000 attributed patients</t>
  </si>
  <si>
    <t>Summit Health</t>
  </si>
  <si>
    <t>4. Pediatric practices</t>
  </si>
  <si>
    <t>Northwest Primary Care</t>
  </si>
  <si>
    <t>5. Federally qualified health centers (FQHCs)</t>
  </si>
  <si>
    <t>The Portland Clinic</t>
  </si>
  <si>
    <t>North Bend Medical Center</t>
  </si>
  <si>
    <t>Metropolitan Pediatrics</t>
  </si>
  <si>
    <t>6. Medicare Advantage</t>
  </si>
  <si>
    <t>The Children's Clinic</t>
  </si>
  <si>
    <t>Oregon Integrated Health</t>
  </si>
  <si>
    <t>Northwest Medical Homes</t>
  </si>
  <si>
    <t>Sky Lakes Medical Center</t>
  </si>
  <si>
    <t>WFMC Health</t>
  </si>
  <si>
    <t>Columbia Clinic</t>
  </si>
  <si>
    <t>Evergreen Family Medicine</t>
  </si>
  <si>
    <t>Adventist Health</t>
  </si>
  <si>
    <t>Grants Pass Clinic</t>
  </si>
  <si>
    <t>River Rock Family Practice</t>
  </si>
  <si>
    <t>Northwest Health Partners</t>
  </si>
  <si>
    <t>BestMed</t>
  </si>
  <si>
    <t>Yakima Valley Farm Workers Clinic</t>
  </si>
  <si>
    <t>Mosaic Medical</t>
  </si>
  <si>
    <t>La Clinica Del Valle</t>
  </si>
  <si>
    <t>Neighborhood Health Center</t>
  </si>
  <si>
    <t>Rogue Community Health</t>
  </si>
  <si>
    <t>Northwest Human Services</t>
  </si>
  <si>
    <t>Siskiyou Community Health Center</t>
  </si>
  <si>
    <t>Aviva Health</t>
  </si>
  <si>
    <t>Clackamas County Health Department</t>
  </si>
  <si>
    <t>Valley Family Health Care</t>
  </si>
  <si>
    <t>One Community Health</t>
  </si>
  <si>
    <t>Number of Provider Organizations</t>
  </si>
  <si>
    <t>TME (Gross of Rebates), Unadjusted</t>
  </si>
  <si>
    <t>TME (Gross of Rebates), Adjusted</t>
  </si>
  <si>
    <t>TME (Net of Rebates), Unadjusted</t>
  </si>
  <si>
    <t>TME (Net of Rebates), Adjusted</t>
  </si>
  <si>
    <t>CCO + Open Card+Other spend</t>
  </si>
  <si>
    <t>% of Member Months in 2020</t>
  </si>
  <si>
    <t>% of Member Months in 2021</t>
  </si>
  <si>
    <r>
      <t xml:space="preserve">Please contact </t>
    </r>
    <r>
      <rPr>
        <b/>
        <u/>
        <sz val="11"/>
        <color theme="5"/>
        <rFont val="Calibri"/>
        <family val="2"/>
        <scheme val="minor"/>
      </rPr>
      <t>HealthCare.CostTarget@oha.oregon.gov</t>
    </r>
    <r>
      <rPr>
        <sz val="11"/>
        <color theme="1"/>
        <rFont val="Calibri"/>
        <family val="2"/>
        <scheme val="minor"/>
      </rPr>
      <t xml:space="preserve"> with any questions. </t>
    </r>
  </si>
  <si>
    <t>Workbook Tabs</t>
  </si>
  <si>
    <t>Description</t>
  </si>
  <si>
    <t>THCE_Statewide</t>
  </si>
  <si>
    <t>THCE_Comm</t>
  </si>
  <si>
    <t>THCE_Mcare</t>
  </si>
  <si>
    <t>THCE_Maid</t>
  </si>
  <si>
    <t>THCE_NCPHI</t>
  </si>
  <si>
    <t>THCE_Other</t>
  </si>
  <si>
    <t>TME_StatewideServCat</t>
  </si>
  <si>
    <t>TME_Comm_ServCat</t>
  </si>
  <si>
    <t>TME_Mcare_ServCat</t>
  </si>
  <si>
    <t>TME_Maid_ServCat</t>
  </si>
  <si>
    <t>2023 Sustainable Health Care Cost Growth Target Annual Report - Databook</t>
  </si>
  <si>
    <t>Health Care Cost Growth Trends in Oregon, 2020-2021</t>
  </si>
  <si>
    <t xml:space="preserve">This databook provides the detailed state, market, payer and provider organization level data underlying the 2023 Sustainable Health Care Cost Growth Target Annual Report </t>
  </si>
  <si>
    <t>Total Health Care Expenditures (THCE) Statewide, 2020-2021</t>
  </si>
  <si>
    <t>THCE Commercial Market, 2020-2021</t>
  </si>
  <si>
    <t>THCE Medicare Market, 2020-2021</t>
  </si>
  <si>
    <t>THCE Medicaid Market, 2020-2021</t>
  </si>
  <si>
    <t>THCE Net Cost of Private Health Insurance by Market Sector, 2020-2021</t>
  </si>
  <si>
    <t>THCE Other Spending, 2020-2021</t>
  </si>
  <si>
    <t>Total Medical Expenses (TME) Spending by Service Category, Statewide, 2020-2021</t>
  </si>
  <si>
    <t>TME Spending by Service Category, Commercial, 2020-2021</t>
  </si>
  <si>
    <t>TME Spending by Service Category, Medicare, 2020-2021</t>
  </si>
  <si>
    <t>TME Spending by Service Category, Medicaid, 2020-2021</t>
  </si>
  <si>
    <t>Total Medical Expenses Spending by Service Category, Statewide</t>
  </si>
  <si>
    <t>Net and gross of prescription drug rebates</t>
  </si>
  <si>
    <t>Total Medical Expenses Spending by Service Category, Medicare</t>
  </si>
  <si>
    <t>Total Medical Expenses Spending by Service Category, Commercial</t>
  </si>
  <si>
    <t>Medicare Advantage + Medicare Advantage Duals</t>
  </si>
  <si>
    <t>Medicare Advantage only</t>
  </si>
  <si>
    <t>Medicaid Advantage Duals</t>
  </si>
  <si>
    <t>Medicaid (CCO + FFS + Duals)</t>
  </si>
  <si>
    <t>DOC</t>
  </si>
  <si>
    <t>OHA</t>
  </si>
  <si>
    <t>Dollars for Medicare duals are also in this row.</t>
  </si>
  <si>
    <t xml:space="preserve">Dollars for Medicaid duals are also in this row. </t>
  </si>
  <si>
    <t xml:space="preserve">The numbers inlcude duals. </t>
  </si>
  <si>
    <t>Total Health Care Expenditures: Other Spending</t>
  </si>
  <si>
    <t xml:space="preserve">Total Health Care Expenditures: Net Cost of Private Health Insurance </t>
  </si>
  <si>
    <t>By market sector</t>
  </si>
  <si>
    <t>QDP + HRA + HRS - these payments were excluded from CGT-1 data submissions and added in from Exhibit L reporting</t>
  </si>
  <si>
    <t>Total Health Care Expenditures: Commercial Market</t>
  </si>
  <si>
    <t>Total Health Care Expenditures: Statewide</t>
  </si>
  <si>
    <t>Total Health Care Expenditures: Medicare Market</t>
  </si>
  <si>
    <t>Total Health Care Expenditures: Medicaid Market</t>
  </si>
  <si>
    <t>No Rx rebates</t>
  </si>
  <si>
    <t>Comm_MM_Full_Partial</t>
  </si>
  <si>
    <t>Member Months in Commercial: Full Claims vs Commercial: Partial Claims</t>
  </si>
  <si>
    <t>TME_Payer</t>
  </si>
  <si>
    <t>Demographic Adjusted Total Medical Expenses Per Person Growth by Market by Payer</t>
  </si>
  <si>
    <t>Demographic Adjusted Total Medical Expenses Per Person Growth by Market by Provider Organizations</t>
  </si>
  <si>
    <t>Demographic adjusted TME per person growth by payer</t>
  </si>
  <si>
    <t>TME_Provider</t>
  </si>
  <si>
    <t>Demographic adjusted TME per person growth by provider organization</t>
  </si>
  <si>
    <t>exclude duals (see row 10); exclude rx rebates (see row 9)</t>
  </si>
  <si>
    <t>include rx rebates</t>
  </si>
  <si>
    <t xml:space="preserve">Note: Use values on the TME by payer tab for any Medicaid payer level comparison. </t>
  </si>
  <si>
    <t>Health Net Oregon</t>
  </si>
  <si>
    <t>Kaiser</t>
  </si>
  <si>
    <t>Moda</t>
  </si>
  <si>
    <t>Providence</t>
  </si>
  <si>
    <t>PacificSource Health</t>
  </si>
  <si>
    <t>Regence</t>
  </si>
  <si>
    <t>Samaritan</t>
  </si>
  <si>
    <t>UHC Company</t>
  </si>
  <si>
    <t>UHC Oregon</t>
  </si>
  <si>
    <t>Providence Health Assurance</t>
  </si>
  <si>
    <t>PacificSource Community</t>
  </si>
  <si>
    <t>Health Net Company</t>
  </si>
  <si>
    <t>ATRIO</t>
  </si>
  <si>
    <t>Health Share</t>
  </si>
  <si>
    <t>PacificSource - Marion Polk</t>
  </si>
  <si>
    <t>Medicaid FFS/Open Card</t>
  </si>
  <si>
    <t>PacificSource - Lane</t>
  </si>
  <si>
    <t>IHN - Samaritan</t>
  </si>
  <si>
    <t>PacificSource - Central OR</t>
  </si>
  <si>
    <t>EOCCO - Moda</t>
  </si>
  <si>
    <t>Jackson CCO - CareOregon</t>
  </si>
  <si>
    <t>Trillium CCO</t>
  </si>
  <si>
    <t>Umpqua CCO</t>
  </si>
  <si>
    <t>CPC - CareOregon</t>
  </si>
  <si>
    <t>Advanced Health</t>
  </si>
  <si>
    <t>Cascade Health</t>
  </si>
  <si>
    <t>PacificSource - Gorge</t>
  </si>
  <si>
    <t>Samaritan Health</t>
  </si>
  <si>
    <t>OHSU</t>
  </si>
  <si>
    <t>Asante</t>
  </si>
  <si>
    <t>St. Charles Health System</t>
  </si>
  <si>
    <t>Salem Pediatrics</t>
  </si>
  <si>
    <t>COPA</t>
  </si>
  <si>
    <t>Grande Ronde Hospital</t>
  </si>
  <si>
    <t>Asante Health</t>
  </si>
  <si>
    <t>CHAOS</t>
  </si>
  <si>
    <t>Hillsboro Pediatrics</t>
  </si>
  <si>
    <t>Sanford Children's</t>
  </si>
  <si>
    <t>Multnomah Co Health Dept</t>
  </si>
  <si>
    <t>Virginia Garcia</t>
  </si>
  <si>
    <t>Community Health Centers of Lane County</t>
  </si>
  <si>
    <t>Benton Co Health Dept</t>
  </si>
  <si>
    <t>Entity type</t>
  </si>
  <si>
    <t>Name in report</t>
  </si>
  <si>
    <t>Other name/full name</t>
  </si>
  <si>
    <t>payer</t>
  </si>
  <si>
    <t>Atrio Health Plans, Inc.</t>
  </si>
  <si>
    <t>Cascade Health Alliance</t>
  </si>
  <si>
    <t>Cigna Health And Life Insurance Company</t>
  </si>
  <si>
    <t>CPC – CareOregon</t>
  </si>
  <si>
    <t>Columbia Pacific CCO</t>
  </si>
  <si>
    <t>EOCCO – Moda</t>
  </si>
  <si>
    <t>Eastern Oregon CCO</t>
  </si>
  <si>
    <t>Health Net Life Insurance Company</t>
  </si>
  <si>
    <t>Health Net Health Plan Of Oregon, Inc.</t>
  </si>
  <si>
    <t>Health Share of Oregon</t>
  </si>
  <si>
    <t>IHN – Samaritan</t>
  </si>
  <si>
    <t>Intercommunity Health Network</t>
  </si>
  <si>
    <t>Jackson CCO – CareOregon</t>
  </si>
  <si>
    <t>Jackson Care Connect</t>
  </si>
  <si>
    <t>Kaiser Foundation Health Plan Of The Northwest</t>
  </si>
  <si>
    <t>Medicaid FFS</t>
  </si>
  <si>
    <t>Moda Health Plan, Inc.</t>
  </si>
  <si>
    <t>PacificSource – Central OR</t>
  </si>
  <si>
    <t>PacificSource Central</t>
  </si>
  <si>
    <t>PacificSource – Gorge</t>
  </si>
  <si>
    <t>PacificSource Gorge</t>
  </si>
  <si>
    <t>PacificSource – Lane</t>
  </si>
  <si>
    <t>PacificSource Lane</t>
  </si>
  <si>
    <t>PacificSource – Marion Polk</t>
  </si>
  <si>
    <t>PacificSource Marion Polk</t>
  </si>
  <si>
    <t>PacificSource Community Health Plans</t>
  </si>
  <si>
    <t>PacificSource Health Plans</t>
  </si>
  <si>
    <t>Providence Health Plan</t>
  </si>
  <si>
    <t>Regence Bluecross Blueshield Of Oregon</t>
  </si>
  <si>
    <t>Trillium Community Health Plan, Inc.</t>
  </si>
  <si>
    <t>UnitedHealthcare Insurance Company</t>
  </si>
  <si>
    <t>UnitedHealthcare Of Oregon, Inc.</t>
  </si>
  <si>
    <t>Umpqua Health Alliance</t>
  </si>
  <si>
    <t>provider organization</t>
  </si>
  <si>
    <t xml:space="preserve">Adventist Health </t>
  </si>
  <si>
    <t>Asante Health System</t>
  </si>
  <si>
    <t>Benton County Health Department / Community Health Centers of Benton &amp; Linn Counties</t>
  </si>
  <si>
    <t>Childhood Health Associates of Salem</t>
  </si>
  <si>
    <t>Clackamas Co Health Dept</t>
  </si>
  <si>
    <t>Central Oregon Pediatric Associates</t>
  </si>
  <si>
    <t>Grande Ronde Hospital and Clinics</t>
  </si>
  <si>
    <t>Hillsboro Pediatric Clinic</t>
  </si>
  <si>
    <t>Kaiser Permanente</t>
  </si>
  <si>
    <t>La Clinica</t>
  </si>
  <si>
    <t>La Clinica del Valle</t>
  </si>
  <si>
    <t xml:space="preserve">Legacy Health </t>
  </si>
  <si>
    <t>Mosaic Community Health</t>
  </si>
  <si>
    <t xml:space="preserve">Mosaic Medical </t>
  </si>
  <si>
    <t>Multnomah County Health Department</t>
  </si>
  <si>
    <t xml:space="preserve">North Bend Medical Center </t>
  </si>
  <si>
    <t xml:space="preserve">Northwest Primary Care </t>
  </si>
  <si>
    <t>Oregon Health &amp; Science University</t>
  </si>
  <si>
    <t xml:space="preserve">Oregon Integrated Health </t>
  </si>
  <si>
    <t xml:space="preserve">PeaceHealth </t>
  </si>
  <si>
    <t>Providence Health &amp; Services</t>
  </si>
  <si>
    <t xml:space="preserve">Salem Health </t>
  </si>
  <si>
    <t>Salem Pediatric Clinic</t>
  </si>
  <si>
    <t>Samaritan Health Services</t>
  </si>
  <si>
    <t>Sanford Children's Clinic</t>
  </si>
  <si>
    <t>Siskiyou CHC</t>
  </si>
  <si>
    <t>Summit Health / Bend Memorial Clinic</t>
  </si>
  <si>
    <t>Virginia Garcia Memorial Health Center</t>
  </si>
  <si>
    <t>Willamette Family Medical Center</t>
  </si>
  <si>
    <t>Entity_Name</t>
  </si>
  <si>
    <t>Entity name key</t>
  </si>
  <si>
    <t xml:space="preserve">Key with full and abbreviated names of payers and provider organizations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</si>
</sst>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%"/>
    <numFmt numFmtId="167" formatCode="&quot;$&quot;#,##0"/>
    <numFmt numFmtId="168" formatCode="#,##0.0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</font>
    <font>
      <b/>
      <u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Calibri"/>
      <family val="2"/>
    </font>
    <font>
      <b/>
      <sz val="12"/>
      <color rgb="FF0082AC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1F497D"/>
      <name val="Rockwell"/>
      <family val="1"/>
    </font>
    <font>
      <sz val="12"/>
      <color rgb="FF003F6F"/>
      <name val="Rockwell"/>
      <family val="1"/>
    </font>
    <font>
      <b/>
      <u/>
      <sz val="11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B9BD5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71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1" applyNumberFormat="0" applyAlignment="0" applyProtection="0"/>
    <xf numFmtId="0" fontId="17" fillId="9" borderId="12" applyNumberFormat="0" applyAlignment="0" applyProtection="0"/>
    <xf numFmtId="0" fontId="18" fillId="9" borderId="11" applyNumberFormat="0" applyAlignment="0" applyProtection="0"/>
    <xf numFmtId="0" fontId="19" fillId="0" borderId="13" applyNumberFormat="0" applyFill="0" applyAlignment="0" applyProtection="0"/>
    <xf numFmtId="0" fontId="20" fillId="10" borderId="14" applyNumberFormat="0" applyAlignment="0" applyProtection="0"/>
    <xf numFmtId="0" fontId="21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3" fillId="35" borderId="0" applyNumberFormat="0" applyBorder="0" applyAlignment="0" applyProtection="0"/>
    <xf numFmtId="0" fontId="24" fillId="0" borderId="0"/>
    <xf numFmtId="0" fontId="24" fillId="0" borderId="0"/>
    <xf numFmtId="0" fontId="8" fillId="0" borderId="0"/>
    <xf numFmtId="0" fontId="25" fillId="36" borderId="0" applyNumberFormat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15" applyNumberFormat="0" applyFont="0" applyAlignment="0" applyProtection="0"/>
    <xf numFmtId="0" fontId="2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</cellStyleXfs>
  <cellXfs count="135">
    <xf numFmtId="0" fontId="0" fillId="0" borderId="0" xfId="0"/>
    <xf numFmtId="0" fontId="0" fillId="2" borderId="0" xfId="0" applyFill="1"/>
    <xf numFmtId="0" fontId="3" fillId="0" borderId="0" xfId="0" applyFont="1" applyFill="1" applyAlignment="1"/>
    <xf numFmtId="16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/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0" fillId="0" borderId="1" xfId="0" applyBorder="1"/>
    <xf numFmtId="166" fontId="0" fillId="0" borderId="1" xfId="0" applyNumberFormat="1" applyBorder="1"/>
    <xf numFmtId="0" fontId="0" fillId="0" borderId="0" xfId="0" applyAlignment="1">
      <alignment horizontal="center"/>
    </xf>
    <xf numFmtId="167" fontId="0" fillId="0" borderId="1" xfId="0" applyNumberFormat="1" applyBorder="1"/>
    <xf numFmtId="4" fontId="0" fillId="0" borderId="0" xfId="0" applyNumberFormat="1"/>
    <xf numFmtId="3" fontId="0" fillId="0" borderId="0" xfId="0" applyNumberFormat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166" fontId="0" fillId="0" borderId="0" xfId="0" applyNumberFormat="1" applyBorder="1"/>
    <xf numFmtId="0" fontId="2" fillId="0" borderId="0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0" xfId="0"/>
    <xf numFmtId="0" fontId="4" fillId="0" borderId="1" xfId="2" applyBorder="1"/>
    <xf numFmtId="0" fontId="4" fillId="0" borderId="1" xfId="2" applyFont="1" applyBorder="1"/>
    <xf numFmtId="0" fontId="21" fillId="0" borderId="0" xfId="0" applyFont="1"/>
    <xf numFmtId="167" fontId="0" fillId="0" borderId="1" xfId="1" applyNumberFormat="1" applyFont="1" applyBorder="1"/>
    <xf numFmtId="167" fontId="6" fillId="0" borderId="1" xfId="1" applyNumberFormat="1" applyFont="1" applyBorder="1"/>
    <xf numFmtId="167" fontId="0" fillId="0" borderId="1" xfId="0" applyNumberFormat="1" applyFont="1" applyBorder="1" applyAlignment="1">
      <alignment horizontal="right"/>
    </xf>
    <xf numFmtId="0" fontId="21" fillId="0" borderId="1" xfId="0" applyFont="1" applyBorder="1"/>
    <xf numFmtId="0" fontId="3" fillId="0" borderId="0" xfId="0" applyFont="1"/>
    <xf numFmtId="164" fontId="5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top"/>
    </xf>
    <xf numFmtId="3" fontId="0" fillId="0" borderId="1" xfId="1" applyNumberFormat="1" applyFont="1" applyBorder="1"/>
    <xf numFmtId="0" fontId="7" fillId="0" borderId="1" xfId="0" applyFont="1" applyFill="1" applyBorder="1"/>
    <xf numFmtId="0" fontId="2" fillId="0" borderId="0" xfId="0" applyFont="1"/>
    <xf numFmtId="0" fontId="21" fillId="0" borderId="0" xfId="0" applyFont="1" applyAlignment="1">
      <alignment horizontal="left"/>
    </xf>
    <xf numFmtId="0" fontId="4" fillId="0" borderId="0" xfId="2" applyFont="1" applyBorder="1"/>
    <xf numFmtId="3" fontId="0" fillId="0" borderId="0" xfId="1" applyNumberFormat="1" applyFont="1" applyBorder="1"/>
    <xf numFmtId="0" fontId="2" fillId="4" borderId="1" xfId="0" applyFont="1" applyFill="1" applyBorder="1"/>
    <xf numFmtId="0" fontId="0" fillId="4" borderId="1" xfId="0" applyFill="1" applyBorder="1"/>
    <xf numFmtId="167" fontId="2" fillId="4" borderId="1" xfId="0" applyNumberFormat="1" applyFont="1" applyFill="1" applyBorder="1"/>
    <xf numFmtId="166" fontId="2" fillId="4" borderId="1" xfId="0" applyNumberFormat="1" applyFont="1" applyFill="1" applyBorder="1"/>
    <xf numFmtId="0" fontId="6" fillId="0" borderId="1" xfId="0" applyFont="1" applyBorder="1"/>
    <xf numFmtId="0" fontId="2" fillId="0" borderId="1" xfId="0" applyFont="1" applyBorder="1"/>
    <xf numFmtId="0" fontId="27" fillId="0" borderId="1" xfId="2" applyFont="1" applyBorder="1"/>
    <xf numFmtId="3" fontId="2" fillId="0" borderId="1" xfId="1" applyNumberFormat="1" applyFont="1" applyBorder="1"/>
    <xf numFmtId="166" fontId="2" fillId="0" borderId="1" xfId="0" applyNumberFormat="1" applyFont="1" applyBorder="1"/>
    <xf numFmtId="0" fontId="28" fillId="0" borderId="1" xfId="0" applyFont="1" applyBorder="1"/>
    <xf numFmtId="0" fontId="2" fillId="0" borderId="1" xfId="0" applyFont="1" applyFill="1" applyBorder="1"/>
    <xf numFmtId="167" fontId="2" fillId="0" borderId="1" xfId="0" applyNumberFormat="1" applyFont="1" applyBorder="1"/>
    <xf numFmtId="0" fontId="28" fillId="0" borderId="0" xfId="0" applyFont="1"/>
    <xf numFmtId="165" fontId="0" fillId="0" borderId="0" xfId="0" applyNumberFormat="1"/>
    <xf numFmtId="167" fontId="2" fillId="4" borderId="1" xfId="1" applyNumberFormat="1" applyFont="1" applyFill="1" applyBorder="1"/>
    <xf numFmtId="0" fontId="0" fillId="0" borderId="1" xfId="0" applyFont="1" applyBorder="1"/>
    <xf numFmtId="167" fontId="2" fillId="0" borderId="0" xfId="0" applyNumberFormat="1" applyFont="1" applyFill="1" applyBorder="1"/>
    <xf numFmtId="166" fontId="2" fillId="0" borderId="0" xfId="0" applyNumberFormat="1" applyFont="1" applyFill="1" applyBorder="1"/>
    <xf numFmtId="165" fontId="0" fillId="0" borderId="1" xfId="1" applyNumberFormat="1" applyFont="1" applyBorder="1"/>
    <xf numFmtId="3" fontId="2" fillId="0" borderId="1" xfId="0" applyNumberFormat="1" applyFont="1" applyBorder="1"/>
    <xf numFmtId="166" fontId="0" fillId="4" borderId="1" xfId="0" applyNumberFormat="1" applyFill="1" applyBorder="1"/>
    <xf numFmtId="0" fontId="6" fillId="0" borderId="0" xfId="0" applyFont="1"/>
    <xf numFmtId="165" fontId="2" fillId="0" borderId="1" xfId="1" applyNumberFormat="1" applyFont="1" applyBorder="1"/>
    <xf numFmtId="0" fontId="7" fillId="4" borderId="1" xfId="0" applyFont="1" applyFill="1" applyBorder="1"/>
    <xf numFmtId="167" fontId="7" fillId="4" borderId="1" xfId="1" applyNumberFormat="1" applyFont="1" applyFill="1" applyBorder="1"/>
    <xf numFmtId="166" fontId="0" fillId="0" borderId="1" xfId="68" applyNumberFormat="1" applyFont="1" applyBorder="1"/>
    <xf numFmtId="9" fontId="0" fillId="0" borderId="1" xfId="68" applyFont="1" applyBorder="1"/>
    <xf numFmtId="0" fontId="29" fillId="0" borderId="1" xfId="0" applyFont="1" applyBorder="1"/>
    <xf numFmtId="0" fontId="29" fillId="0" borderId="17" xfId="2" applyFont="1" applyFill="1" applyBorder="1"/>
    <xf numFmtId="0" fontId="29" fillId="0" borderId="0" xfId="0" applyFont="1"/>
    <xf numFmtId="167" fontId="0" fillId="0" borderId="1" xfId="0" applyNumberFormat="1" applyFill="1" applyBorder="1"/>
    <xf numFmtId="166" fontId="0" fillId="0" borderId="1" xfId="0" applyNumberFormat="1" applyFill="1" applyBorder="1"/>
    <xf numFmtId="0" fontId="6" fillId="0" borderId="1" xfId="0" applyFont="1" applyFill="1" applyBorder="1"/>
    <xf numFmtId="165" fontId="0" fillId="0" borderId="1" xfId="0" applyNumberFormat="1" applyFont="1" applyBorder="1"/>
    <xf numFmtId="165" fontId="2" fillId="0" borderId="1" xfId="0" applyNumberFormat="1" applyFont="1" applyBorder="1"/>
    <xf numFmtId="44" fontId="0" fillId="0" borderId="1" xfId="1" applyNumberFormat="1" applyFont="1" applyBorder="1"/>
    <xf numFmtId="44" fontId="2" fillId="0" borderId="1" xfId="1" applyNumberFormat="1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/>
    <xf numFmtId="9" fontId="0" fillId="0" borderId="0" xfId="68" applyFont="1"/>
    <xf numFmtId="0" fontId="6" fillId="0" borderId="1" xfId="2" applyFont="1" applyFill="1" applyBorder="1"/>
    <xf numFmtId="0" fontId="21" fillId="4" borderId="1" xfId="0" applyFont="1" applyFill="1" applyBorder="1"/>
    <xf numFmtId="0" fontId="28" fillId="0" borderId="0" xfId="0" applyFont="1" applyFill="1" applyBorder="1"/>
    <xf numFmtId="0" fontId="0" fillId="3" borderId="1" xfId="0" applyFill="1" applyBorder="1"/>
    <xf numFmtId="0" fontId="4" fillId="3" borderId="1" xfId="2" applyFill="1" applyBorder="1"/>
    <xf numFmtId="167" fontId="0" fillId="3" borderId="1" xfId="0" applyNumberFormat="1" applyFill="1" applyBorder="1"/>
    <xf numFmtId="166" fontId="0" fillId="3" borderId="1" xfId="0" applyNumberFormat="1" applyFill="1" applyBorder="1"/>
    <xf numFmtId="0" fontId="6" fillId="3" borderId="1" xfId="0" applyFont="1" applyFill="1" applyBorder="1"/>
    <xf numFmtId="3" fontId="0" fillId="3" borderId="1" xfId="1" applyNumberFormat="1" applyFont="1" applyFill="1" applyBorder="1"/>
    <xf numFmtId="44" fontId="0" fillId="3" borderId="1" xfId="1" applyNumberFormat="1" applyFont="1" applyFill="1" applyBorder="1"/>
    <xf numFmtId="0" fontId="26" fillId="0" borderId="1" xfId="2" applyFont="1" applyFill="1" applyBorder="1"/>
    <xf numFmtId="167" fontId="0" fillId="0" borderId="1" xfId="1" applyNumberFormat="1" applyFont="1" applyFill="1" applyBorder="1"/>
    <xf numFmtId="167" fontId="6" fillId="0" borderId="1" xfId="1" applyNumberFormat="1" applyFont="1" applyFill="1" applyBorder="1"/>
    <xf numFmtId="167" fontId="0" fillId="0" borderId="1" xfId="0" applyNumberFormat="1" applyFont="1" applyFill="1" applyBorder="1" applyAlignment="1">
      <alignment horizontal="right"/>
    </xf>
    <xf numFmtId="0" fontId="21" fillId="0" borderId="1" xfId="0" applyFont="1" applyFill="1" applyBorder="1"/>
    <xf numFmtId="3" fontId="0" fillId="0" borderId="1" xfId="0" applyNumberFormat="1" applyFill="1" applyBorder="1"/>
    <xf numFmtId="3" fontId="0" fillId="0" borderId="1" xfId="0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0" fontId="28" fillId="0" borderId="1" xfId="0" applyFont="1" applyFill="1" applyBorder="1"/>
    <xf numFmtId="164" fontId="31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top"/>
    </xf>
    <xf numFmtId="164" fontId="32" fillId="0" borderId="0" xfId="0" applyNumberFormat="1" applyFont="1" applyAlignment="1">
      <alignment horizontal="left" vertical="center"/>
    </xf>
    <xf numFmtId="0" fontId="33" fillId="0" borderId="1" xfId="0" applyFont="1" applyBorder="1"/>
    <xf numFmtId="3" fontId="34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/>
    <xf numFmtId="3" fontId="35" fillId="0" borderId="1" xfId="0" applyNumberFormat="1" applyFont="1" applyBorder="1"/>
    <xf numFmtId="166" fontId="35" fillId="0" borderId="1" xfId="0" applyNumberFormat="1" applyFont="1" applyBorder="1"/>
    <xf numFmtId="166" fontId="35" fillId="0" borderId="0" xfId="0" applyNumberFormat="1" applyFont="1"/>
    <xf numFmtId="3" fontId="0" fillId="0" borderId="1" xfId="0" applyNumberFormat="1" applyBorder="1"/>
    <xf numFmtId="3" fontId="33" fillId="0" borderId="1" xfId="0" applyNumberFormat="1" applyFont="1" applyBorder="1"/>
    <xf numFmtId="0" fontId="33" fillId="0" borderId="0" xfId="0" applyFont="1" applyBorder="1"/>
    <xf numFmtId="3" fontId="33" fillId="0" borderId="0" xfId="0" applyNumberFormat="1" applyFont="1" applyBorder="1"/>
    <xf numFmtId="0" fontId="34" fillId="0" borderId="1" xfId="0" applyFont="1" applyFill="1" applyBorder="1"/>
    <xf numFmtId="9" fontId="2" fillId="0" borderId="1" xfId="68" applyFont="1" applyBorder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" fillId="2" borderId="18" xfId="0" applyFont="1" applyFill="1" applyBorder="1"/>
    <xf numFmtId="0" fontId="0" fillId="2" borderId="18" xfId="0" applyFill="1" applyBorder="1"/>
    <xf numFmtId="0" fontId="0" fillId="2" borderId="0" xfId="0" applyFill="1" applyAlignment="1">
      <alignment horizontal="left"/>
    </xf>
    <xf numFmtId="3" fontId="2" fillId="0" borderId="1" xfId="0" applyNumberFormat="1" applyFont="1" applyFill="1" applyBorder="1"/>
    <xf numFmtId="166" fontId="2" fillId="0" borderId="1" xfId="0" applyNumberFormat="1" applyFont="1" applyFill="1" applyBorder="1"/>
    <xf numFmtId="168" fontId="2" fillId="0" borderId="1" xfId="0" applyNumberFormat="1" applyFont="1" applyFill="1" applyBorder="1"/>
    <xf numFmtId="3" fontId="2" fillId="0" borderId="1" xfId="1" applyNumberFormat="1" applyFont="1" applyFill="1" applyBorder="1"/>
    <xf numFmtId="168" fontId="2" fillId="0" borderId="1" xfId="1" applyNumberFormat="1" applyFont="1" applyFill="1" applyBorder="1"/>
    <xf numFmtId="0" fontId="0" fillId="37" borderId="1" xfId="0" applyFill="1" applyBorder="1"/>
    <xf numFmtId="164" fontId="39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wrapText="1"/>
    </xf>
    <xf numFmtId="0" fontId="35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71">
    <cellStyle name="20% - Accent1" xfId="21" builtinId="30" customBuiltin="1"/>
    <cellStyle name="20% - Accent1 2" xfId="56" xr:uid="{00000000-0005-0000-0000-000001000000}"/>
    <cellStyle name="20% - Accent2" xfId="25" builtinId="34" customBuiltin="1"/>
    <cellStyle name="20% - Accent2 2" xfId="58" xr:uid="{00000000-0005-0000-0000-000003000000}"/>
    <cellStyle name="20% - Accent3" xfId="29" builtinId="38" customBuiltin="1"/>
    <cellStyle name="20% - Accent3 2" xfId="60" xr:uid="{00000000-0005-0000-0000-000005000000}"/>
    <cellStyle name="20% - Accent4" xfId="33" builtinId="42" customBuiltin="1"/>
    <cellStyle name="20% - Accent4 2" xfId="62" xr:uid="{00000000-0005-0000-0000-000007000000}"/>
    <cellStyle name="20% - Accent5" xfId="37" builtinId="46" customBuiltin="1"/>
    <cellStyle name="20% - Accent5 2" xfId="64" xr:uid="{00000000-0005-0000-0000-000009000000}"/>
    <cellStyle name="20% - Accent6" xfId="41" builtinId="50" customBuiltin="1"/>
    <cellStyle name="20% - Accent6 2" xfId="66" xr:uid="{00000000-0005-0000-0000-00000B000000}"/>
    <cellStyle name="40% - Accent1" xfId="22" builtinId="31" customBuiltin="1"/>
    <cellStyle name="40% - Accent1 2" xfId="57" xr:uid="{00000000-0005-0000-0000-00000D000000}"/>
    <cellStyle name="40% - Accent2" xfId="26" builtinId="35" customBuiltin="1"/>
    <cellStyle name="40% - Accent2 2" xfId="59" xr:uid="{00000000-0005-0000-0000-00000F000000}"/>
    <cellStyle name="40% - Accent3" xfId="30" builtinId="39" customBuiltin="1"/>
    <cellStyle name="40% - Accent3 2" xfId="61" xr:uid="{00000000-0005-0000-0000-000011000000}"/>
    <cellStyle name="40% - Accent4" xfId="34" builtinId="43" customBuiltin="1"/>
    <cellStyle name="40% - Accent4 2" xfId="63" xr:uid="{00000000-0005-0000-0000-000013000000}"/>
    <cellStyle name="40% - Accent5" xfId="38" builtinId="47" customBuiltin="1"/>
    <cellStyle name="40% - Accent5 2" xfId="65" xr:uid="{00000000-0005-0000-0000-000015000000}"/>
    <cellStyle name="40% - Accent6" xfId="42" builtinId="51" customBuiltin="1"/>
    <cellStyle name="40% - Accent6 2" xfId="67" xr:uid="{00000000-0005-0000-0000-000017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1 2" xfId="55" xr:uid="{00000000-0005-0000-0000-00001F000000}"/>
    <cellStyle name="Accent1 3" xfId="47" xr:uid="{00000000-0005-0000-0000-000020000000}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8" xr:uid="{00000000-0005-0000-0000-00002A000000}"/>
    <cellStyle name="Comma 2 2" xfId="69" xr:uid="{2C9B0058-1106-4305-8D5E-48B799511833}"/>
    <cellStyle name="Comma 3" xfId="52" xr:uid="{00000000-0005-0000-0000-00002B000000}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00000000-0005-0000-0000-000038000000}"/>
    <cellStyle name="Normal 2 2" xfId="49" xr:uid="{00000000-0005-0000-0000-000039000000}"/>
    <cellStyle name="Normal 2 3" xfId="70" xr:uid="{497EFC48-0424-495E-9DEF-053FF56C4DD1}"/>
    <cellStyle name="Normal 3" xfId="44" xr:uid="{00000000-0005-0000-0000-00003A000000}"/>
    <cellStyle name="Normal 3 2" xfId="51" xr:uid="{00000000-0005-0000-0000-00003B000000}"/>
    <cellStyle name="Normal 4" xfId="46" xr:uid="{00000000-0005-0000-0000-00003C000000}"/>
    <cellStyle name="Note" xfId="17" builtinId="10" customBuiltin="1"/>
    <cellStyle name="Note 2" xfId="54" xr:uid="{00000000-0005-0000-0000-00003E000000}"/>
    <cellStyle name="Output" xfId="12" builtinId="21" customBuiltin="1"/>
    <cellStyle name="Percent" xfId="68" builtinId="5"/>
    <cellStyle name="Percent 2" xfId="50" xr:uid="{00000000-0005-0000-0000-000041000000}"/>
    <cellStyle name="Percent 3" xfId="53" xr:uid="{00000000-0005-0000-0000-000042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82AC"/>
      <color rgb="FFE6F2D1"/>
      <color rgb="FFCDE5A4"/>
      <color rgb="FFB5D876"/>
      <color rgb="FF7DA830"/>
      <color rgb="FF5E7E24"/>
      <color rgb="FF3F5418"/>
      <color rgb="FF5D7D24"/>
      <color rgb="FF3E5418"/>
      <color rgb="FFB06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F497D"/>
      </a:accent1>
      <a:accent2>
        <a:srgbClr val="0078A3"/>
      </a:accent2>
      <a:accent3>
        <a:srgbClr val="00AAE6"/>
      </a:accent3>
      <a:accent4>
        <a:srgbClr val="A01C3F"/>
      </a:accent4>
      <a:accent5>
        <a:srgbClr val="7DA830"/>
      </a:accent5>
      <a:accent6>
        <a:srgbClr val="E1821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zoomScaleNormal="100" workbookViewId="0">
      <selection activeCell="L16" sqref="L16"/>
    </sheetView>
  </sheetViews>
  <sheetFormatPr defaultColWidth="9.1796875" defaultRowHeight="14.5" x14ac:dyDescent="0.35"/>
  <cols>
    <col min="1" max="1" width="9.1796875" style="1"/>
    <col min="2" max="2" width="15.81640625" style="1" customWidth="1"/>
    <col min="3" max="16384" width="9.1796875" style="1"/>
  </cols>
  <sheetData>
    <row r="1" spans="1:8" ht="28.5" x14ac:dyDescent="0.35">
      <c r="A1" s="114" t="s">
        <v>205</v>
      </c>
    </row>
    <row r="2" spans="1:8" ht="15" x14ac:dyDescent="0.35">
      <c r="A2" s="115" t="s">
        <v>204</v>
      </c>
    </row>
    <row r="5" spans="1:8" x14ac:dyDescent="0.35">
      <c r="A5" s="1" t="s">
        <v>206</v>
      </c>
    </row>
    <row r="6" spans="1:8" x14ac:dyDescent="0.35">
      <c r="A6" s="1" t="s">
        <v>191</v>
      </c>
    </row>
    <row r="8" spans="1:8" ht="15.75" customHeight="1" x14ac:dyDescent="0.35">
      <c r="A8" s="116" t="s">
        <v>192</v>
      </c>
      <c r="B8" s="117"/>
      <c r="C8" s="116" t="s">
        <v>193</v>
      </c>
      <c r="D8" s="117"/>
      <c r="E8" s="117"/>
      <c r="F8" s="117"/>
      <c r="G8" s="117"/>
      <c r="H8" s="117"/>
    </row>
    <row r="9" spans="1:8" x14ac:dyDescent="0.35">
      <c r="A9" s="1" t="s">
        <v>194</v>
      </c>
      <c r="C9" s="1" t="s">
        <v>207</v>
      </c>
    </row>
    <row r="10" spans="1:8" x14ac:dyDescent="0.35">
      <c r="A10" s="1" t="s">
        <v>195</v>
      </c>
      <c r="C10" s="1" t="s">
        <v>208</v>
      </c>
    </row>
    <row r="11" spans="1:8" x14ac:dyDescent="0.35">
      <c r="A11" s="1" t="s">
        <v>196</v>
      </c>
      <c r="C11" s="1" t="s">
        <v>209</v>
      </c>
    </row>
    <row r="12" spans="1:8" x14ac:dyDescent="0.35">
      <c r="A12" s="1" t="s">
        <v>197</v>
      </c>
      <c r="C12" s="1" t="s">
        <v>210</v>
      </c>
    </row>
    <row r="13" spans="1:8" x14ac:dyDescent="0.35">
      <c r="A13" s="1" t="s">
        <v>198</v>
      </c>
      <c r="C13" s="1" t="s">
        <v>211</v>
      </c>
    </row>
    <row r="14" spans="1:8" x14ac:dyDescent="0.35">
      <c r="A14" s="1" t="s">
        <v>199</v>
      </c>
      <c r="C14" s="1" t="s">
        <v>212</v>
      </c>
    </row>
    <row r="16" spans="1:8" x14ac:dyDescent="0.35">
      <c r="A16" s="1" t="s">
        <v>200</v>
      </c>
      <c r="C16" s="118" t="s">
        <v>213</v>
      </c>
    </row>
    <row r="17" spans="1:3" x14ac:dyDescent="0.35">
      <c r="A17" s="1" t="s">
        <v>201</v>
      </c>
      <c r="C17" s="1" t="s">
        <v>214</v>
      </c>
    </row>
    <row r="18" spans="1:3" x14ac:dyDescent="0.35">
      <c r="A18" s="1" t="s">
        <v>202</v>
      </c>
      <c r="C18" s="1" t="s">
        <v>215</v>
      </c>
    </row>
    <row r="19" spans="1:3" x14ac:dyDescent="0.35">
      <c r="A19" s="1" t="s">
        <v>203</v>
      </c>
      <c r="C19" s="1" t="s">
        <v>216</v>
      </c>
    </row>
    <row r="21" spans="1:3" x14ac:dyDescent="0.35">
      <c r="A21" s="1" t="s">
        <v>239</v>
      </c>
      <c r="C21" s="1" t="s">
        <v>240</v>
      </c>
    </row>
    <row r="22" spans="1:3" x14ac:dyDescent="0.35">
      <c r="A22" s="1" t="s">
        <v>241</v>
      </c>
      <c r="C22" s="1" t="s">
        <v>244</v>
      </c>
    </row>
    <row r="23" spans="1:3" x14ac:dyDescent="0.35">
      <c r="A23" s="1" t="s">
        <v>245</v>
      </c>
      <c r="C23" s="1" t="s">
        <v>246</v>
      </c>
    </row>
    <row r="24" spans="1:3" x14ac:dyDescent="0.35">
      <c r="A24" s="1" t="s">
        <v>359</v>
      </c>
      <c r="C24" s="1" t="s">
        <v>361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1203-8EE3-4577-9432-09A7BB4E6642}">
  <sheetPr>
    <tabColor theme="5"/>
  </sheetPr>
  <dimension ref="A1:W56"/>
  <sheetViews>
    <sheetView zoomScaleNormal="100" workbookViewId="0"/>
  </sheetViews>
  <sheetFormatPr defaultRowHeight="14.5" x14ac:dyDescent="0.35"/>
  <cols>
    <col min="1" max="1" width="41.54296875" style="20" customWidth="1"/>
    <col min="2" max="2" width="19.7265625" style="20" customWidth="1"/>
    <col min="3" max="3" width="20" style="20" bestFit="1" customWidth="1"/>
    <col min="4" max="4" width="16.453125" style="20" customWidth="1"/>
    <col min="5" max="5" width="17.7265625" style="20" customWidth="1"/>
    <col min="6" max="6" width="18.26953125" style="20" customWidth="1"/>
    <col min="7" max="7" width="37.7265625" style="20" customWidth="1"/>
    <col min="8" max="8" width="19.7265625" style="20" customWidth="1"/>
    <col min="9" max="9" width="20" style="20" bestFit="1" customWidth="1"/>
    <col min="10" max="10" width="16.453125" style="20" customWidth="1"/>
    <col min="11" max="11" width="26.54296875" style="20" customWidth="1"/>
    <col min="12" max="12" width="8.7265625" style="20"/>
    <col min="13" max="13" width="40" style="20" bestFit="1" customWidth="1"/>
    <col min="14" max="14" width="19.7265625" style="20" customWidth="1"/>
    <col min="15" max="15" width="20" style="20" bestFit="1" customWidth="1"/>
    <col min="16" max="16" width="16.453125" style="20" customWidth="1"/>
    <col min="17" max="17" width="17.7265625" style="20" customWidth="1"/>
    <col min="19" max="19" width="37.7265625" style="20" customWidth="1"/>
    <col min="20" max="20" width="19.7265625" style="20" customWidth="1"/>
    <col min="21" max="21" width="20" style="20" bestFit="1" customWidth="1"/>
    <col min="22" max="22" width="16.453125" style="20" customWidth="1"/>
    <col min="23" max="23" width="17.7265625" style="20" customWidth="1"/>
  </cols>
  <sheetData>
    <row r="1" spans="1:23" ht="18.5" x14ac:dyDescent="0.45">
      <c r="A1" s="2" t="s">
        <v>111</v>
      </c>
      <c r="B1" s="2"/>
      <c r="C1" s="2"/>
      <c r="D1" s="2"/>
      <c r="H1" s="2"/>
      <c r="I1" s="2"/>
      <c r="J1" s="2"/>
      <c r="N1" s="2"/>
      <c r="O1" s="2"/>
      <c r="P1" s="2"/>
      <c r="S1" s="2"/>
      <c r="T1" s="2"/>
      <c r="U1" s="2"/>
      <c r="V1" s="2"/>
    </row>
    <row r="2" spans="1:23" ht="15.5" x14ac:dyDescent="0.35">
      <c r="A2" s="29" t="s">
        <v>219</v>
      </c>
      <c r="B2" s="4"/>
      <c r="C2" s="4"/>
      <c r="D2" s="4"/>
      <c r="G2" s="3" t="s">
        <v>124</v>
      </c>
      <c r="H2" s="4"/>
      <c r="I2" s="4"/>
      <c r="J2" s="4"/>
      <c r="N2" s="4"/>
      <c r="O2" s="4"/>
      <c r="P2" s="4"/>
      <c r="S2" s="3"/>
      <c r="T2" s="4"/>
      <c r="U2" s="4"/>
      <c r="V2" s="4"/>
    </row>
    <row r="3" spans="1:23" ht="15.5" x14ac:dyDescent="0.35">
      <c r="A3" s="31" t="s">
        <v>218</v>
      </c>
      <c r="B3" s="6"/>
      <c r="C3" s="6"/>
      <c r="D3" s="6"/>
      <c r="G3" s="3" t="s">
        <v>125</v>
      </c>
      <c r="H3" s="6"/>
      <c r="I3" s="6"/>
      <c r="J3" s="6"/>
      <c r="N3" s="6"/>
      <c r="O3" s="6"/>
      <c r="P3" s="6"/>
      <c r="S3" s="5"/>
      <c r="T3" s="6"/>
      <c r="U3" s="6"/>
      <c r="V3" s="6"/>
    </row>
    <row r="4" spans="1:23" ht="15.5" x14ac:dyDescent="0.35">
      <c r="A4" s="5"/>
      <c r="B4" s="6"/>
      <c r="C4" s="6"/>
      <c r="D4" s="6"/>
      <c r="G4" s="5"/>
      <c r="H4" s="6"/>
      <c r="I4" s="6"/>
      <c r="J4" s="6"/>
      <c r="M4" s="5"/>
      <c r="N4" s="6"/>
      <c r="O4" s="6"/>
      <c r="P4" s="6"/>
      <c r="S4" s="5"/>
      <c r="T4" s="6"/>
      <c r="U4" s="6"/>
      <c r="V4" s="6"/>
    </row>
    <row r="5" spans="1:23" x14ac:dyDescent="0.35">
      <c r="A5" s="34" t="s">
        <v>221</v>
      </c>
      <c r="G5" s="34" t="s">
        <v>6</v>
      </c>
      <c r="M5" s="34" t="s">
        <v>222</v>
      </c>
      <c r="S5" s="34" t="s">
        <v>223</v>
      </c>
    </row>
    <row r="6" spans="1:23" x14ac:dyDescent="0.35">
      <c r="A6" s="128" t="s">
        <v>7</v>
      </c>
      <c r="B6" s="128" t="s">
        <v>1</v>
      </c>
      <c r="C6" s="128"/>
      <c r="D6" s="76" t="s">
        <v>2</v>
      </c>
      <c r="E6" s="131" t="s">
        <v>28</v>
      </c>
      <c r="G6" s="131" t="s">
        <v>7</v>
      </c>
      <c r="H6" s="129" t="s">
        <v>1</v>
      </c>
      <c r="I6" s="130"/>
      <c r="J6" s="76" t="s">
        <v>2</v>
      </c>
      <c r="K6" s="131" t="s">
        <v>28</v>
      </c>
      <c r="M6" s="128" t="s">
        <v>7</v>
      </c>
      <c r="N6" s="128" t="s">
        <v>1</v>
      </c>
      <c r="O6" s="128"/>
      <c r="P6" s="76" t="s">
        <v>2</v>
      </c>
      <c r="Q6" s="131" t="s">
        <v>28</v>
      </c>
      <c r="S6" s="128" t="s">
        <v>7</v>
      </c>
      <c r="T6" s="128" t="s">
        <v>1</v>
      </c>
      <c r="U6" s="128"/>
      <c r="V6" s="76" t="s">
        <v>2</v>
      </c>
      <c r="W6" s="131" t="s">
        <v>28</v>
      </c>
    </row>
    <row r="7" spans="1:23" x14ac:dyDescent="0.35">
      <c r="A7" s="128"/>
      <c r="B7" s="75">
        <v>2020</v>
      </c>
      <c r="C7" s="75">
        <v>2021</v>
      </c>
      <c r="D7" s="75" t="s">
        <v>112</v>
      </c>
      <c r="E7" s="132"/>
      <c r="G7" s="132"/>
      <c r="H7" s="75">
        <v>2020</v>
      </c>
      <c r="I7" s="75">
        <v>2021</v>
      </c>
      <c r="J7" s="75" t="s">
        <v>112</v>
      </c>
      <c r="K7" s="132"/>
      <c r="M7" s="128"/>
      <c r="N7" s="75">
        <v>2020</v>
      </c>
      <c r="O7" s="75">
        <v>2021</v>
      </c>
      <c r="P7" s="75" t="s">
        <v>112</v>
      </c>
      <c r="Q7" s="132"/>
      <c r="S7" s="128"/>
      <c r="T7" s="75">
        <v>2020</v>
      </c>
      <c r="U7" s="75">
        <v>2021</v>
      </c>
      <c r="V7" s="75" t="s">
        <v>112</v>
      </c>
      <c r="W7" s="132"/>
    </row>
    <row r="8" spans="1:23" x14ac:dyDescent="0.35">
      <c r="A8" s="48" t="s">
        <v>62</v>
      </c>
      <c r="B8" s="119">
        <f t="shared" ref="B8:B25" si="0">N8+T8</f>
        <v>4689647</v>
      </c>
      <c r="C8" s="119">
        <f t="shared" ref="C8:C25" si="1">O8+U8</f>
        <v>4910511</v>
      </c>
      <c r="D8" s="120">
        <f t="shared" ref="D8:D28" si="2">IFERROR((C8-B8)/B8, "")</f>
        <v>4.7096082071848906E-2</v>
      </c>
      <c r="E8" s="13"/>
      <c r="G8" s="48" t="s">
        <v>29</v>
      </c>
      <c r="H8" s="119">
        <v>468657</v>
      </c>
      <c r="I8" s="119">
        <v>459062</v>
      </c>
      <c r="J8" s="120">
        <f t="shared" ref="J8:J21" si="3">IFERROR((I8-H8)/H8, "")</f>
        <v>-2.0473395254951916E-2</v>
      </c>
      <c r="K8" s="13"/>
      <c r="M8" s="48" t="s">
        <v>62</v>
      </c>
      <c r="N8" s="119">
        <v>4047509</v>
      </c>
      <c r="O8" s="119">
        <v>4207400</v>
      </c>
      <c r="P8" s="120">
        <f t="shared" ref="P8:P28" si="4">IFERROR((O8-N8)/N8, "")</f>
        <v>3.9503556384927127E-2</v>
      </c>
      <c r="Q8" s="13"/>
      <c r="S8" s="48" t="s">
        <v>62</v>
      </c>
      <c r="T8" s="119">
        <v>642138</v>
      </c>
      <c r="U8" s="119">
        <v>703111</v>
      </c>
      <c r="V8" s="120">
        <f t="shared" ref="V8:V28" si="5">IFERROR((U8-T8)/T8, "")</f>
        <v>9.4953109767682342E-2</v>
      </c>
      <c r="W8" s="13"/>
    </row>
    <row r="9" spans="1:23" s="77" customFormat="1" x14ac:dyDescent="0.35">
      <c r="A9" s="48" t="s">
        <v>118</v>
      </c>
      <c r="B9" s="121">
        <f>(N9*N8+T9*T8)/(N8+T8)</f>
        <v>0.98909236874110573</v>
      </c>
      <c r="C9" s="121">
        <f>(O9*O8+U9*U8)/(O8+U8)</f>
        <v>0.98575911628943025</v>
      </c>
      <c r="D9" s="120">
        <f t="shared" si="2"/>
        <v>-3.3700112921889909E-3</v>
      </c>
      <c r="E9" s="13"/>
      <c r="G9" s="7" t="s">
        <v>31</v>
      </c>
      <c r="H9" s="24">
        <v>1292884673</v>
      </c>
      <c r="I9" s="24">
        <v>1325286596</v>
      </c>
      <c r="J9" s="8">
        <f t="shared" si="3"/>
        <v>2.5061727218727729E-2</v>
      </c>
      <c r="K9" s="42" t="s">
        <v>72</v>
      </c>
      <c r="M9" s="48" t="s">
        <v>118</v>
      </c>
      <c r="N9" s="121">
        <v>0.97027247551307505</v>
      </c>
      <c r="O9" s="121">
        <v>0.96677104380432</v>
      </c>
      <c r="P9" s="120">
        <f t="shared" si="4"/>
        <v>-3.608709715179249E-3</v>
      </c>
      <c r="Q9" s="13"/>
      <c r="S9" s="48" t="s">
        <v>118</v>
      </c>
      <c r="T9" s="121">
        <v>1.1077174730325401</v>
      </c>
      <c r="U9" s="121">
        <v>1.0993833038982901</v>
      </c>
      <c r="V9" s="120">
        <f t="shared" si="5"/>
        <v>-7.5237317611628754E-3</v>
      </c>
      <c r="W9" s="13"/>
    </row>
    <row r="10" spans="1:23" x14ac:dyDescent="0.35">
      <c r="A10" s="7" t="s">
        <v>31</v>
      </c>
      <c r="B10" s="24">
        <f>N10+T10</f>
        <v>913827634.6541121</v>
      </c>
      <c r="C10" s="24">
        <f t="shared" si="1"/>
        <v>1018286274.3854359</v>
      </c>
      <c r="D10" s="8">
        <f t="shared" si="2"/>
        <v>0.11430890878109842</v>
      </c>
      <c r="E10" s="7"/>
      <c r="G10" s="7" t="s">
        <v>32</v>
      </c>
      <c r="H10" s="24">
        <v>844259717</v>
      </c>
      <c r="I10" s="24">
        <v>884779022</v>
      </c>
      <c r="J10" s="8">
        <f t="shared" si="3"/>
        <v>4.7993886459467304E-2</v>
      </c>
      <c r="K10" s="42" t="s">
        <v>73</v>
      </c>
      <c r="M10" s="7" t="s">
        <v>31</v>
      </c>
      <c r="N10" s="24">
        <v>696865439.77799904</v>
      </c>
      <c r="O10" s="24">
        <v>757057003.83379996</v>
      </c>
      <c r="P10" s="8">
        <f t="shared" si="4"/>
        <v>8.637472978280597E-2</v>
      </c>
      <c r="Q10" s="7"/>
      <c r="S10" s="7" t="s">
        <v>31</v>
      </c>
      <c r="T10" s="24">
        <v>216962194.876113</v>
      </c>
      <c r="U10" s="24">
        <v>261229270.55163601</v>
      </c>
      <c r="V10" s="8">
        <f t="shared" si="5"/>
        <v>0.2040312861915867</v>
      </c>
      <c r="W10" s="7"/>
    </row>
    <row r="11" spans="1:23" x14ac:dyDescent="0.35">
      <c r="A11" s="7" t="s">
        <v>32</v>
      </c>
      <c r="B11" s="24">
        <f t="shared" si="0"/>
        <v>697014719.83181393</v>
      </c>
      <c r="C11" s="24">
        <f t="shared" si="1"/>
        <v>852597268.55758905</v>
      </c>
      <c r="D11" s="8">
        <f t="shared" si="2"/>
        <v>0.22321271602889017</v>
      </c>
      <c r="E11" s="7"/>
      <c r="G11" s="7" t="s">
        <v>63</v>
      </c>
      <c r="H11" s="24">
        <v>800665736</v>
      </c>
      <c r="I11" s="24">
        <v>865597424</v>
      </c>
      <c r="J11" s="8">
        <f t="shared" si="3"/>
        <v>8.1097123406814547E-2</v>
      </c>
      <c r="K11" s="42" t="s">
        <v>65</v>
      </c>
      <c r="M11" s="7" t="s">
        <v>32</v>
      </c>
      <c r="N11" s="24">
        <v>563402480.47395694</v>
      </c>
      <c r="O11" s="24">
        <v>681908491.67828405</v>
      </c>
      <c r="P11" s="8">
        <f t="shared" si="4"/>
        <v>0.21033988189870065</v>
      </c>
      <c r="Q11" s="7"/>
      <c r="S11" s="7" t="s">
        <v>32</v>
      </c>
      <c r="T11" s="24">
        <v>133612239.357857</v>
      </c>
      <c r="U11" s="24">
        <v>170688776.87930501</v>
      </c>
      <c r="V11" s="8">
        <f t="shared" si="5"/>
        <v>0.27749357169401961</v>
      </c>
      <c r="W11" s="7"/>
    </row>
    <row r="12" spans="1:23" x14ac:dyDescent="0.35">
      <c r="A12" s="7" t="s">
        <v>33</v>
      </c>
      <c r="B12" s="24">
        <f t="shared" si="0"/>
        <v>197218197.8292985</v>
      </c>
      <c r="C12" s="24">
        <f t="shared" si="1"/>
        <v>242215171.42018402</v>
      </c>
      <c r="D12" s="8">
        <f t="shared" si="2"/>
        <v>0.22815832456715018</v>
      </c>
      <c r="E12" s="7"/>
      <c r="G12" s="7" t="s">
        <v>64</v>
      </c>
      <c r="H12" s="24">
        <v>226715483</v>
      </c>
      <c r="I12" s="24">
        <v>278721947</v>
      </c>
      <c r="J12" s="8">
        <f t="shared" si="3"/>
        <v>0.22939087931634558</v>
      </c>
      <c r="K12" s="42" t="s">
        <v>65</v>
      </c>
      <c r="M12" s="7" t="s">
        <v>33</v>
      </c>
      <c r="N12" s="24">
        <v>164334612.32899901</v>
      </c>
      <c r="O12" s="24">
        <v>196827244.10720101</v>
      </c>
      <c r="P12" s="8">
        <f t="shared" si="4"/>
        <v>0.19772238676750292</v>
      </c>
      <c r="Q12" s="7"/>
      <c r="S12" s="7" t="s">
        <v>33</v>
      </c>
      <c r="T12" s="24">
        <v>32883585.500299498</v>
      </c>
      <c r="U12" s="24">
        <v>45387927.312982999</v>
      </c>
      <c r="V12" s="8">
        <f t="shared" si="5"/>
        <v>0.38026089985137457</v>
      </c>
      <c r="W12" s="7"/>
    </row>
    <row r="13" spans="1:23" x14ac:dyDescent="0.35">
      <c r="A13" s="7" t="s">
        <v>34</v>
      </c>
      <c r="B13" s="24">
        <f t="shared" si="0"/>
        <v>543872914.97892225</v>
      </c>
      <c r="C13" s="24">
        <f t="shared" si="1"/>
        <v>619685373.52402496</v>
      </c>
      <c r="D13" s="8">
        <f t="shared" si="2"/>
        <v>0.1393937010965895</v>
      </c>
      <c r="E13" s="7"/>
      <c r="G13" s="7" t="s">
        <v>69</v>
      </c>
      <c r="H13" s="24">
        <v>229734621</v>
      </c>
      <c r="I13" s="24">
        <v>217025306</v>
      </c>
      <c r="J13" s="8">
        <f t="shared" si="3"/>
        <v>-5.532172271065753E-2</v>
      </c>
      <c r="K13" s="42" t="s">
        <v>70</v>
      </c>
      <c r="M13" s="7" t="s">
        <v>34</v>
      </c>
      <c r="N13" s="24">
        <v>450513246.5086</v>
      </c>
      <c r="O13" s="24">
        <v>508953642.99659997</v>
      </c>
      <c r="P13" s="8">
        <f t="shared" si="4"/>
        <v>0.1297195963512793</v>
      </c>
      <c r="Q13" s="7"/>
      <c r="S13" s="7" t="s">
        <v>34</v>
      </c>
      <c r="T13" s="24">
        <v>93359668.470322296</v>
      </c>
      <c r="U13" s="24">
        <v>110731730.52742501</v>
      </c>
      <c r="V13" s="8">
        <f t="shared" si="5"/>
        <v>0.18607673250923165</v>
      </c>
      <c r="W13" s="7"/>
    </row>
    <row r="14" spans="1:23" x14ac:dyDescent="0.35">
      <c r="A14" s="7" t="s">
        <v>35</v>
      </c>
      <c r="B14" s="24">
        <f t="shared" si="0"/>
        <v>10437199.89021096</v>
      </c>
      <c r="C14" s="24">
        <f t="shared" si="1"/>
        <v>16742805.519640949</v>
      </c>
      <c r="D14" s="8">
        <f t="shared" si="2"/>
        <v>0.60414725173022799</v>
      </c>
      <c r="E14" s="7"/>
      <c r="G14" s="7" t="s">
        <v>68</v>
      </c>
      <c r="H14" s="24">
        <v>129700776</v>
      </c>
      <c r="I14" s="24">
        <v>132780325</v>
      </c>
      <c r="J14" s="8">
        <f t="shared" si="3"/>
        <v>2.3743489399014852E-2</v>
      </c>
      <c r="K14" s="42" t="s">
        <v>70</v>
      </c>
      <c r="M14" s="7" t="s">
        <v>35</v>
      </c>
      <c r="N14" s="24">
        <v>6495533.7838000003</v>
      </c>
      <c r="O14" s="24">
        <v>11579804.968499999</v>
      </c>
      <c r="P14" s="8">
        <f t="shared" si="4"/>
        <v>0.78273339096169126</v>
      </c>
      <c r="Q14" s="7"/>
      <c r="S14" s="7" t="s">
        <v>35</v>
      </c>
      <c r="T14" s="24">
        <v>3941666.1064109602</v>
      </c>
      <c r="U14" s="24">
        <v>5163000.5511409501</v>
      </c>
      <c r="V14" s="8">
        <f t="shared" si="5"/>
        <v>0.30985233445916155</v>
      </c>
      <c r="W14" s="7"/>
    </row>
    <row r="15" spans="1:23" x14ac:dyDescent="0.35">
      <c r="A15" s="7" t="s">
        <v>36</v>
      </c>
      <c r="B15" s="24">
        <f t="shared" si="0"/>
        <v>91906305.518184692</v>
      </c>
      <c r="C15" s="24">
        <f t="shared" si="1"/>
        <v>101474431.63078809</v>
      </c>
      <c r="D15" s="8">
        <f t="shared" si="2"/>
        <v>0.10410739566405741</v>
      </c>
      <c r="E15" s="7"/>
      <c r="G15" s="7" t="s">
        <v>66</v>
      </c>
      <c r="H15" s="24">
        <v>347359734</v>
      </c>
      <c r="I15" s="24">
        <v>398578585</v>
      </c>
      <c r="J15" s="8">
        <f t="shared" si="3"/>
        <v>0.14745189492804023</v>
      </c>
      <c r="K15" s="42" t="s">
        <v>67</v>
      </c>
      <c r="M15" s="7" t="s">
        <v>36</v>
      </c>
      <c r="N15" s="24">
        <v>81858855.605200097</v>
      </c>
      <c r="O15" s="24">
        <v>88524989.828299895</v>
      </c>
      <c r="P15" s="8">
        <f t="shared" si="4"/>
        <v>8.1434490792909778E-2</v>
      </c>
      <c r="Q15" s="7"/>
      <c r="S15" s="7" t="s">
        <v>36</v>
      </c>
      <c r="T15" s="24">
        <v>10047449.9129846</v>
      </c>
      <c r="U15" s="24">
        <v>12949441.8024882</v>
      </c>
      <c r="V15" s="8">
        <f t="shared" si="5"/>
        <v>0.28882869928550475</v>
      </c>
      <c r="W15" s="7"/>
    </row>
    <row r="16" spans="1:23" x14ac:dyDescent="0.35">
      <c r="A16" s="7" t="s">
        <v>37</v>
      </c>
      <c r="B16" s="24">
        <f t="shared" si="0"/>
        <v>230646887.4325999</v>
      </c>
      <c r="C16" s="24">
        <f t="shared" si="1"/>
        <v>235641172.9576</v>
      </c>
      <c r="D16" s="8">
        <f t="shared" si="2"/>
        <v>2.1653383579518435E-2</v>
      </c>
      <c r="E16" s="7"/>
      <c r="G16" s="13" t="s">
        <v>71</v>
      </c>
      <c r="H16" s="24">
        <v>291531799</v>
      </c>
      <c r="I16" s="24">
        <v>300969543</v>
      </c>
      <c r="J16" s="8">
        <f t="shared" si="3"/>
        <v>3.2372948791085397E-2</v>
      </c>
      <c r="K16" s="42" t="s">
        <v>67</v>
      </c>
      <c r="M16" s="7" t="s">
        <v>37</v>
      </c>
      <c r="N16" s="24">
        <v>166048661.82429999</v>
      </c>
      <c r="O16" s="24">
        <v>169350253.40459999</v>
      </c>
      <c r="P16" s="8">
        <f t="shared" si="4"/>
        <v>1.9883277251541452E-2</v>
      </c>
      <c r="Q16" s="7"/>
      <c r="S16" s="7" t="s">
        <v>37</v>
      </c>
      <c r="T16" s="24">
        <v>64598225.608299904</v>
      </c>
      <c r="U16" s="24">
        <v>66290919.553000003</v>
      </c>
      <c r="V16" s="8">
        <f t="shared" si="5"/>
        <v>2.6203412381076513E-2</v>
      </c>
      <c r="W16" s="7"/>
    </row>
    <row r="17" spans="1:23" x14ac:dyDescent="0.35">
      <c r="A17" s="13" t="s">
        <v>56</v>
      </c>
      <c r="B17" s="24">
        <f t="shared" si="0"/>
        <v>999898390.70960808</v>
      </c>
      <c r="C17" s="24">
        <f t="shared" si="1"/>
        <v>1094493850.3279119</v>
      </c>
      <c r="D17" s="8">
        <f t="shared" si="2"/>
        <v>9.4605072372575025E-2</v>
      </c>
      <c r="E17" s="7"/>
      <c r="G17" s="13" t="s">
        <v>74</v>
      </c>
      <c r="H17" s="24">
        <v>119727383</v>
      </c>
      <c r="I17" s="24">
        <v>119673321</v>
      </c>
      <c r="J17" s="8">
        <f t="shared" si="3"/>
        <v>-4.5154248464613982E-4</v>
      </c>
      <c r="K17" s="42" t="s">
        <v>67</v>
      </c>
      <c r="M17" s="13" t="s">
        <v>56</v>
      </c>
      <c r="N17" s="24">
        <v>679929203.81989801</v>
      </c>
      <c r="O17" s="24">
        <v>734755850.04679894</v>
      </c>
      <c r="P17" s="8">
        <f t="shared" si="4"/>
        <v>8.0635816080380632E-2</v>
      </c>
      <c r="Q17" s="7"/>
      <c r="S17" s="13" t="s">
        <v>56</v>
      </c>
      <c r="T17" s="24">
        <v>319969186.88971001</v>
      </c>
      <c r="U17" s="24">
        <v>359738000.28111303</v>
      </c>
      <c r="V17" s="8">
        <f t="shared" si="5"/>
        <v>0.12428950980555172</v>
      </c>
      <c r="W17" s="7"/>
    </row>
    <row r="18" spans="1:23" x14ac:dyDescent="0.35">
      <c r="A18" s="13" t="s">
        <v>57</v>
      </c>
      <c r="B18" s="24">
        <f t="shared" si="0"/>
        <v>802371017.36037707</v>
      </c>
      <c r="C18" s="24">
        <f t="shared" si="1"/>
        <v>859152618.94479203</v>
      </c>
      <c r="D18" s="8">
        <f t="shared" si="2"/>
        <v>7.0767263966255725E-2</v>
      </c>
      <c r="E18" s="47"/>
      <c r="G18" s="7" t="s">
        <v>77</v>
      </c>
      <c r="H18" s="24">
        <v>125641184</v>
      </c>
      <c r="I18" s="24">
        <v>147329916</v>
      </c>
      <c r="J18" s="8">
        <f t="shared" si="3"/>
        <v>0.17262438405547023</v>
      </c>
      <c r="K18" s="42" t="s">
        <v>67</v>
      </c>
      <c r="M18" s="13" t="s">
        <v>57</v>
      </c>
      <c r="N18" s="24">
        <v>521639448.90979803</v>
      </c>
      <c r="O18" s="24">
        <v>548825653.51806295</v>
      </c>
      <c r="P18" s="8">
        <f t="shared" si="4"/>
        <v>5.2116849415976524E-2</v>
      </c>
      <c r="Q18" s="47"/>
      <c r="S18" s="13" t="s">
        <v>57</v>
      </c>
      <c r="T18" s="24">
        <v>280731568.45057899</v>
      </c>
      <c r="U18" s="24">
        <v>310326965.42672902</v>
      </c>
      <c r="V18" s="8">
        <f t="shared" si="5"/>
        <v>0.10542240453930324</v>
      </c>
      <c r="W18" s="47"/>
    </row>
    <row r="19" spans="1:23" x14ac:dyDescent="0.35">
      <c r="A19" s="13" t="s">
        <v>38</v>
      </c>
      <c r="B19" s="24">
        <f t="shared" si="0"/>
        <v>261399843.97285172</v>
      </c>
      <c r="C19" s="24">
        <f t="shared" si="1"/>
        <v>299841771.67273271</v>
      </c>
      <c r="D19" s="8">
        <f t="shared" si="2"/>
        <v>0.147061785177934</v>
      </c>
      <c r="E19" s="7"/>
      <c r="G19" s="13" t="s">
        <v>75</v>
      </c>
      <c r="H19" s="24">
        <v>980474256</v>
      </c>
      <c r="I19" s="24">
        <v>1027902130</v>
      </c>
      <c r="J19" s="8">
        <f t="shared" si="3"/>
        <v>4.8372380722661215E-2</v>
      </c>
      <c r="K19" s="7" t="s">
        <v>76</v>
      </c>
      <c r="M19" s="13" t="s">
        <v>38</v>
      </c>
      <c r="N19" s="24">
        <v>199000251.47878101</v>
      </c>
      <c r="O19" s="24">
        <v>228341991.088678</v>
      </c>
      <c r="P19" s="8">
        <f t="shared" si="4"/>
        <v>0.14744574135890293</v>
      </c>
      <c r="Q19" s="7"/>
      <c r="S19" s="13" t="s">
        <v>38</v>
      </c>
      <c r="T19" s="24">
        <v>62399592.494070701</v>
      </c>
      <c r="U19" s="24">
        <v>71499780.584054694</v>
      </c>
      <c r="V19" s="8">
        <f t="shared" si="5"/>
        <v>0.14583729999276365</v>
      </c>
      <c r="W19" s="7"/>
    </row>
    <row r="20" spans="1:23" x14ac:dyDescent="0.35">
      <c r="A20" s="13" t="s">
        <v>45</v>
      </c>
      <c r="B20" s="24">
        <f t="shared" si="0"/>
        <v>32514899.59657418</v>
      </c>
      <c r="C20" s="24">
        <f t="shared" si="1"/>
        <v>45722320.092059761</v>
      </c>
      <c r="D20" s="8">
        <f t="shared" si="2"/>
        <v>0.40619594891435973</v>
      </c>
      <c r="E20" s="7"/>
      <c r="G20" s="38" t="s">
        <v>59</v>
      </c>
      <c r="H20" s="40">
        <f>SUM(H9:H19)</f>
        <v>5388695362</v>
      </c>
      <c r="I20" s="40">
        <f>SUM(I9:I19)</f>
        <v>5698644115</v>
      </c>
      <c r="J20" s="41">
        <f t="shared" si="3"/>
        <v>5.7518329053391382E-2</v>
      </c>
      <c r="K20" s="38"/>
      <c r="M20" s="13" t="s">
        <v>45</v>
      </c>
      <c r="N20" s="24">
        <v>29703444.126387801</v>
      </c>
      <c r="O20" s="24">
        <v>42808314.4124</v>
      </c>
      <c r="P20" s="8">
        <f t="shared" si="4"/>
        <v>0.44119026164949532</v>
      </c>
      <c r="Q20" s="7"/>
      <c r="S20" s="13" t="s">
        <v>45</v>
      </c>
      <c r="T20" s="24">
        <v>2811455.4701863802</v>
      </c>
      <c r="U20" s="24">
        <v>2914005.6796597601</v>
      </c>
      <c r="V20" s="8">
        <f t="shared" si="5"/>
        <v>3.6475843405971327E-2</v>
      </c>
      <c r="W20" s="7"/>
    </row>
    <row r="21" spans="1:23" x14ac:dyDescent="0.35">
      <c r="A21" s="13" t="s">
        <v>46</v>
      </c>
      <c r="B21" s="24">
        <f t="shared" si="0"/>
        <v>115083623.11983868</v>
      </c>
      <c r="C21" s="24">
        <f t="shared" si="1"/>
        <v>86290152.149056777</v>
      </c>
      <c r="D21" s="8">
        <f t="shared" si="2"/>
        <v>-0.25019607647213832</v>
      </c>
      <c r="E21" s="7"/>
      <c r="G21" s="38" t="s">
        <v>53</v>
      </c>
      <c r="H21" s="40">
        <v>0</v>
      </c>
      <c r="I21" s="40">
        <v>0</v>
      </c>
      <c r="J21" s="58" t="str">
        <f t="shared" si="3"/>
        <v/>
      </c>
      <c r="K21" s="38"/>
      <c r="M21" s="13" t="s">
        <v>46</v>
      </c>
      <c r="N21" s="24">
        <v>110885984.419651</v>
      </c>
      <c r="O21" s="24">
        <v>82202295.734067693</v>
      </c>
      <c r="P21" s="8">
        <f t="shared" si="4"/>
        <v>-0.25867731468234179</v>
      </c>
      <c r="Q21" s="7"/>
      <c r="S21" s="13" t="s">
        <v>46</v>
      </c>
      <c r="T21" s="24">
        <v>4197638.7001876803</v>
      </c>
      <c r="U21" s="24">
        <v>4087856.4149890798</v>
      </c>
      <c r="V21" s="8">
        <f t="shared" si="5"/>
        <v>-2.6153343114949847E-2</v>
      </c>
      <c r="W21" s="7"/>
    </row>
    <row r="22" spans="1:23" x14ac:dyDescent="0.35">
      <c r="A22" s="13" t="s">
        <v>47</v>
      </c>
      <c r="B22" s="24">
        <f t="shared" si="0"/>
        <v>5349031.4195918115</v>
      </c>
      <c r="C22" s="24">
        <f>O22+U22</f>
        <v>8229160.7384794969</v>
      </c>
      <c r="D22" s="8">
        <f t="shared" si="2"/>
        <v>0.53843940948611402</v>
      </c>
      <c r="E22" s="7"/>
      <c r="M22" s="13" t="s">
        <v>47</v>
      </c>
      <c r="N22" s="24">
        <v>4758263.9827203704</v>
      </c>
      <c r="O22" s="24">
        <v>8024687.0801257901</v>
      </c>
      <c r="P22" s="8">
        <f t="shared" si="4"/>
        <v>0.68647370328074087</v>
      </c>
      <c r="Q22" s="7"/>
      <c r="S22" s="13" t="s">
        <v>47</v>
      </c>
      <c r="T22" s="24">
        <v>590767.43687144096</v>
      </c>
      <c r="U22" s="24">
        <v>204473.658353707</v>
      </c>
      <c r="V22" s="8">
        <f t="shared" si="5"/>
        <v>-0.65388468356253826</v>
      </c>
      <c r="W22" s="7"/>
    </row>
    <row r="23" spans="1:23" x14ac:dyDescent="0.35">
      <c r="A23" s="13" t="s">
        <v>48</v>
      </c>
      <c r="B23" s="24">
        <f t="shared" si="0"/>
        <v>151804.11871555701</v>
      </c>
      <c r="C23" s="24">
        <f t="shared" si="1"/>
        <v>130174.93162561901</v>
      </c>
      <c r="D23" s="8">
        <f t="shared" si="2"/>
        <v>-0.14248089757344262</v>
      </c>
      <c r="E23" s="7"/>
      <c r="M23" s="13" t="s">
        <v>48</v>
      </c>
      <c r="N23" s="24">
        <v>0</v>
      </c>
      <c r="O23" s="24">
        <v>0</v>
      </c>
      <c r="P23" s="8" t="str">
        <f t="shared" si="4"/>
        <v/>
      </c>
      <c r="Q23" s="7"/>
      <c r="S23" s="13" t="s">
        <v>48</v>
      </c>
      <c r="T23" s="24">
        <v>151804.11871555701</v>
      </c>
      <c r="U23" s="24">
        <v>130174.93162561901</v>
      </c>
      <c r="V23" s="8">
        <f t="shared" si="5"/>
        <v>-0.14248089757344262</v>
      </c>
      <c r="W23" s="7"/>
    </row>
    <row r="24" spans="1:23" x14ac:dyDescent="0.35">
      <c r="A24" s="13" t="s">
        <v>49</v>
      </c>
      <c r="B24" s="24">
        <f t="shared" si="0"/>
        <v>-3264453.5312222037</v>
      </c>
      <c r="C24" s="24">
        <f t="shared" si="1"/>
        <v>-1572100.7990209749</v>
      </c>
      <c r="D24" s="8">
        <f t="shared" si="2"/>
        <v>-0.51841838642059512</v>
      </c>
      <c r="E24" s="7"/>
      <c r="M24" s="13" t="s">
        <v>49</v>
      </c>
      <c r="N24" s="24">
        <v>-2942372.4677539198</v>
      </c>
      <c r="O24" s="24">
        <v>-597743.63367801602</v>
      </c>
      <c r="P24" s="8">
        <f t="shared" si="4"/>
        <v>-0.79684977336186535</v>
      </c>
      <c r="Q24" s="7"/>
      <c r="S24" s="13" t="s">
        <v>49</v>
      </c>
      <c r="T24" s="24">
        <v>-322081.06346828397</v>
      </c>
      <c r="U24" s="24">
        <v>-974357.16534295899</v>
      </c>
      <c r="V24" s="8">
        <f t="shared" si="5"/>
        <v>2.0251923377634591</v>
      </c>
      <c r="W24" s="7"/>
    </row>
    <row r="25" spans="1:23" x14ac:dyDescent="0.35">
      <c r="A25" s="13" t="s">
        <v>50</v>
      </c>
      <c r="B25" s="24">
        <f t="shared" si="0"/>
        <v>811824974.9659555</v>
      </c>
      <c r="C25" s="24">
        <f t="shared" si="1"/>
        <v>848496442.69925785</v>
      </c>
      <c r="D25" s="8">
        <f t="shared" si="2"/>
        <v>4.5171642735972989E-2</v>
      </c>
      <c r="E25" s="7"/>
      <c r="M25" s="13" t="s">
        <v>50</v>
      </c>
      <c r="N25" s="24">
        <v>790448903.72817898</v>
      </c>
      <c r="O25" s="24">
        <v>831357136.88482201</v>
      </c>
      <c r="P25" s="8">
        <f t="shared" si="4"/>
        <v>5.1753165781744992E-2</v>
      </c>
      <c r="Q25" s="7"/>
      <c r="S25" s="13" t="s">
        <v>50</v>
      </c>
      <c r="T25" s="24">
        <v>21376071.237776499</v>
      </c>
      <c r="U25" s="24">
        <v>17139305.814435799</v>
      </c>
      <c r="V25" s="8">
        <f t="shared" si="5"/>
        <v>-0.19820131474175426</v>
      </c>
      <c r="W25" s="7"/>
    </row>
    <row r="26" spans="1:23" x14ac:dyDescent="0.35">
      <c r="A26" s="38" t="s">
        <v>58</v>
      </c>
      <c r="B26" s="40">
        <f>SUM(B10:B17)+B19</f>
        <v>3946222094.8176026</v>
      </c>
      <c r="C26" s="40">
        <f t="shared" ref="C26" si="6">SUM(C10:C17)+C19</f>
        <v>4480978119.9959078</v>
      </c>
      <c r="D26" s="41">
        <f t="shared" si="2"/>
        <v>0.13551087909638343</v>
      </c>
      <c r="E26" s="38"/>
      <c r="M26" s="38" t="s">
        <v>58</v>
      </c>
      <c r="N26" s="40">
        <f>SUM(N10:N17)+N19</f>
        <v>3008448285.6015344</v>
      </c>
      <c r="O26" s="40">
        <f t="shared" ref="O26" si="7">SUM(O10:O17)+O19</f>
        <v>3377299271.9527621</v>
      </c>
      <c r="P26" s="41">
        <f t="shared" si="4"/>
        <v>0.12260506125917221</v>
      </c>
      <c r="Q26" s="38"/>
      <c r="S26" s="38" t="s">
        <v>58</v>
      </c>
      <c r="T26" s="40">
        <f>SUM(T10:T17)+T19</f>
        <v>937773809.21606791</v>
      </c>
      <c r="U26" s="40">
        <f t="shared" ref="U26" si="8">SUM(U10:U17)+U19</f>
        <v>1103678848.0431457</v>
      </c>
      <c r="V26" s="41">
        <f t="shared" si="5"/>
        <v>0.17691370477254645</v>
      </c>
      <c r="W26" s="38"/>
    </row>
    <row r="27" spans="1:23" x14ac:dyDescent="0.35">
      <c r="A27" s="38" t="s">
        <v>59</v>
      </c>
      <c r="B27" s="40">
        <f>SUM(B10:B16)+SUM(B18:B19)</f>
        <v>3748694721.4683714</v>
      </c>
      <c r="C27" s="40">
        <f t="shared" ref="C27" si="9">SUM(C10:C16)+SUM(C18:C19)</f>
        <v>4245636888.6127882</v>
      </c>
      <c r="D27" s="41">
        <f t="shared" si="2"/>
        <v>0.1325640533752942</v>
      </c>
      <c r="E27" s="38"/>
      <c r="M27" s="38" t="s">
        <v>59</v>
      </c>
      <c r="N27" s="40">
        <f>SUM(N10:N16)+SUM(N18:N19)</f>
        <v>2850158530.6914339</v>
      </c>
      <c r="O27" s="40">
        <f t="shared" ref="O27" si="10">SUM(O10:O16)+SUM(O18:O19)</f>
        <v>3191369075.424026</v>
      </c>
      <c r="P27" s="41">
        <f t="shared" si="4"/>
        <v>0.11971633895389537</v>
      </c>
      <c r="Q27" s="38"/>
      <c r="S27" s="38" t="s">
        <v>59</v>
      </c>
      <c r="T27" s="40">
        <f>SUM(T10:T16)+SUM(T18:T19)</f>
        <v>898536190.77693701</v>
      </c>
      <c r="U27" s="40">
        <f t="shared" ref="U27" si="11">SUM(U10:U16)+SUM(U18:U19)</f>
        <v>1054267813.1887617</v>
      </c>
      <c r="V27" s="41">
        <f t="shared" si="5"/>
        <v>0.17331702830708276</v>
      </c>
      <c r="W27" s="38"/>
    </row>
    <row r="28" spans="1:23" x14ac:dyDescent="0.35">
      <c r="A28" s="38" t="s">
        <v>53</v>
      </c>
      <c r="B28" s="40">
        <f>SUM(B20:B25)</f>
        <v>961659879.6894536</v>
      </c>
      <c r="C28" s="40">
        <f>SUM(C20:C25)</f>
        <v>987296149.81145859</v>
      </c>
      <c r="D28" s="41">
        <f t="shared" si="2"/>
        <v>2.6658354646430339E-2</v>
      </c>
      <c r="E28" s="38"/>
      <c r="M28" s="38" t="s">
        <v>53</v>
      </c>
      <c r="N28" s="40">
        <f>SUM(N20:N25)</f>
        <v>932854223.78918421</v>
      </c>
      <c r="O28" s="40">
        <f>SUM(O20:O25)</f>
        <v>963794690.47773743</v>
      </c>
      <c r="P28" s="41">
        <f t="shared" si="4"/>
        <v>3.3167525964427055E-2</v>
      </c>
      <c r="Q28" s="38"/>
      <c r="S28" s="38" t="s">
        <v>53</v>
      </c>
      <c r="T28" s="40">
        <f>SUM(T20:T25)</f>
        <v>28805655.900269274</v>
      </c>
      <c r="U28" s="40">
        <f>SUM(U20:U25)</f>
        <v>23501459.333721004</v>
      </c>
      <c r="V28" s="41">
        <f t="shared" si="5"/>
        <v>-0.18413733000603835</v>
      </c>
      <c r="W28" s="38"/>
    </row>
    <row r="30" spans="1:23" x14ac:dyDescent="0.35">
      <c r="G30" s="131" t="s">
        <v>7</v>
      </c>
      <c r="H30" s="129" t="s">
        <v>61</v>
      </c>
      <c r="I30" s="130"/>
      <c r="J30" s="76" t="s">
        <v>2</v>
      </c>
      <c r="K30" s="131" t="s">
        <v>28</v>
      </c>
    </row>
    <row r="31" spans="1:23" x14ac:dyDescent="0.35">
      <c r="A31" s="128" t="s">
        <v>7</v>
      </c>
      <c r="B31" s="128" t="s">
        <v>61</v>
      </c>
      <c r="C31" s="128"/>
      <c r="D31" s="76" t="s">
        <v>2</v>
      </c>
      <c r="E31" s="131" t="s">
        <v>28</v>
      </c>
      <c r="G31" s="132"/>
      <c r="H31" s="75">
        <v>2020</v>
      </c>
      <c r="I31" s="75">
        <v>2021</v>
      </c>
      <c r="J31" s="75" t="s">
        <v>112</v>
      </c>
      <c r="K31" s="132"/>
      <c r="M31" s="128" t="s">
        <v>7</v>
      </c>
      <c r="N31" s="128" t="s">
        <v>61</v>
      </c>
      <c r="O31" s="128"/>
      <c r="P31" s="76" t="s">
        <v>2</v>
      </c>
      <c r="Q31" s="131" t="s">
        <v>28</v>
      </c>
      <c r="S31" s="128" t="s">
        <v>7</v>
      </c>
      <c r="T31" s="128" t="s">
        <v>61</v>
      </c>
      <c r="U31" s="128"/>
      <c r="V31" s="76" t="s">
        <v>2</v>
      </c>
      <c r="W31" s="131" t="s">
        <v>28</v>
      </c>
    </row>
    <row r="32" spans="1:23" x14ac:dyDescent="0.35">
      <c r="A32" s="128"/>
      <c r="B32" s="75">
        <v>2020</v>
      </c>
      <c r="C32" s="75">
        <v>2021</v>
      </c>
      <c r="D32" s="75" t="s">
        <v>112</v>
      </c>
      <c r="E32" s="132"/>
      <c r="G32" s="7" t="s">
        <v>31</v>
      </c>
      <c r="H32" s="24">
        <f>H9/$H$8</f>
        <v>2758.701295403675</v>
      </c>
      <c r="I32" s="24">
        <f>I9/$I$8</f>
        <v>2886.9446741398765</v>
      </c>
      <c r="J32" s="8">
        <f t="shared" ref="J32:J44" si="12">IFERROR((I32-H32)/H32, "")</f>
        <v>4.6486866464981284E-2</v>
      </c>
      <c r="K32" s="7"/>
      <c r="M32" s="128"/>
      <c r="N32" s="75">
        <v>2020</v>
      </c>
      <c r="O32" s="75">
        <v>2021</v>
      </c>
      <c r="P32" s="75" t="s">
        <v>112</v>
      </c>
      <c r="Q32" s="132"/>
      <c r="S32" s="128"/>
      <c r="T32" s="75">
        <v>2020</v>
      </c>
      <c r="U32" s="75">
        <v>2021</v>
      </c>
      <c r="V32" s="75" t="s">
        <v>112</v>
      </c>
      <c r="W32" s="132"/>
    </row>
    <row r="33" spans="1:23" x14ac:dyDescent="0.35">
      <c r="A33" s="7" t="s">
        <v>31</v>
      </c>
      <c r="B33" s="24">
        <f>B10/($B$8/12)</f>
        <v>2338.3277282595777</v>
      </c>
      <c r="C33" s="24">
        <f>C10/($C$8/12)</f>
        <v>2488.4243804005796</v>
      </c>
      <c r="D33" s="8">
        <f t="shared" ref="D33:D55" si="13">IFERROR((C33-B33)/B33, "")</f>
        <v>6.4189741380999282E-2</v>
      </c>
      <c r="E33" s="7"/>
      <c r="G33" s="7" t="s">
        <v>32</v>
      </c>
      <c r="H33" s="24">
        <f t="shared" ref="H33:H44" si="14">H10/$H$8</f>
        <v>1801.4448029155651</v>
      </c>
      <c r="I33" s="24">
        <f t="shared" ref="I33:I44" si="15">I10/$I$8</f>
        <v>1927.362800667448</v>
      </c>
      <c r="J33" s="8">
        <f t="shared" si="12"/>
        <v>6.9898338016291015E-2</v>
      </c>
      <c r="K33" s="7"/>
      <c r="M33" s="7" t="s">
        <v>31</v>
      </c>
      <c r="N33" s="24">
        <f>N10/($N$8/12)</f>
        <v>2066.0572409687015</v>
      </c>
      <c r="O33" s="24">
        <f>O10/($O$8/12)</f>
        <v>2159.2156785676661</v>
      </c>
      <c r="P33" s="8">
        <f t="shared" ref="P33:P55" si="16">IFERROR((O33-N33)/N33, "")</f>
        <v>4.5089959635041817E-2</v>
      </c>
      <c r="Q33" s="7"/>
      <c r="S33" s="7" t="s">
        <v>31</v>
      </c>
      <c r="T33" s="24">
        <f>T10/($T$8/12)</f>
        <v>4054.4966012186724</v>
      </c>
      <c r="U33" s="24">
        <f>U10/($U$8/12)</f>
        <v>4458.4016558120011</v>
      </c>
      <c r="V33" s="8">
        <f t="shared" ref="V33:V55" si="17">IFERROR((U33-T33)/T33, "")</f>
        <v>9.9619038889297809E-2</v>
      </c>
      <c r="W33" s="7"/>
    </row>
    <row r="34" spans="1:23" x14ac:dyDescent="0.35">
      <c r="A34" s="7" t="s">
        <v>32</v>
      </c>
      <c r="B34" s="24">
        <f t="shared" ref="B34:B48" si="18">B11/($B$8/12)</f>
        <v>1783.5407735340777</v>
      </c>
      <c r="C34" s="24">
        <f t="shared" ref="C34:C48" si="19">C11/($C$8/12)</f>
        <v>2083.5239392989993</v>
      </c>
      <c r="D34" s="8">
        <f t="shared" si="13"/>
        <v>0.16819529456032917</v>
      </c>
      <c r="E34" s="7"/>
      <c r="G34" s="7" t="s">
        <v>63</v>
      </c>
      <c r="H34" s="24">
        <f t="shared" si="14"/>
        <v>1708.4258551563296</v>
      </c>
      <c r="I34" s="24">
        <f t="shared" si="15"/>
        <v>1885.5784708819288</v>
      </c>
      <c r="J34" s="8">
        <f t="shared" si="12"/>
        <v>0.10369347618506324</v>
      </c>
      <c r="K34" s="7"/>
      <c r="M34" s="7" t="s">
        <v>32</v>
      </c>
      <c r="N34" s="24">
        <f t="shared" ref="N34:N50" si="20">N11/($N$8/12)</f>
        <v>1670.3680623532853</v>
      </c>
      <c r="O34" s="24">
        <f t="shared" ref="O34:O50" si="21">O11/($O$8/12)</f>
        <v>1944.8832771163684</v>
      </c>
      <c r="P34" s="8">
        <f t="shared" si="16"/>
        <v>0.1643441472272491</v>
      </c>
      <c r="Q34" s="7"/>
      <c r="S34" s="7" t="s">
        <v>32</v>
      </c>
      <c r="T34" s="24">
        <f t="shared" ref="T34:T48" si="22">T11/($T$8/12)</f>
        <v>2496.8883204144345</v>
      </c>
      <c r="U34" s="24">
        <f t="shared" ref="U34:U48" si="23">U11/($U$8/12)</f>
        <v>2913.1464627230407</v>
      </c>
      <c r="V34" s="8">
        <f t="shared" si="17"/>
        <v>0.16671075710727645</v>
      </c>
      <c r="W34" s="7"/>
    </row>
    <row r="35" spans="1:23" x14ac:dyDescent="0.35">
      <c r="A35" s="7" t="s">
        <v>33</v>
      </c>
      <c r="B35" s="24">
        <f t="shared" si="18"/>
        <v>504.64744445617799</v>
      </c>
      <c r="C35" s="24">
        <f t="shared" si="19"/>
        <v>591.91030364094661</v>
      </c>
      <c r="D35" s="8">
        <f t="shared" si="13"/>
        <v>0.17291846048840193</v>
      </c>
      <c r="E35" s="7"/>
      <c r="G35" s="7" t="s">
        <v>64</v>
      </c>
      <c r="H35" s="24">
        <f t="shared" si="14"/>
        <v>483.75567419242645</v>
      </c>
      <c r="I35" s="24">
        <f t="shared" si="15"/>
        <v>607.15534502964738</v>
      </c>
      <c r="J35" s="8">
        <f t="shared" si="12"/>
        <v>0.25508676677172265</v>
      </c>
      <c r="K35" s="7"/>
      <c r="M35" s="7" t="s">
        <v>33</v>
      </c>
      <c r="N35" s="24">
        <f t="shared" si="20"/>
        <v>487.2170384174533</v>
      </c>
      <c r="O35" s="24">
        <f t="shared" si="21"/>
        <v>561.37446624671099</v>
      </c>
      <c r="P35" s="8">
        <f t="shared" si="16"/>
        <v>0.15220614630007817</v>
      </c>
      <c r="Q35" s="7"/>
      <c r="S35" s="7" t="s">
        <v>33</v>
      </c>
      <c r="T35" s="24">
        <f t="shared" si="22"/>
        <v>614.51436607644143</v>
      </c>
      <c r="U35" s="24">
        <f t="shared" si="23"/>
        <v>774.63605000603877</v>
      </c>
      <c r="V35" s="8">
        <f t="shared" si="17"/>
        <v>0.26056621743759084</v>
      </c>
      <c r="W35" s="7"/>
    </row>
    <row r="36" spans="1:23" x14ac:dyDescent="0.35">
      <c r="A36" s="7" t="s">
        <v>34</v>
      </c>
      <c r="B36" s="24">
        <f t="shared" si="18"/>
        <v>1391.6772370600743</v>
      </c>
      <c r="C36" s="24">
        <f t="shared" si="19"/>
        <v>1514.3484012739814</v>
      </c>
      <c r="D36" s="8">
        <f t="shared" si="13"/>
        <v>8.8146274830973453E-2</v>
      </c>
      <c r="E36" s="7"/>
      <c r="G36" s="7" t="s">
        <v>69</v>
      </c>
      <c r="H36" s="24">
        <f t="shared" si="14"/>
        <v>490.19778003955986</v>
      </c>
      <c r="I36" s="24">
        <f t="shared" si="15"/>
        <v>472.75815902862792</v>
      </c>
      <c r="J36" s="8">
        <f t="shared" si="12"/>
        <v>-3.5576703365577327E-2</v>
      </c>
      <c r="K36" s="7"/>
      <c r="M36" s="7" t="s">
        <v>34</v>
      </c>
      <c r="N36" s="24">
        <f t="shared" si="20"/>
        <v>1335.6755866640938</v>
      </c>
      <c r="O36" s="24">
        <f t="shared" si="21"/>
        <v>1451.5956923418737</v>
      </c>
      <c r="P36" s="8">
        <f t="shared" si="16"/>
        <v>8.678762031377342E-2</v>
      </c>
      <c r="Q36" s="7"/>
      <c r="S36" s="7" t="s">
        <v>34</v>
      </c>
      <c r="T36" s="24">
        <f t="shared" si="22"/>
        <v>1744.6655105972043</v>
      </c>
      <c r="U36" s="24">
        <f t="shared" si="23"/>
        <v>1889.8591635305095</v>
      </c>
      <c r="V36" s="8">
        <f t="shared" si="17"/>
        <v>8.3221484033122753E-2</v>
      </c>
      <c r="W36" s="7"/>
    </row>
    <row r="37" spans="1:23" x14ac:dyDescent="0.35">
      <c r="A37" s="7" t="s">
        <v>35</v>
      </c>
      <c r="B37" s="24">
        <f t="shared" si="18"/>
        <v>26.706999201119299</v>
      </c>
      <c r="C37" s="24">
        <f t="shared" si="19"/>
        <v>40.915022130220535</v>
      </c>
      <c r="D37" s="8">
        <f t="shared" si="13"/>
        <v>0.53199623147874187</v>
      </c>
      <c r="E37" s="7"/>
      <c r="G37" s="7" t="s">
        <v>68</v>
      </c>
      <c r="H37" s="24">
        <f t="shared" si="14"/>
        <v>276.74989597936229</v>
      </c>
      <c r="I37" s="24">
        <f t="shared" si="15"/>
        <v>289.24268399475454</v>
      </c>
      <c r="J37" s="8">
        <f t="shared" si="12"/>
        <v>4.5141075739821991E-2</v>
      </c>
      <c r="K37" s="7"/>
      <c r="M37" s="7" t="s">
        <v>35</v>
      </c>
      <c r="N37" s="24">
        <f t="shared" si="20"/>
        <v>19.257870805376839</v>
      </c>
      <c r="O37" s="24">
        <f t="shared" si="21"/>
        <v>33.026966682987116</v>
      </c>
      <c r="P37" s="8">
        <f t="shared" si="16"/>
        <v>0.71498536971002602</v>
      </c>
      <c r="Q37" s="7"/>
      <c r="S37" s="7" t="s">
        <v>35</v>
      </c>
      <c r="T37" s="24">
        <f t="shared" si="22"/>
        <v>73.660168494827474</v>
      </c>
      <c r="U37" s="24">
        <f t="shared" si="23"/>
        <v>88.116963912798113</v>
      </c>
      <c r="V37" s="8">
        <f t="shared" si="17"/>
        <v>0.19626340413524598</v>
      </c>
      <c r="W37" s="7"/>
    </row>
    <row r="38" spans="1:23" x14ac:dyDescent="0.35">
      <c r="A38" s="7" t="s">
        <v>36</v>
      </c>
      <c r="B38" s="24">
        <f t="shared" si="18"/>
        <v>235.1724268837753</v>
      </c>
      <c r="C38" s="24">
        <f t="shared" si="19"/>
        <v>247.97687645327687</v>
      </c>
      <c r="D38" s="8">
        <f t="shared" si="13"/>
        <v>5.4447069918743769E-2</v>
      </c>
      <c r="E38" s="7"/>
      <c r="G38" s="7" t="s">
        <v>66</v>
      </c>
      <c r="H38" s="24">
        <f t="shared" si="14"/>
        <v>741.18114954006876</v>
      </c>
      <c r="I38" s="24">
        <f t="shared" si="15"/>
        <v>868.24565091425563</v>
      </c>
      <c r="J38" s="8">
        <f t="shared" si="12"/>
        <v>0.1714351497647171</v>
      </c>
      <c r="K38" s="7"/>
      <c r="M38" s="7" t="s">
        <v>36</v>
      </c>
      <c r="N38" s="24">
        <f t="shared" si="20"/>
        <v>242.69402915778596</v>
      </c>
      <c r="O38" s="24">
        <f t="shared" si="21"/>
        <v>252.48369015059151</v>
      </c>
      <c r="P38" s="8">
        <f t="shared" si="16"/>
        <v>4.0337461233711958E-2</v>
      </c>
      <c r="Q38" s="7"/>
      <c r="S38" s="7" t="s">
        <v>36</v>
      </c>
      <c r="T38" s="24">
        <f t="shared" si="22"/>
        <v>187.76244196078599</v>
      </c>
      <c r="U38" s="24">
        <f t="shared" si="23"/>
        <v>221.00820728143694</v>
      </c>
      <c r="V38" s="8">
        <f t="shared" si="17"/>
        <v>0.17706291510415215</v>
      </c>
      <c r="W38" s="7"/>
    </row>
    <row r="39" spans="1:23" x14ac:dyDescent="0.35">
      <c r="A39" s="7" t="s">
        <v>37</v>
      </c>
      <c r="B39" s="24">
        <f t="shared" si="18"/>
        <v>590.18571103351678</v>
      </c>
      <c r="C39" s="24">
        <f t="shared" si="19"/>
        <v>575.84517690545852</v>
      </c>
      <c r="D39" s="8">
        <f t="shared" si="13"/>
        <v>-2.4298341793035826E-2</v>
      </c>
      <c r="E39" s="7"/>
      <c r="G39" s="13" t="s">
        <v>71</v>
      </c>
      <c r="H39" s="24">
        <f t="shared" si="14"/>
        <v>622.05792082482503</v>
      </c>
      <c r="I39" s="24">
        <f t="shared" si="15"/>
        <v>655.61850686835328</v>
      </c>
      <c r="J39" s="8">
        <f t="shared" si="12"/>
        <v>5.3950902190953845E-2</v>
      </c>
      <c r="K39" s="7"/>
      <c r="M39" s="7" t="s">
        <v>37</v>
      </c>
      <c r="N39" s="24">
        <f t="shared" si="20"/>
        <v>492.29882920373984</v>
      </c>
      <c r="O39" s="24">
        <f t="shared" si="21"/>
        <v>483.0068547927936</v>
      </c>
      <c r="P39" s="8">
        <f t="shared" si="16"/>
        <v>-1.8874662826185024E-2</v>
      </c>
      <c r="Q39" s="7"/>
      <c r="S39" s="7" t="s">
        <v>37</v>
      </c>
      <c r="T39" s="24">
        <f t="shared" si="22"/>
        <v>1207.183981168532</v>
      </c>
      <c r="U39" s="24">
        <f t="shared" si="23"/>
        <v>1131.3875542211686</v>
      </c>
      <c r="V39" s="8">
        <f t="shared" si="17"/>
        <v>-6.2787800475942276E-2</v>
      </c>
      <c r="W39" s="7"/>
    </row>
    <row r="40" spans="1:23" x14ac:dyDescent="0.35">
      <c r="A40" s="13" t="s">
        <v>56</v>
      </c>
      <c r="B40" s="24">
        <f t="shared" si="18"/>
        <v>2558.5679878496817</v>
      </c>
      <c r="C40" s="24">
        <f t="shared" si="19"/>
        <v>2674.6556934573496</v>
      </c>
      <c r="D40" s="8">
        <f t="shared" si="13"/>
        <v>4.5372140259298886E-2</v>
      </c>
      <c r="E40" s="7"/>
      <c r="G40" s="13" t="s">
        <v>74</v>
      </c>
      <c r="H40" s="24">
        <f t="shared" si="14"/>
        <v>255.46910213653055</v>
      </c>
      <c r="I40" s="24">
        <f t="shared" si="15"/>
        <v>260.69097638227515</v>
      </c>
      <c r="J40" s="8">
        <f t="shared" si="12"/>
        <v>2.0440335845208674E-2</v>
      </c>
      <c r="K40" s="47"/>
      <c r="M40" s="13" t="s">
        <v>56</v>
      </c>
      <c r="N40" s="24">
        <f t="shared" si="20"/>
        <v>2015.8449174143345</v>
      </c>
      <c r="O40" s="24">
        <f t="shared" si="21"/>
        <v>2095.6101631795377</v>
      </c>
      <c r="P40" s="8">
        <f t="shared" si="16"/>
        <v>3.956913802055554E-2</v>
      </c>
      <c r="Q40" s="7"/>
      <c r="S40" s="13" t="s">
        <v>56</v>
      </c>
      <c r="T40" s="24">
        <f t="shared" si="22"/>
        <v>5979.4471635014906</v>
      </c>
      <c r="U40" s="24">
        <f t="shared" si="23"/>
        <v>6139.6507853999674</v>
      </c>
      <c r="V40" s="8">
        <f t="shared" si="17"/>
        <v>2.6792380218084152E-2</v>
      </c>
      <c r="W40" s="7"/>
    </row>
    <row r="41" spans="1:23" x14ac:dyDescent="0.35">
      <c r="A41" s="13" t="s">
        <v>57</v>
      </c>
      <c r="B41" s="24">
        <f t="shared" si="18"/>
        <v>2053.129416419727</v>
      </c>
      <c r="C41" s="24">
        <f t="shared" si="19"/>
        <v>2099.5434950329009</v>
      </c>
      <c r="D41" s="8">
        <f t="shared" si="13"/>
        <v>2.2606504120968322E-2</v>
      </c>
      <c r="E41" s="47"/>
      <c r="G41" s="7" t="s">
        <v>77</v>
      </c>
      <c r="H41" s="24">
        <f t="shared" si="14"/>
        <v>268.08771446921736</v>
      </c>
      <c r="I41" s="24">
        <f t="shared" si="15"/>
        <v>320.93685820216007</v>
      </c>
      <c r="J41" s="8">
        <f t="shared" si="12"/>
        <v>0.19713377704598622</v>
      </c>
      <c r="K41" s="7"/>
      <c r="M41" s="13" t="s">
        <v>57</v>
      </c>
      <c r="N41" s="24">
        <f t="shared" si="20"/>
        <v>1546.549590604388</v>
      </c>
      <c r="O41" s="24">
        <f t="shared" si="21"/>
        <v>1565.3153591806711</v>
      </c>
      <c r="P41" s="8">
        <f t="shared" si="16"/>
        <v>1.2133958516616004E-2</v>
      </c>
      <c r="Q41" s="47"/>
      <c r="S41" s="13" t="s">
        <v>57</v>
      </c>
      <c r="T41" s="24">
        <f t="shared" si="22"/>
        <v>5246.1913504681979</v>
      </c>
      <c r="U41" s="24">
        <f t="shared" si="23"/>
        <v>5296.3523328759584</v>
      </c>
      <c r="V41" s="8">
        <f t="shared" si="17"/>
        <v>9.561409231343387E-3</v>
      </c>
      <c r="W41" s="47"/>
    </row>
    <row r="42" spans="1:23" x14ac:dyDescent="0.35">
      <c r="A42" s="13" t="s">
        <v>38</v>
      </c>
      <c r="B42" s="24">
        <f t="shared" si="18"/>
        <v>668.87723695924672</v>
      </c>
      <c r="C42" s="24">
        <f t="shared" si="19"/>
        <v>732.73458914414255</v>
      </c>
      <c r="D42" s="8">
        <f t="shared" si="13"/>
        <v>9.5469465331478348E-2</v>
      </c>
      <c r="E42" s="7"/>
      <c r="G42" s="13" t="s">
        <v>75</v>
      </c>
      <c r="H42" s="24">
        <f t="shared" si="14"/>
        <v>2092.0934841472549</v>
      </c>
      <c r="I42" s="24">
        <f t="shared" si="15"/>
        <v>2239.1357376563515</v>
      </c>
      <c r="J42" s="8">
        <f t="shared" si="12"/>
        <v>7.0284743307745409E-2</v>
      </c>
      <c r="K42" s="7"/>
      <c r="M42" s="13" t="s">
        <v>38</v>
      </c>
      <c r="N42" s="24">
        <f t="shared" si="20"/>
        <v>589.99325702435056</v>
      </c>
      <c r="O42" s="24">
        <f t="shared" si="21"/>
        <v>651.25823384135947</v>
      </c>
      <c r="P42" s="8">
        <f t="shared" si="16"/>
        <v>0.10384013052284824</v>
      </c>
      <c r="Q42" s="7"/>
      <c r="S42" s="13" t="s">
        <v>38</v>
      </c>
      <c r="T42" s="24">
        <f t="shared" si="22"/>
        <v>1166.0968669177785</v>
      </c>
      <c r="U42" s="24">
        <f t="shared" si="23"/>
        <v>1220.2872192422765</v>
      </c>
      <c r="V42" s="8">
        <f t="shared" si="17"/>
        <v>4.6471570125845275E-2</v>
      </c>
      <c r="W42" s="7"/>
    </row>
    <row r="43" spans="1:23" x14ac:dyDescent="0.35">
      <c r="A43" s="13" t="s">
        <v>45</v>
      </c>
      <c r="B43" s="24">
        <f t="shared" si="18"/>
        <v>83.200035132471626</v>
      </c>
      <c r="C43" s="24">
        <f t="shared" si="19"/>
        <v>111.73334936113922</v>
      </c>
      <c r="D43" s="8">
        <f t="shared" si="13"/>
        <v>0.34294834351015197</v>
      </c>
      <c r="E43" s="7"/>
      <c r="G43" s="61" t="s">
        <v>59</v>
      </c>
      <c r="H43" s="62">
        <f t="shared" si="14"/>
        <v>11498.164674804815</v>
      </c>
      <c r="I43" s="62">
        <f t="shared" si="15"/>
        <v>12413.669863765679</v>
      </c>
      <c r="J43" s="41">
        <f t="shared" si="12"/>
        <v>7.9621853996138289E-2</v>
      </c>
      <c r="K43" s="38"/>
      <c r="M43" s="13" t="s">
        <v>45</v>
      </c>
      <c r="N43" s="24">
        <f t="shared" si="20"/>
        <v>88.064369842452138</v>
      </c>
      <c r="O43" s="24">
        <f t="shared" si="21"/>
        <v>122.09435113105481</v>
      </c>
      <c r="P43" s="8">
        <f t="shared" si="16"/>
        <v>0.38642167484400991</v>
      </c>
      <c r="Q43" s="7"/>
      <c r="S43" s="13" t="s">
        <v>45</v>
      </c>
      <c r="T43" s="24">
        <f t="shared" si="22"/>
        <v>52.539276046950285</v>
      </c>
      <c r="U43" s="24">
        <f t="shared" si="23"/>
        <v>49.733353845860925</v>
      </c>
      <c r="V43" s="8">
        <f t="shared" si="17"/>
        <v>-5.3406183187258302E-2</v>
      </c>
      <c r="W43" s="7"/>
    </row>
    <row r="44" spans="1:23" x14ac:dyDescent="0.35">
      <c r="A44" s="13" t="s">
        <v>46</v>
      </c>
      <c r="B44" s="24">
        <f t="shared" si="18"/>
        <v>294.47919586230353</v>
      </c>
      <c r="C44" s="24">
        <f t="shared" si="19"/>
        <v>210.8704828863394</v>
      </c>
      <c r="D44" s="8">
        <f t="shared" si="13"/>
        <v>-0.28392061018483283</v>
      </c>
      <c r="E44" s="7"/>
      <c r="G44" s="61" t="s">
        <v>53</v>
      </c>
      <c r="H44" s="62">
        <f t="shared" si="14"/>
        <v>0</v>
      </c>
      <c r="I44" s="62">
        <f t="shared" si="15"/>
        <v>0</v>
      </c>
      <c r="J44" s="41" t="str">
        <f t="shared" si="12"/>
        <v/>
      </c>
      <c r="K44" s="38"/>
      <c r="M44" s="13" t="s">
        <v>46</v>
      </c>
      <c r="N44" s="24">
        <f t="shared" si="20"/>
        <v>328.75326850065358</v>
      </c>
      <c r="O44" s="24">
        <f t="shared" si="21"/>
        <v>234.45062242924664</v>
      </c>
      <c r="P44" s="8">
        <f t="shared" si="16"/>
        <v>-0.28684930343504544</v>
      </c>
      <c r="Q44" s="7"/>
      <c r="S44" s="13" t="s">
        <v>46</v>
      </c>
      <c r="T44" s="24">
        <f t="shared" si="22"/>
        <v>78.443674727632015</v>
      </c>
      <c r="U44" s="24">
        <f t="shared" si="23"/>
        <v>69.767471963699833</v>
      </c>
      <c r="V44" s="8">
        <f t="shared" si="17"/>
        <v>-0.11060423665843339</v>
      </c>
      <c r="W44" s="7"/>
    </row>
    <row r="45" spans="1:23" x14ac:dyDescent="0.35">
      <c r="A45" s="13" t="s">
        <v>47</v>
      </c>
      <c r="B45" s="24">
        <f t="shared" si="18"/>
        <v>13.687251308062576</v>
      </c>
      <c r="C45" s="24">
        <f t="shared" si="19"/>
        <v>20.109908899858684</v>
      </c>
      <c r="D45" s="8">
        <f t="shared" si="13"/>
        <v>0.46924378366698027</v>
      </c>
      <c r="E45" s="7"/>
      <c r="M45" s="13" t="s">
        <v>47</v>
      </c>
      <c r="N45" s="24">
        <f t="shared" si="20"/>
        <v>14.107236770231873</v>
      </c>
      <c r="O45" s="24">
        <f t="shared" si="21"/>
        <v>22.887352037246156</v>
      </c>
      <c r="P45" s="8">
        <f t="shared" si="16"/>
        <v>0.62238377437185166</v>
      </c>
      <c r="Q45" s="7"/>
      <c r="S45" s="13" t="s">
        <v>47</v>
      </c>
      <c r="T45" s="24">
        <f t="shared" si="22"/>
        <v>11.040008911569307</v>
      </c>
      <c r="U45" s="24">
        <f t="shared" si="23"/>
        <v>3.4897532541013923</v>
      </c>
      <c r="V45" s="8">
        <f t="shared" si="17"/>
        <v>-0.68389941692489686</v>
      </c>
      <c r="W45" s="7"/>
    </row>
    <row r="46" spans="1:23" x14ac:dyDescent="0.35">
      <c r="A46" s="13" t="s">
        <v>48</v>
      </c>
      <c r="B46" s="24">
        <f t="shared" si="18"/>
        <v>0.38844062774590155</v>
      </c>
      <c r="C46" s="24">
        <f t="shared" si="19"/>
        <v>0.31811336529078704</v>
      </c>
      <c r="D46" s="8">
        <f t="shared" si="13"/>
        <v>-0.18105022346199864</v>
      </c>
      <c r="E46" s="7"/>
      <c r="M46" s="13" t="s">
        <v>48</v>
      </c>
      <c r="N46" s="24">
        <f t="shared" si="20"/>
        <v>0</v>
      </c>
      <c r="O46" s="24">
        <f t="shared" si="21"/>
        <v>0</v>
      </c>
      <c r="P46" s="8" t="str">
        <f t="shared" si="16"/>
        <v/>
      </c>
      <c r="Q46" s="7"/>
      <c r="S46" s="13" t="s">
        <v>48</v>
      </c>
      <c r="T46" s="24">
        <f t="shared" si="22"/>
        <v>2.8368503726405914</v>
      </c>
      <c r="U46" s="24">
        <f t="shared" si="23"/>
        <v>2.2216964028544965</v>
      </c>
      <c r="V46" s="8">
        <f t="shared" si="17"/>
        <v>-0.21684399562233464</v>
      </c>
      <c r="W46" s="7"/>
    </row>
    <row r="47" spans="1:23" x14ac:dyDescent="0.35">
      <c r="A47" s="13" t="s">
        <v>49</v>
      </c>
      <c r="B47" s="24">
        <f t="shared" si="18"/>
        <v>-8.3531750629986536</v>
      </c>
      <c r="C47" s="24">
        <f t="shared" si="19"/>
        <v>-3.8418017164103082</v>
      </c>
      <c r="D47" s="8">
        <f t="shared" si="13"/>
        <v>-0.54007886971889174</v>
      </c>
      <c r="E47" s="7"/>
      <c r="M47" s="13" t="s">
        <v>49</v>
      </c>
      <c r="N47" s="24">
        <f t="shared" si="20"/>
        <v>-8.7235061399609073</v>
      </c>
      <c r="O47" s="24">
        <f t="shared" si="21"/>
        <v>-1.7048351961154613</v>
      </c>
      <c r="P47" s="8">
        <f t="shared" si="16"/>
        <v>-0.80456995515760588</v>
      </c>
      <c r="Q47" s="7"/>
      <c r="S47" s="13" t="s">
        <v>49</v>
      </c>
      <c r="T47" s="24">
        <f t="shared" si="22"/>
        <v>-6.0189130087604346</v>
      </c>
      <c r="U47" s="24">
        <f t="shared" si="23"/>
        <v>-16.629360064222446</v>
      </c>
      <c r="V47" s="8">
        <f t="shared" si="17"/>
        <v>1.7628510397174157</v>
      </c>
      <c r="W47" s="7"/>
    </row>
    <row r="48" spans="1:23" x14ac:dyDescent="0.35">
      <c r="A48" s="13" t="s">
        <v>50</v>
      </c>
      <c r="B48" s="24">
        <f t="shared" si="18"/>
        <v>2077.3204677434069</v>
      </c>
      <c r="C48" s="24">
        <f t="shared" si="19"/>
        <v>2073.5025972635217</v>
      </c>
      <c r="D48" s="8">
        <f t="shared" si="13"/>
        <v>-1.8378822811256172E-3</v>
      </c>
      <c r="E48" s="7"/>
      <c r="M48" s="13" t="s">
        <v>50</v>
      </c>
      <c r="N48" s="24">
        <f t="shared" si="20"/>
        <v>2343.5122305443047</v>
      </c>
      <c r="O48" s="24">
        <f t="shared" si="21"/>
        <v>2371.128402960941</v>
      </c>
      <c r="P48" s="8">
        <f t="shared" si="16"/>
        <v>1.178409570758767E-2</v>
      </c>
      <c r="Q48" s="7"/>
      <c r="S48" s="13" t="s">
        <v>50</v>
      </c>
      <c r="T48" s="24">
        <f t="shared" si="22"/>
        <v>399.46686670671721</v>
      </c>
      <c r="U48" s="24">
        <f t="shared" si="23"/>
        <v>292.5166435644295</v>
      </c>
      <c r="V48" s="8">
        <f t="shared" si="17"/>
        <v>-0.26773240049670755</v>
      </c>
      <c r="W48" s="7"/>
    </row>
    <row r="49" spans="1:23" x14ac:dyDescent="0.35">
      <c r="A49" s="38" t="s">
        <v>58</v>
      </c>
      <c r="B49" s="52">
        <f>B26/($B$8/12)</f>
        <v>10097.703545237249</v>
      </c>
      <c r="C49" s="52">
        <f>C26/($C$8/12)</f>
        <v>10950.334382704956</v>
      </c>
      <c r="D49" s="41">
        <f t="shared" si="13"/>
        <v>8.4438093636633252E-2</v>
      </c>
      <c r="E49" s="39"/>
      <c r="M49" s="38" t="s">
        <v>58</v>
      </c>
      <c r="N49" s="52">
        <f t="shared" si="20"/>
        <v>8919.4068320091228</v>
      </c>
      <c r="O49" s="52">
        <f t="shared" si="21"/>
        <v>9632.4550229198903</v>
      </c>
      <c r="P49" s="41">
        <f t="shared" si="16"/>
        <v>7.9943454126551072E-2</v>
      </c>
      <c r="Q49" s="39"/>
      <c r="S49" s="38" t="s">
        <v>58</v>
      </c>
      <c r="T49" s="52">
        <f>T26/($T$8/12)</f>
        <v>17524.715420350167</v>
      </c>
      <c r="U49" s="52">
        <f>U26/($U$8/12)</f>
        <v>18836.494062129233</v>
      </c>
      <c r="V49" s="41">
        <f t="shared" si="17"/>
        <v>7.4853063819558197E-2</v>
      </c>
      <c r="W49" s="39"/>
    </row>
    <row r="50" spans="1:23" x14ac:dyDescent="0.35">
      <c r="A50" s="38" t="s">
        <v>59</v>
      </c>
      <c r="B50" s="52">
        <f t="shared" ref="B50" si="24">B27/($B$8/12)</f>
        <v>9592.2649738072942</v>
      </c>
      <c r="C50" s="52">
        <f t="shared" ref="C50" si="25">C27/($C$8/12)</f>
        <v>10375.222184280507</v>
      </c>
      <c r="D50" s="41">
        <f t="shared" si="13"/>
        <v>8.1623809664470359E-2</v>
      </c>
      <c r="E50" s="39"/>
      <c r="M50" s="38" t="s">
        <v>59</v>
      </c>
      <c r="N50" s="52">
        <f t="shared" si="20"/>
        <v>8450.1115051991746</v>
      </c>
      <c r="O50" s="52">
        <f t="shared" si="21"/>
        <v>9102.1602189210225</v>
      </c>
      <c r="P50" s="41">
        <f t="shared" si="16"/>
        <v>7.7164509997371761E-2</v>
      </c>
      <c r="Q50" s="39"/>
      <c r="S50" s="38" t="s">
        <v>59</v>
      </c>
      <c r="T50" s="52">
        <f t="shared" ref="T50" si="26">T27/($T$8/12)</f>
        <v>16791.459607316876</v>
      </c>
      <c r="U50" s="52">
        <f t="shared" ref="U50" si="27">U27/($U$8/12)</f>
        <v>17993.195609605227</v>
      </c>
      <c r="V50" s="41">
        <f t="shared" si="17"/>
        <v>7.1568287116904064E-2</v>
      </c>
      <c r="W50" s="39"/>
    </row>
    <row r="51" spans="1:23" x14ac:dyDescent="0.35">
      <c r="A51" s="38" t="s">
        <v>53</v>
      </c>
      <c r="B51" s="52">
        <f>B28/($B$8/12)</f>
        <v>2460.7222156109924</v>
      </c>
      <c r="C51" s="52">
        <f>C28/($C$8/12)</f>
        <v>2412.6926500597397</v>
      </c>
      <c r="D51" s="41">
        <f t="shared" si="13"/>
        <v>-1.9518483332474447E-2</v>
      </c>
      <c r="E51" s="39"/>
      <c r="M51" s="38" t="s">
        <v>53</v>
      </c>
      <c r="N51" s="52">
        <f>N28/($N$8/12)</f>
        <v>2765.7135995176809</v>
      </c>
      <c r="O51" s="52">
        <f>O28/($O$8/12)</f>
        <v>2748.8558933623731</v>
      </c>
      <c r="P51" s="41">
        <f t="shared" si="16"/>
        <v>-6.0952465064523231E-3</v>
      </c>
      <c r="Q51" s="39"/>
      <c r="S51" s="38" t="s">
        <v>53</v>
      </c>
      <c r="T51" s="52">
        <f>T28/($T$8/12)</f>
        <v>538.30776375674895</v>
      </c>
      <c r="U51" s="52">
        <f>U28/($U$8/12)</f>
        <v>401.09955896672369</v>
      </c>
      <c r="V51" s="41">
        <f t="shared" si="17"/>
        <v>-0.25488802879690037</v>
      </c>
      <c r="W51" s="39"/>
    </row>
    <row r="52" spans="1:23" s="77" customFormat="1" x14ac:dyDescent="0.35">
      <c r="A52" s="38" t="s">
        <v>184</v>
      </c>
      <c r="B52" s="52">
        <f>B49+B51</f>
        <v>12558.425760848242</v>
      </c>
      <c r="C52" s="52">
        <f>C49+C51</f>
        <v>13363.027032764696</v>
      </c>
      <c r="D52" s="41">
        <f t="shared" si="13"/>
        <v>6.4068641025442352E-2</v>
      </c>
      <c r="E52" s="39"/>
      <c r="M52" s="38" t="s">
        <v>184</v>
      </c>
      <c r="N52" s="52">
        <f>N49+N51</f>
        <v>11685.120431526804</v>
      </c>
      <c r="O52" s="52">
        <f>O49+O51</f>
        <v>12381.310916282264</v>
      </c>
      <c r="P52" s="41">
        <f t="shared" si="16"/>
        <v>5.957923059801052E-2</v>
      </c>
      <c r="Q52" s="39"/>
      <c r="S52" s="38" t="s">
        <v>184</v>
      </c>
      <c r="T52" s="52">
        <f>T49+T51</f>
        <v>18063.023184106914</v>
      </c>
      <c r="U52" s="52">
        <f>U49+U51</f>
        <v>19237.593621095959</v>
      </c>
      <c r="V52" s="41">
        <f t="shared" si="17"/>
        <v>6.5026237580346577E-2</v>
      </c>
      <c r="W52" s="39"/>
    </row>
    <row r="53" spans="1:23" s="77" customFormat="1" x14ac:dyDescent="0.35">
      <c r="A53" s="38" t="s">
        <v>185</v>
      </c>
      <c r="B53" s="52">
        <f>B49/B9+B51</f>
        <v>12669.782425113344</v>
      </c>
      <c r="C53" s="52">
        <f>C49/C9+C51</f>
        <v>13521.222311874008</v>
      </c>
      <c r="D53" s="41">
        <f t="shared" si="13"/>
        <v>6.7202407917675525E-2</v>
      </c>
      <c r="E53" s="39"/>
      <c r="M53" s="38" t="s">
        <v>185</v>
      </c>
      <c r="N53" s="52">
        <f>N49/N9+N51</f>
        <v>11958.396126446611</v>
      </c>
      <c r="O53" s="52">
        <f>O49/O9+O51</f>
        <v>12712.388711862422</v>
      </c>
      <c r="P53" s="41">
        <f t="shared" si="16"/>
        <v>6.3051313691500674E-2</v>
      </c>
      <c r="Q53" s="80"/>
      <c r="S53" s="38" t="s">
        <v>185</v>
      </c>
      <c r="T53" s="52">
        <f>T49/T9+T51</f>
        <v>16358.871984318939</v>
      </c>
      <c r="U53" s="52">
        <f>U49/U9+U51</f>
        <v>17534.790779614825</v>
      </c>
      <c r="V53" s="41">
        <f t="shared" si="17"/>
        <v>7.1882633253874811E-2</v>
      </c>
      <c r="W53" s="39"/>
    </row>
    <row r="54" spans="1:23" x14ac:dyDescent="0.35">
      <c r="A54" s="38" t="s">
        <v>186</v>
      </c>
      <c r="B54" s="52">
        <f>B50+B51</f>
        <v>12052.987189418287</v>
      </c>
      <c r="C54" s="52">
        <f>C50+C51</f>
        <v>12787.914834340247</v>
      </c>
      <c r="D54" s="41">
        <f t="shared" si="13"/>
        <v>6.0974730444182064E-2</v>
      </c>
      <c r="E54" s="39"/>
      <c r="M54" s="38" t="s">
        <v>186</v>
      </c>
      <c r="N54" s="52">
        <f>N50+N51</f>
        <v>11215.825104716856</v>
      </c>
      <c r="O54" s="52">
        <f>O50+O51</f>
        <v>11851.016112283396</v>
      </c>
      <c r="P54" s="41">
        <f t="shared" si="16"/>
        <v>5.6633462240723437E-2</v>
      </c>
      <c r="Q54" s="39"/>
      <c r="S54" s="38" t="s">
        <v>186</v>
      </c>
      <c r="T54" s="52">
        <f>T50+T51</f>
        <v>17329.767371073624</v>
      </c>
      <c r="U54" s="52">
        <f>U50+U51</f>
        <v>18394.295168571953</v>
      </c>
      <c r="V54" s="41">
        <f t="shared" si="17"/>
        <v>6.1427702675063603E-2</v>
      </c>
      <c r="W54" s="39"/>
    </row>
    <row r="55" spans="1:23" x14ac:dyDescent="0.35">
      <c r="A55" s="38" t="s">
        <v>187</v>
      </c>
      <c r="B55" s="52">
        <f>B50/B9+B51</f>
        <v>12158.769917683663</v>
      </c>
      <c r="C55" s="52">
        <f>C50/C9+C51</f>
        <v>12937.801688193375</v>
      </c>
      <c r="D55" s="41">
        <f t="shared" si="13"/>
        <v>6.4071594066163792E-2</v>
      </c>
      <c r="E55" s="39"/>
      <c r="M55" s="38" t="s">
        <v>187</v>
      </c>
      <c r="N55" s="52">
        <f>N50/N9+N51</f>
        <v>11474.722376388116</v>
      </c>
      <c r="O55" s="52">
        <f>O50/O9+O51</f>
        <v>12163.867107499806</v>
      </c>
      <c r="P55" s="41">
        <f t="shared" si="16"/>
        <v>6.0057638739022035E-2</v>
      </c>
      <c r="Q55" s="80"/>
      <c r="S55" s="38" t="s">
        <v>187</v>
      </c>
      <c r="T55" s="52">
        <f>T50/T9+T51</f>
        <v>15696.919969581919</v>
      </c>
      <c r="U55" s="52">
        <f>U50/U9+U51</f>
        <v>16767.7257809617</v>
      </c>
      <c r="V55" s="41">
        <f t="shared" si="17"/>
        <v>6.8217574750640844E-2</v>
      </c>
      <c r="W55" s="39"/>
    </row>
    <row r="56" spans="1:23" x14ac:dyDescent="0.35">
      <c r="A56" s="50"/>
      <c r="M56" s="50"/>
      <c r="S56" s="50"/>
    </row>
  </sheetData>
  <mergeCells count="24">
    <mergeCell ref="N31:O31"/>
    <mergeCell ref="Q31:Q32"/>
    <mergeCell ref="A6:A7"/>
    <mergeCell ref="B6:C6"/>
    <mergeCell ref="E6:E7"/>
    <mergeCell ref="A31:A32"/>
    <mergeCell ref="B31:C31"/>
    <mergeCell ref="E31:E32"/>
    <mergeCell ref="W6:W7"/>
    <mergeCell ref="W31:W32"/>
    <mergeCell ref="G6:G7"/>
    <mergeCell ref="H6:I6"/>
    <mergeCell ref="K6:K7"/>
    <mergeCell ref="G30:G31"/>
    <mergeCell ref="H30:I30"/>
    <mergeCell ref="K30:K31"/>
    <mergeCell ref="S6:S7"/>
    <mergeCell ref="T6:U6"/>
    <mergeCell ref="S31:S32"/>
    <mergeCell ref="T31:U31"/>
    <mergeCell ref="M6:M7"/>
    <mergeCell ref="N6:O6"/>
    <mergeCell ref="Q6:Q7"/>
    <mergeCell ref="M31:M3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E313-7037-4D05-A508-2F74136D8B1F}">
  <sheetPr>
    <tabColor theme="5"/>
  </sheetPr>
  <dimension ref="A1:K58"/>
  <sheetViews>
    <sheetView topLeftCell="A49" zoomScaleNormal="100" workbookViewId="0">
      <selection activeCell="D61" sqref="D61"/>
    </sheetView>
  </sheetViews>
  <sheetFormatPr defaultRowHeight="14.5" x14ac:dyDescent="0.35"/>
  <cols>
    <col min="1" max="1" width="38.26953125" style="20" customWidth="1"/>
    <col min="2" max="2" width="19.7265625" style="20" customWidth="1"/>
    <col min="3" max="3" width="20" style="20" bestFit="1" customWidth="1"/>
    <col min="4" max="4" width="16.453125" style="20" customWidth="1"/>
    <col min="5" max="5" width="17.7265625" style="20" customWidth="1"/>
    <col min="6" max="6" width="9.26953125" style="20"/>
    <col min="7" max="7" width="38.7265625" style="20" customWidth="1"/>
    <col min="8" max="9" width="19.7265625" style="20" customWidth="1"/>
    <col min="10" max="10" width="16.453125" style="20" customWidth="1"/>
    <col min="11" max="11" width="17.7265625" style="20" customWidth="1"/>
  </cols>
  <sheetData>
    <row r="1" spans="1:11" s="20" customFormat="1" ht="18.5" x14ac:dyDescent="0.45">
      <c r="A1" s="2" t="s">
        <v>111</v>
      </c>
      <c r="B1" s="2"/>
      <c r="C1" s="2"/>
      <c r="D1" s="2"/>
    </row>
    <row r="2" spans="1:11" s="20" customFormat="1" ht="15.5" x14ac:dyDescent="0.35">
      <c r="A2" s="3" t="s">
        <v>123</v>
      </c>
      <c r="B2" s="4"/>
      <c r="C2" s="4"/>
      <c r="D2" s="4"/>
      <c r="G2" s="11"/>
    </row>
    <row r="3" spans="1:11" s="20" customFormat="1" ht="15.75" customHeight="1" x14ac:dyDescent="0.35">
      <c r="A3" s="5" t="s">
        <v>114</v>
      </c>
      <c r="B3" s="6"/>
      <c r="C3" s="6"/>
      <c r="D3" s="6"/>
      <c r="G3" s="11"/>
    </row>
    <row r="4" spans="1:11" s="20" customFormat="1" ht="15.75" customHeight="1" x14ac:dyDescent="0.35">
      <c r="A4" s="5"/>
      <c r="B4" s="6"/>
      <c r="C4" s="6"/>
      <c r="D4" s="6"/>
      <c r="G4" s="11"/>
    </row>
    <row r="5" spans="1:11" s="20" customFormat="1" x14ac:dyDescent="0.35">
      <c r="A5" s="34" t="s">
        <v>224</v>
      </c>
      <c r="G5" s="34" t="s">
        <v>97</v>
      </c>
    </row>
    <row r="6" spans="1:11" s="20" customFormat="1" x14ac:dyDescent="0.35">
      <c r="A6" s="128" t="s">
        <v>7</v>
      </c>
      <c r="B6" s="128" t="s">
        <v>1</v>
      </c>
      <c r="C6" s="128"/>
      <c r="D6" s="76" t="s">
        <v>2</v>
      </c>
      <c r="E6" s="131" t="s">
        <v>28</v>
      </c>
      <c r="G6" s="128" t="s">
        <v>7</v>
      </c>
      <c r="H6" s="128" t="s">
        <v>1</v>
      </c>
      <c r="I6" s="128"/>
      <c r="J6" s="76" t="s">
        <v>2</v>
      </c>
      <c r="K6" s="131" t="s">
        <v>28</v>
      </c>
    </row>
    <row r="7" spans="1:11" s="20" customFormat="1" x14ac:dyDescent="0.35">
      <c r="A7" s="128"/>
      <c r="B7" s="75">
        <v>2020</v>
      </c>
      <c r="C7" s="75">
        <v>2021</v>
      </c>
      <c r="D7" s="75" t="s">
        <v>112</v>
      </c>
      <c r="E7" s="132"/>
      <c r="G7" s="128"/>
      <c r="H7" s="75">
        <v>2020</v>
      </c>
      <c r="I7" s="75">
        <v>2021</v>
      </c>
      <c r="J7" s="75" t="s">
        <v>112</v>
      </c>
      <c r="K7" s="132"/>
    </row>
    <row r="8" spans="1:11" s="20" customFormat="1" x14ac:dyDescent="0.35">
      <c r="A8" s="48" t="s">
        <v>62</v>
      </c>
      <c r="B8" s="119">
        <v>12925561</v>
      </c>
      <c r="C8" s="119">
        <v>14685525</v>
      </c>
      <c r="D8" s="120">
        <v>0.13616151747688165</v>
      </c>
      <c r="E8" s="13"/>
      <c r="G8" s="48" t="s">
        <v>62</v>
      </c>
      <c r="H8" s="119">
        <v>1321097</v>
      </c>
      <c r="I8" s="119">
        <v>1421430</v>
      </c>
      <c r="J8" s="120">
        <v>7.5946732147601573E-2</v>
      </c>
      <c r="K8" s="97"/>
    </row>
    <row r="9" spans="1:11" s="77" customFormat="1" x14ac:dyDescent="0.35">
      <c r="A9" s="48" t="s">
        <v>118</v>
      </c>
      <c r="B9" s="121">
        <v>1.0465313317244342</v>
      </c>
      <c r="C9" s="121">
        <v>1.0584827210475771</v>
      </c>
      <c r="D9" s="120">
        <v>1.1420001447495928E-2</v>
      </c>
      <c r="E9" s="13"/>
      <c r="G9" s="48" t="s">
        <v>118</v>
      </c>
      <c r="H9" s="121">
        <v>1.467061042681717</v>
      </c>
      <c r="I9" s="121">
        <v>1.430249702486839</v>
      </c>
      <c r="J9" s="120">
        <v>-2.5091894013890937E-2</v>
      </c>
      <c r="K9" s="97"/>
    </row>
    <row r="10" spans="1:11" s="20" customFormat="1" x14ac:dyDescent="0.35">
      <c r="A10" s="7" t="s">
        <v>31</v>
      </c>
      <c r="B10" s="24">
        <v>981123088.82938671</v>
      </c>
      <c r="C10" s="24">
        <v>1078634734.7551341</v>
      </c>
      <c r="D10" s="8">
        <v>9.9387780224489519E-2</v>
      </c>
      <c r="E10" s="7"/>
      <c r="G10" s="7" t="s">
        <v>31</v>
      </c>
      <c r="H10" s="24">
        <v>29992061.387786798</v>
      </c>
      <c r="I10" s="24">
        <v>24370183.320984099</v>
      </c>
      <c r="J10" s="8">
        <v>-0.18744553747452683</v>
      </c>
      <c r="K10" s="7"/>
    </row>
    <row r="11" spans="1:11" s="20" customFormat="1" x14ac:dyDescent="0.35">
      <c r="A11" s="7" t="s">
        <v>32</v>
      </c>
      <c r="B11" s="24">
        <v>758486558.69787312</v>
      </c>
      <c r="C11" s="24">
        <v>872379542.61173773</v>
      </c>
      <c r="D11" s="8">
        <v>0.15015820993504442</v>
      </c>
      <c r="E11" s="7"/>
      <c r="G11" s="7" t="s">
        <v>32</v>
      </c>
      <c r="H11" s="24">
        <v>51814322.0961731</v>
      </c>
      <c r="I11" s="24">
        <v>49589187.781776696</v>
      </c>
      <c r="J11" s="8">
        <v>-4.2944387273200428E-2</v>
      </c>
      <c r="K11" s="7"/>
    </row>
    <row r="12" spans="1:11" s="20" customFormat="1" x14ac:dyDescent="0.35">
      <c r="A12" s="7" t="s">
        <v>33</v>
      </c>
      <c r="B12" s="24">
        <v>257557315.16270944</v>
      </c>
      <c r="C12" s="24">
        <v>293313846.95082694</v>
      </c>
      <c r="D12" s="8">
        <v>0.13882941653405823</v>
      </c>
      <c r="E12" s="7"/>
      <c r="G12" s="7" t="s">
        <v>33</v>
      </c>
      <c r="H12" s="24">
        <v>9540745.3914004695</v>
      </c>
      <c r="I12" s="24">
        <v>8997350.4890169594</v>
      </c>
      <c r="J12" s="8">
        <v>-5.6955183278792648E-2</v>
      </c>
      <c r="K12" s="7"/>
    </row>
    <row r="13" spans="1:11" s="20" customFormat="1" x14ac:dyDescent="0.35">
      <c r="A13" s="7" t="s">
        <v>34</v>
      </c>
      <c r="B13" s="24">
        <v>380391865.18929577</v>
      </c>
      <c r="C13" s="24">
        <v>428503028.5296728</v>
      </c>
      <c r="D13" s="8">
        <v>0.12647789751348995</v>
      </c>
      <c r="E13" s="7"/>
      <c r="G13" s="7" t="s">
        <v>34</v>
      </c>
      <c r="H13" s="24">
        <v>21705336.732877702</v>
      </c>
      <c r="I13" s="24">
        <v>20592899.721974801</v>
      </c>
      <c r="J13" s="8">
        <v>-5.1251773911337652E-2</v>
      </c>
      <c r="K13" s="7"/>
    </row>
    <row r="14" spans="1:11" s="20" customFormat="1" x14ac:dyDescent="0.35">
      <c r="A14" s="7" t="s">
        <v>35</v>
      </c>
      <c r="B14" s="24">
        <v>489613784.25670403</v>
      </c>
      <c r="C14" s="24">
        <v>504759169.95091897</v>
      </c>
      <c r="D14" s="8">
        <v>3.0933331906101379E-2</v>
      </c>
      <c r="E14" s="7"/>
      <c r="G14" s="7" t="s">
        <v>35</v>
      </c>
      <c r="H14" s="25">
        <v>42935592.613729</v>
      </c>
      <c r="I14" s="25">
        <v>35601993.821639001</v>
      </c>
      <c r="J14" s="8">
        <v>-0.1708046482103294</v>
      </c>
      <c r="K14" s="7"/>
    </row>
    <row r="15" spans="1:11" s="20" customFormat="1" x14ac:dyDescent="0.35">
      <c r="A15" s="7" t="s">
        <v>36</v>
      </c>
      <c r="B15" s="24">
        <v>287572221.04927438</v>
      </c>
      <c r="C15" s="24">
        <v>332770538.67121273</v>
      </c>
      <c r="D15" s="8">
        <v>0.15717205736013629</v>
      </c>
      <c r="E15" s="7"/>
      <c r="G15" s="7" t="s">
        <v>36</v>
      </c>
      <c r="H15" s="26">
        <v>18463003.96120536</v>
      </c>
      <c r="I15" s="26">
        <v>21413788.877581798</v>
      </c>
      <c r="J15" s="8">
        <v>0.15982149614313335</v>
      </c>
      <c r="K15" s="7"/>
    </row>
    <row r="16" spans="1:11" s="20" customFormat="1" x14ac:dyDescent="0.35">
      <c r="A16" s="7" t="s">
        <v>37</v>
      </c>
      <c r="B16" s="24">
        <v>162499228.72060001</v>
      </c>
      <c r="C16" s="24">
        <v>158702390.6548</v>
      </c>
      <c r="D16" s="8">
        <v>-2.3365268227385046E-2</v>
      </c>
      <c r="E16" s="7"/>
      <c r="G16" s="7" t="s">
        <v>37</v>
      </c>
      <c r="H16" s="26">
        <v>113167111.7176</v>
      </c>
      <c r="I16" s="26">
        <v>106514763.3874</v>
      </c>
      <c r="J16" s="8">
        <v>-5.8783406497114069E-2</v>
      </c>
      <c r="K16" s="7"/>
    </row>
    <row r="17" spans="1:11" s="20" customFormat="1" x14ac:dyDescent="0.35">
      <c r="A17" s="13" t="s">
        <v>56</v>
      </c>
      <c r="B17" s="24">
        <v>770299538.15989006</v>
      </c>
      <c r="C17" s="24">
        <v>890669766.979684</v>
      </c>
      <c r="D17" s="8">
        <v>0.15626418406966364</v>
      </c>
      <c r="E17" s="7"/>
      <c r="G17" s="13" t="s">
        <v>56</v>
      </c>
      <c r="H17" s="26">
        <v>32006396.293790102</v>
      </c>
      <c r="I17" s="26">
        <v>28568402.448385898</v>
      </c>
      <c r="J17" s="8">
        <v>-0.1074158369422941</v>
      </c>
      <c r="K17" s="7"/>
    </row>
    <row r="18" spans="1:11" s="20" customFormat="1" x14ac:dyDescent="0.35">
      <c r="A18" s="13" t="s">
        <v>57</v>
      </c>
      <c r="B18" s="24">
        <v>312517718.67601007</v>
      </c>
      <c r="C18" s="24">
        <v>396792710.37004399</v>
      </c>
      <c r="D18" s="8">
        <v>0.26966468349720218</v>
      </c>
      <c r="E18" s="47"/>
      <c r="G18" s="13" t="s">
        <v>57</v>
      </c>
      <c r="H18" s="26">
        <v>32006396.293790102</v>
      </c>
      <c r="I18" s="26">
        <v>28568402.448385898</v>
      </c>
      <c r="J18" s="8">
        <v>-0.1074158369422941</v>
      </c>
      <c r="K18" s="42" t="s">
        <v>238</v>
      </c>
    </row>
    <row r="19" spans="1:11" s="20" customFormat="1" x14ac:dyDescent="0.35">
      <c r="A19" s="13" t="s">
        <v>38</v>
      </c>
      <c r="B19" s="24">
        <v>347197113.15796423</v>
      </c>
      <c r="C19" s="24">
        <v>377285979.52870357</v>
      </c>
      <c r="D19" s="8">
        <v>8.6662202047313147E-2</v>
      </c>
      <c r="E19" s="7"/>
      <c r="G19" s="13" t="s">
        <v>38</v>
      </c>
      <c r="H19" s="26">
        <v>83627809.175399199</v>
      </c>
      <c r="I19" s="26">
        <v>81819823.521502599</v>
      </c>
      <c r="J19" s="8">
        <v>-2.1619431044816315E-2</v>
      </c>
      <c r="K19" s="7"/>
    </row>
    <row r="20" spans="1:11" s="20" customFormat="1" x14ac:dyDescent="0.35">
      <c r="A20" s="13" t="s">
        <v>45</v>
      </c>
      <c r="B20" s="24">
        <v>769930546.94911838</v>
      </c>
      <c r="C20" s="24">
        <v>853646501.19647348</v>
      </c>
      <c r="D20" s="8">
        <v>0.10873182597973678</v>
      </c>
      <c r="E20" s="7"/>
      <c r="G20" s="13" t="s">
        <v>45</v>
      </c>
      <c r="H20" s="26">
        <v>59447860.275580302</v>
      </c>
      <c r="I20" s="26">
        <v>58023162.9311864</v>
      </c>
      <c r="J20" s="8">
        <v>-2.3965494094984805E-2</v>
      </c>
      <c r="K20" s="7"/>
    </row>
    <row r="21" spans="1:11" s="20" customFormat="1" x14ac:dyDescent="0.35">
      <c r="A21" s="13" t="s">
        <v>46</v>
      </c>
      <c r="B21" s="24">
        <v>165709660.08776373</v>
      </c>
      <c r="C21" s="24">
        <v>228100924.789179</v>
      </c>
      <c r="D21" s="8">
        <v>0.37650952073869076</v>
      </c>
      <c r="E21" s="7"/>
      <c r="G21" s="13" t="s">
        <v>46</v>
      </c>
      <c r="H21" s="26">
        <v>9051077.7815627195</v>
      </c>
      <c r="I21" s="26">
        <v>12842851.457692999</v>
      </c>
      <c r="J21" s="8">
        <v>0.41893062546144738</v>
      </c>
      <c r="K21" s="7"/>
    </row>
    <row r="22" spans="1:11" s="20" customFormat="1" x14ac:dyDescent="0.35">
      <c r="A22" s="13" t="s">
        <v>47</v>
      </c>
      <c r="B22" s="24">
        <v>120528501.79796474</v>
      </c>
      <c r="C22" s="24">
        <v>107499818.93602048</v>
      </c>
      <c r="D22" s="8">
        <v>-0.10809628152338208</v>
      </c>
      <c r="E22" s="7"/>
      <c r="G22" s="13" t="s">
        <v>47</v>
      </c>
      <c r="H22" s="26">
        <v>9505289.2380987406</v>
      </c>
      <c r="I22" s="26">
        <v>8066502.5605565803</v>
      </c>
      <c r="J22" s="8">
        <v>-0.15136695386135857</v>
      </c>
      <c r="K22" s="7"/>
    </row>
    <row r="23" spans="1:11" s="20" customFormat="1" x14ac:dyDescent="0.35">
      <c r="A23" s="13" t="s">
        <v>48</v>
      </c>
      <c r="B23" s="24">
        <v>20935751.906084519</v>
      </c>
      <c r="C23" s="24">
        <v>23272279.34082422</v>
      </c>
      <c r="D23" s="8">
        <v>0.1116046581570658</v>
      </c>
      <c r="E23" s="7"/>
      <c r="G23" s="13" t="s">
        <v>48</v>
      </c>
      <c r="H23" s="26">
        <v>1265976.71223522</v>
      </c>
      <c r="I23" s="26">
        <v>1394208.2893570201</v>
      </c>
      <c r="J23" s="8">
        <v>0.10129062871574723</v>
      </c>
      <c r="K23" s="7"/>
    </row>
    <row r="24" spans="1:11" s="20" customFormat="1" x14ac:dyDescent="0.35">
      <c r="A24" s="13" t="s">
        <v>49</v>
      </c>
      <c r="B24" s="24">
        <v>-5359226.3459267188</v>
      </c>
      <c r="C24" s="24">
        <v>-7856423.9172770008</v>
      </c>
      <c r="D24" s="8">
        <v>0.46596232555997147</v>
      </c>
      <c r="E24" s="7"/>
      <c r="G24" s="13" t="s">
        <v>49</v>
      </c>
      <c r="H24" s="26">
        <v>-382425.96906771901</v>
      </c>
      <c r="I24" s="26">
        <v>-467731.09371393104</v>
      </c>
      <c r="J24" s="8">
        <v>0.22306310644690142</v>
      </c>
      <c r="K24" s="47"/>
    </row>
    <row r="25" spans="1:11" s="20" customFormat="1" x14ac:dyDescent="0.35">
      <c r="A25" s="13" t="s">
        <v>50</v>
      </c>
      <c r="B25" s="24">
        <v>187834516.05263832</v>
      </c>
      <c r="C25" s="24">
        <v>184014264.8234081</v>
      </c>
      <c r="D25" s="8">
        <v>-2.0338387797478322E-2</v>
      </c>
      <c r="E25" s="7"/>
      <c r="G25" s="13" t="s">
        <v>50</v>
      </c>
      <c r="H25" s="26">
        <v>5386515.5799103202</v>
      </c>
      <c r="I25" s="26">
        <v>5021673.2218241096</v>
      </c>
      <c r="J25" s="8">
        <v>-6.773253556472307E-2</v>
      </c>
      <c r="K25" s="7"/>
    </row>
    <row r="26" spans="1:11" s="20" customFormat="1" x14ac:dyDescent="0.35">
      <c r="A26" s="38" t="s">
        <v>58</v>
      </c>
      <c r="B26" s="40">
        <f>SUM(B10:B16) + B17 +B19</f>
        <v>4434740713.2236977</v>
      </c>
      <c r="C26" s="40">
        <f t="shared" ref="C26" si="0">SUM(C10:C16) + C17 +C19</f>
        <v>4937018998.6326914</v>
      </c>
      <c r="D26" s="41">
        <f t="shared" ref="D26:D28" si="1">IFERROR((C26-B26)/B26, "")</f>
        <v>0.11325989903113819</v>
      </c>
      <c r="E26" s="39"/>
      <c r="G26" s="38" t="s">
        <v>58</v>
      </c>
      <c r="H26" s="40">
        <f>SUM(H10:H16) + H17 +H19</f>
        <v>403252379.36996174</v>
      </c>
      <c r="I26" s="40">
        <f t="shared" ref="I26" si="2">SUM(I10:I16) + I17 +I19</f>
        <v>377468393.37026191</v>
      </c>
      <c r="J26" s="41">
        <f t="shared" ref="J26:J28" si="3">IFERROR((I26-H26)/H26, "")</f>
        <v>-6.3940071574988655E-2</v>
      </c>
      <c r="K26" s="39"/>
    </row>
    <row r="27" spans="1:11" s="20" customFormat="1" x14ac:dyDescent="0.35">
      <c r="A27" s="38" t="s">
        <v>59</v>
      </c>
      <c r="B27" s="40">
        <f>SUM(B10:B16) + B18 +B19</f>
        <v>3976958893.7398176</v>
      </c>
      <c r="C27" s="40">
        <f t="shared" ref="C27" si="4">SUM(C10:C16) + C18 +C19</f>
        <v>4443141942.0230513</v>
      </c>
      <c r="D27" s="41">
        <f t="shared" si="1"/>
        <v>0.11722098737732954</v>
      </c>
      <c r="E27" s="39"/>
      <c r="G27" s="38" t="s">
        <v>59</v>
      </c>
      <c r="H27" s="40">
        <f>SUM(H10:H16) + H18 +H19</f>
        <v>403252379.36996174</v>
      </c>
      <c r="I27" s="40">
        <f t="shared" ref="I27" si="5">SUM(I10:I16) + I18 +I19</f>
        <v>377468393.37026191</v>
      </c>
      <c r="J27" s="41">
        <f t="shared" si="3"/>
        <v>-6.3940071574988655E-2</v>
      </c>
      <c r="K27" s="39"/>
    </row>
    <row r="28" spans="1:11" x14ac:dyDescent="0.35">
      <c r="A28" s="38" t="s">
        <v>53</v>
      </c>
      <c r="B28" s="40">
        <f>SUM(B20:B25)</f>
        <v>1259579750.4476428</v>
      </c>
      <c r="C28" s="40">
        <f t="shared" ref="C28" si="6">SUM(C20:C25)</f>
        <v>1388677365.168628</v>
      </c>
      <c r="D28" s="41">
        <f t="shared" si="1"/>
        <v>0.10249260888411797</v>
      </c>
      <c r="E28" s="39"/>
      <c r="G28" s="38" t="s">
        <v>53</v>
      </c>
      <c r="H28" s="40">
        <f>SUM(H20:H25)</f>
        <v>84274293.618319586</v>
      </c>
      <c r="I28" s="40">
        <f t="shared" ref="I28" si="7">SUM(I20:I25)</f>
        <v>84880667.366903186</v>
      </c>
      <c r="J28" s="41">
        <f t="shared" si="3"/>
        <v>7.195239764688886E-3</v>
      </c>
      <c r="K28" s="39"/>
    </row>
    <row r="31" spans="1:11" x14ac:dyDescent="0.35">
      <c r="A31" s="128" t="s">
        <v>7</v>
      </c>
      <c r="B31" s="128" t="s">
        <v>61</v>
      </c>
      <c r="C31" s="128"/>
      <c r="D31" s="76" t="s">
        <v>2</v>
      </c>
      <c r="E31" s="131" t="s">
        <v>28</v>
      </c>
      <c r="G31" s="128" t="s">
        <v>7</v>
      </c>
      <c r="H31" s="128" t="s">
        <v>61</v>
      </c>
      <c r="I31" s="128"/>
      <c r="J31" s="76" t="s">
        <v>2</v>
      </c>
      <c r="K31" s="131" t="s">
        <v>28</v>
      </c>
    </row>
    <row r="32" spans="1:11" x14ac:dyDescent="0.35">
      <c r="A32" s="128"/>
      <c r="B32" s="75">
        <v>2020</v>
      </c>
      <c r="C32" s="75">
        <v>2021</v>
      </c>
      <c r="D32" s="75" t="s">
        <v>112</v>
      </c>
      <c r="E32" s="132"/>
      <c r="G32" s="128"/>
      <c r="H32" s="75">
        <v>2020</v>
      </c>
      <c r="I32" s="75">
        <v>2021</v>
      </c>
      <c r="J32" s="75" t="s">
        <v>112</v>
      </c>
      <c r="K32" s="132"/>
    </row>
    <row r="33" spans="1:11" x14ac:dyDescent="0.35">
      <c r="A33" s="7" t="s">
        <v>31</v>
      </c>
      <c r="B33" s="24">
        <f>B10/($B$8/12)</f>
        <v>910.86778097698357</v>
      </c>
      <c r="C33" s="24">
        <f>C10/($C$8/12)</f>
        <v>881.38604626403276</v>
      </c>
      <c r="D33" s="8">
        <f t="shared" ref="D33:D55" si="8">IFERROR((C33-B33)/B33, "")</f>
        <v>-3.2366645663247776E-2</v>
      </c>
      <c r="E33" s="7"/>
      <c r="G33" s="7" t="s">
        <v>31</v>
      </c>
      <c r="H33" s="24">
        <f>H10/($H$8/12)</f>
        <v>272.42869876582989</v>
      </c>
      <c r="I33" s="24">
        <f>I10/($I$8/12)</f>
        <v>205.73802427964034</v>
      </c>
      <c r="J33" s="8">
        <f t="shared" ref="J33:J55" si="9">IFERROR((I33-H33)/H33, "")</f>
        <v>-0.24480047362232751</v>
      </c>
      <c r="K33" s="7"/>
    </row>
    <row r="34" spans="1:11" x14ac:dyDescent="0.35">
      <c r="A34" s="7" t="s">
        <v>32</v>
      </c>
      <c r="B34" s="24">
        <f t="shared" ref="B34:B51" si="10">B11/($B$8/12)</f>
        <v>704.17359094699862</v>
      </c>
      <c r="C34" s="24">
        <f t="shared" ref="C34:C51" si="11">C11/($C$8/12)</f>
        <v>712.84850295381693</v>
      </c>
      <c r="D34" s="8">
        <f t="shared" si="8"/>
        <v>1.2319280527336982E-2</v>
      </c>
      <c r="E34" s="7"/>
      <c r="G34" s="7" t="s">
        <v>32</v>
      </c>
      <c r="H34" s="24">
        <f t="shared" ref="H34:H48" si="12">H11/($H$8/12)</f>
        <v>470.64815464275307</v>
      </c>
      <c r="I34" s="24">
        <f t="shared" ref="I34:I48" si="13">I11/($I$8/12)</f>
        <v>418.64196856779466</v>
      </c>
      <c r="J34" s="8">
        <f t="shared" si="9"/>
        <v>-0.1104990757149231</v>
      </c>
      <c r="K34" s="7"/>
    </row>
    <row r="35" spans="1:11" x14ac:dyDescent="0.35">
      <c r="A35" s="7" t="s">
        <v>33</v>
      </c>
      <c r="B35" s="24">
        <f t="shared" si="10"/>
        <v>239.1144014524796</v>
      </c>
      <c r="C35" s="24">
        <f t="shared" si="11"/>
        <v>239.67588243593084</v>
      </c>
      <c r="D35" s="8">
        <f t="shared" si="8"/>
        <v>2.3481688264720977E-3</v>
      </c>
      <c r="E35" s="7"/>
      <c r="G35" s="7" t="s">
        <v>33</v>
      </c>
      <c r="H35" s="24">
        <f t="shared" si="12"/>
        <v>86.662027615538932</v>
      </c>
      <c r="I35" s="24">
        <f t="shared" si="13"/>
        <v>75.957455427424151</v>
      </c>
      <c r="J35" s="8">
        <f t="shared" si="9"/>
        <v>-0.12352090624516381</v>
      </c>
      <c r="K35" s="7"/>
    </row>
    <row r="36" spans="1:11" x14ac:dyDescent="0.35">
      <c r="A36" s="7" t="s">
        <v>34</v>
      </c>
      <c r="B36" s="24">
        <f t="shared" si="10"/>
        <v>353.15313449617776</v>
      </c>
      <c r="C36" s="24">
        <f t="shared" si="11"/>
        <v>350.14317447664104</v>
      </c>
      <c r="D36" s="8">
        <f t="shared" si="8"/>
        <v>-8.5231015260018809E-3</v>
      </c>
      <c r="E36" s="7"/>
      <c r="G36" s="7" t="s">
        <v>34</v>
      </c>
      <c r="H36" s="24">
        <f t="shared" si="12"/>
        <v>197.15739328340948</v>
      </c>
      <c r="I36" s="24">
        <f t="shared" si="13"/>
        <v>173.8494309700074</v>
      </c>
      <c r="J36" s="8">
        <f t="shared" si="9"/>
        <v>-0.11822007749867834</v>
      </c>
      <c r="K36" s="7"/>
    </row>
    <row r="37" spans="1:11" x14ac:dyDescent="0.35">
      <c r="A37" s="7" t="s">
        <v>35</v>
      </c>
      <c r="B37" s="24">
        <f t="shared" si="10"/>
        <v>454.55399661805387</v>
      </c>
      <c r="C37" s="24">
        <f t="shared" si="11"/>
        <v>412.45444336590128</v>
      </c>
      <c r="D37" s="8">
        <f t="shared" si="8"/>
        <v>-9.2617276639033491E-2</v>
      </c>
      <c r="E37" s="7"/>
      <c r="G37" s="7" t="s">
        <v>35</v>
      </c>
      <c r="H37" s="24">
        <f t="shared" si="12"/>
        <v>389.99945603142538</v>
      </c>
      <c r="I37" s="24">
        <f t="shared" si="13"/>
        <v>300.55924376133049</v>
      </c>
      <c r="J37" s="8">
        <f t="shared" si="9"/>
        <v>-0.22933419748895234</v>
      </c>
      <c r="K37" s="7"/>
    </row>
    <row r="38" spans="1:11" x14ac:dyDescent="0.35">
      <c r="A38" s="7" t="s">
        <v>36</v>
      </c>
      <c r="B38" s="24">
        <f t="shared" si="10"/>
        <v>266.98002915241301</v>
      </c>
      <c r="C38" s="24">
        <f t="shared" si="11"/>
        <v>271.91717450037044</v>
      </c>
      <c r="D38" s="8">
        <f t="shared" si="8"/>
        <v>1.8492564270187108E-2</v>
      </c>
      <c r="E38" s="7"/>
      <c r="G38" s="7" t="s">
        <v>36</v>
      </c>
      <c r="H38" s="24">
        <f t="shared" si="12"/>
        <v>167.7061166095028</v>
      </c>
      <c r="I38" s="24">
        <f t="shared" si="13"/>
        <v>180.77954350969205</v>
      </c>
      <c r="J38" s="8">
        <f t="shared" si="9"/>
        <v>7.795438332538708E-2</v>
      </c>
      <c r="K38" s="7"/>
    </row>
    <row r="39" spans="1:11" x14ac:dyDescent="0.35">
      <c r="A39" s="7" t="s">
        <v>37</v>
      </c>
      <c r="B39" s="24">
        <f t="shared" si="10"/>
        <v>150.86314200576672</v>
      </c>
      <c r="C39" s="24">
        <f t="shared" si="11"/>
        <v>129.68066772264527</v>
      </c>
      <c r="D39" s="8">
        <f t="shared" si="8"/>
        <v>-0.14040854513232764</v>
      </c>
      <c r="E39" s="7"/>
      <c r="G39" s="7" t="s">
        <v>37</v>
      </c>
      <c r="H39" s="24">
        <f t="shared" si="12"/>
        <v>1027.9376462221926</v>
      </c>
      <c r="I39" s="24">
        <f t="shared" si="13"/>
        <v>899.21920928135751</v>
      </c>
      <c r="J39" s="8">
        <f t="shared" si="9"/>
        <v>-0.12522008257396977</v>
      </c>
      <c r="K39" s="7"/>
    </row>
    <row r="40" spans="1:11" x14ac:dyDescent="0.35">
      <c r="A40" s="13" t="s">
        <v>56</v>
      </c>
      <c r="B40" s="24">
        <f t="shared" si="10"/>
        <v>715.1406780656315</v>
      </c>
      <c r="C40" s="24">
        <f t="shared" si="11"/>
        <v>727.7940151105397</v>
      </c>
      <c r="D40" s="8">
        <f t="shared" si="8"/>
        <v>1.7693493648178335E-2</v>
      </c>
      <c r="E40" s="7"/>
      <c r="G40" s="13" t="s">
        <v>56</v>
      </c>
      <c r="H40" s="24">
        <f t="shared" si="12"/>
        <v>290.72562841750545</v>
      </c>
      <c r="I40" s="24">
        <f t="shared" si="13"/>
        <v>241.18024058914668</v>
      </c>
      <c r="J40" s="8">
        <f t="shared" si="9"/>
        <v>-0.17041974626745873</v>
      </c>
      <c r="K40" s="7"/>
    </row>
    <row r="41" spans="1:11" x14ac:dyDescent="0.35">
      <c r="A41" s="13" t="s">
        <v>57</v>
      </c>
      <c r="B41" s="24">
        <f t="shared" si="10"/>
        <v>290.13925384841099</v>
      </c>
      <c r="C41" s="24">
        <f t="shared" si="11"/>
        <v>324.23168558431024</v>
      </c>
      <c r="D41" s="8">
        <f t="shared" si="8"/>
        <v>0.11750368584635405</v>
      </c>
      <c r="E41" s="47"/>
      <c r="G41" s="13" t="s">
        <v>57</v>
      </c>
      <c r="H41" s="24">
        <f t="shared" si="12"/>
        <v>290.72562841750545</v>
      </c>
      <c r="I41" s="24">
        <f t="shared" si="13"/>
        <v>241.18024058914668</v>
      </c>
      <c r="J41" s="8">
        <f t="shared" si="9"/>
        <v>-0.17041974626745873</v>
      </c>
      <c r="K41" s="47"/>
    </row>
    <row r="42" spans="1:11" x14ac:dyDescent="0.35">
      <c r="A42" s="13" t="s">
        <v>38</v>
      </c>
      <c r="B42" s="24">
        <f t="shared" si="10"/>
        <v>322.3353599813247</v>
      </c>
      <c r="C42" s="24">
        <f t="shared" si="11"/>
        <v>308.29212808833478</v>
      </c>
      <c r="D42" s="8">
        <f t="shared" si="8"/>
        <v>-4.3567146632015649E-2</v>
      </c>
      <c r="E42" s="7"/>
      <c r="G42" s="13" t="s">
        <v>38</v>
      </c>
      <c r="H42" s="24">
        <f t="shared" si="12"/>
        <v>759.62151916535299</v>
      </c>
      <c r="I42" s="24">
        <f t="shared" si="13"/>
        <v>690.73952446341445</v>
      </c>
      <c r="J42" s="8">
        <f t="shared" si="9"/>
        <v>-9.0679361977032719E-2</v>
      </c>
      <c r="K42" s="7"/>
    </row>
    <row r="43" spans="1:11" x14ac:dyDescent="0.35">
      <c r="A43" s="13" t="s">
        <v>45</v>
      </c>
      <c r="B43" s="24">
        <f t="shared" si="10"/>
        <v>714.79810921858018</v>
      </c>
      <c r="C43" s="24">
        <f t="shared" si="11"/>
        <v>697.54115119191738</v>
      </c>
      <c r="D43" s="8">
        <f t="shared" si="8"/>
        <v>-2.4142422600317407E-2</v>
      </c>
      <c r="E43" s="7"/>
      <c r="G43" s="13" t="s">
        <v>45</v>
      </c>
      <c r="H43" s="24">
        <f t="shared" si="12"/>
        <v>539.98633204599173</v>
      </c>
      <c r="I43" s="24">
        <f t="shared" si="13"/>
        <v>489.84329525494525</v>
      </c>
      <c r="J43" s="8">
        <f t="shared" si="9"/>
        <v>-9.2859825916437641E-2</v>
      </c>
      <c r="K43" s="7"/>
    </row>
    <row r="44" spans="1:11" x14ac:dyDescent="0.35">
      <c r="A44" s="13" t="s">
        <v>46</v>
      </c>
      <c r="B44" s="24">
        <f t="shared" si="10"/>
        <v>153.84368392622687</v>
      </c>
      <c r="C44" s="24">
        <f t="shared" si="11"/>
        <v>186.38837205140081</v>
      </c>
      <c r="D44" s="8">
        <f t="shared" si="8"/>
        <v>0.21154386904034478</v>
      </c>
      <c r="E44" s="7"/>
      <c r="G44" s="13" t="s">
        <v>46</v>
      </c>
      <c r="H44" s="24">
        <f t="shared" si="12"/>
        <v>82.214200303802542</v>
      </c>
      <c r="I44" s="24">
        <f t="shared" si="13"/>
        <v>108.4219535906207</v>
      </c>
      <c r="J44" s="8">
        <f t="shared" si="9"/>
        <v>0.31877404621067645</v>
      </c>
      <c r="K44" s="7"/>
    </row>
    <row r="45" spans="1:11" x14ac:dyDescent="0.35">
      <c r="A45" s="13" t="s">
        <v>47</v>
      </c>
      <c r="B45" s="24">
        <f t="shared" si="10"/>
        <v>111.89781407364654</v>
      </c>
      <c r="C45" s="24">
        <f t="shared" si="11"/>
        <v>87.841451172651006</v>
      </c>
      <c r="D45" s="8">
        <f t="shared" si="8"/>
        <v>-0.21498510136366586</v>
      </c>
      <c r="E45" s="7"/>
      <c r="G45" s="13" t="s">
        <v>47</v>
      </c>
      <c r="H45" s="24">
        <f t="shared" si="12"/>
        <v>86.339966601381192</v>
      </c>
      <c r="I45" s="24">
        <f t="shared" si="13"/>
        <v>68.099048652891071</v>
      </c>
      <c r="J45" s="8">
        <f t="shared" si="9"/>
        <v>-0.21126853144043628</v>
      </c>
      <c r="K45" s="7"/>
    </row>
    <row r="46" spans="1:11" x14ac:dyDescent="0.35">
      <c r="A46" s="13" t="s">
        <v>48</v>
      </c>
      <c r="B46" s="24">
        <f t="shared" si="10"/>
        <v>19.436604946819273</v>
      </c>
      <c r="C46" s="24">
        <f t="shared" si="11"/>
        <v>19.016504489277072</v>
      </c>
      <c r="D46" s="8">
        <f t="shared" si="8"/>
        <v>-2.1613880546095525E-2</v>
      </c>
      <c r="E46" s="7"/>
      <c r="G46" s="13" t="s">
        <v>48</v>
      </c>
      <c r="H46" s="24">
        <f t="shared" si="12"/>
        <v>11.499322568155586</v>
      </c>
      <c r="I46" s="24">
        <f t="shared" si="13"/>
        <v>11.770188804432326</v>
      </c>
      <c r="J46" s="8">
        <f t="shared" si="9"/>
        <v>2.3554973318761798E-2</v>
      </c>
      <c r="K46" s="7"/>
    </row>
    <row r="47" spans="1:11" x14ac:dyDescent="0.35">
      <c r="A47" s="13" t="s">
        <v>49</v>
      </c>
      <c r="B47" s="24">
        <f t="shared" si="10"/>
        <v>-4.9754680784161422</v>
      </c>
      <c r="C47" s="24">
        <f t="shared" si="11"/>
        <v>-6.419728747002508</v>
      </c>
      <c r="D47" s="8">
        <f t="shared" si="8"/>
        <v>0.29027634100430649</v>
      </c>
      <c r="E47" s="7"/>
      <c r="G47" s="13" t="s">
        <v>49</v>
      </c>
      <c r="H47" s="24">
        <f t="shared" si="12"/>
        <v>-3.4737128528886432</v>
      </c>
      <c r="I47" s="24">
        <f t="shared" si="13"/>
        <v>-3.9486806417250042</v>
      </c>
      <c r="J47" s="8">
        <f t="shared" si="9"/>
        <v>0.13673202390387307</v>
      </c>
      <c r="K47" s="7"/>
    </row>
    <row r="48" spans="1:11" x14ac:dyDescent="0.35">
      <c r="A48" s="13" t="s">
        <v>50</v>
      </c>
      <c r="B48" s="24">
        <f t="shared" si="10"/>
        <v>174.38424472498022</v>
      </c>
      <c r="C48" s="24">
        <f t="shared" si="11"/>
        <v>150.36378868858262</v>
      </c>
      <c r="D48" s="8">
        <f t="shared" si="8"/>
        <v>-0.13774441649978209</v>
      </c>
      <c r="E48" s="7"/>
      <c r="G48" s="13" t="s">
        <v>50</v>
      </c>
      <c r="H48" s="24">
        <f t="shared" si="12"/>
        <v>48.927661601626404</v>
      </c>
      <c r="I48" s="24">
        <f t="shared" si="13"/>
        <v>42.393982582251191</v>
      </c>
      <c r="J48" s="8">
        <f t="shared" si="9"/>
        <v>-0.13353752878224673</v>
      </c>
      <c r="K48" s="7"/>
    </row>
    <row r="49" spans="1:11" x14ac:dyDescent="0.35">
      <c r="A49" s="38" t="s">
        <v>58</v>
      </c>
      <c r="B49" s="52">
        <f>B26/($B$8/12)</f>
        <v>4117.1821136958288</v>
      </c>
      <c r="C49" s="52">
        <f t="shared" si="11"/>
        <v>4034.1920349182133</v>
      </c>
      <c r="D49" s="41">
        <f t="shared" si="8"/>
        <v>-2.0157009451087567E-2</v>
      </c>
      <c r="E49" s="39"/>
      <c r="G49" s="38" t="s">
        <v>58</v>
      </c>
      <c r="H49" s="52">
        <f>H26/($H$8/12)</f>
        <v>3662.8866407535106</v>
      </c>
      <c r="I49" s="52">
        <f>I26/($I$8/12)</f>
        <v>3186.6646408498082</v>
      </c>
      <c r="J49" s="41">
        <f t="shared" si="9"/>
        <v>-0.13001275950099742</v>
      </c>
      <c r="K49" s="39"/>
    </row>
    <row r="50" spans="1:11" x14ac:dyDescent="0.35">
      <c r="A50" s="38" t="s">
        <v>59</v>
      </c>
      <c r="B50" s="52">
        <f>B27/($B$8/12)</f>
        <v>3692.1806894786087</v>
      </c>
      <c r="C50" s="52">
        <f t="shared" si="11"/>
        <v>3630.6297053919839</v>
      </c>
      <c r="D50" s="41">
        <f t="shared" si="8"/>
        <v>-1.6670631603166938E-2</v>
      </c>
      <c r="E50" s="39"/>
      <c r="G50" s="38" t="s">
        <v>59</v>
      </c>
      <c r="H50" s="52">
        <f t="shared" ref="H50:H51" si="14">H27/($H$8/12)</f>
        <v>3662.8866407535106</v>
      </c>
      <c r="I50" s="52">
        <f t="shared" ref="I50:I51" si="15">I27/($I$8/12)</f>
        <v>3186.6646408498082</v>
      </c>
      <c r="J50" s="41">
        <f t="shared" si="9"/>
        <v>-0.13001275950099742</v>
      </c>
      <c r="K50" s="39"/>
    </row>
    <row r="51" spans="1:11" x14ac:dyDescent="0.35">
      <c r="A51" s="38" t="s">
        <v>53</v>
      </c>
      <c r="B51" s="52">
        <f t="shared" si="10"/>
        <v>1169.3849888118368</v>
      </c>
      <c r="C51" s="52">
        <f t="shared" si="11"/>
        <v>1134.7315388468262</v>
      </c>
      <c r="D51" s="41">
        <f t="shared" si="8"/>
        <v>-2.9633910385852093E-2</v>
      </c>
      <c r="E51" s="39"/>
      <c r="G51" s="38" t="s">
        <v>53</v>
      </c>
      <c r="H51" s="52">
        <f t="shared" si="14"/>
        <v>765.49377026806883</v>
      </c>
      <c r="I51" s="52">
        <f t="shared" si="15"/>
        <v>716.57978824341558</v>
      </c>
      <c r="J51" s="41">
        <f t="shared" si="9"/>
        <v>-6.3898602345939443E-2</v>
      </c>
      <c r="K51" s="39"/>
    </row>
    <row r="52" spans="1:11" x14ac:dyDescent="0.35">
      <c r="A52" s="38" t="s">
        <v>184</v>
      </c>
      <c r="B52" s="52">
        <f>B49+B51</f>
        <v>5286.5671025076654</v>
      </c>
      <c r="C52" s="52">
        <f>C49+C51</f>
        <v>5168.9235737650397</v>
      </c>
      <c r="D52" s="41">
        <f t="shared" si="8"/>
        <v>-2.2253293387087029E-2</v>
      </c>
      <c r="E52" s="39"/>
      <c r="G52" s="38" t="s">
        <v>184</v>
      </c>
      <c r="H52" s="52">
        <f>H49+H51</f>
        <v>4428.3804110215797</v>
      </c>
      <c r="I52" s="52">
        <f>I49+I51</f>
        <v>3903.2444290932235</v>
      </c>
      <c r="J52" s="41">
        <f t="shared" si="9"/>
        <v>-0.11858420758554772</v>
      </c>
      <c r="K52" s="39"/>
    </row>
    <row r="53" spans="1:11" x14ac:dyDescent="0.35">
      <c r="A53" s="38" t="s">
        <v>185</v>
      </c>
      <c r="B53" s="52">
        <f>B49/B9+B51</f>
        <v>5103.5071587727625</v>
      </c>
      <c r="C53" s="52">
        <f>C49/C9+C51</f>
        <v>4946.0285536205638</v>
      </c>
      <c r="D53" s="41">
        <f t="shared" si="8"/>
        <v>-3.0856938229526756E-2</v>
      </c>
      <c r="E53" s="39"/>
      <c r="G53" s="38" t="s">
        <v>185</v>
      </c>
      <c r="H53" s="52">
        <f>H49/H9+H51</f>
        <v>3262.2451215669416</v>
      </c>
      <c r="I53" s="52">
        <f>I49/I9+I51</f>
        <v>2944.6275447358739</v>
      </c>
      <c r="J53" s="41">
        <f t="shared" si="9"/>
        <v>-9.736165278668811E-2</v>
      </c>
      <c r="K53" s="39"/>
    </row>
    <row r="54" spans="1:11" x14ac:dyDescent="0.35">
      <c r="A54" s="38" t="s">
        <v>186</v>
      </c>
      <c r="B54" s="52">
        <f>B50+B51</f>
        <v>4861.5656782904452</v>
      </c>
      <c r="C54" s="52">
        <f>C50+C51</f>
        <v>4765.3612442388103</v>
      </c>
      <c r="D54" s="41">
        <f t="shared" si="8"/>
        <v>-1.9788775965989821E-2</v>
      </c>
      <c r="E54" s="39"/>
      <c r="G54" s="38" t="s">
        <v>186</v>
      </c>
      <c r="H54" s="52">
        <f>H50+H51</f>
        <v>4428.3804110215797</v>
      </c>
      <c r="I54" s="52">
        <f>I50+I51</f>
        <v>3903.2444290932235</v>
      </c>
      <c r="J54" s="41">
        <f t="shared" si="9"/>
        <v>-0.11858420758554772</v>
      </c>
      <c r="K54" s="39"/>
    </row>
    <row r="55" spans="1:11" x14ac:dyDescent="0.35">
      <c r="A55" s="38" t="s">
        <v>187</v>
      </c>
      <c r="B55" s="52">
        <f>B50/B9+B51</f>
        <v>4697.4023329220936</v>
      </c>
      <c r="C55" s="52">
        <f>C50/C9+C51</f>
        <v>4564.7636340318668</v>
      </c>
      <c r="D55" s="41">
        <f t="shared" si="8"/>
        <v>-2.8236605998302217E-2</v>
      </c>
      <c r="E55" s="39"/>
      <c r="G55" s="38" t="s">
        <v>187</v>
      </c>
      <c r="H55" s="52">
        <f>H50/H9+H51</f>
        <v>3262.2451215669416</v>
      </c>
      <c r="I55" s="52">
        <f>I50/I9+I51</f>
        <v>2944.6275447358739</v>
      </c>
      <c r="J55" s="41">
        <f t="shared" si="9"/>
        <v>-9.736165278668811E-2</v>
      </c>
      <c r="K55" s="39"/>
    </row>
    <row r="58" spans="1:11" x14ac:dyDescent="0.35">
      <c r="A58" s="81" t="s">
        <v>249</v>
      </c>
    </row>
  </sheetData>
  <mergeCells count="12">
    <mergeCell ref="G6:G7"/>
    <mergeCell ref="H6:I6"/>
    <mergeCell ref="K6:K7"/>
    <mergeCell ref="G31:G32"/>
    <mergeCell ref="H31:I31"/>
    <mergeCell ref="K31:K32"/>
    <mergeCell ref="A31:A32"/>
    <mergeCell ref="B31:C31"/>
    <mergeCell ref="E31:E32"/>
    <mergeCell ref="A6:A7"/>
    <mergeCell ref="B6:C6"/>
    <mergeCell ref="E6:E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A338-7CA4-463C-9C6D-4A4F29E5B4A1}">
  <sheetPr>
    <tabColor theme="6"/>
  </sheetPr>
  <dimension ref="A1:E25"/>
  <sheetViews>
    <sheetView workbookViewId="0">
      <selection activeCell="A26" sqref="A26"/>
    </sheetView>
  </sheetViews>
  <sheetFormatPr defaultRowHeight="14.5" x14ac:dyDescent="0.35"/>
  <cols>
    <col min="1" max="1" width="39.81640625" customWidth="1"/>
    <col min="2" max="3" width="23" bestFit="1" customWidth="1"/>
    <col min="4" max="5" width="27.453125" bestFit="1" customWidth="1"/>
  </cols>
  <sheetData>
    <row r="1" spans="1:3" ht="18.5" x14ac:dyDescent="0.45">
      <c r="A1" s="2" t="s">
        <v>111</v>
      </c>
    </row>
    <row r="2" spans="1:3" ht="15.5" x14ac:dyDescent="0.35">
      <c r="A2" s="5" t="s">
        <v>240</v>
      </c>
    </row>
    <row r="3" spans="1:3" ht="15.5" x14ac:dyDescent="0.35">
      <c r="A3" s="5"/>
    </row>
    <row r="4" spans="1:3" s="77" customFormat="1" ht="15.5" x14ac:dyDescent="0.35">
      <c r="A4" s="5"/>
    </row>
    <row r="5" spans="1:3" x14ac:dyDescent="0.35">
      <c r="A5" s="34" t="s">
        <v>23</v>
      </c>
    </row>
    <row r="6" spans="1:3" x14ac:dyDescent="0.35">
      <c r="A6" s="104" t="s">
        <v>12</v>
      </c>
      <c r="B6" s="104" t="s">
        <v>128</v>
      </c>
      <c r="C6" s="104" t="s">
        <v>129</v>
      </c>
    </row>
    <row r="7" spans="1:3" x14ac:dyDescent="0.35">
      <c r="A7" s="7" t="s">
        <v>16</v>
      </c>
      <c r="B7" s="108">
        <v>340900</v>
      </c>
      <c r="C7" s="108">
        <v>268114</v>
      </c>
    </row>
    <row r="8" spans="1:3" x14ac:dyDescent="0.35">
      <c r="A8" s="7" t="s">
        <v>250</v>
      </c>
      <c r="B8" s="108">
        <v>174476</v>
      </c>
      <c r="C8" s="108">
        <v>136466</v>
      </c>
    </row>
    <row r="9" spans="1:3" x14ac:dyDescent="0.35">
      <c r="A9" s="7" t="s">
        <v>251</v>
      </c>
      <c r="B9" s="108">
        <v>4300098</v>
      </c>
      <c r="C9" s="108">
        <v>4244416</v>
      </c>
    </row>
    <row r="10" spans="1:3" x14ac:dyDescent="0.35">
      <c r="A10" s="7" t="s">
        <v>252</v>
      </c>
      <c r="B10" s="108">
        <v>2125259</v>
      </c>
      <c r="C10" s="108">
        <v>2056663</v>
      </c>
    </row>
    <row r="11" spans="1:3" x14ac:dyDescent="0.35">
      <c r="A11" s="7" t="s">
        <v>253</v>
      </c>
      <c r="B11" s="108">
        <v>4033323</v>
      </c>
      <c r="C11" s="108">
        <v>3860532</v>
      </c>
    </row>
    <row r="12" spans="1:3" x14ac:dyDescent="0.35">
      <c r="A12" s="7" t="s">
        <v>254</v>
      </c>
      <c r="B12" s="108">
        <v>1814886</v>
      </c>
      <c r="C12" s="108">
        <v>1699413</v>
      </c>
    </row>
    <row r="13" spans="1:3" x14ac:dyDescent="0.35">
      <c r="A13" s="7" t="s">
        <v>255</v>
      </c>
      <c r="B13" s="108">
        <v>1966873</v>
      </c>
      <c r="C13" s="108">
        <v>2159229</v>
      </c>
    </row>
    <row r="14" spans="1:3" x14ac:dyDescent="0.35">
      <c r="A14" s="7" t="s">
        <v>256</v>
      </c>
      <c r="B14" s="108">
        <v>42117</v>
      </c>
      <c r="C14" s="108">
        <v>27431</v>
      </c>
    </row>
    <row r="15" spans="1:3" x14ac:dyDescent="0.35">
      <c r="A15" s="7" t="s">
        <v>257</v>
      </c>
      <c r="B15" s="108">
        <v>632791</v>
      </c>
      <c r="C15" s="108">
        <v>636790</v>
      </c>
    </row>
    <row r="16" spans="1:3" x14ac:dyDescent="0.35">
      <c r="A16" s="7" t="s">
        <v>258</v>
      </c>
      <c r="B16" s="108">
        <v>3668</v>
      </c>
      <c r="C16" s="108">
        <v>2412</v>
      </c>
    </row>
    <row r="17" spans="1:5" x14ac:dyDescent="0.35">
      <c r="A17" s="101" t="s">
        <v>14</v>
      </c>
      <c r="B17" s="109">
        <v>15434391</v>
      </c>
      <c r="C17" s="109">
        <v>15091466</v>
      </c>
    </row>
    <row r="18" spans="1:5" s="77" customFormat="1" x14ac:dyDescent="0.35">
      <c r="A18" s="110"/>
      <c r="B18" s="111"/>
      <c r="C18" s="111"/>
    </row>
    <row r="20" spans="1:5" x14ac:dyDescent="0.35">
      <c r="A20" s="34" t="s">
        <v>22</v>
      </c>
    </row>
    <row r="21" spans="1:5" x14ac:dyDescent="0.35">
      <c r="A21" s="104" t="s">
        <v>12</v>
      </c>
      <c r="B21" s="104" t="s">
        <v>128</v>
      </c>
      <c r="C21" s="104" t="s">
        <v>129</v>
      </c>
      <c r="D21" s="112" t="s">
        <v>189</v>
      </c>
      <c r="E21" s="112" t="s">
        <v>190</v>
      </c>
    </row>
    <row r="22" spans="1:5" x14ac:dyDescent="0.35">
      <c r="A22" s="7" t="s">
        <v>16</v>
      </c>
      <c r="B22" s="105">
        <v>164829</v>
      </c>
      <c r="C22" s="105">
        <v>157531</v>
      </c>
      <c r="D22" s="64">
        <f>B22/(B22+B7)</f>
        <v>0.32592356776059905</v>
      </c>
      <c r="E22" s="64">
        <f>C22/(C22+C7)</f>
        <v>0.37009949605892234</v>
      </c>
    </row>
    <row r="23" spans="1:5" x14ac:dyDescent="0.35">
      <c r="A23" s="7" t="s">
        <v>252</v>
      </c>
      <c r="B23" s="105">
        <v>455015</v>
      </c>
      <c r="C23" s="105">
        <v>467003</v>
      </c>
      <c r="D23" s="64">
        <f>B23/(B23+B10)</f>
        <v>0.17634367512907545</v>
      </c>
      <c r="E23" s="64">
        <f>C23/(C23+C10)</f>
        <v>0.18504944790633943</v>
      </c>
    </row>
    <row r="24" spans="1:5" x14ac:dyDescent="0.35">
      <c r="A24" s="7" t="s">
        <v>255</v>
      </c>
      <c r="B24" s="105">
        <v>1246350</v>
      </c>
      <c r="C24" s="105">
        <v>1301065</v>
      </c>
      <c r="D24" s="64">
        <f>B24/(B24+B13)</f>
        <v>0.38788157560181785</v>
      </c>
      <c r="E24" s="64">
        <f>C24/(C24+C13)</f>
        <v>0.37599839782399991</v>
      </c>
    </row>
    <row r="25" spans="1:5" x14ac:dyDescent="0.35">
      <c r="A25" s="101" t="s">
        <v>14</v>
      </c>
      <c r="B25" s="102">
        <v>1866194</v>
      </c>
      <c r="C25" s="102">
        <v>1925599</v>
      </c>
      <c r="D25" s="113">
        <f>B25/(B25+B17)</f>
        <v>0.10786883796125969</v>
      </c>
      <c r="E25" s="113">
        <f>C25/(C25+C17)</f>
        <v>0.11315693981306413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EE33-8BBF-42C0-8BE2-53D7A04F205F}">
  <sheetPr>
    <tabColor theme="6"/>
  </sheetPr>
  <dimension ref="A1:N181"/>
  <sheetViews>
    <sheetView workbookViewId="0">
      <selection activeCell="B7" sqref="B7"/>
    </sheetView>
  </sheetViews>
  <sheetFormatPr defaultRowHeight="14.5" x14ac:dyDescent="0.35"/>
  <cols>
    <col min="1" max="1" width="22" style="77" bestFit="1" customWidth="1"/>
    <col min="2" max="2" width="27.26953125" style="77" bestFit="1" customWidth="1"/>
    <col min="3" max="4" width="23" style="77" bestFit="1" customWidth="1"/>
    <col min="5" max="5" width="28" style="77" bestFit="1" customWidth="1"/>
    <col min="6" max="6" width="12.54296875" style="77" bestFit="1" customWidth="1"/>
    <col min="7" max="7" width="12.7265625" style="77" bestFit="1" customWidth="1"/>
    <col min="8" max="8" width="7.453125" style="77" customWidth="1"/>
    <col min="9" max="9" width="11.453125" style="77" customWidth="1"/>
    <col min="10" max="10" width="52.26953125" style="77" customWidth="1"/>
    <col min="11" max="11" width="17" style="77" bestFit="1" customWidth="1"/>
    <col min="12" max="13" width="23" style="77" bestFit="1" customWidth="1"/>
    <col min="14" max="14" width="28" style="77" bestFit="1" customWidth="1"/>
  </cols>
  <sheetData>
    <row r="1" spans="1:14" ht="18.5" x14ac:dyDescent="0.45">
      <c r="A1" s="28" t="s">
        <v>111</v>
      </c>
      <c r="B1" s="28"/>
      <c r="C1" s="28"/>
      <c r="D1" s="28"/>
    </row>
    <row r="2" spans="1:14" ht="15.5" x14ac:dyDescent="0.35">
      <c r="A2" s="98" t="s">
        <v>242</v>
      </c>
      <c r="B2" s="30"/>
      <c r="C2" s="30"/>
      <c r="D2" s="30"/>
      <c r="G2" s="11"/>
      <c r="M2" s="11"/>
    </row>
    <row r="3" spans="1:14" ht="15.5" x14ac:dyDescent="0.35">
      <c r="A3" s="99" t="s">
        <v>126</v>
      </c>
      <c r="B3" s="6"/>
      <c r="C3" s="100"/>
      <c r="D3" s="6"/>
      <c r="G3" s="11"/>
      <c r="I3" s="23"/>
      <c r="M3" s="11"/>
    </row>
    <row r="4" spans="1:14" ht="15.5" x14ac:dyDescent="0.35">
      <c r="A4" s="31"/>
      <c r="B4" s="6"/>
      <c r="C4" s="29"/>
      <c r="D4" s="6"/>
      <c r="G4" s="11"/>
      <c r="M4" s="11"/>
    </row>
    <row r="5" spans="1:14" x14ac:dyDescent="0.35">
      <c r="A5" s="101" t="s">
        <v>127</v>
      </c>
      <c r="B5" s="101" t="s">
        <v>12</v>
      </c>
      <c r="C5" s="102" t="s">
        <v>128</v>
      </c>
      <c r="D5" s="102" t="s">
        <v>129</v>
      </c>
      <c r="E5" s="103" t="s">
        <v>130</v>
      </c>
      <c r="F5" s="103" t="s">
        <v>131</v>
      </c>
      <c r="G5" s="103" t="s">
        <v>132</v>
      </c>
      <c r="I5" s="104" t="s">
        <v>133</v>
      </c>
      <c r="J5" s="101" t="s">
        <v>127</v>
      </c>
      <c r="K5" s="104" t="s">
        <v>134</v>
      </c>
      <c r="L5" s="102" t="s">
        <v>128</v>
      </c>
      <c r="M5" s="102" t="s">
        <v>129</v>
      </c>
      <c r="N5" s="103" t="s">
        <v>130</v>
      </c>
    </row>
    <row r="6" spans="1:14" x14ac:dyDescent="0.35">
      <c r="A6" s="7" t="s">
        <v>11</v>
      </c>
      <c r="B6" s="7" t="s">
        <v>251</v>
      </c>
      <c r="C6" s="105">
        <v>817000</v>
      </c>
      <c r="D6" s="105">
        <v>851707</v>
      </c>
      <c r="E6" s="106">
        <v>3.4156527317117699E-2</v>
      </c>
      <c r="F6" s="106">
        <v>3.1E-2</v>
      </c>
      <c r="G6" s="106">
        <v>3.73E-2</v>
      </c>
      <c r="I6" s="7" t="s">
        <v>135</v>
      </c>
      <c r="J6" s="7" t="s">
        <v>136</v>
      </c>
      <c r="K6" s="105">
        <v>41</v>
      </c>
      <c r="L6" s="105">
        <v>31086364</v>
      </c>
      <c r="M6" s="105">
        <v>32562961</v>
      </c>
      <c r="N6" s="106">
        <v>4.7234364377869098E-2</v>
      </c>
    </row>
    <row r="7" spans="1:14" x14ac:dyDescent="0.35">
      <c r="A7" s="7" t="s">
        <v>11</v>
      </c>
      <c r="B7" s="13" t="s">
        <v>259</v>
      </c>
      <c r="C7" s="105">
        <v>692451</v>
      </c>
      <c r="D7" s="105">
        <v>705313</v>
      </c>
      <c r="E7" s="106">
        <v>5.5636513951198598E-2</v>
      </c>
      <c r="F7" s="106">
        <v>4.3099999999999999E-2</v>
      </c>
      <c r="G7" s="106">
        <v>6.8400000000000002E-2</v>
      </c>
      <c r="I7" s="7" t="s">
        <v>135</v>
      </c>
      <c r="J7" s="7" t="s">
        <v>11</v>
      </c>
      <c r="K7" s="105">
        <v>14</v>
      </c>
      <c r="L7" s="105">
        <v>4047509</v>
      </c>
      <c r="M7" s="105">
        <v>4207400</v>
      </c>
      <c r="N7" s="106">
        <v>6.0317430376039802E-2</v>
      </c>
    </row>
    <row r="8" spans="1:14" x14ac:dyDescent="0.35">
      <c r="A8" s="7" t="s">
        <v>11</v>
      </c>
      <c r="B8" s="7" t="s">
        <v>255</v>
      </c>
      <c r="C8" s="105">
        <v>590785</v>
      </c>
      <c r="D8" s="105">
        <v>652243</v>
      </c>
      <c r="E8" s="106">
        <v>8.1307053851421202E-2</v>
      </c>
      <c r="F8" s="106">
        <v>6.9199999999999998E-2</v>
      </c>
      <c r="G8" s="106">
        <v>9.3600000000000003E-2</v>
      </c>
      <c r="I8" s="7" t="s">
        <v>135</v>
      </c>
      <c r="J8" s="7" t="s">
        <v>41</v>
      </c>
      <c r="K8" s="105">
        <v>17</v>
      </c>
      <c r="L8" s="105">
        <v>11604464</v>
      </c>
      <c r="M8" s="105">
        <v>13264095</v>
      </c>
      <c r="N8" s="106">
        <v>-2.9591369407328202E-2</v>
      </c>
    </row>
    <row r="9" spans="1:14" x14ac:dyDescent="0.35">
      <c r="A9" s="7" t="s">
        <v>11</v>
      </c>
      <c r="B9" s="7" t="s">
        <v>258</v>
      </c>
      <c r="C9" s="105">
        <v>611028</v>
      </c>
      <c r="D9" s="105">
        <v>604874</v>
      </c>
      <c r="E9" s="106">
        <v>8.7524675428708801E-2</v>
      </c>
      <c r="F9" s="106">
        <v>8.3599999999999994E-2</v>
      </c>
      <c r="G9" s="106">
        <v>9.1499999999999998E-2</v>
      </c>
      <c r="I9" s="7" t="s">
        <v>135</v>
      </c>
      <c r="J9" s="7" t="s">
        <v>23</v>
      </c>
      <c r="K9" s="105">
        <v>10</v>
      </c>
      <c r="L9" s="105">
        <v>15434391</v>
      </c>
      <c r="M9" s="105">
        <v>15091466</v>
      </c>
      <c r="N9" s="106">
        <v>0.114553294295079</v>
      </c>
    </row>
    <row r="10" spans="1:14" x14ac:dyDescent="0.35">
      <c r="A10" s="7" t="s">
        <v>11</v>
      </c>
      <c r="B10" s="7" t="s">
        <v>257</v>
      </c>
      <c r="C10" s="105">
        <v>387336</v>
      </c>
      <c r="D10" s="105">
        <v>498386</v>
      </c>
      <c r="E10" s="106">
        <v>6.5075174767609906E-2</v>
      </c>
      <c r="F10" s="106">
        <v>5.5199999999999999E-2</v>
      </c>
      <c r="G10" s="106">
        <v>7.51E-2</v>
      </c>
      <c r="I10" s="7" t="s">
        <v>137</v>
      </c>
      <c r="J10" s="7" t="s">
        <v>136</v>
      </c>
      <c r="K10" s="105">
        <v>34</v>
      </c>
      <c r="L10" s="105">
        <v>30956045</v>
      </c>
      <c r="M10" s="105">
        <v>32245400</v>
      </c>
      <c r="N10" s="106">
        <v>4.9977082260702098E-2</v>
      </c>
    </row>
    <row r="11" spans="1:14" x14ac:dyDescent="0.35">
      <c r="A11" s="7" t="s">
        <v>11</v>
      </c>
      <c r="B11" s="7" t="s">
        <v>260</v>
      </c>
      <c r="C11" s="105">
        <v>194517</v>
      </c>
      <c r="D11" s="105">
        <v>202168</v>
      </c>
      <c r="E11" s="106">
        <v>1.7654986045763502E-2</v>
      </c>
      <c r="F11" s="106">
        <v>4.1999999999999997E-3</v>
      </c>
      <c r="G11" s="106">
        <v>3.1300000000000001E-2</v>
      </c>
      <c r="I11" s="7" t="s">
        <v>137</v>
      </c>
      <c r="J11" s="7" t="s">
        <v>11</v>
      </c>
      <c r="K11" s="7">
        <v>10</v>
      </c>
      <c r="L11" s="105">
        <v>3982029</v>
      </c>
      <c r="M11" s="105">
        <v>4117896</v>
      </c>
      <c r="N11" s="106">
        <v>6.0547270284134501E-2</v>
      </c>
    </row>
    <row r="12" spans="1:14" x14ac:dyDescent="0.35">
      <c r="A12" s="7" t="s">
        <v>11</v>
      </c>
      <c r="B12" s="7" t="s">
        <v>250</v>
      </c>
      <c r="C12" s="105">
        <v>227210</v>
      </c>
      <c r="D12" s="105">
        <v>193422</v>
      </c>
      <c r="E12" s="106">
        <v>0.100351009986029</v>
      </c>
      <c r="F12" s="106">
        <v>8.5599999999999996E-2</v>
      </c>
      <c r="G12" s="106">
        <v>0.1152</v>
      </c>
      <c r="I12" s="7" t="s">
        <v>137</v>
      </c>
      <c r="J12" s="7" t="s">
        <v>41</v>
      </c>
      <c r="K12" s="7">
        <v>16</v>
      </c>
      <c r="L12" s="105">
        <v>11585410</v>
      </c>
      <c r="M12" s="105">
        <v>13065881</v>
      </c>
      <c r="N12" s="106">
        <v>-2.3532351909867699E-2</v>
      </c>
    </row>
    <row r="13" spans="1:14" x14ac:dyDescent="0.35">
      <c r="A13" s="7" t="s">
        <v>11</v>
      </c>
      <c r="B13" s="7" t="s">
        <v>261</v>
      </c>
      <c r="C13" s="105">
        <v>207800</v>
      </c>
      <c r="D13" s="105">
        <v>181359</v>
      </c>
      <c r="E13" s="106">
        <v>5.9763767069881901E-2</v>
      </c>
      <c r="F13" s="106">
        <v>4.2999999999999997E-2</v>
      </c>
      <c r="G13" s="106">
        <v>7.6799999999999993E-2</v>
      </c>
      <c r="I13" s="7" t="s">
        <v>137</v>
      </c>
      <c r="J13" s="7" t="s">
        <v>23</v>
      </c>
      <c r="K13" s="7">
        <v>8</v>
      </c>
      <c r="L13" s="105">
        <v>15388606</v>
      </c>
      <c r="M13" s="105">
        <v>15061623</v>
      </c>
      <c r="N13" s="106">
        <v>0.114446490858838</v>
      </c>
    </row>
    <row r="14" spans="1:14" x14ac:dyDescent="0.35">
      <c r="A14" s="7" t="s">
        <v>11</v>
      </c>
      <c r="B14" s="7" t="s">
        <v>262</v>
      </c>
      <c r="C14" s="105">
        <v>142507</v>
      </c>
      <c r="D14" s="105">
        <v>153690</v>
      </c>
      <c r="E14" s="106">
        <v>0.107125999909364</v>
      </c>
      <c r="F14" s="106">
        <v>8.9899999999999994E-2</v>
      </c>
      <c r="G14" s="106">
        <v>0.12470000000000001</v>
      </c>
    </row>
    <row r="15" spans="1:14" x14ac:dyDescent="0.35">
      <c r="A15" s="7" t="s">
        <v>11</v>
      </c>
      <c r="B15" s="7" t="s">
        <v>252</v>
      </c>
      <c r="C15" s="105">
        <v>111395</v>
      </c>
      <c r="D15" s="105">
        <v>74734</v>
      </c>
      <c r="E15" s="106">
        <v>5.73778952296689E-2</v>
      </c>
      <c r="F15" s="106">
        <v>3.6900000000000002E-2</v>
      </c>
      <c r="G15" s="106">
        <v>7.8200000000000006E-2</v>
      </c>
    </row>
    <row r="16" spans="1:14" x14ac:dyDescent="0.35">
      <c r="A16" s="7" t="s">
        <v>41</v>
      </c>
      <c r="B16" s="7" t="s">
        <v>263</v>
      </c>
      <c r="C16" s="105">
        <v>3791852</v>
      </c>
      <c r="D16" s="105">
        <v>4215164</v>
      </c>
      <c r="E16" s="106">
        <v>-3.8466013686356403E-2</v>
      </c>
      <c r="F16" s="106">
        <v>-5.5100000000000003E-2</v>
      </c>
      <c r="G16" s="106">
        <v>-2.1600000000000001E-2</v>
      </c>
    </row>
    <row r="17" spans="1:7" x14ac:dyDescent="0.35">
      <c r="A17" s="7" t="s">
        <v>41</v>
      </c>
      <c r="B17" s="7" t="s">
        <v>264</v>
      </c>
      <c r="C17" s="105">
        <v>1238399</v>
      </c>
      <c r="D17" s="105">
        <v>1395782</v>
      </c>
      <c r="E17" s="106">
        <v>2.7784472020449301E-3</v>
      </c>
      <c r="F17" s="106">
        <v>-6.8999999999999999E-3</v>
      </c>
      <c r="G17" s="106">
        <v>1.26E-2</v>
      </c>
    </row>
    <row r="18" spans="1:7" x14ac:dyDescent="0.35">
      <c r="A18" s="7" t="s">
        <v>41</v>
      </c>
      <c r="B18" s="7" t="s">
        <v>265</v>
      </c>
      <c r="C18" s="105">
        <v>852457</v>
      </c>
      <c r="D18" s="105">
        <v>1011117</v>
      </c>
      <c r="E18" s="106">
        <v>-0.143414350941545</v>
      </c>
      <c r="F18" s="106">
        <v>-0.14599999999999999</v>
      </c>
      <c r="G18" s="106">
        <v>-0.14080000000000001</v>
      </c>
    </row>
    <row r="19" spans="1:7" x14ac:dyDescent="0.35">
      <c r="A19" s="7" t="s">
        <v>41</v>
      </c>
      <c r="B19" s="7" t="s">
        <v>266</v>
      </c>
      <c r="C19" s="105">
        <v>713373</v>
      </c>
      <c r="D19" s="105">
        <v>858156</v>
      </c>
      <c r="E19" s="106">
        <v>1.6178490155604099E-2</v>
      </c>
      <c r="F19" s="106">
        <v>-7.6E-3</v>
      </c>
      <c r="G19" s="106">
        <v>4.0800000000000003E-2</v>
      </c>
    </row>
    <row r="20" spans="1:7" x14ac:dyDescent="0.35">
      <c r="A20" s="7" t="s">
        <v>41</v>
      </c>
      <c r="B20" s="7" t="s">
        <v>267</v>
      </c>
      <c r="C20" s="105">
        <v>723124</v>
      </c>
      <c r="D20" s="105">
        <v>836277</v>
      </c>
      <c r="E20" s="106">
        <v>-2.90579509009384E-3</v>
      </c>
      <c r="F20" s="106">
        <v>-1.6400000000000001E-2</v>
      </c>
      <c r="G20" s="106">
        <v>1.0800000000000001E-2</v>
      </c>
    </row>
    <row r="21" spans="1:7" x14ac:dyDescent="0.35">
      <c r="A21" s="7" t="s">
        <v>41</v>
      </c>
      <c r="B21" s="7" t="s">
        <v>268</v>
      </c>
      <c r="C21" s="105">
        <v>630734</v>
      </c>
      <c r="D21" s="105">
        <v>732724</v>
      </c>
      <c r="E21" s="106">
        <v>-3.0528449297507498E-3</v>
      </c>
      <c r="F21" s="106">
        <v>-1.4500000000000001E-2</v>
      </c>
      <c r="G21" s="106">
        <v>8.6E-3</v>
      </c>
    </row>
    <row r="22" spans="1:7" x14ac:dyDescent="0.35">
      <c r="A22" s="7" t="s">
        <v>41</v>
      </c>
      <c r="B22" s="7" t="s">
        <v>269</v>
      </c>
      <c r="C22" s="105">
        <v>582809</v>
      </c>
      <c r="D22" s="105">
        <v>666812</v>
      </c>
      <c r="E22" s="106">
        <v>4.3311200398992E-2</v>
      </c>
      <c r="F22" s="106">
        <v>3.1300000000000001E-2</v>
      </c>
      <c r="G22" s="106">
        <v>5.5399999999999998E-2</v>
      </c>
    </row>
    <row r="23" spans="1:7" x14ac:dyDescent="0.35">
      <c r="A23" s="7" t="s">
        <v>41</v>
      </c>
      <c r="B23" s="7" t="s">
        <v>270</v>
      </c>
      <c r="C23" s="105">
        <v>552517</v>
      </c>
      <c r="D23" s="105">
        <v>622914</v>
      </c>
      <c r="E23" s="106">
        <v>-1.37663143236343E-2</v>
      </c>
      <c r="F23" s="106">
        <v>-5.0299999999999997E-2</v>
      </c>
      <c r="G23" s="106">
        <v>2.4400000000000002E-2</v>
      </c>
    </row>
    <row r="24" spans="1:7" x14ac:dyDescent="0.35">
      <c r="A24" s="7" t="s">
        <v>41</v>
      </c>
      <c r="B24" s="7" t="s">
        <v>80</v>
      </c>
      <c r="C24" s="105">
        <v>552434</v>
      </c>
      <c r="D24" s="105">
        <v>609853</v>
      </c>
      <c r="E24" s="106">
        <v>5.0549048012071898E-2</v>
      </c>
      <c r="F24" s="106">
        <v>3.1899999999999998E-2</v>
      </c>
      <c r="G24" s="106">
        <v>6.9400000000000003E-2</v>
      </c>
    </row>
    <row r="25" spans="1:7" x14ac:dyDescent="0.35">
      <c r="A25" s="7" t="s">
        <v>41</v>
      </c>
      <c r="B25" s="7" t="s">
        <v>271</v>
      </c>
      <c r="C25" s="105">
        <v>390155</v>
      </c>
      <c r="D25" s="105">
        <v>378317</v>
      </c>
      <c r="E25" s="106">
        <v>-2.9868996776287902E-3</v>
      </c>
      <c r="F25" s="106">
        <v>-2.8799999999999999E-2</v>
      </c>
      <c r="G25" s="106">
        <v>2.3900000000000001E-2</v>
      </c>
    </row>
    <row r="26" spans="1:7" x14ac:dyDescent="0.35">
      <c r="A26" s="7" t="s">
        <v>41</v>
      </c>
      <c r="B26" s="7" t="s">
        <v>272</v>
      </c>
      <c r="C26" s="105">
        <v>322146</v>
      </c>
      <c r="D26" s="105">
        <v>359171</v>
      </c>
      <c r="E26" s="106">
        <v>4.3888927272181799E-2</v>
      </c>
      <c r="F26" s="106">
        <v>1.8800000000000001E-2</v>
      </c>
      <c r="G26" s="106">
        <v>6.93E-2</v>
      </c>
    </row>
    <row r="27" spans="1:7" x14ac:dyDescent="0.35">
      <c r="A27" s="7" t="s">
        <v>41</v>
      </c>
      <c r="B27" s="7" t="s">
        <v>138</v>
      </c>
      <c r="C27" s="105">
        <v>320199</v>
      </c>
      <c r="D27" s="105">
        <v>351967</v>
      </c>
      <c r="E27" s="106">
        <v>1.9016773320418599E-2</v>
      </c>
      <c r="F27" s="106">
        <v>4.0000000000000002E-4</v>
      </c>
      <c r="G27" s="106">
        <v>3.7999999999999999E-2</v>
      </c>
    </row>
    <row r="28" spans="1:7" x14ac:dyDescent="0.35">
      <c r="A28" s="7" t="s">
        <v>41</v>
      </c>
      <c r="B28" s="7" t="s">
        <v>273</v>
      </c>
      <c r="C28" s="105">
        <v>295435</v>
      </c>
      <c r="D28" s="105">
        <v>332624</v>
      </c>
      <c r="E28" s="106">
        <v>-5.1529523970684603E-2</v>
      </c>
      <c r="F28" s="106">
        <v>-8.8700000000000001E-2</v>
      </c>
      <c r="G28" s="106">
        <v>-1.3899999999999999E-2</v>
      </c>
    </row>
    <row r="29" spans="1:7" x14ac:dyDescent="0.35">
      <c r="A29" s="7" t="s">
        <v>41</v>
      </c>
      <c r="B29" s="7" t="s">
        <v>274</v>
      </c>
      <c r="C29" s="105">
        <v>238553</v>
      </c>
      <c r="D29" s="105">
        <v>268110</v>
      </c>
      <c r="E29" s="106">
        <v>-4.1043542047420001E-2</v>
      </c>
      <c r="F29" s="106">
        <v>-5.6000000000000001E-2</v>
      </c>
      <c r="G29" s="106">
        <v>-2.5899999999999999E-2</v>
      </c>
    </row>
    <row r="30" spans="1:7" x14ac:dyDescent="0.35">
      <c r="A30" s="7" t="s">
        <v>41</v>
      </c>
      <c r="B30" s="7" t="s">
        <v>275</v>
      </c>
      <c r="C30" s="105">
        <v>232061</v>
      </c>
      <c r="D30" s="105">
        <v>259030</v>
      </c>
      <c r="E30" s="106">
        <v>-3.3038884323180903E-2</v>
      </c>
      <c r="F30" s="106">
        <v>-3.6400000000000002E-2</v>
      </c>
      <c r="G30" s="106">
        <v>-2.9600000000000001E-2</v>
      </c>
    </row>
    <row r="31" spans="1:7" x14ac:dyDescent="0.35">
      <c r="A31" s="7" t="s">
        <v>41</v>
      </c>
      <c r="B31" s="7" t="s">
        <v>276</v>
      </c>
      <c r="C31" s="105">
        <v>149162</v>
      </c>
      <c r="D31" s="105">
        <v>167863</v>
      </c>
      <c r="E31" s="106">
        <v>2.6665491972247799E-2</v>
      </c>
      <c r="F31" s="106">
        <v>3.2000000000000002E-3</v>
      </c>
      <c r="G31" s="106">
        <v>5.0500000000000003E-2</v>
      </c>
    </row>
    <row r="32" spans="1:7" x14ac:dyDescent="0.35">
      <c r="A32" s="7" t="s">
        <v>23</v>
      </c>
      <c r="B32" s="7" t="s">
        <v>251</v>
      </c>
      <c r="C32" s="105">
        <v>4300098</v>
      </c>
      <c r="D32" s="105">
        <v>4244416</v>
      </c>
      <c r="E32" s="106">
        <v>0.101930307984646</v>
      </c>
      <c r="F32" s="106">
        <v>9.4399999999999998E-2</v>
      </c>
      <c r="G32" s="106">
        <v>0.1095</v>
      </c>
    </row>
    <row r="33" spans="1:14" x14ac:dyDescent="0.35">
      <c r="A33" s="7" t="s">
        <v>23</v>
      </c>
      <c r="B33" s="7" t="s">
        <v>253</v>
      </c>
      <c r="C33" s="105">
        <v>4033323</v>
      </c>
      <c r="D33" s="105">
        <v>3860532</v>
      </c>
      <c r="E33" s="106">
        <v>0.10339223737616</v>
      </c>
      <c r="F33" s="106">
        <v>7.6499999999999999E-2</v>
      </c>
      <c r="G33" s="106">
        <v>0.13070000000000001</v>
      </c>
    </row>
    <row r="34" spans="1:14" x14ac:dyDescent="0.35">
      <c r="A34" s="7" t="s">
        <v>23</v>
      </c>
      <c r="B34" s="7" t="s">
        <v>255</v>
      </c>
      <c r="C34" s="105">
        <v>1966873</v>
      </c>
      <c r="D34" s="105">
        <v>2159229</v>
      </c>
      <c r="E34" s="106">
        <v>0.13691167704502799</v>
      </c>
      <c r="F34" s="106">
        <v>0.1183</v>
      </c>
      <c r="G34" s="106">
        <v>0.156</v>
      </c>
    </row>
    <row r="35" spans="1:14" x14ac:dyDescent="0.35">
      <c r="A35" s="7" t="s">
        <v>23</v>
      </c>
      <c r="B35" s="7" t="s">
        <v>252</v>
      </c>
      <c r="C35" s="105">
        <v>2125259</v>
      </c>
      <c r="D35" s="105">
        <v>2056663</v>
      </c>
      <c r="E35" s="106">
        <v>0.114516656462866</v>
      </c>
      <c r="F35" s="106">
        <v>0.1017</v>
      </c>
      <c r="G35" s="106">
        <v>0.1275</v>
      </c>
    </row>
    <row r="36" spans="1:14" x14ac:dyDescent="0.35">
      <c r="A36" s="7" t="s">
        <v>23</v>
      </c>
      <c r="B36" s="7" t="s">
        <v>254</v>
      </c>
      <c r="C36" s="105">
        <v>1814886</v>
      </c>
      <c r="D36" s="105">
        <v>1699413</v>
      </c>
      <c r="E36" s="106">
        <v>0.15130117944736901</v>
      </c>
      <c r="F36" s="106">
        <v>0.1401</v>
      </c>
      <c r="G36" s="106">
        <v>0.16259999999999999</v>
      </c>
    </row>
    <row r="37" spans="1:14" x14ac:dyDescent="0.35">
      <c r="A37" s="7" t="s">
        <v>23</v>
      </c>
      <c r="B37" s="7" t="s">
        <v>257</v>
      </c>
      <c r="C37" s="105">
        <v>632791</v>
      </c>
      <c r="D37" s="105">
        <v>636790</v>
      </c>
      <c r="E37" s="106">
        <v>0.115633166642146</v>
      </c>
      <c r="F37" s="106">
        <v>8.6599999999999996E-2</v>
      </c>
      <c r="G37" s="106">
        <v>0.14510000000000001</v>
      </c>
    </row>
    <row r="38" spans="1:14" x14ac:dyDescent="0.35">
      <c r="A38" s="7" t="s">
        <v>23</v>
      </c>
      <c r="B38" s="7" t="s">
        <v>16</v>
      </c>
      <c r="C38" s="105">
        <v>340900</v>
      </c>
      <c r="D38" s="105">
        <v>268114</v>
      </c>
      <c r="E38" s="106">
        <v>0.214536751899469</v>
      </c>
      <c r="F38" s="106">
        <v>0.17150000000000001</v>
      </c>
      <c r="G38" s="106">
        <v>0.2591</v>
      </c>
    </row>
    <row r="39" spans="1:14" x14ac:dyDescent="0.35">
      <c r="A39" s="7" t="s">
        <v>23</v>
      </c>
      <c r="B39" s="7" t="s">
        <v>250</v>
      </c>
      <c r="C39" s="105">
        <v>174476</v>
      </c>
      <c r="D39" s="105">
        <v>136466</v>
      </c>
      <c r="E39" s="106">
        <v>3.0380158965438601E-2</v>
      </c>
      <c r="F39" s="106">
        <v>-1.34E-2</v>
      </c>
      <c r="G39" s="106">
        <v>7.6499999999999999E-2</v>
      </c>
    </row>
    <row r="41" spans="1:14" x14ac:dyDescent="0.35">
      <c r="N41" s="107"/>
    </row>
    <row r="45" spans="1:14" x14ac:dyDescent="0.35">
      <c r="N45" s="107"/>
    </row>
    <row r="46" spans="1:14" x14ac:dyDescent="0.35">
      <c r="N46" s="107"/>
    </row>
    <row r="49" spans="14:14" x14ac:dyDescent="0.35">
      <c r="N49" s="107"/>
    </row>
    <row r="54" spans="14:14" x14ac:dyDescent="0.35">
      <c r="N54" s="107"/>
    </row>
    <row r="56" spans="14:14" x14ac:dyDescent="0.35">
      <c r="N56" s="107"/>
    </row>
    <row r="58" spans="14:14" x14ac:dyDescent="0.35">
      <c r="N58" s="107"/>
    </row>
    <row r="61" spans="14:14" x14ac:dyDescent="0.35">
      <c r="N61" s="107"/>
    </row>
    <row r="65" spans="14:14" x14ac:dyDescent="0.35">
      <c r="N65" s="107"/>
    </row>
    <row r="66" spans="14:14" x14ac:dyDescent="0.35">
      <c r="N66" s="107"/>
    </row>
    <row r="69" spans="14:14" x14ac:dyDescent="0.35">
      <c r="N69" s="107"/>
    </row>
    <row r="70" spans="14:14" x14ac:dyDescent="0.35">
      <c r="N70" s="107"/>
    </row>
    <row r="73" spans="14:14" x14ac:dyDescent="0.35">
      <c r="N73" s="107"/>
    </row>
    <row r="74" spans="14:14" x14ac:dyDescent="0.35">
      <c r="N74" s="107"/>
    </row>
    <row r="77" spans="14:14" x14ac:dyDescent="0.35">
      <c r="N77" s="107"/>
    </row>
    <row r="81" spans="14:14" x14ac:dyDescent="0.35">
      <c r="N81" s="107"/>
    </row>
    <row r="85" spans="14:14" x14ac:dyDescent="0.35">
      <c r="N85" s="107"/>
    </row>
    <row r="90" spans="14:14" x14ac:dyDescent="0.35">
      <c r="N90" s="107"/>
    </row>
    <row r="93" spans="14:14" x14ac:dyDescent="0.35">
      <c r="N93" s="107"/>
    </row>
    <row r="97" spans="14:14" x14ac:dyDescent="0.35">
      <c r="N97" s="107"/>
    </row>
    <row r="101" spans="14:14" x14ac:dyDescent="0.35">
      <c r="N101" s="107"/>
    </row>
    <row r="105" spans="14:14" x14ac:dyDescent="0.35">
      <c r="N105" s="107"/>
    </row>
    <row r="109" spans="14:14" x14ac:dyDescent="0.35">
      <c r="N109" s="107"/>
    </row>
    <row r="110" spans="14:14" x14ac:dyDescent="0.35">
      <c r="N110" s="107"/>
    </row>
    <row r="113" spans="14:14" x14ac:dyDescent="0.35">
      <c r="N113" s="107"/>
    </row>
    <row r="117" spans="14:14" x14ac:dyDescent="0.35">
      <c r="N117" s="107"/>
    </row>
    <row r="121" spans="14:14" x14ac:dyDescent="0.35">
      <c r="N121" s="107"/>
    </row>
    <row r="125" spans="14:14" x14ac:dyDescent="0.35">
      <c r="N125" s="107"/>
    </row>
    <row r="129" spans="14:14" x14ac:dyDescent="0.35">
      <c r="N129" s="107"/>
    </row>
    <row r="133" spans="14:14" x14ac:dyDescent="0.35">
      <c r="N133" s="107"/>
    </row>
    <row r="137" spans="14:14" x14ac:dyDescent="0.35">
      <c r="N137" s="107"/>
    </row>
    <row r="141" spans="14:14" x14ac:dyDescent="0.35">
      <c r="N141" s="107"/>
    </row>
    <row r="145" spans="14:14" x14ac:dyDescent="0.35">
      <c r="N145" s="107"/>
    </row>
    <row r="149" spans="14:14" x14ac:dyDescent="0.35">
      <c r="N149" s="107"/>
    </row>
    <row r="153" spans="14:14" x14ac:dyDescent="0.35">
      <c r="N153" s="107"/>
    </row>
    <row r="158" spans="14:14" x14ac:dyDescent="0.35">
      <c r="N158" s="107"/>
    </row>
    <row r="161" spans="14:14" x14ac:dyDescent="0.35">
      <c r="N161" s="107"/>
    </row>
    <row r="165" spans="14:14" x14ac:dyDescent="0.35">
      <c r="N165" s="107"/>
    </row>
    <row r="169" spans="14:14" x14ac:dyDescent="0.35">
      <c r="N169" s="107"/>
    </row>
    <row r="173" spans="14:14" x14ac:dyDescent="0.35">
      <c r="N173" s="107"/>
    </row>
    <row r="177" spans="14:14" x14ac:dyDescent="0.35">
      <c r="N177" s="107"/>
    </row>
    <row r="181" spans="14:14" x14ac:dyDescent="0.35">
      <c r="N181" s="10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4AFE-5D13-4013-9300-4C377CEE9AA0}">
  <sheetPr>
    <tabColor theme="6"/>
  </sheetPr>
  <dimension ref="A1:P84"/>
  <sheetViews>
    <sheetView tabSelected="1" topLeftCell="D1" workbookViewId="0">
      <selection activeCell="C16" sqref="C16"/>
    </sheetView>
  </sheetViews>
  <sheetFormatPr defaultColWidth="9.1796875" defaultRowHeight="14.5" x14ac:dyDescent="0.35"/>
  <cols>
    <col min="1" max="1" width="22" style="77" bestFit="1" customWidth="1"/>
    <col min="2" max="2" width="40.81640625" style="77" customWidth="1"/>
    <col min="3" max="3" width="40.1796875" style="77" bestFit="1" customWidth="1"/>
    <col min="4" max="5" width="23" style="77" bestFit="1" customWidth="1"/>
    <col min="6" max="6" width="28" style="77" bestFit="1" customWidth="1"/>
    <col min="7" max="7" width="12.54296875" style="77" bestFit="1" customWidth="1"/>
    <col min="8" max="8" width="12.7265625" style="77" bestFit="1" customWidth="1"/>
    <col min="9" max="9" width="9.1796875" style="77"/>
    <col min="10" max="10" width="10.453125" style="77" bestFit="1" customWidth="1"/>
    <col min="11" max="11" width="53" style="77" bestFit="1" customWidth="1"/>
    <col min="12" max="12" width="41.453125" style="77" bestFit="1" customWidth="1"/>
    <col min="13" max="13" width="31.81640625" style="77" bestFit="1" customWidth="1"/>
    <col min="14" max="15" width="23" style="77" bestFit="1" customWidth="1"/>
    <col min="16" max="16" width="28" style="77" bestFit="1" customWidth="1"/>
    <col min="17" max="16384" width="9.1796875" style="77"/>
  </cols>
  <sheetData>
    <row r="1" spans="1:16" ht="18.5" x14ac:dyDescent="0.45">
      <c r="A1" s="28" t="s">
        <v>111</v>
      </c>
    </row>
    <row r="2" spans="1:16" ht="15.5" x14ac:dyDescent="0.35">
      <c r="A2" s="98" t="s">
        <v>243</v>
      </c>
    </row>
    <row r="3" spans="1:16" ht="15.5" x14ac:dyDescent="0.35">
      <c r="A3" s="99" t="s">
        <v>139</v>
      </c>
      <c r="J3" s="23"/>
    </row>
    <row r="4" spans="1:16" x14ac:dyDescent="0.35">
      <c r="B4" s="23"/>
    </row>
    <row r="5" spans="1:16" x14ac:dyDescent="0.35">
      <c r="A5" s="101" t="s">
        <v>127</v>
      </c>
      <c r="B5" s="104" t="s">
        <v>140</v>
      </c>
      <c r="C5" s="104" t="s">
        <v>141</v>
      </c>
      <c r="D5" s="102" t="s">
        <v>128</v>
      </c>
      <c r="E5" s="102" t="s">
        <v>129</v>
      </c>
      <c r="F5" s="103" t="s">
        <v>130</v>
      </c>
      <c r="G5" s="103" t="s">
        <v>131</v>
      </c>
      <c r="H5" s="103" t="s">
        <v>132</v>
      </c>
      <c r="J5" s="104" t="s">
        <v>133</v>
      </c>
      <c r="K5" s="101" t="s">
        <v>127</v>
      </c>
      <c r="L5" s="101" t="s">
        <v>140</v>
      </c>
      <c r="M5" s="104" t="s">
        <v>183</v>
      </c>
      <c r="N5" s="102" t="s">
        <v>128</v>
      </c>
      <c r="O5" s="102" t="s">
        <v>129</v>
      </c>
      <c r="P5" s="103" t="s">
        <v>130</v>
      </c>
    </row>
    <row r="6" spans="1:16" x14ac:dyDescent="0.35">
      <c r="A6" s="7" t="s">
        <v>23</v>
      </c>
      <c r="B6" s="7" t="s">
        <v>142</v>
      </c>
      <c r="C6" s="7" t="s">
        <v>251</v>
      </c>
      <c r="D6" s="105">
        <v>4302838</v>
      </c>
      <c r="E6" s="105">
        <v>4247041</v>
      </c>
      <c r="F6" s="106">
        <v>0.102220333399226</v>
      </c>
      <c r="G6" s="106">
        <v>9.4700000000000006E-2</v>
      </c>
      <c r="H6" s="106">
        <v>0.10979999999999999</v>
      </c>
      <c r="J6" s="7" t="s">
        <v>135</v>
      </c>
      <c r="K6" s="7" t="s">
        <v>136</v>
      </c>
      <c r="L6" s="7" t="s">
        <v>135</v>
      </c>
      <c r="M6" s="7"/>
      <c r="N6" s="108">
        <v>31086364</v>
      </c>
      <c r="O6" s="108">
        <v>32562961</v>
      </c>
      <c r="P6" s="63">
        <v>4.9186593718653103E-2</v>
      </c>
    </row>
    <row r="7" spans="1:16" x14ac:dyDescent="0.35">
      <c r="A7" s="7" t="s">
        <v>23</v>
      </c>
      <c r="B7" s="7" t="s">
        <v>142</v>
      </c>
      <c r="C7" s="7" t="s">
        <v>253</v>
      </c>
      <c r="D7" s="105">
        <v>1260898</v>
      </c>
      <c r="E7" s="105">
        <v>1226609</v>
      </c>
      <c r="F7" s="106">
        <v>9.0106920160160406E-2</v>
      </c>
      <c r="G7" s="106">
        <v>6.2100000000000002E-2</v>
      </c>
      <c r="H7" s="106">
        <v>0.1192</v>
      </c>
      <c r="J7" s="7" t="s">
        <v>135</v>
      </c>
      <c r="K7" s="7" t="s">
        <v>23</v>
      </c>
      <c r="L7" s="7" t="s">
        <v>135</v>
      </c>
      <c r="M7" s="7"/>
      <c r="N7" s="108">
        <v>15434391</v>
      </c>
      <c r="O7" s="108">
        <v>15091466</v>
      </c>
      <c r="P7" s="63">
        <v>0.11800793247986301</v>
      </c>
    </row>
    <row r="8" spans="1:16" x14ac:dyDescent="0.35">
      <c r="A8" s="7" t="s">
        <v>23</v>
      </c>
      <c r="B8" s="7" t="s">
        <v>142</v>
      </c>
      <c r="C8" s="7" t="s">
        <v>143</v>
      </c>
      <c r="D8" s="105">
        <v>345307</v>
      </c>
      <c r="E8" s="105">
        <v>324492</v>
      </c>
      <c r="F8" s="106">
        <v>0.125252848567528</v>
      </c>
      <c r="G8" s="106">
        <v>9.6699999999999994E-2</v>
      </c>
      <c r="H8" s="106">
        <v>0.15459999999999999</v>
      </c>
      <c r="J8" s="7" t="s">
        <v>135</v>
      </c>
      <c r="K8" s="7" t="s">
        <v>41</v>
      </c>
      <c r="L8" s="7" t="s">
        <v>135</v>
      </c>
      <c r="M8" s="7"/>
      <c r="N8" s="108">
        <v>11604464</v>
      </c>
      <c r="O8" s="108">
        <v>13264095</v>
      </c>
      <c r="P8" s="63">
        <v>-2.9835625409666701E-2</v>
      </c>
    </row>
    <row r="9" spans="1:16" x14ac:dyDescent="0.35">
      <c r="A9" s="7" t="s">
        <v>23</v>
      </c>
      <c r="B9" s="7" t="s">
        <v>142</v>
      </c>
      <c r="C9" s="7" t="s">
        <v>144</v>
      </c>
      <c r="D9" s="105">
        <v>320231</v>
      </c>
      <c r="E9" s="105">
        <v>302464</v>
      </c>
      <c r="F9" s="106">
        <v>5.1322354312641198E-2</v>
      </c>
      <c r="G9" s="106">
        <v>1.49E-2</v>
      </c>
      <c r="H9" s="106">
        <v>0.09</v>
      </c>
      <c r="J9" s="7" t="s">
        <v>135</v>
      </c>
      <c r="K9" s="7" t="s">
        <v>11</v>
      </c>
      <c r="L9" s="7" t="s">
        <v>135</v>
      </c>
      <c r="M9" s="7"/>
      <c r="N9" s="108">
        <v>4047509</v>
      </c>
      <c r="O9" s="108">
        <v>4207400</v>
      </c>
      <c r="P9" s="63">
        <v>6.3051313691501604E-2</v>
      </c>
    </row>
    <row r="10" spans="1:16" x14ac:dyDescent="0.35">
      <c r="A10" s="7" t="s">
        <v>23</v>
      </c>
      <c r="B10" s="7" t="s">
        <v>142</v>
      </c>
      <c r="C10" s="7" t="s">
        <v>145</v>
      </c>
      <c r="D10" s="105">
        <v>290576</v>
      </c>
      <c r="E10" s="105">
        <v>289546</v>
      </c>
      <c r="F10" s="106">
        <v>0.150932938909487</v>
      </c>
      <c r="G10" s="106">
        <v>0.1205</v>
      </c>
      <c r="H10" s="106">
        <v>0.1822</v>
      </c>
      <c r="J10" s="7" t="s">
        <v>137</v>
      </c>
      <c r="K10" s="7" t="s">
        <v>136</v>
      </c>
      <c r="L10" s="7" t="s">
        <v>135</v>
      </c>
      <c r="M10" s="7">
        <v>79</v>
      </c>
      <c r="N10" s="108">
        <v>18959694</v>
      </c>
      <c r="O10" s="108">
        <v>19917928</v>
      </c>
      <c r="P10" s="63">
        <v>4.8303120607655098E-2</v>
      </c>
    </row>
    <row r="11" spans="1:16" x14ac:dyDescent="0.35">
      <c r="A11" s="7" t="s">
        <v>23</v>
      </c>
      <c r="B11" s="7" t="s">
        <v>142</v>
      </c>
      <c r="C11" s="7" t="s">
        <v>146</v>
      </c>
      <c r="D11" s="105">
        <v>298088</v>
      </c>
      <c r="E11" s="105">
        <v>279857</v>
      </c>
      <c r="F11" s="106">
        <v>0.16001196636960099</v>
      </c>
      <c r="G11" s="106">
        <v>0.12939999999999999</v>
      </c>
      <c r="H11" s="106">
        <v>0.19170000000000001</v>
      </c>
      <c r="J11" s="7" t="s">
        <v>137</v>
      </c>
      <c r="K11" s="7" t="s">
        <v>23</v>
      </c>
      <c r="L11" s="7" t="s">
        <v>135</v>
      </c>
      <c r="M11" s="7">
        <v>21</v>
      </c>
      <c r="N11" s="108">
        <v>8834055</v>
      </c>
      <c r="O11" s="108">
        <v>8589682</v>
      </c>
      <c r="P11" s="63">
        <v>0.106198801860915</v>
      </c>
    </row>
    <row r="12" spans="1:16" x14ac:dyDescent="0.35">
      <c r="A12" s="7" t="s">
        <v>23</v>
      </c>
      <c r="B12" s="7" t="s">
        <v>142</v>
      </c>
      <c r="C12" s="7" t="s">
        <v>147</v>
      </c>
      <c r="D12" s="105">
        <v>255258</v>
      </c>
      <c r="E12" s="105">
        <v>254670</v>
      </c>
      <c r="F12" s="106">
        <v>9.6860222267868099E-2</v>
      </c>
      <c r="G12" s="106">
        <v>6.9000000000000006E-2</v>
      </c>
      <c r="H12" s="106">
        <v>0.12540000000000001</v>
      </c>
      <c r="J12" s="7" t="s">
        <v>137</v>
      </c>
      <c r="K12" s="7" t="s">
        <v>41</v>
      </c>
      <c r="L12" s="7" t="s">
        <v>135</v>
      </c>
      <c r="M12" s="7">
        <v>46</v>
      </c>
      <c r="N12" s="108">
        <v>7553740</v>
      </c>
      <c r="O12" s="108">
        <v>8611641</v>
      </c>
      <c r="P12" s="63">
        <v>-1.42047968961169E-2</v>
      </c>
    </row>
    <row r="13" spans="1:16" x14ac:dyDescent="0.35">
      <c r="A13" s="7" t="s">
        <v>23</v>
      </c>
      <c r="B13" s="7" t="s">
        <v>148</v>
      </c>
      <c r="C13" s="7" t="s">
        <v>277</v>
      </c>
      <c r="D13" s="105">
        <v>233424</v>
      </c>
      <c r="E13" s="105">
        <v>230705</v>
      </c>
      <c r="F13" s="106">
        <v>7.9334309126153801E-2</v>
      </c>
      <c r="G13" s="106">
        <v>3.9399999999999998E-2</v>
      </c>
      <c r="H13" s="106">
        <v>0.12180000000000001</v>
      </c>
      <c r="J13" s="7" t="s">
        <v>137</v>
      </c>
      <c r="K13" s="7" t="s">
        <v>11</v>
      </c>
      <c r="L13" s="7" t="s">
        <v>135</v>
      </c>
      <c r="M13" s="7">
        <v>12</v>
      </c>
      <c r="N13" s="108">
        <v>2571899</v>
      </c>
      <c r="O13" s="108">
        <v>2716605</v>
      </c>
      <c r="P13" s="63">
        <v>6.1557340633196997E-2</v>
      </c>
    </row>
    <row r="14" spans="1:16" x14ac:dyDescent="0.35">
      <c r="A14" s="7" t="s">
        <v>23</v>
      </c>
      <c r="B14" s="7" t="s">
        <v>148</v>
      </c>
      <c r="C14" s="7" t="s">
        <v>278</v>
      </c>
      <c r="D14" s="105">
        <v>229196</v>
      </c>
      <c r="E14" s="105">
        <v>209598</v>
      </c>
      <c r="F14" s="106">
        <v>0.21126315929921899</v>
      </c>
      <c r="G14" s="106">
        <v>0.15759999999999999</v>
      </c>
      <c r="H14" s="106">
        <v>0.2666</v>
      </c>
      <c r="J14" s="7" t="s">
        <v>137</v>
      </c>
      <c r="K14" s="7" t="s">
        <v>23</v>
      </c>
      <c r="L14" s="7" t="s">
        <v>142</v>
      </c>
      <c r="M14" s="7">
        <v>7</v>
      </c>
      <c r="N14" s="108">
        <v>7073196</v>
      </c>
      <c r="O14" s="108">
        <v>6924679</v>
      </c>
      <c r="P14" s="63">
        <v>9.9376461393634596E-2</v>
      </c>
    </row>
    <row r="15" spans="1:16" x14ac:dyDescent="0.35">
      <c r="A15" s="7" t="s">
        <v>23</v>
      </c>
      <c r="B15" s="7" t="s">
        <v>148</v>
      </c>
      <c r="C15" s="7" t="s">
        <v>149</v>
      </c>
      <c r="D15" s="105">
        <v>185021</v>
      </c>
      <c r="E15" s="105">
        <v>181856</v>
      </c>
      <c r="F15" s="106">
        <v>0.119022350660935</v>
      </c>
      <c r="G15" s="106">
        <v>7.4300000000000005E-2</v>
      </c>
      <c r="H15" s="106">
        <v>0.16619999999999999</v>
      </c>
      <c r="J15" s="7" t="s">
        <v>137</v>
      </c>
      <c r="K15" s="7" t="s">
        <v>23</v>
      </c>
      <c r="L15" s="7" t="s">
        <v>148</v>
      </c>
      <c r="M15" s="7">
        <v>4</v>
      </c>
      <c r="N15" s="108">
        <v>805973</v>
      </c>
      <c r="O15" s="108">
        <v>769162</v>
      </c>
      <c r="P15" s="63">
        <v>0.14567930822066899</v>
      </c>
    </row>
    <row r="16" spans="1:16" x14ac:dyDescent="0.35">
      <c r="A16" s="7" t="s">
        <v>23</v>
      </c>
      <c r="B16" s="7" t="s">
        <v>148</v>
      </c>
      <c r="C16" s="7" t="s">
        <v>150</v>
      </c>
      <c r="D16" s="105">
        <v>158332</v>
      </c>
      <c r="E16" s="105">
        <v>147003</v>
      </c>
      <c r="F16" s="106">
        <v>0.184767027813794</v>
      </c>
      <c r="G16" s="106">
        <v>0.14219999999999999</v>
      </c>
      <c r="H16" s="106">
        <v>0.22950000000000001</v>
      </c>
      <c r="J16" s="7" t="s">
        <v>137</v>
      </c>
      <c r="K16" s="7" t="s">
        <v>23</v>
      </c>
      <c r="L16" s="7" t="s">
        <v>151</v>
      </c>
      <c r="M16" s="7">
        <v>6</v>
      </c>
      <c r="N16" s="108">
        <v>640352</v>
      </c>
      <c r="O16" s="108">
        <v>615906</v>
      </c>
      <c r="P16" s="63">
        <v>0.106661658229966</v>
      </c>
    </row>
    <row r="17" spans="1:16" x14ac:dyDescent="0.35">
      <c r="A17" s="7" t="s">
        <v>23</v>
      </c>
      <c r="B17" s="7" t="s">
        <v>151</v>
      </c>
      <c r="C17" s="7" t="s">
        <v>152</v>
      </c>
      <c r="D17" s="105">
        <v>117030</v>
      </c>
      <c r="E17" s="105">
        <v>117516</v>
      </c>
      <c r="F17" s="106">
        <v>6.6070338128337402E-2</v>
      </c>
      <c r="G17" s="106">
        <v>2.8799999999999999E-2</v>
      </c>
      <c r="H17" s="106">
        <v>0.10489999999999999</v>
      </c>
      <c r="J17" s="7" t="s">
        <v>137</v>
      </c>
      <c r="K17" s="7" t="s">
        <v>23</v>
      </c>
      <c r="L17" s="7" t="s">
        <v>153</v>
      </c>
      <c r="M17" s="7">
        <v>4</v>
      </c>
      <c r="N17" s="108">
        <v>314534</v>
      </c>
      <c r="O17" s="108">
        <v>279935</v>
      </c>
      <c r="P17" s="63">
        <v>0.17537051297579101</v>
      </c>
    </row>
    <row r="18" spans="1:16" x14ac:dyDescent="0.35">
      <c r="A18" s="7" t="s">
        <v>23</v>
      </c>
      <c r="B18" s="7" t="s">
        <v>151</v>
      </c>
      <c r="C18" s="7" t="s">
        <v>154</v>
      </c>
      <c r="D18" s="105">
        <v>117099</v>
      </c>
      <c r="E18" s="105">
        <v>114712</v>
      </c>
      <c r="F18" s="106">
        <v>0.13042067968432999</v>
      </c>
      <c r="G18" s="106">
        <v>8.4000000000000005E-2</v>
      </c>
      <c r="H18" s="106">
        <v>0.1789</v>
      </c>
      <c r="J18" s="7" t="s">
        <v>137</v>
      </c>
      <c r="K18" s="7" t="s">
        <v>41</v>
      </c>
      <c r="L18" s="7" t="s">
        <v>155</v>
      </c>
      <c r="M18" s="7">
        <v>15</v>
      </c>
      <c r="N18" s="108">
        <v>2660584</v>
      </c>
      <c r="O18" s="108">
        <v>3046768</v>
      </c>
      <c r="P18" s="63">
        <v>-2.05743532398708E-2</v>
      </c>
    </row>
    <row r="19" spans="1:16" x14ac:dyDescent="0.35">
      <c r="A19" s="7" t="s">
        <v>23</v>
      </c>
      <c r="B19" s="7" t="s">
        <v>151</v>
      </c>
      <c r="C19" s="7" t="s">
        <v>156</v>
      </c>
      <c r="D19" s="105">
        <v>125985</v>
      </c>
      <c r="E19" s="105">
        <v>113014</v>
      </c>
      <c r="F19" s="106">
        <v>0.15438993388679501</v>
      </c>
      <c r="G19" s="106">
        <v>0.1169</v>
      </c>
      <c r="H19" s="106">
        <v>0.19309999999999999</v>
      </c>
      <c r="J19" s="7" t="s">
        <v>137</v>
      </c>
      <c r="K19" s="7" t="s">
        <v>41</v>
      </c>
      <c r="L19" s="7" t="s">
        <v>142</v>
      </c>
      <c r="M19" s="7">
        <v>5</v>
      </c>
      <c r="N19" s="108">
        <v>2301993</v>
      </c>
      <c r="O19" s="108">
        <v>2736948</v>
      </c>
      <c r="P19" s="63">
        <v>-3.4981068834672398E-2</v>
      </c>
    </row>
    <row r="20" spans="1:16" x14ac:dyDescent="0.35">
      <c r="A20" s="7" t="s">
        <v>23</v>
      </c>
      <c r="B20" s="7" t="s">
        <v>151</v>
      </c>
      <c r="C20" s="7" t="s">
        <v>279</v>
      </c>
      <c r="D20" s="105">
        <v>108947</v>
      </c>
      <c r="E20" s="105">
        <v>100770</v>
      </c>
      <c r="F20" s="106">
        <v>0.10643825719684299</v>
      </c>
      <c r="G20" s="106">
        <v>6.5600000000000006E-2</v>
      </c>
      <c r="H20" s="106">
        <v>0.14860000000000001</v>
      </c>
      <c r="J20" s="7" t="s">
        <v>137</v>
      </c>
      <c r="K20" s="7" t="s">
        <v>41</v>
      </c>
      <c r="L20" s="7" t="s">
        <v>148</v>
      </c>
      <c r="M20" s="7">
        <v>7</v>
      </c>
      <c r="N20" s="108">
        <v>1046818</v>
      </c>
      <c r="O20" s="108">
        <v>1146762</v>
      </c>
      <c r="P20" s="63">
        <v>1.4014976542939699E-3</v>
      </c>
    </row>
    <row r="21" spans="1:16" x14ac:dyDescent="0.35">
      <c r="A21" s="7" t="s">
        <v>23</v>
      </c>
      <c r="B21" s="7" t="s">
        <v>151</v>
      </c>
      <c r="C21" s="7" t="s">
        <v>280</v>
      </c>
      <c r="D21" s="105">
        <v>98605</v>
      </c>
      <c r="E21" s="105">
        <v>99788</v>
      </c>
      <c r="F21" s="106">
        <v>0.13636511908573101</v>
      </c>
      <c r="G21" s="106">
        <v>9.7799999999999998E-2</v>
      </c>
      <c r="H21" s="106">
        <v>0.1764</v>
      </c>
      <c r="J21" s="7" t="s">
        <v>137</v>
      </c>
      <c r="K21" s="7" t="s">
        <v>41</v>
      </c>
      <c r="L21" s="7" t="s">
        <v>151</v>
      </c>
      <c r="M21" s="7">
        <v>12</v>
      </c>
      <c r="N21" s="108">
        <v>882966</v>
      </c>
      <c r="O21" s="108">
        <v>959971</v>
      </c>
      <c r="P21" s="63">
        <v>1.3852252160263199E-2</v>
      </c>
    </row>
    <row r="22" spans="1:16" x14ac:dyDescent="0.35">
      <c r="A22" s="7" t="s">
        <v>23</v>
      </c>
      <c r="B22" s="7" t="s">
        <v>151</v>
      </c>
      <c r="C22" s="7" t="s">
        <v>157</v>
      </c>
      <c r="D22" s="105">
        <v>72686</v>
      </c>
      <c r="E22" s="105">
        <v>70106</v>
      </c>
      <c r="F22" s="106">
        <v>4.6665568998450299E-2</v>
      </c>
      <c r="G22" s="106">
        <v>-2.5999999999999999E-3</v>
      </c>
      <c r="H22" s="106">
        <v>9.8699999999999996E-2</v>
      </c>
      <c r="J22" s="7" t="s">
        <v>137</v>
      </c>
      <c r="K22" s="7" t="s">
        <v>41</v>
      </c>
      <c r="L22" s="7" t="s">
        <v>153</v>
      </c>
      <c r="M22" s="7">
        <v>7</v>
      </c>
      <c r="N22" s="108">
        <v>661379</v>
      </c>
      <c r="O22" s="108">
        <v>721192</v>
      </c>
      <c r="P22" s="63">
        <v>5.5028215233801303E-2</v>
      </c>
    </row>
    <row r="23" spans="1:16" x14ac:dyDescent="0.35">
      <c r="A23" s="7" t="s">
        <v>23</v>
      </c>
      <c r="B23" s="7" t="s">
        <v>153</v>
      </c>
      <c r="C23" s="7" t="s">
        <v>158</v>
      </c>
      <c r="D23" s="105">
        <v>92720</v>
      </c>
      <c r="E23" s="105">
        <v>75793</v>
      </c>
      <c r="F23" s="106">
        <v>0.494519970575311</v>
      </c>
      <c r="G23" s="106">
        <v>0.2898</v>
      </c>
      <c r="H23" s="106">
        <v>0.70340000000000003</v>
      </c>
      <c r="J23" s="7" t="s">
        <v>137</v>
      </c>
      <c r="K23" s="7" t="s">
        <v>11</v>
      </c>
      <c r="L23" s="7" t="s">
        <v>159</v>
      </c>
      <c r="M23" s="7">
        <v>12</v>
      </c>
      <c r="N23" s="108">
        <v>2571899</v>
      </c>
      <c r="O23" s="108">
        <v>2716605</v>
      </c>
      <c r="P23" s="63">
        <v>6.1557340633196997E-2</v>
      </c>
    </row>
    <row r="24" spans="1:16" x14ac:dyDescent="0.35">
      <c r="A24" s="7" t="s">
        <v>23</v>
      </c>
      <c r="B24" s="7" t="s">
        <v>153</v>
      </c>
      <c r="C24" s="7" t="s">
        <v>281</v>
      </c>
      <c r="D24" s="105">
        <v>74986</v>
      </c>
      <c r="E24" s="105">
        <v>74649</v>
      </c>
      <c r="F24" s="106">
        <v>8.0823447355789599E-2</v>
      </c>
      <c r="G24" s="106">
        <v>-2.6700000000000002E-2</v>
      </c>
      <c r="H24" s="106">
        <v>0.2031</v>
      </c>
    </row>
    <row r="25" spans="1:16" x14ac:dyDescent="0.35">
      <c r="A25" s="7" t="s">
        <v>23</v>
      </c>
      <c r="B25" s="7" t="s">
        <v>153</v>
      </c>
      <c r="C25" s="7" t="s">
        <v>160</v>
      </c>
      <c r="D25" s="105">
        <v>86784</v>
      </c>
      <c r="E25" s="105">
        <v>68064</v>
      </c>
      <c r="F25" s="106">
        <v>-2.3814540379063599E-2</v>
      </c>
      <c r="G25" s="106">
        <v>-0.182</v>
      </c>
      <c r="H25" s="106">
        <v>0.16950000000000001</v>
      </c>
    </row>
    <row r="26" spans="1:16" x14ac:dyDescent="0.35">
      <c r="A26" s="7" t="s">
        <v>23</v>
      </c>
      <c r="B26" s="7" t="s">
        <v>153</v>
      </c>
      <c r="C26" s="7" t="s">
        <v>282</v>
      </c>
      <c r="D26" s="105">
        <v>60044</v>
      </c>
      <c r="E26" s="105">
        <v>61429</v>
      </c>
      <c r="F26" s="106">
        <v>0.252038782899486</v>
      </c>
      <c r="G26" s="106">
        <v>9.3100000000000002E-2</v>
      </c>
      <c r="H26" s="106">
        <v>0.41499999999999998</v>
      </c>
    </row>
    <row r="27" spans="1:16" x14ac:dyDescent="0.35">
      <c r="A27" s="7" t="s">
        <v>41</v>
      </c>
      <c r="B27" s="7" t="s">
        <v>142</v>
      </c>
      <c r="C27" s="7" t="s">
        <v>251</v>
      </c>
      <c r="D27" s="105">
        <v>583382</v>
      </c>
      <c r="E27" s="105">
        <v>699366</v>
      </c>
      <c r="F27" s="106">
        <v>-0.113523754561713</v>
      </c>
      <c r="G27" s="106">
        <v>-0.1215</v>
      </c>
      <c r="H27" s="106">
        <v>-0.1055</v>
      </c>
    </row>
    <row r="28" spans="1:16" x14ac:dyDescent="0.35">
      <c r="A28" s="7" t="s">
        <v>41</v>
      </c>
      <c r="B28" s="7" t="s">
        <v>142</v>
      </c>
      <c r="C28" s="7" t="s">
        <v>253</v>
      </c>
      <c r="D28" s="105">
        <v>558872</v>
      </c>
      <c r="E28" s="105">
        <v>624746</v>
      </c>
      <c r="F28" s="106">
        <v>1.7008509817259401E-2</v>
      </c>
      <c r="G28" s="106">
        <v>-3.3099999999999997E-2</v>
      </c>
      <c r="H28" s="106">
        <v>6.7900000000000002E-2</v>
      </c>
    </row>
    <row r="29" spans="1:16" x14ac:dyDescent="0.35">
      <c r="A29" s="7" t="s">
        <v>41</v>
      </c>
      <c r="B29" s="7" t="s">
        <v>142</v>
      </c>
      <c r="C29" s="7" t="s">
        <v>277</v>
      </c>
      <c r="D29" s="105">
        <v>502083</v>
      </c>
      <c r="E29" s="105">
        <v>580924</v>
      </c>
      <c r="F29" s="106">
        <v>-2.8495653558536201E-3</v>
      </c>
      <c r="G29" s="106">
        <v>-1.7500000000000002E-2</v>
      </c>
      <c r="H29" s="106">
        <v>1.2E-2</v>
      </c>
    </row>
    <row r="30" spans="1:16" x14ac:dyDescent="0.35">
      <c r="A30" s="7" t="s">
        <v>41</v>
      </c>
      <c r="B30" s="7" t="s">
        <v>142</v>
      </c>
      <c r="C30" s="7" t="s">
        <v>278</v>
      </c>
      <c r="D30" s="105">
        <v>392424</v>
      </c>
      <c r="E30" s="105">
        <v>505158</v>
      </c>
      <c r="F30" s="106">
        <v>-4.1663958537519002E-2</v>
      </c>
      <c r="G30" s="106">
        <v>-5.5100000000000003E-2</v>
      </c>
      <c r="H30" s="106">
        <v>-2.8000000000000001E-2</v>
      </c>
    </row>
    <row r="31" spans="1:16" x14ac:dyDescent="0.35">
      <c r="A31" s="7" t="s">
        <v>41</v>
      </c>
      <c r="B31" s="7" t="s">
        <v>142</v>
      </c>
      <c r="C31" s="7" t="s">
        <v>144</v>
      </c>
      <c r="D31" s="105">
        <v>265232</v>
      </c>
      <c r="E31" s="105">
        <v>326754</v>
      </c>
      <c r="F31" s="106">
        <v>-1.58475085791926E-2</v>
      </c>
      <c r="G31" s="106">
        <v>-3.1199999999999999E-2</v>
      </c>
      <c r="H31" s="106">
        <v>-2.9999999999999997E-4</v>
      </c>
    </row>
    <row r="32" spans="1:16" x14ac:dyDescent="0.35">
      <c r="A32" s="7" t="s">
        <v>41</v>
      </c>
      <c r="B32" s="7" t="s">
        <v>148</v>
      </c>
      <c r="C32" s="7" t="s">
        <v>146</v>
      </c>
      <c r="D32" s="105">
        <v>228277</v>
      </c>
      <c r="E32" s="105">
        <v>223021</v>
      </c>
      <c r="F32" s="106">
        <v>6.62196320931418E-2</v>
      </c>
      <c r="G32" s="106">
        <v>2.3599999999999999E-2</v>
      </c>
      <c r="H32" s="106">
        <v>0.10920000000000001</v>
      </c>
    </row>
    <row r="33" spans="1:8" x14ac:dyDescent="0.35">
      <c r="A33" s="7" t="s">
        <v>41</v>
      </c>
      <c r="B33" s="7" t="s">
        <v>148</v>
      </c>
      <c r="C33" s="7" t="s">
        <v>147</v>
      </c>
      <c r="D33" s="105">
        <v>177863</v>
      </c>
      <c r="E33" s="105">
        <v>175513</v>
      </c>
      <c r="F33" s="106">
        <v>5.5641851316187201E-2</v>
      </c>
      <c r="G33" s="106">
        <v>3.7999999999999999E-2</v>
      </c>
      <c r="H33" s="106">
        <v>7.3499999999999996E-2</v>
      </c>
    </row>
    <row r="34" spans="1:8" x14ac:dyDescent="0.35">
      <c r="A34" s="7" t="s">
        <v>41</v>
      </c>
      <c r="B34" s="7" t="s">
        <v>148</v>
      </c>
      <c r="C34" s="7" t="s">
        <v>161</v>
      </c>
      <c r="D34" s="105">
        <v>134449</v>
      </c>
      <c r="E34" s="105">
        <v>174363</v>
      </c>
      <c r="F34" s="106">
        <v>3.5528589031034702E-2</v>
      </c>
      <c r="G34" s="106">
        <v>1.46E-2</v>
      </c>
      <c r="H34" s="106">
        <v>5.6899999999999999E-2</v>
      </c>
    </row>
    <row r="35" spans="1:8" x14ac:dyDescent="0.35">
      <c r="A35" s="7" t="s">
        <v>41</v>
      </c>
      <c r="B35" s="7" t="s">
        <v>148</v>
      </c>
      <c r="C35" s="7" t="s">
        <v>280</v>
      </c>
      <c r="D35" s="105">
        <v>135714</v>
      </c>
      <c r="E35" s="105">
        <v>152606</v>
      </c>
      <c r="F35" s="106">
        <v>-1.1831245169878601E-3</v>
      </c>
      <c r="G35" s="106">
        <v>-1.4E-2</v>
      </c>
      <c r="H35" s="106">
        <v>1.18E-2</v>
      </c>
    </row>
    <row r="36" spans="1:8" x14ac:dyDescent="0.35">
      <c r="A36" s="7" t="s">
        <v>41</v>
      </c>
      <c r="B36" s="7" t="s">
        <v>148</v>
      </c>
      <c r="C36" s="7" t="s">
        <v>162</v>
      </c>
      <c r="D36" s="105">
        <v>113798</v>
      </c>
      <c r="E36" s="105">
        <v>148846</v>
      </c>
      <c r="F36" s="106">
        <v>2.01408645528715E-2</v>
      </c>
      <c r="G36" s="106">
        <v>-3.3E-3</v>
      </c>
      <c r="H36" s="106">
        <v>4.3900000000000002E-2</v>
      </c>
    </row>
    <row r="37" spans="1:8" x14ac:dyDescent="0.35">
      <c r="A37" s="7" t="s">
        <v>41</v>
      </c>
      <c r="B37" s="7" t="s">
        <v>148</v>
      </c>
      <c r="C37" s="7" t="s">
        <v>150</v>
      </c>
      <c r="D37" s="105">
        <v>154642</v>
      </c>
      <c r="E37" s="105">
        <v>148660</v>
      </c>
      <c r="F37" s="106">
        <v>-8.5442871617428306E-2</v>
      </c>
      <c r="G37" s="106">
        <v>-0.1043</v>
      </c>
      <c r="H37" s="106">
        <v>-6.6100000000000006E-2</v>
      </c>
    </row>
    <row r="38" spans="1:8" x14ac:dyDescent="0.35">
      <c r="A38" s="7" t="s">
        <v>41</v>
      </c>
      <c r="B38" s="7" t="s">
        <v>148</v>
      </c>
      <c r="C38" s="7" t="s">
        <v>163</v>
      </c>
      <c r="D38" s="105">
        <v>102075</v>
      </c>
      <c r="E38" s="105">
        <v>123753</v>
      </c>
      <c r="F38" s="106">
        <v>-2.44408486168637E-2</v>
      </c>
      <c r="G38" s="106">
        <v>-2.9499999999999998E-2</v>
      </c>
      <c r="H38" s="106">
        <v>-1.9400000000000001E-2</v>
      </c>
    </row>
    <row r="39" spans="1:8" x14ac:dyDescent="0.35">
      <c r="A39" s="7" t="s">
        <v>41</v>
      </c>
      <c r="B39" s="7" t="s">
        <v>151</v>
      </c>
      <c r="C39" s="7" t="s">
        <v>164</v>
      </c>
      <c r="D39" s="105">
        <v>98553</v>
      </c>
      <c r="E39" s="105">
        <v>116011</v>
      </c>
      <c r="F39" s="106">
        <v>4.3365561869207004E-3</v>
      </c>
      <c r="G39" s="106">
        <v>-8.0000000000000002E-3</v>
      </c>
      <c r="H39" s="106">
        <v>1.6899999999999998E-2</v>
      </c>
    </row>
    <row r="40" spans="1:8" x14ac:dyDescent="0.35">
      <c r="A40" s="7" t="s">
        <v>41</v>
      </c>
      <c r="B40" s="7" t="s">
        <v>151</v>
      </c>
      <c r="C40" s="7" t="s">
        <v>145</v>
      </c>
      <c r="D40" s="105">
        <v>76637</v>
      </c>
      <c r="E40" s="105">
        <v>97173</v>
      </c>
      <c r="F40" s="106">
        <v>3.7630745579640197E-2</v>
      </c>
      <c r="G40" s="106">
        <v>1.2999999999999999E-2</v>
      </c>
      <c r="H40" s="106">
        <v>6.2899999999999998E-2</v>
      </c>
    </row>
    <row r="41" spans="1:8" x14ac:dyDescent="0.35">
      <c r="A41" s="7" t="s">
        <v>41</v>
      </c>
      <c r="B41" s="7" t="s">
        <v>151</v>
      </c>
      <c r="C41" s="7" t="s">
        <v>165</v>
      </c>
      <c r="D41" s="105">
        <v>79735</v>
      </c>
      <c r="E41" s="105">
        <v>91114</v>
      </c>
      <c r="F41" s="106">
        <v>-4.6221114538907399E-2</v>
      </c>
      <c r="G41" s="106">
        <v>-8.2500000000000004E-2</v>
      </c>
      <c r="H41" s="106">
        <v>-8.3000000000000001E-3</v>
      </c>
    </row>
    <row r="42" spans="1:8" x14ac:dyDescent="0.35">
      <c r="A42" s="7" t="s">
        <v>41</v>
      </c>
      <c r="B42" s="7" t="s">
        <v>151</v>
      </c>
      <c r="C42" s="7" t="s">
        <v>143</v>
      </c>
      <c r="D42" s="105">
        <v>77108</v>
      </c>
      <c r="E42" s="105">
        <v>91107</v>
      </c>
      <c r="F42" s="106">
        <v>4.6559693168017197E-2</v>
      </c>
      <c r="G42" s="106">
        <v>1.5800000000000002E-2</v>
      </c>
      <c r="H42" s="106">
        <v>7.8200000000000006E-2</v>
      </c>
    </row>
    <row r="43" spans="1:8" x14ac:dyDescent="0.35">
      <c r="A43" s="7" t="s">
        <v>41</v>
      </c>
      <c r="B43" s="7" t="s">
        <v>151</v>
      </c>
      <c r="C43" s="7" t="s">
        <v>166</v>
      </c>
      <c r="D43" s="105">
        <v>70419</v>
      </c>
      <c r="E43" s="105">
        <v>90103</v>
      </c>
      <c r="F43" s="106">
        <v>4.0506135511803203E-2</v>
      </c>
      <c r="G43" s="106">
        <v>1.9800000000000002E-2</v>
      </c>
      <c r="H43" s="106">
        <v>6.1699999999999998E-2</v>
      </c>
    </row>
    <row r="44" spans="1:8" x14ac:dyDescent="0.35">
      <c r="A44" s="7" t="s">
        <v>41</v>
      </c>
      <c r="B44" s="7" t="s">
        <v>151</v>
      </c>
      <c r="C44" s="7" t="s">
        <v>167</v>
      </c>
      <c r="D44" s="105">
        <v>70456</v>
      </c>
      <c r="E44" s="105">
        <v>75572</v>
      </c>
      <c r="F44" s="106">
        <v>-5.8601539117510801E-2</v>
      </c>
      <c r="G44" s="106">
        <v>-8.6699999999999999E-2</v>
      </c>
      <c r="H44" s="106">
        <v>-2.9399999999999999E-2</v>
      </c>
    </row>
    <row r="45" spans="1:8" x14ac:dyDescent="0.35">
      <c r="A45" s="7" t="s">
        <v>41</v>
      </c>
      <c r="B45" s="7" t="s">
        <v>151</v>
      </c>
      <c r="C45" s="7" t="s">
        <v>283</v>
      </c>
      <c r="D45" s="105">
        <v>63395</v>
      </c>
      <c r="E45" s="105">
        <v>71197</v>
      </c>
      <c r="F45" s="106">
        <v>-4.5758758548134403E-2</v>
      </c>
      <c r="G45" s="106">
        <v>-6.5799999999999997E-2</v>
      </c>
      <c r="H45" s="106">
        <v>-2.52E-2</v>
      </c>
    </row>
    <row r="46" spans="1:8" x14ac:dyDescent="0.35">
      <c r="A46" s="7" t="s">
        <v>41</v>
      </c>
      <c r="B46" s="7" t="s">
        <v>151</v>
      </c>
      <c r="C46" s="7" t="s">
        <v>168</v>
      </c>
      <c r="D46" s="105">
        <v>63310</v>
      </c>
      <c r="E46" s="105">
        <v>69429</v>
      </c>
      <c r="F46" s="106">
        <v>4.6565932384466401E-2</v>
      </c>
      <c r="G46" s="106">
        <v>-1.4E-3</v>
      </c>
      <c r="H46" s="106">
        <v>9.7000000000000003E-2</v>
      </c>
    </row>
    <row r="47" spans="1:8" x14ac:dyDescent="0.35">
      <c r="A47" s="7" t="s">
        <v>41</v>
      </c>
      <c r="B47" s="7" t="s">
        <v>151</v>
      </c>
      <c r="C47" s="7" t="s">
        <v>284</v>
      </c>
      <c r="D47" s="105">
        <v>74029</v>
      </c>
      <c r="E47" s="105">
        <v>68038</v>
      </c>
      <c r="F47" s="106">
        <v>6.3978164940127702E-2</v>
      </c>
      <c r="G47" s="106">
        <v>3.7699999999999997E-2</v>
      </c>
      <c r="H47" s="106">
        <v>9.0800000000000006E-2</v>
      </c>
    </row>
    <row r="48" spans="1:8" x14ac:dyDescent="0.35">
      <c r="A48" s="7" t="s">
        <v>41</v>
      </c>
      <c r="B48" s="7" t="s">
        <v>151</v>
      </c>
      <c r="C48" s="7" t="s">
        <v>169</v>
      </c>
      <c r="D48" s="105">
        <v>78394</v>
      </c>
      <c r="E48" s="105">
        <v>64412</v>
      </c>
      <c r="F48" s="106">
        <v>5.1248157917798298E-2</v>
      </c>
      <c r="G48" s="106">
        <v>2.35E-2</v>
      </c>
      <c r="H48" s="106">
        <v>7.9699999999999993E-2</v>
      </c>
    </row>
    <row r="49" spans="1:8" x14ac:dyDescent="0.35">
      <c r="A49" s="7" t="s">
        <v>41</v>
      </c>
      <c r="B49" s="7" t="s">
        <v>151</v>
      </c>
      <c r="C49" s="7" t="s">
        <v>170</v>
      </c>
      <c r="D49" s="105">
        <v>64319</v>
      </c>
      <c r="E49" s="105">
        <v>64080</v>
      </c>
      <c r="F49" s="106">
        <v>-0.150002062401943</v>
      </c>
      <c r="G49" s="106">
        <v>-0.19539999999999999</v>
      </c>
      <c r="H49" s="106">
        <v>-0.10050000000000001</v>
      </c>
    </row>
    <row r="50" spans="1:8" x14ac:dyDescent="0.35">
      <c r="A50" s="7" t="s">
        <v>41</v>
      </c>
      <c r="B50" s="7" t="s">
        <v>151</v>
      </c>
      <c r="C50" s="7" t="s">
        <v>171</v>
      </c>
      <c r="D50" s="105">
        <v>66611</v>
      </c>
      <c r="E50" s="105">
        <v>61735</v>
      </c>
      <c r="F50" s="106">
        <v>6.1176923869364297E-2</v>
      </c>
      <c r="G50" s="106">
        <v>1.6299999999999999E-2</v>
      </c>
      <c r="H50" s="106">
        <v>0.1076</v>
      </c>
    </row>
    <row r="51" spans="1:8" x14ac:dyDescent="0.35">
      <c r="A51" s="7" t="s">
        <v>41</v>
      </c>
      <c r="B51" s="7" t="s">
        <v>153</v>
      </c>
      <c r="C51" s="7" t="s">
        <v>282</v>
      </c>
      <c r="D51" s="105">
        <v>128957</v>
      </c>
      <c r="E51" s="105">
        <v>142751</v>
      </c>
      <c r="F51" s="106">
        <v>8.4495546820603507E-2</v>
      </c>
      <c r="G51" s="106">
        <v>5.7799999999999997E-2</v>
      </c>
      <c r="H51" s="106">
        <v>0.1119</v>
      </c>
    </row>
    <row r="52" spans="1:8" x14ac:dyDescent="0.35">
      <c r="A52" s="7" t="s">
        <v>41</v>
      </c>
      <c r="B52" s="7" t="s">
        <v>153</v>
      </c>
      <c r="C52" s="7" t="s">
        <v>158</v>
      </c>
      <c r="D52" s="105">
        <v>121241</v>
      </c>
      <c r="E52" s="105">
        <v>125359</v>
      </c>
      <c r="F52" s="106">
        <v>0.118054933535767</v>
      </c>
      <c r="G52" s="106">
        <v>0.06</v>
      </c>
      <c r="H52" s="106">
        <v>0.17899999999999999</v>
      </c>
    </row>
    <row r="53" spans="1:8" x14ac:dyDescent="0.35">
      <c r="A53" s="7" t="s">
        <v>41</v>
      </c>
      <c r="B53" s="7" t="s">
        <v>153</v>
      </c>
      <c r="C53" s="7" t="s">
        <v>285</v>
      </c>
      <c r="D53" s="105">
        <v>110949</v>
      </c>
      <c r="E53" s="105">
        <v>124261</v>
      </c>
      <c r="F53" s="106">
        <v>0.106007168697744</v>
      </c>
      <c r="G53" s="106">
        <v>5.0799999999999998E-2</v>
      </c>
      <c r="H53" s="106">
        <v>0.1628</v>
      </c>
    </row>
    <row r="54" spans="1:8" x14ac:dyDescent="0.35">
      <c r="A54" s="7" t="s">
        <v>41</v>
      </c>
      <c r="B54" s="7" t="s">
        <v>153</v>
      </c>
      <c r="C54" s="7" t="s">
        <v>281</v>
      </c>
      <c r="D54" s="105">
        <v>100458</v>
      </c>
      <c r="E54" s="105">
        <v>108736</v>
      </c>
      <c r="F54" s="106">
        <v>3.9660989434534E-2</v>
      </c>
      <c r="G54" s="106">
        <v>-7.4999999999999997E-3</v>
      </c>
      <c r="H54" s="106">
        <v>8.8300000000000003E-2</v>
      </c>
    </row>
    <row r="55" spans="1:8" x14ac:dyDescent="0.35">
      <c r="A55" s="7" t="s">
        <v>41</v>
      </c>
      <c r="B55" s="7" t="s">
        <v>153</v>
      </c>
      <c r="C55" s="7" t="s">
        <v>286</v>
      </c>
      <c r="D55" s="105">
        <v>71963</v>
      </c>
      <c r="E55" s="105">
        <v>80534</v>
      </c>
      <c r="F55" s="106">
        <v>0.15513421270334199</v>
      </c>
      <c r="G55" s="106">
        <v>0.11899999999999999</v>
      </c>
      <c r="H55" s="106">
        <v>0.192</v>
      </c>
    </row>
    <row r="56" spans="1:8" x14ac:dyDescent="0.35">
      <c r="A56" s="7" t="s">
        <v>41</v>
      </c>
      <c r="B56" s="7" t="s">
        <v>153</v>
      </c>
      <c r="C56" s="7" t="s">
        <v>160</v>
      </c>
      <c r="D56" s="105">
        <v>67435</v>
      </c>
      <c r="E56" s="105">
        <v>73879</v>
      </c>
      <c r="F56" s="106">
        <v>-9.2202562027667703E-2</v>
      </c>
      <c r="G56" s="106">
        <v>-0.13120000000000001</v>
      </c>
      <c r="H56" s="106">
        <v>-5.0599999999999999E-2</v>
      </c>
    </row>
    <row r="57" spans="1:8" x14ac:dyDescent="0.35">
      <c r="A57" s="7" t="s">
        <v>41</v>
      </c>
      <c r="B57" s="7" t="s">
        <v>153</v>
      </c>
      <c r="C57" s="7" t="s">
        <v>287</v>
      </c>
      <c r="D57" s="105">
        <v>60376</v>
      </c>
      <c r="E57" s="105">
        <v>65672</v>
      </c>
      <c r="F57" s="106">
        <v>-0.134033123504254</v>
      </c>
      <c r="G57" s="106">
        <v>-0.13969999999999999</v>
      </c>
      <c r="H57" s="106">
        <v>-0.12839999999999999</v>
      </c>
    </row>
    <row r="58" spans="1:8" x14ac:dyDescent="0.35">
      <c r="A58" s="7" t="s">
        <v>41</v>
      </c>
      <c r="B58" s="7" t="s">
        <v>155</v>
      </c>
      <c r="C58" s="7" t="s">
        <v>172</v>
      </c>
      <c r="D58" s="105">
        <v>448237</v>
      </c>
      <c r="E58" s="105">
        <v>540364</v>
      </c>
      <c r="F58" s="106">
        <v>-1.6451814442406801E-2</v>
      </c>
      <c r="G58" s="106">
        <v>-2.8799999999999999E-2</v>
      </c>
      <c r="H58" s="106">
        <v>-4.0000000000000001E-3</v>
      </c>
    </row>
    <row r="59" spans="1:8" x14ac:dyDescent="0.35">
      <c r="A59" s="7" t="s">
        <v>41</v>
      </c>
      <c r="B59" s="7" t="s">
        <v>155</v>
      </c>
      <c r="C59" s="7" t="s">
        <v>288</v>
      </c>
      <c r="D59" s="105">
        <v>448461</v>
      </c>
      <c r="E59" s="105">
        <v>492645</v>
      </c>
      <c r="F59" s="106">
        <v>-4.4801065088563803E-2</v>
      </c>
      <c r="G59" s="106">
        <v>-5.6599999999999998E-2</v>
      </c>
      <c r="H59" s="106">
        <v>-3.2899999999999999E-2</v>
      </c>
    </row>
    <row r="60" spans="1:8" x14ac:dyDescent="0.35">
      <c r="A60" s="7" t="s">
        <v>41</v>
      </c>
      <c r="B60" s="7" t="s">
        <v>155</v>
      </c>
      <c r="C60" s="7" t="s">
        <v>289</v>
      </c>
      <c r="D60" s="105">
        <v>333419</v>
      </c>
      <c r="E60" s="105">
        <v>390578</v>
      </c>
      <c r="F60" s="106">
        <v>-2.6640220343089299E-2</v>
      </c>
      <c r="G60" s="106">
        <v>-5.1299999999999998E-2</v>
      </c>
      <c r="H60" s="106">
        <v>-1.8E-3</v>
      </c>
    </row>
    <row r="61" spans="1:8" x14ac:dyDescent="0.35">
      <c r="A61" s="7" t="s">
        <v>41</v>
      </c>
      <c r="B61" s="7" t="s">
        <v>155</v>
      </c>
      <c r="C61" s="7" t="s">
        <v>290</v>
      </c>
      <c r="D61" s="105">
        <v>229830</v>
      </c>
      <c r="E61" s="105">
        <v>288550</v>
      </c>
      <c r="F61" s="106">
        <v>1.5912418253697401E-2</v>
      </c>
      <c r="G61" s="106">
        <v>-3.3E-3</v>
      </c>
      <c r="H61" s="106">
        <v>3.56E-2</v>
      </c>
    </row>
    <row r="62" spans="1:8" x14ac:dyDescent="0.35">
      <c r="A62" s="7" t="s">
        <v>41</v>
      </c>
      <c r="B62" s="7" t="s">
        <v>155</v>
      </c>
      <c r="C62" s="7" t="s">
        <v>173</v>
      </c>
      <c r="D62" s="105">
        <v>185090</v>
      </c>
      <c r="E62" s="105">
        <v>210704</v>
      </c>
      <c r="F62" s="106">
        <v>-5.5741306219543499E-2</v>
      </c>
      <c r="G62" s="106">
        <v>-6.88E-2</v>
      </c>
      <c r="H62" s="106">
        <v>-4.24E-2</v>
      </c>
    </row>
    <row r="63" spans="1:8" x14ac:dyDescent="0.35">
      <c r="A63" s="7" t="s">
        <v>41</v>
      </c>
      <c r="B63" s="7" t="s">
        <v>155</v>
      </c>
      <c r="C63" s="7" t="s">
        <v>174</v>
      </c>
      <c r="D63" s="105">
        <v>155877</v>
      </c>
      <c r="E63" s="105">
        <v>167258</v>
      </c>
      <c r="F63" s="106">
        <v>3.7777126556506897E-2</v>
      </c>
      <c r="G63" s="106">
        <v>2.7000000000000001E-3</v>
      </c>
      <c r="H63" s="106">
        <v>7.51E-2</v>
      </c>
    </row>
    <row r="64" spans="1:8" x14ac:dyDescent="0.35">
      <c r="A64" s="7" t="s">
        <v>41</v>
      </c>
      <c r="B64" s="7" t="s">
        <v>155</v>
      </c>
      <c r="C64" s="7" t="s">
        <v>175</v>
      </c>
      <c r="D64" s="105">
        <v>136927</v>
      </c>
      <c r="E64" s="105">
        <v>153941</v>
      </c>
      <c r="F64" s="106">
        <v>-6.2469328491960997E-2</v>
      </c>
      <c r="G64" s="106">
        <v>-8.5000000000000006E-2</v>
      </c>
      <c r="H64" s="106">
        <v>-3.9300000000000002E-2</v>
      </c>
    </row>
    <row r="65" spans="1:8" x14ac:dyDescent="0.35">
      <c r="A65" s="7" t="s">
        <v>41</v>
      </c>
      <c r="B65" s="7" t="s">
        <v>155</v>
      </c>
      <c r="C65" s="7" t="s">
        <v>176</v>
      </c>
      <c r="D65" s="105">
        <v>108569</v>
      </c>
      <c r="E65" s="105">
        <v>130570</v>
      </c>
      <c r="F65" s="106">
        <v>-2.5443081291981601E-2</v>
      </c>
      <c r="G65" s="106">
        <v>-5.7799999999999997E-2</v>
      </c>
      <c r="H65" s="106">
        <v>7.9000000000000008E-3</v>
      </c>
    </row>
    <row r="66" spans="1:8" x14ac:dyDescent="0.35">
      <c r="A66" s="7" t="s">
        <v>41</v>
      </c>
      <c r="B66" s="7" t="s">
        <v>155</v>
      </c>
      <c r="C66" s="7" t="s">
        <v>177</v>
      </c>
      <c r="D66" s="105">
        <v>120174</v>
      </c>
      <c r="E66" s="105">
        <v>126953</v>
      </c>
      <c r="F66" s="106">
        <v>2.1966319961502002E-3</v>
      </c>
      <c r="G66" s="106">
        <v>-1.8499999999999999E-2</v>
      </c>
      <c r="H66" s="106">
        <v>2.3400000000000001E-2</v>
      </c>
    </row>
    <row r="67" spans="1:8" x14ac:dyDescent="0.35">
      <c r="A67" s="7" t="s">
        <v>41</v>
      </c>
      <c r="B67" s="7" t="s">
        <v>155</v>
      </c>
      <c r="C67" s="7" t="s">
        <v>178</v>
      </c>
      <c r="D67" s="105">
        <v>93723</v>
      </c>
      <c r="E67" s="105">
        <v>112861</v>
      </c>
      <c r="F67" s="106">
        <v>-4.2220868837639603E-3</v>
      </c>
      <c r="G67" s="106">
        <v>-2.5399999999999999E-2</v>
      </c>
      <c r="H67" s="106">
        <v>1.7299999999999999E-2</v>
      </c>
    </row>
    <row r="68" spans="1:8" x14ac:dyDescent="0.35">
      <c r="A68" s="7" t="s">
        <v>41</v>
      </c>
      <c r="B68" s="7" t="s">
        <v>155</v>
      </c>
      <c r="C68" s="7" t="s">
        <v>179</v>
      </c>
      <c r="D68" s="105">
        <v>96906</v>
      </c>
      <c r="E68" s="105">
        <v>106933</v>
      </c>
      <c r="F68" s="106">
        <v>4.9458413160946298E-2</v>
      </c>
      <c r="G68" s="106">
        <v>2.4E-2</v>
      </c>
      <c r="H68" s="106">
        <v>7.5399999999999995E-2</v>
      </c>
    </row>
    <row r="69" spans="1:8" x14ac:dyDescent="0.35">
      <c r="A69" s="7" t="s">
        <v>41</v>
      </c>
      <c r="B69" s="7" t="s">
        <v>155</v>
      </c>
      <c r="C69" s="7" t="s">
        <v>180</v>
      </c>
      <c r="D69" s="105">
        <v>102195</v>
      </c>
      <c r="E69" s="105">
        <v>100782</v>
      </c>
      <c r="F69" s="106">
        <v>-9.7558453342887499E-2</v>
      </c>
      <c r="G69" s="106">
        <v>-0.1318</v>
      </c>
      <c r="H69" s="106">
        <v>-6.2100000000000002E-2</v>
      </c>
    </row>
    <row r="70" spans="1:8" x14ac:dyDescent="0.35">
      <c r="A70" s="7" t="s">
        <v>41</v>
      </c>
      <c r="B70" s="7" t="s">
        <v>155</v>
      </c>
      <c r="C70" s="7" t="s">
        <v>291</v>
      </c>
      <c r="D70" s="105">
        <v>69254</v>
      </c>
      <c r="E70" s="105">
        <v>79770</v>
      </c>
      <c r="F70" s="106">
        <v>-1.9631158033621102E-2</v>
      </c>
      <c r="G70" s="106">
        <v>-3.9899999999999998E-2</v>
      </c>
      <c r="H70" s="106">
        <v>1E-3</v>
      </c>
    </row>
    <row r="71" spans="1:8" x14ac:dyDescent="0.35">
      <c r="A71" s="7" t="s">
        <v>41</v>
      </c>
      <c r="B71" s="7" t="s">
        <v>155</v>
      </c>
      <c r="C71" s="7" t="s">
        <v>181</v>
      </c>
      <c r="D71" s="105">
        <v>66261</v>
      </c>
      <c r="E71" s="105">
        <v>74298</v>
      </c>
      <c r="F71" s="106">
        <v>3.6800346514708503E-2</v>
      </c>
      <c r="G71" s="106">
        <v>1.01E-2</v>
      </c>
      <c r="H71" s="106">
        <v>6.3899999999999998E-2</v>
      </c>
    </row>
    <row r="72" spans="1:8" x14ac:dyDescent="0.35">
      <c r="A72" s="7" t="s">
        <v>41</v>
      </c>
      <c r="B72" s="7" t="s">
        <v>155</v>
      </c>
      <c r="C72" s="7" t="s">
        <v>182</v>
      </c>
      <c r="D72" s="105">
        <v>65661</v>
      </c>
      <c r="E72" s="105">
        <v>70561</v>
      </c>
      <c r="F72" s="106">
        <v>4.4716800726518997E-3</v>
      </c>
      <c r="G72" s="106">
        <v>-2.3099999999999999E-2</v>
      </c>
      <c r="H72" s="106">
        <v>3.27E-2</v>
      </c>
    </row>
    <row r="73" spans="1:8" x14ac:dyDescent="0.35">
      <c r="A73" s="7" t="s">
        <v>11</v>
      </c>
      <c r="B73" s="7" t="s">
        <v>159</v>
      </c>
      <c r="C73" s="7" t="s">
        <v>251</v>
      </c>
      <c r="D73" s="105">
        <v>817045</v>
      </c>
      <c r="E73" s="105">
        <v>851759</v>
      </c>
      <c r="F73" s="106">
        <v>3.4158734751507297E-2</v>
      </c>
      <c r="G73" s="106">
        <v>3.1E-2</v>
      </c>
      <c r="H73" s="106">
        <v>3.73E-2</v>
      </c>
    </row>
    <row r="74" spans="1:8" x14ac:dyDescent="0.35">
      <c r="A74" s="7" t="s">
        <v>11</v>
      </c>
      <c r="B74" s="7" t="s">
        <v>159</v>
      </c>
      <c r="C74" s="7" t="s">
        <v>253</v>
      </c>
      <c r="D74" s="105">
        <v>475588</v>
      </c>
      <c r="E74" s="105">
        <v>495779</v>
      </c>
      <c r="F74" s="106">
        <v>6.8477917370035904E-2</v>
      </c>
      <c r="G74" s="106">
        <v>5.6399999999999999E-2</v>
      </c>
      <c r="H74" s="106">
        <v>8.0799999999999997E-2</v>
      </c>
    </row>
    <row r="75" spans="1:8" x14ac:dyDescent="0.35">
      <c r="A75" s="7" t="s">
        <v>11</v>
      </c>
      <c r="B75" s="7" t="s">
        <v>159</v>
      </c>
      <c r="C75" s="7" t="s">
        <v>144</v>
      </c>
      <c r="D75" s="105">
        <v>232795</v>
      </c>
      <c r="E75" s="105">
        <v>245092</v>
      </c>
      <c r="F75" s="106">
        <v>6.5787116706782806E-2</v>
      </c>
      <c r="G75" s="106">
        <v>5.3100000000000001E-2</v>
      </c>
      <c r="H75" s="106">
        <v>7.8600000000000003E-2</v>
      </c>
    </row>
    <row r="76" spans="1:8" x14ac:dyDescent="0.35">
      <c r="A76" s="7" t="s">
        <v>11</v>
      </c>
      <c r="B76" s="7" t="s">
        <v>159</v>
      </c>
      <c r="C76" s="7" t="s">
        <v>146</v>
      </c>
      <c r="D76" s="105">
        <v>165286</v>
      </c>
      <c r="E76" s="105">
        <v>178558</v>
      </c>
      <c r="F76" s="106">
        <v>8.3612324005847005E-2</v>
      </c>
      <c r="G76" s="106">
        <v>6.7299999999999999E-2</v>
      </c>
      <c r="H76" s="106">
        <v>0.1002</v>
      </c>
    </row>
    <row r="77" spans="1:8" x14ac:dyDescent="0.35">
      <c r="A77" s="7" t="s">
        <v>11</v>
      </c>
      <c r="B77" s="7" t="s">
        <v>159</v>
      </c>
      <c r="C77" s="7" t="s">
        <v>143</v>
      </c>
      <c r="D77" s="105">
        <v>150166</v>
      </c>
      <c r="E77" s="105">
        <v>156315</v>
      </c>
      <c r="F77" s="106">
        <v>6.7681678301986903E-2</v>
      </c>
      <c r="G77" s="106">
        <v>5.0200000000000002E-2</v>
      </c>
      <c r="H77" s="106">
        <v>8.5500000000000007E-2</v>
      </c>
    </row>
    <row r="78" spans="1:8" x14ac:dyDescent="0.35">
      <c r="A78" s="7" t="s">
        <v>11</v>
      </c>
      <c r="B78" s="7" t="s">
        <v>159</v>
      </c>
      <c r="C78" s="7" t="s">
        <v>278</v>
      </c>
      <c r="D78" s="105">
        <v>147455</v>
      </c>
      <c r="E78" s="105">
        <v>152535</v>
      </c>
      <c r="F78" s="106">
        <v>8.2883367615512696E-2</v>
      </c>
      <c r="G78" s="106">
        <v>6.6199999999999995E-2</v>
      </c>
      <c r="H78" s="106">
        <v>9.98E-2</v>
      </c>
    </row>
    <row r="79" spans="1:8" x14ac:dyDescent="0.35">
      <c r="A79" s="7" t="s">
        <v>11</v>
      </c>
      <c r="B79" s="7" t="s">
        <v>159</v>
      </c>
      <c r="C79" s="7" t="s">
        <v>277</v>
      </c>
      <c r="D79" s="105">
        <v>140759</v>
      </c>
      <c r="E79" s="105">
        <v>149373</v>
      </c>
      <c r="F79" s="106">
        <v>0.10846233895808099</v>
      </c>
      <c r="G79" s="106">
        <v>9.1800000000000007E-2</v>
      </c>
      <c r="H79" s="106">
        <v>0.12540000000000001</v>
      </c>
    </row>
    <row r="80" spans="1:8" x14ac:dyDescent="0.35">
      <c r="A80" s="7" t="s">
        <v>11</v>
      </c>
      <c r="B80" s="7" t="s">
        <v>159</v>
      </c>
      <c r="C80" s="7" t="s">
        <v>145</v>
      </c>
      <c r="D80" s="105">
        <v>120653</v>
      </c>
      <c r="E80" s="105">
        <v>126486</v>
      </c>
      <c r="F80" s="106">
        <v>6.1264838188918001E-2</v>
      </c>
      <c r="G80" s="106">
        <v>4.1200000000000001E-2</v>
      </c>
      <c r="H80" s="106">
        <v>8.1699999999999995E-2</v>
      </c>
    </row>
    <row r="81" spans="1:8" x14ac:dyDescent="0.35">
      <c r="A81" s="7" t="s">
        <v>11</v>
      </c>
      <c r="B81" s="7" t="s">
        <v>159</v>
      </c>
      <c r="C81" s="7" t="s">
        <v>147</v>
      </c>
      <c r="D81" s="105">
        <v>91243</v>
      </c>
      <c r="E81" s="105">
        <v>107063</v>
      </c>
      <c r="F81" s="106">
        <v>8.16484862514677E-2</v>
      </c>
      <c r="G81" s="106">
        <v>5.8700000000000002E-2</v>
      </c>
      <c r="H81" s="106">
        <v>0.1051</v>
      </c>
    </row>
    <row r="82" spans="1:8" x14ac:dyDescent="0.35">
      <c r="A82" s="7" t="s">
        <v>11</v>
      </c>
      <c r="B82" s="7" t="s">
        <v>159</v>
      </c>
      <c r="C82" s="7" t="s">
        <v>156</v>
      </c>
      <c r="D82" s="105">
        <v>97928</v>
      </c>
      <c r="E82" s="105">
        <v>99678</v>
      </c>
      <c r="F82" s="106">
        <v>0.124773659638776</v>
      </c>
      <c r="G82" s="106">
        <v>0.10150000000000001</v>
      </c>
      <c r="H82" s="106">
        <v>0.14860000000000001</v>
      </c>
    </row>
    <row r="83" spans="1:8" x14ac:dyDescent="0.35">
      <c r="A83" s="7" t="s">
        <v>11</v>
      </c>
      <c r="B83" s="7" t="s">
        <v>159</v>
      </c>
      <c r="C83" s="7" t="s">
        <v>150</v>
      </c>
      <c r="D83" s="105">
        <v>64573</v>
      </c>
      <c r="E83" s="105">
        <v>83295</v>
      </c>
      <c r="F83" s="106">
        <v>0.188869349296308</v>
      </c>
      <c r="G83" s="106">
        <v>0.1583</v>
      </c>
      <c r="H83" s="106">
        <v>0.22040000000000001</v>
      </c>
    </row>
    <row r="84" spans="1:8" x14ac:dyDescent="0.35">
      <c r="A84" s="7" t="s">
        <v>11</v>
      </c>
      <c r="B84" s="7" t="s">
        <v>159</v>
      </c>
      <c r="C84" s="7" t="s">
        <v>149</v>
      </c>
      <c r="D84" s="105">
        <v>68408</v>
      </c>
      <c r="E84" s="105">
        <v>70672</v>
      </c>
      <c r="F84" s="106">
        <v>-2.7578880103078301E-3</v>
      </c>
      <c r="G84" s="106">
        <v>-2.9499999999999998E-2</v>
      </c>
      <c r="H84" s="106">
        <v>2.4899999999999999E-2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1D0E-6A4B-43AB-9EE9-CAC2DEBFDA42}">
  <sheetPr>
    <tabColor theme="6"/>
  </sheetPr>
  <dimension ref="A1:C84"/>
  <sheetViews>
    <sheetView workbookViewId="0">
      <selection activeCell="A2" sqref="A2"/>
    </sheetView>
  </sheetViews>
  <sheetFormatPr defaultRowHeight="14.5" x14ac:dyDescent="0.35"/>
  <cols>
    <col min="1" max="1" width="20.54296875" customWidth="1"/>
    <col min="2" max="2" width="39.453125" bestFit="1" customWidth="1"/>
    <col min="3" max="3" width="83" bestFit="1" customWidth="1"/>
  </cols>
  <sheetData>
    <row r="1" spans="1:3" ht="18.5" x14ac:dyDescent="0.45">
      <c r="A1" s="28" t="s">
        <v>111</v>
      </c>
    </row>
    <row r="2" spans="1:3" ht="15.5" x14ac:dyDescent="0.35">
      <c r="A2" s="98" t="s">
        <v>360</v>
      </c>
    </row>
    <row r="4" spans="1:3" x14ac:dyDescent="0.35">
      <c r="A4" s="48" t="s">
        <v>292</v>
      </c>
      <c r="B4" s="48" t="s">
        <v>293</v>
      </c>
      <c r="C4" s="48" t="s">
        <v>294</v>
      </c>
    </row>
    <row r="5" spans="1:3" x14ac:dyDescent="0.35">
      <c r="A5" s="7" t="s">
        <v>295</v>
      </c>
      <c r="B5" s="7" t="s">
        <v>274</v>
      </c>
      <c r="C5" s="7" t="s">
        <v>274</v>
      </c>
    </row>
    <row r="6" spans="1:3" x14ac:dyDescent="0.35">
      <c r="A6" s="7" t="s">
        <v>295</v>
      </c>
      <c r="B6" s="7" t="s">
        <v>80</v>
      </c>
      <c r="C6" s="7" t="s">
        <v>80</v>
      </c>
    </row>
    <row r="7" spans="1:3" x14ac:dyDescent="0.35">
      <c r="A7" s="7" t="s">
        <v>295</v>
      </c>
      <c r="B7" s="7" t="s">
        <v>262</v>
      </c>
      <c r="C7" s="7" t="s">
        <v>296</v>
      </c>
    </row>
    <row r="8" spans="1:3" x14ac:dyDescent="0.35">
      <c r="A8" s="7" t="s">
        <v>295</v>
      </c>
      <c r="B8" s="7" t="s">
        <v>275</v>
      </c>
      <c r="C8" s="7" t="s">
        <v>297</v>
      </c>
    </row>
    <row r="9" spans="1:3" x14ac:dyDescent="0.35">
      <c r="A9" s="7" t="s">
        <v>295</v>
      </c>
      <c r="B9" s="7" t="s">
        <v>16</v>
      </c>
      <c r="C9" s="7" t="s">
        <v>298</v>
      </c>
    </row>
    <row r="10" spans="1:3" x14ac:dyDescent="0.35">
      <c r="A10" s="7" t="s">
        <v>295</v>
      </c>
      <c r="B10" s="7" t="s">
        <v>299</v>
      </c>
      <c r="C10" s="7" t="s">
        <v>300</v>
      </c>
    </row>
    <row r="11" spans="1:3" x14ac:dyDescent="0.35">
      <c r="A11" s="7" t="s">
        <v>295</v>
      </c>
      <c r="B11" s="7" t="s">
        <v>301</v>
      </c>
      <c r="C11" s="7" t="s">
        <v>302</v>
      </c>
    </row>
    <row r="12" spans="1:3" x14ac:dyDescent="0.35">
      <c r="A12" s="7" t="s">
        <v>295</v>
      </c>
      <c r="B12" s="7" t="s">
        <v>261</v>
      </c>
      <c r="C12" s="7" t="s">
        <v>303</v>
      </c>
    </row>
    <row r="13" spans="1:3" x14ac:dyDescent="0.35">
      <c r="A13" s="7" t="s">
        <v>295</v>
      </c>
      <c r="B13" s="7" t="s">
        <v>250</v>
      </c>
      <c r="C13" s="7" t="s">
        <v>304</v>
      </c>
    </row>
    <row r="14" spans="1:3" x14ac:dyDescent="0.35">
      <c r="A14" s="7" t="s">
        <v>295</v>
      </c>
      <c r="B14" s="7" t="s">
        <v>263</v>
      </c>
      <c r="C14" s="7" t="s">
        <v>305</v>
      </c>
    </row>
    <row r="15" spans="1:3" x14ac:dyDescent="0.35">
      <c r="A15" s="7" t="s">
        <v>295</v>
      </c>
      <c r="B15" s="7" t="s">
        <v>306</v>
      </c>
      <c r="C15" s="7" t="s">
        <v>307</v>
      </c>
    </row>
    <row r="16" spans="1:3" x14ac:dyDescent="0.35">
      <c r="A16" s="7" t="s">
        <v>295</v>
      </c>
      <c r="B16" s="7" t="s">
        <v>308</v>
      </c>
      <c r="C16" s="7" t="s">
        <v>309</v>
      </c>
    </row>
    <row r="17" spans="1:3" x14ac:dyDescent="0.35">
      <c r="A17" s="7" t="s">
        <v>295</v>
      </c>
      <c r="B17" s="7" t="s">
        <v>251</v>
      </c>
      <c r="C17" s="7" t="s">
        <v>310</v>
      </c>
    </row>
    <row r="18" spans="1:3" x14ac:dyDescent="0.35">
      <c r="A18" s="7" t="s">
        <v>295</v>
      </c>
      <c r="B18" s="7" t="s">
        <v>265</v>
      </c>
      <c r="C18" s="7" t="s">
        <v>311</v>
      </c>
    </row>
    <row r="19" spans="1:3" x14ac:dyDescent="0.35">
      <c r="A19" s="7" t="s">
        <v>295</v>
      </c>
      <c r="B19" s="7" t="s">
        <v>252</v>
      </c>
      <c r="C19" s="7" t="s">
        <v>312</v>
      </c>
    </row>
    <row r="20" spans="1:3" x14ac:dyDescent="0.35">
      <c r="A20" s="7" t="s">
        <v>295</v>
      </c>
      <c r="B20" s="7" t="s">
        <v>313</v>
      </c>
      <c r="C20" s="7" t="s">
        <v>314</v>
      </c>
    </row>
    <row r="21" spans="1:3" x14ac:dyDescent="0.35">
      <c r="A21" s="7" t="s">
        <v>295</v>
      </c>
      <c r="B21" s="7" t="s">
        <v>315</v>
      </c>
      <c r="C21" s="7" t="s">
        <v>316</v>
      </c>
    </row>
    <row r="22" spans="1:3" x14ac:dyDescent="0.35">
      <c r="A22" s="7" t="s">
        <v>295</v>
      </c>
      <c r="B22" s="7" t="s">
        <v>317</v>
      </c>
      <c r="C22" s="126" t="s">
        <v>318</v>
      </c>
    </row>
    <row r="23" spans="1:3" x14ac:dyDescent="0.35">
      <c r="A23" s="7" t="s">
        <v>295</v>
      </c>
      <c r="B23" s="7" t="s">
        <v>319</v>
      </c>
      <c r="C23" s="126" t="s">
        <v>320</v>
      </c>
    </row>
    <row r="24" spans="1:3" x14ac:dyDescent="0.35">
      <c r="A24" s="7" t="s">
        <v>295</v>
      </c>
      <c r="B24" s="7" t="s">
        <v>260</v>
      </c>
      <c r="C24" s="7" t="s">
        <v>321</v>
      </c>
    </row>
    <row r="25" spans="1:3" x14ac:dyDescent="0.35">
      <c r="A25" s="7" t="s">
        <v>295</v>
      </c>
      <c r="B25" s="7" t="s">
        <v>254</v>
      </c>
      <c r="C25" s="7" t="s">
        <v>322</v>
      </c>
    </row>
    <row r="26" spans="1:3" x14ac:dyDescent="0.35">
      <c r="A26" s="7" t="s">
        <v>295</v>
      </c>
      <c r="B26" s="7" t="s">
        <v>253</v>
      </c>
      <c r="C26" s="7" t="s">
        <v>323</v>
      </c>
    </row>
    <row r="27" spans="1:3" x14ac:dyDescent="0.35">
      <c r="A27" s="7" t="s">
        <v>295</v>
      </c>
      <c r="B27" s="7" t="s">
        <v>259</v>
      </c>
      <c r="C27" s="7" t="s">
        <v>259</v>
      </c>
    </row>
    <row r="28" spans="1:3" x14ac:dyDescent="0.35">
      <c r="A28" s="7" t="s">
        <v>295</v>
      </c>
      <c r="B28" s="7" t="s">
        <v>255</v>
      </c>
      <c r="C28" s="7" t="s">
        <v>324</v>
      </c>
    </row>
    <row r="29" spans="1:3" x14ac:dyDescent="0.35">
      <c r="A29" s="7" t="s">
        <v>295</v>
      </c>
      <c r="B29" s="7" t="s">
        <v>271</v>
      </c>
      <c r="C29" s="7" t="s">
        <v>325</v>
      </c>
    </row>
    <row r="30" spans="1:3" x14ac:dyDescent="0.35">
      <c r="A30" s="7" t="s">
        <v>295</v>
      </c>
      <c r="B30" s="7" t="s">
        <v>257</v>
      </c>
      <c r="C30" s="7" t="s">
        <v>326</v>
      </c>
    </row>
    <row r="31" spans="1:3" x14ac:dyDescent="0.35">
      <c r="A31" s="7" t="s">
        <v>295</v>
      </c>
      <c r="B31" s="7" t="s">
        <v>258</v>
      </c>
      <c r="C31" s="7" t="s">
        <v>327</v>
      </c>
    </row>
    <row r="32" spans="1:3" x14ac:dyDescent="0.35">
      <c r="A32" s="7" t="s">
        <v>295</v>
      </c>
      <c r="B32" s="7" t="s">
        <v>272</v>
      </c>
      <c r="C32" s="7" t="s">
        <v>328</v>
      </c>
    </row>
    <row r="33" spans="1:3" x14ac:dyDescent="0.35">
      <c r="A33" s="7" t="s">
        <v>295</v>
      </c>
      <c r="B33" s="7" t="s">
        <v>138</v>
      </c>
      <c r="C33" s="7" t="s">
        <v>138</v>
      </c>
    </row>
    <row r="34" spans="1:3" x14ac:dyDescent="0.35">
      <c r="A34" s="7" t="s">
        <v>329</v>
      </c>
      <c r="B34" s="127" t="s">
        <v>167</v>
      </c>
      <c r="C34" s="7" t="s">
        <v>330</v>
      </c>
    </row>
    <row r="35" spans="1:3" x14ac:dyDescent="0.35">
      <c r="A35" s="7" t="s">
        <v>329</v>
      </c>
      <c r="B35" s="127" t="s">
        <v>279</v>
      </c>
      <c r="C35" s="7" t="s">
        <v>331</v>
      </c>
    </row>
    <row r="36" spans="1:3" x14ac:dyDescent="0.35">
      <c r="A36" s="7" t="s">
        <v>329</v>
      </c>
      <c r="B36" s="7" t="s">
        <v>179</v>
      </c>
      <c r="C36" s="7" t="s">
        <v>179</v>
      </c>
    </row>
    <row r="37" spans="1:3" x14ac:dyDescent="0.35">
      <c r="A37" s="7" t="s">
        <v>329</v>
      </c>
      <c r="B37" s="7" t="s">
        <v>291</v>
      </c>
      <c r="C37" s="7" t="s">
        <v>332</v>
      </c>
    </row>
    <row r="38" spans="1:3" x14ac:dyDescent="0.35">
      <c r="A38" s="7" t="s">
        <v>329</v>
      </c>
      <c r="B38" s="127" t="s">
        <v>171</v>
      </c>
      <c r="C38" s="7" t="s">
        <v>171</v>
      </c>
    </row>
    <row r="39" spans="1:3" x14ac:dyDescent="0.35">
      <c r="A39" s="7" t="s">
        <v>329</v>
      </c>
      <c r="B39" s="7" t="s">
        <v>285</v>
      </c>
      <c r="C39" s="7" t="s">
        <v>333</v>
      </c>
    </row>
    <row r="40" spans="1:3" x14ac:dyDescent="0.35">
      <c r="A40" s="7" t="s">
        <v>329</v>
      </c>
      <c r="B40" s="7" t="s">
        <v>334</v>
      </c>
      <c r="C40" s="7" t="s">
        <v>180</v>
      </c>
    </row>
    <row r="41" spans="1:3" x14ac:dyDescent="0.35">
      <c r="A41" s="7" t="s">
        <v>329</v>
      </c>
      <c r="B41" s="127" t="s">
        <v>165</v>
      </c>
      <c r="C41" s="7" t="s">
        <v>165</v>
      </c>
    </row>
    <row r="42" spans="1:3" x14ac:dyDescent="0.35">
      <c r="A42" s="7" t="s">
        <v>329</v>
      </c>
      <c r="B42" s="127" t="s">
        <v>166</v>
      </c>
      <c r="C42" s="7" t="s">
        <v>166</v>
      </c>
    </row>
    <row r="43" spans="1:3" x14ac:dyDescent="0.35">
      <c r="A43" s="7" t="s">
        <v>329</v>
      </c>
      <c r="B43" s="7" t="s">
        <v>282</v>
      </c>
      <c r="C43" s="7" t="s">
        <v>335</v>
      </c>
    </row>
    <row r="44" spans="1:3" x14ac:dyDescent="0.35">
      <c r="A44" s="7" t="s">
        <v>329</v>
      </c>
      <c r="B44" s="127" t="s">
        <v>283</v>
      </c>
      <c r="C44" s="7" t="s">
        <v>336</v>
      </c>
    </row>
    <row r="45" spans="1:3" x14ac:dyDescent="0.35">
      <c r="A45" s="7" t="s">
        <v>329</v>
      </c>
      <c r="B45" s="127" t="s">
        <v>168</v>
      </c>
      <c r="C45" s="7" t="s">
        <v>168</v>
      </c>
    </row>
    <row r="46" spans="1:3" x14ac:dyDescent="0.35">
      <c r="A46" s="7" t="s">
        <v>329</v>
      </c>
      <c r="B46" s="7" t="s">
        <v>286</v>
      </c>
      <c r="C46" s="7" t="s">
        <v>337</v>
      </c>
    </row>
    <row r="47" spans="1:3" x14ac:dyDescent="0.35">
      <c r="A47" s="7" t="s">
        <v>329</v>
      </c>
      <c r="B47" s="7" t="s">
        <v>251</v>
      </c>
      <c r="C47" s="7" t="s">
        <v>338</v>
      </c>
    </row>
    <row r="48" spans="1:3" x14ac:dyDescent="0.35">
      <c r="A48" s="7" t="s">
        <v>329</v>
      </c>
      <c r="B48" s="7" t="s">
        <v>339</v>
      </c>
      <c r="C48" s="7" t="s">
        <v>340</v>
      </c>
    </row>
    <row r="49" spans="1:3" x14ac:dyDescent="0.35">
      <c r="A49" s="7" t="s">
        <v>329</v>
      </c>
      <c r="B49" s="42" t="s">
        <v>290</v>
      </c>
      <c r="C49" s="7" t="s">
        <v>290</v>
      </c>
    </row>
    <row r="50" spans="1:3" x14ac:dyDescent="0.35">
      <c r="A50" s="7" t="s">
        <v>329</v>
      </c>
      <c r="B50" s="7" t="s">
        <v>144</v>
      </c>
      <c r="C50" s="7" t="s">
        <v>341</v>
      </c>
    </row>
    <row r="51" spans="1:3" x14ac:dyDescent="0.35">
      <c r="A51" s="7" t="s">
        <v>329</v>
      </c>
      <c r="B51" s="7" t="s">
        <v>158</v>
      </c>
      <c r="C51" s="7" t="s">
        <v>158</v>
      </c>
    </row>
    <row r="52" spans="1:3" x14ac:dyDescent="0.35">
      <c r="A52" s="7" t="s">
        <v>329</v>
      </c>
      <c r="B52" s="7" t="s">
        <v>342</v>
      </c>
      <c r="C52" s="7" t="s">
        <v>343</v>
      </c>
    </row>
    <row r="53" spans="1:3" x14ac:dyDescent="0.35">
      <c r="A53" s="7" t="s">
        <v>329</v>
      </c>
      <c r="B53" s="7" t="s">
        <v>288</v>
      </c>
      <c r="C53" s="7" t="s">
        <v>344</v>
      </c>
    </row>
    <row r="54" spans="1:3" x14ac:dyDescent="0.35">
      <c r="A54" s="7" t="s">
        <v>329</v>
      </c>
      <c r="B54" s="7" t="s">
        <v>175</v>
      </c>
      <c r="C54" s="7" t="s">
        <v>175</v>
      </c>
    </row>
    <row r="55" spans="1:3" x14ac:dyDescent="0.35">
      <c r="A55" s="7" t="s">
        <v>329</v>
      </c>
      <c r="B55" s="7" t="s">
        <v>157</v>
      </c>
      <c r="C55" s="7" t="s">
        <v>345</v>
      </c>
    </row>
    <row r="56" spans="1:3" x14ac:dyDescent="0.35">
      <c r="A56" s="7" t="s">
        <v>329</v>
      </c>
      <c r="B56" s="127" t="s">
        <v>170</v>
      </c>
      <c r="C56" s="7" t="s">
        <v>170</v>
      </c>
    </row>
    <row r="57" spans="1:3" x14ac:dyDescent="0.35">
      <c r="A57" s="7" t="s">
        <v>329</v>
      </c>
      <c r="B57" s="7" t="s">
        <v>177</v>
      </c>
      <c r="C57" s="7" t="s">
        <v>177</v>
      </c>
    </row>
    <row r="58" spans="1:3" x14ac:dyDescent="0.35">
      <c r="A58" s="7" t="s">
        <v>329</v>
      </c>
      <c r="B58" s="127" t="s">
        <v>162</v>
      </c>
      <c r="C58" s="7" t="s">
        <v>162</v>
      </c>
    </row>
    <row r="59" spans="1:3" x14ac:dyDescent="0.35">
      <c r="A59" s="7" t="s">
        <v>329</v>
      </c>
      <c r="B59" s="7" t="s">
        <v>154</v>
      </c>
      <c r="C59" s="7" t="s">
        <v>346</v>
      </c>
    </row>
    <row r="60" spans="1:3" x14ac:dyDescent="0.35">
      <c r="A60" s="7" t="s">
        <v>329</v>
      </c>
      <c r="B60" s="7" t="s">
        <v>278</v>
      </c>
      <c r="C60" s="7" t="s">
        <v>347</v>
      </c>
    </row>
    <row r="61" spans="1:3" x14ac:dyDescent="0.35">
      <c r="A61" s="7" t="s">
        <v>329</v>
      </c>
      <c r="B61" s="7" t="s">
        <v>182</v>
      </c>
      <c r="C61" s="7" t="s">
        <v>182</v>
      </c>
    </row>
    <row r="62" spans="1:3" x14ac:dyDescent="0.35">
      <c r="A62" s="7" t="s">
        <v>329</v>
      </c>
      <c r="B62" s="127" t="s">
        <v>161</v>
      </c>
      <c r="C62" s="7" t="s">
        <v>348</v>
      </c>
    </row>
    <row r="63" spans="1:3" x14ac:dyDescent="0.35">
      <c r="A63" s="7" t="s">
        <v>329</v>
      </c>
      <c r="B63" s="7" t="s">
        <v>143</v>
      </c>
      <c r="C63" s="7" t="s">
        <v>143</v>
      </c>
    </row>
    <row r="64" spans="1:3" x14ac:dyDescent="0.35">
      <c r="A64" s="7" t="s">
        <v>329</v>
      </c>
      <c r="B64" s="7" t="s">
        <v>146</v>
      </c>
      <c r="C64" s="7" t="s">
        <v>349</v>
      </c>
    </row>
    <row r="65" spans="1:3" x14ac:dyDescent="0.35">
      <c r="A65" s="7" t="s">
        <v>329</v>
      </c>
      <c r="B65" s="7" t="s">
        <v>145</v>
      </c>
      <c r="C65" s="7" t="s">
        <v>145</v>
      </c>
    </row>
    <row r="66" spans="1:3" x14ac:dyDescent="0.35">
      <c r="A66" s="7" t="s">
        <v>329</v>
      </c>
      <c r="B66" s="7" t="s">
        <v>253</v>
      </c>
      <c r="C66" s="7" t="s">
        <v>350</v>
      </c>
    </row>
    <row r="67" spans="1:3" x14ac:dyDescent="0.35">
      <c r="A67" s="7" t="s">
        <v>329</v>
      </c>
      <c r="B67" s="127" t="s">
        <v>169</v>
      </c>
      <c r="C67" s="7" t="s">
        <v>169</v>
      </c>
    </row>
    <row r="68" spans="1:3" x14ac:dyDescent="0.35">
      <c r="A68" s="7" t="s">
        <v>329</v>
      </c>
      <c r="B68" s="7" t="s">
        <v>176</v>
      </c>
      <c r="C68" s="7" t="s">
        <v>176</v>
      </c>
    </row>
    <row r="69" spans="1:3" x14ac:dyDescent="0.35">
      <c r="A69" s="7" t="s">
        <v>329</v>
      </c>
      <c r="B69" s="7" t="s">
        <v>147</v>
      </c>
      <c r="C69" s="7" t="s">
        <v>147</v>
      </c>
    </row>
    <row r="70" spans="1:3" x14ac:dyDescent="0.35">
      <c r="A70" s="7" t="s">
        <v>329</v>
      </c>
      <c r="B70" s="7" t="s">
        <v>150</v>
      </c>
      <c r="C70" s="7" t="s">
        <v>351</v>
      </c>
    </row>
    <row r="71" spans="1:3" x14ac:dyDescent="0.35">
      <c r="A71" s="7" t="s">
        <v>329</v>
      </c>
      <c r="B71" s="7" t="s">
        <v>281</v>
      </c>
      <c r="C71" s="7" t="s">
        <v>352</v>
      </c>
    </row>
    <row r="72" spans="1:3" x14ac:dyDescent="0.35">
      <c r="A72" s="7" t="s">
        <v>329</v>
      </c>
      <c r="B72" s="7" t="s">
        <v>277</v>
      </c>
      <c r="C72" s="7" t="s">
        <v>353</v>
      </c>
    </row>
    <row r="73" spans="1:3" x14ac:dyDescent="0.35">
      <c r="A73" s="7" t="s">
        <v>329</v>
      </c>
      <c r="B73" s="7" t="s">
        <v>287</v>
      </c>
      <c r="C73" s="7" t="s">
        <v>354</v>
      </c>
    </row>
    <row r="74" spans="1:3" x14ac:dyDescent="0.35">
      <c r="A74" s="7" t="s">
        <v>329</v>
      </c>
      <c r="B74" s="7" t="s">
        <v>355</v>
      </c>
      <c r="C74" s="7" t="s">
        <v>178</v>
      </c>
    </row>
    <row r="75" spans="1:3" x14ac:dyDescent="0.35">
      <c r="A75" s="7" t="s">
        <v>329</v>
      </c>
      <c r="B75" s="127" t="s">
        <v>163</v>
      </c>
      <c r="C75" s="7" t="s">
        <v>163</v>
      </c>
    </row>
    <row r="76" spans="1:3" x14ac:dyDescent="0.35">
      <c r="A76" s="7" t="s">
        <v>329</v>
      </c>
      <c r="B76" s="7" t="s">
        <v>280</v>
      </c>
      <c r="C76" s="7" t="s">
        <v>280</v>
      </c>
    </row>
    <row r="77" spans="1:3" x14ac:dyDescent="0.35">
      <c r="A77" s="7" t="s">
        <v>329</v>
      </c>
      <c r="B77" s="7" t="s">
        <v>152</v>
      </c>
      <c r="C77" s="7" t="s">
        <v>356</v>
      </c>
    </row>
    <row r="78" spans="1:3" x14ac:dyDescent="0.35">
      <c r="A78" s="7" t="s">
        <v>329</v>
      </c>
      <c r="B78" s="7" t="s">
        <v>160</v>
      </c>
      <c r="C78" s="7" t="s">
        <v>160</v>
      </c>
    </row>
    <row r="79" spans="1:3" x14ac:dyDescent="0.35">
      <c r="A79" s="7" t="s">
        <v>329</v>
      </c>
      <c r="B79" s="7" t="s">
        <v>149</v>
      </c>
      <c r="C79" s="7" t="s">
        <v>149</v>
      </c>
    </row>
    <row r="80" spans="1:3" x14ac:dyDescent="0.35">
      <c r="A80" s="7" t="s">
        <v>329</v>
      </c>
      <c r="B80" s="7" t="s">
        <v>156</v>
      </c>
      <c r="C80" s="7" t="s">
        <v>156</v>
      </c>
    </row>
    <row r="81" spans="1:3" x14ac:dyDescent="0.35">
      <c r="A81" s="7" t="s">
        <v>329</v>
      </c>
      <c r="B81" s="7" t="s">
        <v>181</v>
      </c>
      <c r="C81" s="7" t="s">
        <v>181</v>
      </c>
    </row>
    <row r="82" spans="1:3" x14ac:dyDescent="0.35">
      <c r="A82" s="7" t="s">
        <v>329</v>
      </c>
      <c r="B82" s="7" t="s">
        <v>289</v>
      </c>
      <c r="C82" s="7" t="s">
        <v>357</v>
      </c>
    </row>
    <row r="83" spans="1:3" x14ac:dyDescent="0.35">
      <c r="A83" s="7" t="s">
        <v>329</v>
      </c>
      <c r="B83" s="127" t="s">
        <v>164</v>
      </c>
      <c r="C83" s="7" t="s">
        <v>358</v>
      </c>
    </row>
    <row r="84" spans="1:3" x14ac:dyDescent="0.35">
      <c r="A84" s="7" t="s">
        <v>329</v>
      </c>
      <c r="B84" s="7" t="s">
        <v>172</v>
      </c>
      <c r="C84" s="7" t="s">
        <v>172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H46"/>
  <sheetViews>
    <sheetView zoomScaleNormal="100" workbookViewId="0">
      <selection activeCell="B34" sqref="B34"/>
    </sheetView>
  </sheetViews>
  <sheetFormatPr defaultRowHeight="14.5" x14ac:dyDescent="0.35"/>
  <cols>
    <col min="1" max="1" width="40.81640625" bestFit="1" customWidth="1"/>
    <col min="2" max="2" width="19.7265625" customWidth="1"/>
    <col min="3" max="3" width="20" bestFit="1" customWidth="1"/>
    <col min="4" max="4" width="16.453125" customWidth="1"/>
    <col min="5" max="5" width="37.54296875" style="20" customWidth="1"/>
    <col min="7" max="7" width="13.81640625" bestFit="1" customWidth="1"/>
  </cols>
  <sheetData>
    <row r="1" spans="1:8" ht="18.5" x14ac:dyDescent="0.45">
      <c r="A1" s="2" t="s">
        <v>111</v>
      </c>
      <c r="B1" s="2"/>
      <c r="C1" s="2"/>
      <c r="D1" s="2"/>
    </row>
    <row r="2" spans="1:8" ht="15.5" x14ac:dyDescent="0.35">
      <c r="A2" s="125" t="s">
        <v>235</v>
      </c>
      <c r="B2" s="4"/>
      <c r="C2" s="4"/>
      <c r="D2" s="4"/>
    </row>
    <row r="3" spans="1:8" ht="15.5" x14ac:dyDescent="0.35">
      <c r="A3" s="5"/>
      <c r="B3" s="6"/>
      <c r="C3" s="6"/>
      <c r="D3" s="6"/>
    </row>
    <row r="5" spans="1:8" x14ac:dyDescent="0.35">
      <c r="A5" s="128" t="s">
        <v>0</v>
      </c>
      <c r="B5" s="128" t="s">
        <v>1</v>
      </c>
      <c r="C5" s="128"/>
      <c r="D5" s="76" t="s">
        <v>2</v>
      </c>
      <c r="E5" s="131" t="s">
        <v>28</v>
      </c>
    </row>
    <row r="6" spans="1:8" x14ac:dyDescent="0.35">
      <c r="A6" s="128"/>
      <c r="B6" s="19">
        <v>2020</v>
      </c>
      <c r="C6" s="19">
        <v>2021</v>
      </c>
      <c r="D6" s="19" t="s">
        <v>112</v>
      </c>
      <c r="E6" s="132"/>
    </row>
    <row r="7" spans="1:8" x14ac:dyDescent="0.35">
      <c r="A7" s="13" t="s">
        <v>3</v>
      </c>
      <c r="B7" s="90">
        <f>THCE_Comm!C7+THCE_Comm!C8</f>
        <v>8059123486.9777632</v>
      </c>
      <c r="C7" s="90">
        <f>THCE_Comm!D7+THCE_Comm!D8</f>
        <v>8884229452.8006306</v>
      </c>
      <c r="D7" s="69">
        <f t="shared" ref="D7:D15" si="0">IFERROR((C7-B7)/B7, "")</f>
        <v>0.10238160107065053</v>
      </c>
      <c r="E7" s="13" t="s">
        <v>104</v>
      </c>
      <c r="G7" s="78"/>
      <c r="H7" s="78"/>
    </row>
    <row r="8" spans="1:8" x14ac:dyDescent="0.35">
      <c r="A8" s="70" t="s">
        <v>40</v>
      </c>
      <c r="B8" s="90">
        <f>THCE_Mcare!C7+THCE_Mcare!C8+THCE_Mcare!C9+THCE_Maid!C10</f>
        <v>10586576636.146107</v>
      </c>
      <c r="C8" s="90">
        <f>THCE_Mcare!D7+THCE_Mcare!D8+THCE_Mcare!D9+THCE_Maid!D10</f>
        <v>11393926214.161411</v>
      </c>
      <c r="D8" s="69">
        <f t="shared" si="0"/>
        <v>7.6261628830867151E-2</v>
      </c>
      <c r="E8" s="70" t="s">
        <v>102</v>
      </c>
      <c r="G8" s="78"/>
      <c r="H8" s="78"/>
    </row>
    <row r="9" spans="1:8" x14ac:dyDescent="0.35">
      <c r="A9" s="70" t="s">
        <v>41</v>
      </c>
      <c r="B9" s="90">
        <f>THCE_Maid!C7+THCE_Maid!C8+THCE_Maid!C9+THCE_Maid!C12</f>
        <v>5865705114.6303701</v>
      </c>
      <c r="C9" s="90">
        <f>THCE_Maid!D7+THCE_Maid!D8+THCE_Maid!D9+THCE_Maid!D12</f>
        <v>6566904022.3301659</v>
      </c>
      <c r="D9" s="69">
        <f t="shared" si="0"/>
        <v>0.11954213415039397</v>
      </c>
      <c r="E9" s="70" t="s">
        <v>188</v>
      </c>
      <c r="G9" s="78"/>
      <c r="H9" s="78"/>
    </row>
    <row r="10" spans="1:8" x14ac:dyDescent="0.35">
      <c r="A10" s="70" t="s">
        <v>4</v>
      </c>
      <c r="B10" s="91">
        <f>SUM(THCE_NCPHI!C7:C13)</f>
        <v>2428324000.8397593</v>
      </c>
      <c r="C10" s="91">
        <f>SUM(THCE_NCPHI!D7:D13)</f>
        <v>2069267752.9812629</v>
      </c>
      <c r="D10" s="69">
        <f t="shared" si="0"/>
        <v>-0.1478617547470305</v>
      </c>
      <c r="E10" s="70" t="s">
        <v>121</v>
      </c>
      <c r="G10" s="78"/>
      <c r="H10" s="78"/>
    </row>
    <row r="11" spans="1:8" x14ac:dyDescent="0.35">
      <c r="A11" s="13" t="s">
        <v>10</v>
      </c>
      <c r="B11" s="92">
        <f>THCE_Other!C7</f>
        <v>1644108455.4814372</v>
      </c>
      <c r="C11" s="92">
        <f>THCE_Other!D7</f>
        <v>1577274241.3569672</v>
      </c>
      <c r="D11" s="69">
        <f t="shared" si="0"/>
        <v>-4.0650733168876754E-2</v>
      </c>
      <c r="E11" s="13"/>
      <c r="G11" s="78"/>
      <c r="H11" s="78"/>
    </row>
    <row r="12" spans="1:8" x14ac:dyDescent="0.35">
      <c r="A12" s="13" t="s">
        <v>20</v>
      </c>
      <c r="B12" s="92">
        <f>THCE_Other!C8</f>
        <v>157818273.87</v>
      </c>
      <c r="C12" s="92">
        <f>THCE_Other!D8</f>
        <v>239840432.63999999</v>
      </c>
      <c r="D12" s="69">
        <f t="shared" si="0"/>
        <v>0.51972535726480118</v>
      </c>
      <c r="E12" s="13"/>
    </row>
    <row r="13" spans="1:8" s="20" customFormat="1" x14ac:dyDescent="0.35">
      <c r="A13" s="13" t="s">
        <v>52</v>
      </c>
      <c r="B13" s="92">
        <f>THCE_Other!C9</f>
        <v>242363046</v>
      </c>
      <c r="C13" s="92">
        <f>THCE_Other!D9</f>
        <v>339630521</v>
      </c>
      <c r="D13" s="69">
        <f t="shared" si="0"/>
        <v>0.40132964412404687</v>
      </c>
      <c r="E13" s="93"/>
    </row>
    <row r="14" spans="1:8" s="20" customFormat="1" x14ac:dyDescent="0.35">
      <c r="A14" s="13" t="s">
        <v>91</v>
      </c>
      <c r="B14" s="92">
        <f>THCE_Other!C10</f>
        <v>3253793</v>
      </c>
      <c r="C14" s="92">
        <f>THCE_Other!D10</f>
        <v>2284067</v>
      </c>
      <c r="D14" s="69">
        <f t="shared" si="0"/>
        <v>-0.29802940752530971</v>
      </c>
      <c r="E14" s="93"/>
    </row>
    <row r="15" spans="1:8" x14ac:dyDescent="0.35">
      <c r="A15" s="33" t="s">
        <v>14</v>
      </c>
      <c r="B15" s="49">
        <f>SUM(B7:B14)</f>
        <v>28987272806.945438</v>
      </c>
      <c r="C15" s="49">
        <f>SUM(C7:C14)</f>
        <v>31073356704.270439</v>
      </c>
      <c r="D15" s="46">
        <f t="shared" si="0"/>
        <v>7.1965510906054214E-2</v>
      </c>
      <c r="E15" s="7"/>
    </row>
    <row r="16" spans="1:8" x14ac:dyDescent="0.35">
      <c r="C16" s="20"/>
      <c r="D16" s="9"/>
    </row>
    <row r="18" spans="1:5" x14ac:dyDescent="0.35">
      <c r="A18" s="128" t="s">
        <v>0</v>
      </c>
      <c r="B18" s="128" t="s">
        <v>43</v>
      </c>
      <c r="C18" s="128"/>
      <c r="D18" s="76" t="s">
        <v>2</v>
      </c>
      <c r="E18" s="131" t="s">
        <v>28</v>
      </c>
    </row>
    <row r="19" spans="1:5" x14ac:dyDescent="0.35">
      <c r="A19" s="128"/>
      <c r="B19" s="75">
        <v>2020</v>
      </c>
      <c r="C19" s="75">
        <v>2021</v>
      </c>
      <c r="D19" s="75" t="s">
        <v>112</v>
      </c>
      <c r="E19" s="132"/>
    </row>
    <row r="20" spans="1:5" x14ac:dyDescent="0.35">
      <c r="A20" s="13" t="s">
        <v>3</v>
      </c>
      <c r="B20" s="94">
        <f>THCE_Comm!C17</f>
        <v>1441715.4166666667</v>
      </c>
      <c r="C20" s="94">
        <f>THCE_Comm!D17</f>
        <v>1418088.75</v>
      </c>
      <c r="D20" s="69">
        <f t="shared" ref="D20:D27" si="1">IFERROR((C20-B20)/B20, "")</f>
        <v>-1.6387885149548465E-2</v>
      </c>
      <c r="E20" s="93"/>
    </row>
    <row r="21" spans="1:5" x14ac:dyDescent="0.35">
      <c r="A21" s="70" t="s">
        <v>40</v>
      </c>
      <c r="B21" s="94">
        <f>THCE_Mcare!C20</f>
        <v>859460.91666666674</v>
      </c>
      <c r="C21" s="94">
        <f>THCE_Mcare!D20</f>
        <v>868271.25</v>
      </c>
      <c r="D21" s="69">
        <f t="shared" si="1"/>
        <v>1.0250999390994128E-2</v>
      </c>
      <c r="E21" s="70" t="s">
        <v>87</v>
      </c>
    </row>
    <row r="22" spans="1:5" x14ac:dyDescent="0.35">
      <c r="A22" s="70" t="s">
        <v>41</v>
      </c>
      <c r="B22" s="94">
        <f>THCE_Maid!C21</f>
        <v>967038.66666666674</v>
      </c>
      <c r="C22" s="94">
        <f>THCE_Maid!D21</f>
        <v>1105341.25</v>
      </c>
      <c r="D22" s="69">
        <f t="shared" si="1"/>
        <v>0.14301660119760801</v>
      </c>
      <c r="E22" s="70" t="s">
        <v>88</v>
      </c>
    </row>
    <row r="23" spans="1:5" x14ac:dyDescent="0.35">
      <c r="A23" s="70" t="s">
        <v>4</v>
      </c>
      <c r="B23" s="94">
        <f>SUM(THCE_NCPHI!C18:C24)</f>
        <v>2805887.583333333</v>
      </c>
      <c r="C23" s="94">
        <f>SUM(THCE_NCPHI!D18:D24)</f>
        <v>2934060.583333333</v>
      </c>
      <c r="D23" s="69">
        <f t="shared" si="1"/>
        <v>4.5680019670543352E-2</v>
      </c>
      <c r="E23" s="70" t="s">
        <v>92</v>
      </c>
    </row>
    <row r="24" spans="1:5" x14ac:dyDescent="0.35">
      <c r="A24" s="13" t="s">
        <v>10</v>
      </c>
      <c r="B24" s="94">
        <f>THCE_Other!C15</f>
        <v>103494</v>
      </c>
      <c r="C24" s="94">
        <f>THCE_Other!D15</f>
        <v>103569</v>
      </c>
      <c r="D24" s="69">
        <f t="shared" si="1"/>
        <v>7.2467969157632322E-4</v>
      </c>
      <c r="E24" s="13" t="s">
        <v>29</v>
      </c>
    </row>
    <row r="25" spans="1:5" x14ac:dyDescent="0.35">
      <c r="A25" s="13" t="s">
        <v>20</v>
      </c>
      <c r="B25" s="94">
        <f>THCE_Other!C16</f>
        <v>13791</v>
      </c>
      <c r="C25" s="94">
        <f>THCE_Other!D16</f>
        <v>12468</v>
      </c>
      <c r="D25" s="69">
        <f t="shared" si="1"/>
        <v>-9.5932129649771589E-2</v>
      </c>
      <c r="E25" s="13" t="s">
        <v>29</v>
      </c>
    </row>
    <row r="26" spans="1:5" s="20" customFormat="1" x14ac:dyDescent="0.35">
      <c r="A26" s="13" t="s">
        <v>91</v>
      </c>
      <c r="B26" s="95">
        <f>THCE_Other!C17</f>
        <v>316633</v>
      </c>
      <c r="C26" s="95">
        <f>THCE_Other!D17</f>
        <v>318886</v>
      </c>
      <c r="D26" s="69">
        <f t="shared" si="1"/>
        <v>7.1154933313962851E-3</v>
      </c>
      <c r="E26" s="70" t="s">
        <v>92</v>
      </c>
    </row>
    <row r="27" spans="1:5" x14ac:dyDescent="0.35">
      <c r="A27" s="33" t="s">
        <v>14</v>
      </c>
      <c r="B27" s="57">
        <f>SUM(B20:B22)+SUM(B24:B25)</f>
        <v>3385500</v>
      </c>
      <c r="C27" s="57">
        <f t="shared" ref="C27" si="2">SUM(C20:C22)+SUM(C24:C25)</f>
        <v>3507738.25</v>
      </c>
      <c r="D27" s="46">
        <f t="shared" si="1"/>
        <v>3.6106409688376903E-2</v>
      </c>
      <c r="E27" s="27"/>
    </row>
    <row r="30" spans="1:5" x14ac:dyDescent="0.35">
      <c r="A30" s="128" t="s">
        <v>0</v>
      </c>
      <c r="B30" s="129" t="s">
        <v>82</v>
      </c>
      <c r="C30" s="130"/>
      <c r="D30" s="76" t="s">
        <v>2</v>
      </c>
      <c r="E30" s="131" t="s">
        <v>28</v>
      </c>
    </row>
    <row r="31" spans="1:5" x14ac:dyDescent="0.35">
      <c r="A31" s="128"/>
      <c r="B31" s="75">
        <v>2020</v>
      </c>
      <c r="C31" s="75">
        <v>2021</v>
      </c>
      <c r="D31" s="75" t="s">
        <v>112</v>
      </c>
      <c r="E31" s="132"/>
    </row>
    <row r="32" spans="1:5" x14ac:dyDescent="0.35">
      <c r="A32" s="7" t="s">
        <v>3</v>
      </c>
      <c r="B32" s="56">
        <f t="shared" ref="B32:C37" si="3">IFERROR(B7/B20, "")</f>
        <v>5589.9544347045576</v>
      </c>
      <c r="C32" s="56">
        <f t="shared" si="3"/>
        <v>6264.931904156655</v>
      </c>
      <c r="D32" s="8">
        <f t="shared" ref="D32:D40" si="4">IFERROR((C32-B32)/B32, "")</f>
        <v>0.12074829541750488</v>
      </c>
      <c r="E32" s="27"/>
    </row>
    <row r="33" spans="1:5" x14ac:dyDescent="0.35">
      <c r="A33" s="42" t="s">
        <v>40</v>
      </c>
      <c r="B33" s="56">
        <f t="shared" si="3"/>
        <v>12317.694069446561</v>
      </c>
      <c r="C33" s="56">
        <f t="shared" si="3"/>
        <v>13122.542309400906</v>
      </c>
      <c r="D33" s="8">
        <f t="shared" si="4"/>
        <v>6.5340820726399698E-2</v>
      </c>
      <c r="E33" s="7"/>
    </row>
    <row r="34" spans="1:5" x14ac:dyDescent="0.35">
      <c r="A34" s="42" t="s">
        <v>41</v>
      </c>
      <c r="B34" s="56">
        <f t="shared" si="3"/>
        <v>6065.6365839529026</v>
      </c>
      <c r="C34" s="56">
        <f t="shared" si="3"/>
        <v>5941.0648271112341</v>
      </c>
      <c r="D34" s="8">
        <f t="shared" si="4"/>
        <v>-2.0537293178960383E-2</v>
      </c>
      <c r="E34" s="7"/>
    </row>
    <row r="35" spans="1:5" x14ac:dyDescent="0.35">
      <c r="A35" s="70" t="s">
        <v>4</v>
      </c>
      <c r="B35" s="96">
        <f t="shared" si="3"/>
        <v>865.43880633840774</v>
      </c>
      <c r="C35" s="96">
        <f t="shared" si="3"/>
        <v>705.25733678968732</v>
      </c>
      <c r="D35" s="69">
        <f t="shared" si="4"/>
        <v>-0.18508699676460494</v>
      </c>
      <c r="E35" s="13"/>
    </row>
    <row r="36" spans="1:5" x14ac:dyDescent="0.35">
      <c r="A36" s="7" t="s">
        <v>10</v>
      </c>
      <c r="B36" s="56">
        <f t="shared" si="3"/>
        <v>15886.026779150841</v>
      </c>
      <c r="C36" s="56">
        <f t="shared" si="3"/>
        <v>15229.21184289669</v>
      </c>
      <c r="D36" s="8">
        <f t="shared" si="4"/>
        <v>-4.1345450652026446E-2</v>
      </c>
      <c r="E36" s="7"/>
    </row>
    <row r="37" spans="1:5" x14ac:dyDescent="0.35">
      <c r="A37" s="7" t="s">
        <v>20</v>
      </c>
      <c r="B37" s="56">
        <f t="shared" si="3"/>
        <v>11443.57</v>
      </c>
      <c r="C37" s="56">
        <f t="shared" si="3"/>
        <v>19236.48</v>
      </c>
      <c r="D37" s="8">
        <f t="shared" si="4"/>
        <v>0.68098591610834736</v>
      </c>
      <c r="E37" s="7"/>
    </row>
    <row r="38" spans="1:5" s="20" customFormat="1" x14ac:dyDescent="0.35">
      <c r="A38" s="13" t="s">
        <v>52</v>
      </c>
      <c r="B38" s="96">
        <f>B13/B27</f>
        <v>71.588552946389015</v>
      </c>
      <c r="C38" s="96">
        <f t="shared" ref="C38" si="5">C13/C27</f>
        <v>96.823222485315142</v>
      </c>
      <c r="D38" s="69">
        <f t="shared" si="4"/>
        <v>0.35249587399571797</v>
      </c>
      <c r="E38" s="70" t="s">
        <v>51</v>
      </c>
    </row>
    <row r="39" spans="1:5" s="20" customFormat="1" x14ac:dyDescent="0.35">
      <c r="A39" s="13" t="s">
        <v>91</v>
      </c>
      <c r="B39" s="96">
        <f>B14/B26</f>
        <v>10.276228314799784</v>
      </c>
      <c r="C39" s="96">
        <f t="shared" ref="C39" si="6">C14/C26</f>
        <v>7.1626443305758167</v>
      </c>
      <c r="D39" s="69">
        <f t="shared" si="4"/>
        <v>-0.30298898475618685</v>
      </c>
      <c r="E39" s="97"/>
    </row>
    <row r="40" spans="1:5" x14ac:dyDescent="0.35">
      <c r="A40" s="33" t="s">
        <v>14</v>
      </c>
      <c r="B40" s="60">
        <f>IFERROR(B15/B27, "")</f>
        <v>8562.1836676843704</v>
      </c>
      <c r="C40" s="60">
        <f>IFERROR(C15/C27, "")</f>
        <v>8858.51636856611</v>
      </c>
      <c r="D40" s="46">
        <f t="shared" si="4"/>
        <v>3.4609477252884289E-2</v>
      </c>
      <c r="E40" s="7"/>
    </row>
    <row r="45" spans="1:5" x14ac:dyDescent="0.35">
      <c r="A45" s="23"/>
    </row>
    <row r="46" spans="1:5" x14ac:dyDescent="0.35">
      <c r="A46" s="23"/>
    </row>
  </sheetData>
  <mergeCells count="9">
    <mergeCell ref="A30:A31"/>
    <mergeCell ref="B30:C30"/>
    <mergeCell ref="E30:E31"/>
    <mergeCell ref="A18:A19"/>
    <mergeCell ref="E5:E6"/>
    <mergeCell ref="B18:C18"/>
    <mergeCell ref="E18:E19"/>
    <mergeCell ref="A5:A6"/>
    <mergeCell ref="B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0D00-9325-459F-AD90-CF057EF6CC29}">
  <sheetPr>
    <tabColor theme="4"/>
  </sheetPr>
  <dimension ref="A1:F25"/>
  <sheetViews>
    <sheetView zoomScaleNormal="100" workbookViewId="0"/>
  </sheetViews>
  <sheetFormatPr defaultRowHeight="14.5" x14ac:dyDescent="0.35"/>
  <cols>
    <col min="1" max="1" width="32.7265625" style="20" customWidth="1"/>
    <col min="2" max="3" width="19.7265625" style="20" customWidth="1"/>
    <col min="4" max="4" width="20" style="20" bestFit="1" customWidth="1"/>
    <col min="5" max="5" width="16.7265625" style="20" customWidth="1"/>
    <col min="6" max="6" width="35.26953125" style="20" customWidth="1"/>
  </cols>
  <sheetData>
    <row r="1" spans="1:6" ht="18.5" x14ac:dyDescent="0.45">
      <c r="A1" s="2" t="s">
        <v>111</v>
      </c>
      <c r="B1" s="28"/>
      <c r="C1" s="28"/>
      <c r="D1" s="28"/>
      <c r="E1" s="28"/>
    </row>
    <row r="2" spans="1:6" ht="15.5" x14ac:dyDescent="0.35">
      <c r="A2" s="29" t="s">
        <v>234</v>
      </c>
      <c r="B2" s="29"/>
      <c r="C2" s="30"/>
      <c r="D2" s="30"/>
      <c r="E2" s="30"/>
    </row>
    <row r="3" spans="1:6" ht="15.5" x14ac:dyDescent="0.35">
      <c r="A3" s="31"/>
      <c r="B3" s="31"/>
      <c r="C3" s="6"/>
      <c r="D3" s="6"/>
      <c r="E3" s="6"/>
    </row>
    <row r="5" spans="1:6" x14ac:dyDescent="0.35">
      <c r="A5" s="131" t="s">
        <v>24</v>
      </c>
      <c r="B5" s="131" t="s">
        <v>17</v>
      </c>
      <c r="C5" s="129" t="s">
        <v>1</v>
      </c>
      <c r="D5" s="130"/>
      <c r="E5" s="76" t="s">
        <v>2</v>
      </c>
      <c r="F5" s="131" t="s">
        <v>28</v>
      </c>
    </row>
    <row r="6" spans="1:6" x14ac:dyDescent="0.35">
      <c r="A6" s="132"/>
      <c r="B6" s="132"/>
      <c r="C6" s="75">
        <v>2020</v>
      </c>
      <c r="D6" s="75">
        <v>2021</v>
      </c>
      <c r="E6" s="75" t="s">
        <v>112</v>
      </c>
      <c r="F6" s="132"/>
    </row>
    <row r="7" spans="1:6" x14ac:dyDescent="0.35">
      <c r="A7" s="7" t="s">
        <v>23</v>
      </c>
      <c r="B7" s="7" t="s">
        <v>18</v>
      </c>
      <c r="C7" s="24">
        <f>SUM(TME_Comm_ServCat!H27:H28)</f>
        <v>7095160101.8209219</v>
      </c>
      <c r="D7" s="24">
        <f>SUM(TME_Comm_ServCat!I27:I28)</f>
        <v>7725739059.8951731</v>
      </c>
      <c r="E7" s="8">
        <f>IFERROR((D7-C7)/C7, "")</f>
        <v>8.8874521367377973E-2</v>
      </c>
      <c r="F7" s="7"/>
    </row>
    <row r="8" spans="1:6" x14ac:dyDescent="0.35">
      <c r="A8" s="7" t="s">
        <v>22</v>
      </c>
      <c r="B8" s="7" t="s">
        <v>18</v>
      </c>
      <c r="C8" s="10">
        <f>SUM(TME_Comm_ServCat!N27:N28)</f>
        <v>963963385.15684092</v>
      </c>
      <c r="D8" s="10">
        <f>SUM(TME_Comm_ServCat!O27:O28)</f>
        <v>1158490392.905458</v>
      </c>
      <c r="E8" s="8">
        <f>IFERROR((D8-C8)/C8, "")</f>
        <v>0.20179916659071723</v>
      </c>
      <c r="F8" s="7"/>
    </row>
    <row r="9" spans="1:6" s="20" customFormat="1" x14ac:dyDescent="0.35">
      <c r="A9" s="7" t="s">
        <v>100</v>
      </c>
      <c r="B9" s="79" t="s">
        <v>117</v>
      </c>
      <c r="C9" s="68">
        <f>SUM(THCE_NCPHI!C7:C11)</f>
        <v>1284640637.5445373</v>
      </c>
      <c r="D9" s="68">
        <f>SUM(THCE_NCPHI!D7:D11)</f>
        <v>891958866.74856102</v>
      </c>
      <c r="E9" s="8">
        <f>IFERROR((D9-C9)/C9, "")</f>
        <v>-0.30567441144205776</v>
      </c>
      <c r="F9" s="7" t="s">
        <v>103</v>
      </c>
    </row>
    <row r="10" spans="1:6" s="20" customFormat="1" x14ac:dyDescent="0.35">
      <c r="A10" s="48" t="s">
        <v>14</v>
      </c>
      <c r="B10" s="21"/>
      <c r="C10" s="49">
        <f>SUM(C7:C9)</f>
        <v>9343764124.5223007</v>
      </c>
      <c r="D10" s="49">
        <f t="shared" ref="D10" si="0">SUM(D7:D9)</f>
        <v>9776188319.5491924</v>
      </c>
      <c r="E10" s="46">
        <f>IFERROR((D10-C10)/C10, "")</f>
        <v>4.6279442552708848E-2</v>
      </c>
      <c r="F10" s="7"/>
    </row>
    <row r="13" spans="1:6" x14ac:dyDescent="0.35">
      <c r="A13" s="131" t="s">
        <v>24</v>
      </c>
      <c r="B13" s="131" t="s">
        <v>17</v>
      </c>
      <c r="C13" s="129" t="s">
        <v>43</v>
      </c>
      <c r="D13" s="130"/>
      <c r="E13" s="76" t="s">
        <v>2</v>
      </c>
      <c r="F13" s="131" t="s">
        <v>28</v>
      </c>
    </row>
    <row r="14" spans="1:6" x14ac:dyDescent="0.35">
      <c r="A14" s="132"/>
      <c r="B14" s="132"/>
      <c r="C14" s="75">
        <v>2020</v>
      </c>
      <c r="D14" s="75">
        <v>2021</v>
      </c>
      <c r="E14" s="75" t="s">
        <v>112</v>
      </c>
      <c r="F14" s="132"/>
    </row>
    <row r="15" spans="1:6" x14ac:dyDescent="0.35">
      <c r="A15" s="7" t="s">
        <v>23</v>
      </c>
      <c r="B15" s="7" t="s">
        <v>18</v>
      </c>
      <c r="C15" s="32">
        <f>TME_Comm_ServCat!H8/12</f>
        <v>1286199.25</v>
      </c>
      <c r="D15" s="32">
        <f>TME_Comm_ServCat!I8/12</f>
        <v>1257622.1666666667</v>
      </c>
      <c r="E15" s="8">
        <f>IFERROR((D15-C15)/C15, "")</f>
        <v>-2.2218239773762312E-2</v>
      </c>
      <c r="F15" s="7" t="s">
        <v>44</v>
      </c>
    </row>
    <row r="16" spans="1:6" x14ac:dyDescent="0.35">
      <c r="A16" s="7" t="s">
        <v>22</v>
      </c>
      <c r="B16" s="7" t="s">
        <v>18</v>
      </c>
      <c r="C16" s="32">
        <f>TME_Comm_ServCat!N8/12</f>
        <v>155516.16666666666</v>
      </c>
      <c r="D16" s="32">
        <f>TME_Comm_ServCat!O8/12</f>
        <v>160466.58333333334</v>
      </c>
      <c r="E16" s="8">
        <f>IFERROR((D16-C16)/C16, "")</f>
        <v>3.1832167502414133E-2</v>
      </c>
      <c r="F16" s="7" t="s">
        <v>44</v>
      </c>
    </row>
    <row r="17" spans="1:6" s="20" customFormat="1" x14ac:dyDescent="0.35">
      <c r="A17" s="48" t="s">
        <v>14</v>
      </c>
      <c r="B17" s="21"/>
      <c r="C17" s="45">
        <f>SUM(C15:C16)</f>
        <v>1441715.4166666667</v>
      </c>
      <c r="D17" s="45">
        <f t="shared" ref="D17" si="1">SUM(D15:D16)</f>
        <v>1418088.75</v>
      </c>
      <c r="E17" s="46">
        <f>IFERROR((D17-C17)/C17, "")</f>
        <v>-1.6387885149548465E-2</v>
      </c>
      <c r="F17" s="7"/>
    </row>
    <row r="18" spans="1:6" x14ac:dyDescent="0.35">
      <c r="D18" s="11"/>
    </row>
    <row r="19" spans="1:6" x14ac:dyDescent="0.35">
      <c r="D19" s="11"/>
    </row>
    <row r="20" spans="1:6" x14ac:dyDescent="0.35">
      <c r="A20" s="131" t="s">
        <v>24</v>
      </c>
      <c r="B20" s="131" t="s">
        <v>17</v>
      </c>
      <c r="C20" s="129" t="s">
        <v>42</v>
      </c>
      <c r="D20" s="130"/>
      <c r="E20" s="76" t="s">
        <v>2</v>
      </c>
      <c r="F20" s="131" t="s">
        <v>28</v>
      </c>
    </row>
    <row r="21" spans="1:6" x14ac:dyDescent="0.35">
      <c r="A21" s="132"/>
      <c r="B21" s="132"/>
      <c r="C21" s="75">
        <v>2020</v>
      </c>
      <c r="D21" s="75">
        <v>2021</v>
      </c>
      <c r="E21" s="75" t="s">
        <v>112</v>
      </c>
      <c r="F21" s="132"/>
    </row>
    <row r="22" spans="1:6" x14ac:dyDescent="0.35">
      <c r="A22" s="7" t="s">
        <v>23</v>
      </c>
      <c r="B22" s="21"/>
      <c r="C22" s="24">
        <f>C7/C15</f>
        <v>5516.3771101724105</v>
      </c>
      <c r="D22" s="24">
        <f t="shared" ref="C22:D23" si="2">D7/D15</f>
        <v>6143.1320667416985</v>
      </c>
      <c r="E22" s="8">
        <f>IFERROR((D22-C22)/C22, "")</f>
        <v>0.11361713386373239</v>
      </c>
      <c r="F22" s="7" t="s">
        <v>39</v>
      </c>
    </row>
    <row r="23" spans="1:6" x14ac:dyDescent="0.35">
      <c r="A23" s="7" t="s">
        <v>22</v>
      </c>
      <c r="B23" s="21"/>
      <c r="C23" s="24">
        <f t="shared" si="2"/>
        <v>6198.4770189391302</v>
      </c>
      <c r="D23" s="24">
        <f t="shared" si="2"/>
        <v>7219.5118063862183</v>
      </c>
      <c r="E23" s="8">
        <f>IFERROR((D23-C23)/C23, "")</f>
        <v>0.1647234932592907</v>
      </c>
      <c r="F23" s="7" t="s">
        <v>39</v>
      </c>
    </row>
    <row r="24" spans="1:6" s="20" customFormat="1" x14ac:dyDescent="0.35">
      <c r="A24" s="59" t="s">
        <v>100</v>
      </c>
      <c r="B24" s="21"/>
      <c r="C24" s="24">
        <f>C9/C17</f>
        <v>891.05008012933934</v>
      </c>
      <c r="D24" s="24">
        <f t="shared" ref="D24" si="3">D9/D17</f>
        <v>628.98663200632609</v>
      </c>
      <c r="E24" s="8">
        <f>IFERROR((D24-C24)/C24, "")</f>
        <v>-0.29410630666794141</v>
      </c>
      <c r="F24" s="7" t="s">
        <v>101</v>
      </c>
    </row>
    <row r="25" spans="1:6" x14ac:dyDescent="0.35">
      <c r="A25" s="48" t="s">
        <v>14</v>
      </c>
      <c r="B25" s="21"/>
      <c r="C25" s="49">
        <f>C10/C17</f>
        <v>6481.0045148338977</v>
      </c>
      <c r="D25" s="49">
        <f t="shared" ref="D25" si="4">D10/D17</f>
        <v>6893.9185361629816</v>
      </c>
      <c r="E25" s="46">
        <f>IFERROR((D25-C25)/C25, "")</f>
        <v>6.371142318817942E-2</v>
      </c>
      <c r="F25" s="7"/>
    </row>
  </sheetData>
  <mergeCells count="12">
    <mergeCell ref="F5:F6"/>
    <mergeCell ref="F13:F14"/>
    <mergeCell ref="A20:A21"/>
    <mergeCell ref="B20:B21"/>
    <mergeCell ref="C20:D20"/>
    <mergeCell ref="F20:F21"/>
    <mergeCell ref="A5:A6"/>
    <mergeCell ref="B5:B6"/>
    <mergeCell ref="C5:D5"/>
    <mergeCell ref="A13:A14"/>
    <mergeCell ref="B13:B14"/>
    <mergeCell ref="C13:D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55DD-9122-4680-A728-3FDEC3135DC5}">
  <sheetPr>
    <tabColor theme="4"/>
  </sheetPr>
  <dimension ref="A1:F40"/>
  <sheetViews>
    <sheetView topLeftCell="A10" zoomScaleNormal="100" workbookViewId="0"/>
  </sheetViews>
  <sheetFormatPr defaultRowHeight="14.5" x14ac:dyDescent="0.35"/>
  <cols>
    <col min="1" max="1" width="32.7265625" style="20" customWidth="1"/>
    <col min="2" max="2" width="19.26953125" style="20" customWidth="1"/>
    <col min="3" max="3" width="19.7265625" style="20" customWidth="1"/>
    <col min="4" max="4" width="20" style="20" bestFit="1" customWidth="1"/>
    <col min="5" max="5" width="16.7265625" style="20" customWidth="1"/>
    <col min="6" max="6" width="33.26953125" customWidth="1"/>
  </cols>
  <sheetData>
    <row r="1" spans="1:6" ht="18.5" x14ac:dyDescent="0.45">
      <c r="A1" s="2" t="s">
        <v>111</v>
      </c>
      <c r="B1" s="28"/>
      <c r="C1" s="28"/>
      <c r="D1" s="28"/>
      <c r="E1" s="28"/>
    </row>
    <row r="2" spans="1:6" ht="15.5" x14ac:dyDescent="0.35">
      <c r="A2" s="29" t="s">
        <v>236</v>
      </c>
      <c r="B2" s="29"/>
      <c r="C2" s="30"/>
      <c r="D2" s="30"/>
      <c r="E2" s="30"/>
    </row>
    <row r="3" spans="1:6" ht="15.5" x14ac:dyDescent="0.35">
      <c r="A3" s="31"/>
      <c r="B3" s="31"/>
      <c r="C3" s="6"/>
      <c r="D3" s="6"/>
      <c r="E3" s="6"/>
    </row>
    <row r="5" spans="1:6" x14ac:dyDescent="0.35">
      <c r="A5" s="131" t="s">
        <v>24</v>
      </c>
      <c r="B5" s="133" t="s">
        <v>17</v>
      </c>
      <c r="C5" s="129" t="s">
        <v>1</v>
      </c>
      <c r="D5" s="130"/>
      <c r="E5" s="76" t="s">
        <v>2</v>
      </c>
      <c r="F5" s="131" t="s">
        <v>28</v>
      </c>
    </row>
    <row r="6" spans="1:6" x14ac:dyDescent="0.35">
      <c r="A6" s="132"/>
      <c r="B6" s="134"/>
      <c r="C6" s="75">
        <v>2020</v>
      </c>
      <c r="D6" s="75">
        <v>2021</v>
      </c>
      <c r="E6" s="75" t="s">
        <v>112</v>
      </c>
      <c r="F6" s="132"/>
    </row>
    <row r="7" spans="1:6" x14ac:dyDescent="0.35">
      <c r="A7" s="7" t="s">
        <v>11</v>
      </c>
      <c r="B7" s="7" t="s">
        <v>18</v>
      </c>
      <c r="C7" s="24">
        <f>SUM(TME_Mcare_ServCat!N27:N28)</f>
        <v>3783012754.480618</v>
      </c>
      <c r="D7" s="24">
        <f>SUM(TME_Mcare_ServCat!O27:O28)</f>
        <v>4155163765.9017634</v>
      </c>
      <c r="E7" s="8">
        <f t="shared" ref="E7:E12" si="0">IFERROR((D7-C7)/C7, "")</f>
        <v>9.8374241794550663E-2</v>
      </c>
      <c r="F7" s="27"/>
    </row>
    <row r="8" spans="1:6" s="20" customFormat="1" x14ac:dyDescent="0.35">
      <c r="A8" s="7" t="s">
        <v>85</v>
      </c>
      <c r="B8" s="7" t="s">
        <v>18</v>
      </c>
      <c r="C8" s="10">
        <f>SUM(TME_Mcare_ServCat!T27:T28)</f>
        <v>927341846.67720628</v>
      </c>
      <c r="D8" s="10">
        <f>SUM(TME_Mcare_ServCat!U27:U28)</f>
        <v>1077769272.5224826</v>
      </c>
      <c r="E8" s="8">
        <f t="shared" si="0"/>
        <v>0.16221356383762747</v>
      </c>
      <c r="F8" s="7"/>
    </row>
    <row r="9" spans="1:6" x14ac:dyDescent="0.35">
      <c r="A9" s="7" t="s">
        <v>6</v>
      </c>
      <c r="B9" s="7" t="s">
        <v>19</v>
      </c>
      <c r="C9" s="10">
        <f>TME_Mcare_ServCat!H20</f>
        <v>5388695362</v>
      </c>
      <c r="D9" s="10">
        <f>TME_Mcare_ServCat!I20</f>
        <v>5698644115</v>
      </c>
      <c r="E9" s="8">
        <f t="shared" si="0"/>
        <v>5.7518329053391382E-2</v>
      </c>
      <c r="F9" s="7"/>
    </row>
    <row r="10" spans="1:6" s="77" customFormat="1" x14ac:dyDescent="0.35">
      <c r="A10" s="7" t="s">
        <v>86</v>
      </c>
      <c r="B10" s="7" t="s">
        <v>18</v>
      </c>
      <c r="C10" s="10">
        <f>THCE_Maid!C10</f>
        <v>487526672.98828101</v>
      </c>
      <c r="D10" s="10">
        <f>THCE_Maid!D10</f>
        <v>462349060.73716497</v>
      </c>
      <c r="E10" s="8">
        <f t="shared" si="0"/>
        <v>-5.1643558488380897E-2</v>
      </c>
      <c r="F10" s="7"/>
    </row>
    <row r="11" spans="1:6" s="20" customFormat="1" x14ac:dyDescent="0.35">
      <c r="A11" s="7" t="s">
        <v>106</v>
      </c>
      <c r="B11" s="79" t="s">
        <v>117</v>
      </c>
      <c r="C11" s="10">
        <f>THCE_NCPHI!C12</f>
        <v>734110760.16706169</v>
      </c>
      <c r="D11" s="10">
        <f>THCE_NCPHI!D12</f>
        <v>586605392.1989975</v>
      </c>
      <c r="E11" s="8">
        <f t="shared" si="0"/>
        <v>-0.20093067146229593</v>
      </c>
      <c r="F11" s="7"/>
    </row>
    <row r="12" spans="1:6" s="20" customFormat="1" x14ac:dyDescent="0.35">
      <c r="A12" s="48" t="s">
        <v>84</v>
      </c>
      <c r="B12" s="44"/>
      <c r="C12" s="49">
        <f>SUM(C7:C11)</f>
        <v>11320687396.313168</v>
      </c>
      <c r="D12" s="49">
        <f t="shared" ref="D12" si="1">SUM(D7:D11)</f>
        <v>11980531606.360409</v>
      </c>
      <c r="E12" s="46">
        <f t="shared" si="0"/>
        <v>5.8286585164619431E-2</v>
      </c>
      <c r="F12" s="7"/>
    </row>
    <row r="15" spans="1:6" x14ac:dyDescent="0.35">
      <c r="A15" s="131" t="s">
        <v>24</v>
      </c>
      <c r="B15" s="133" t="s">
        <v>17</v>
      </c>
      <c r="C15" s="128" t="s">
        <v>43</v>
      </c>
      <c r="D15" s="128"/>
      <c r="E15" s="76" t="s">
        <v>2</v>
      </c>
      <c r="F15" s="131" t="s">
        <v>28</v>
      </c>
    </row>
    <row r="16" spans="1:6" x14ac:dyDescent="0.35">
      <c r="A16" s="132"/>
      <c r="B16" s="134"/>
      <c r="C16" s="75">
        <v>2020</v>
      </c>
      <c r="D16" s="75">
        <v>2021</v>
      </c>
      <c r="E16" s="75" t="s">
        <v>112</v>
      </c>
      <c r="F16" s="132"/>
    </row>
    <row r="17" spans="1:6" x14ac:dyDescent="0.35">
      <c r="A17" s="7" t="s">
        <v>11</v>
      </c>
      <c r="B17" s="7" t="s">
        <v>18</v>
      </c>
      <c r="C17" s="32">
        <f>TME_Mcare_ServCat!N8/12</f>
        <v>337292.41666666669</v>
      </c>
      <c r="D17" s="32">
        <f>TME_Mcare_ServCat!O8/12</f>
        <v>350616.66666666669</v>
      </c>
      <c r="E17" s="8">
        <f>IFERROR((D17-C17)/C17, "")</f>
        <v>3.950355638492712E-2</v>
      </c>
      <c r="F17" s="7" t="s">
        <v>44</v>
      </c>
    </row>
    <row r="18" spans="1:6" s="20" customFormat="1" x14ac:dyDescent="0.35">
      <c r="A18" s="7" t="s">
        <v>85</v>
      </c>
      <c r="B18" s="7" t="s">
        <v>18</v>
      </c>
      <c r="C18" s="32">
        <f>TME_Mcare_ServCat!T8/12</f>
        <v>53511.5</v>
      </c>
      <c r="D18" s="32">
        <f>TME_Mcare_ServCat!U8/12</f>
        <v>58592.583333333336</v>
      </c>
      <c r="E18" s="8">
        <f>IFERROR((D18-C18)/C18, "")</f>
        <v>9.4953109767682384E-2</v>
      </c>
      <c r="F18" s="7" t="s">
        <v>44</v>
      </c>
    </row>
    <row r="19" spans="1:6" x14ac:dyDescent="0.35">
      <c r="A19" s="7" t="s">
        <v>6</v>
      </c>
      <c r="B19" s="7" t="s">
        <v>19</v>
      </c>
      <c r="C19" s="32">
        <f>TME_Mcare_ServCat!H8</f>
        <v>468657</v>
      </c>
      <c r="D19" s="32">
        <f>TME_Mcare_ServCat!I8</f>
        <v>459062</v>
      </c>
      <c r="E19" s="8">
        <f>IFERROR((D19-C19)/C19, "")</f>
        <v>-2.0473395254951916E-2</v>
      </c>
      <c r="F19" s="7" t="s">
        <v>115</v>
      </c>
    </row>
    <row r="20" spans="1:6" s="20" customFormat="1" x14ac:dyDescent="0.35">
      <c r="A20" s="48" t="s">
        <v>84</v>
      </c>
      <c r="B20" s="44"/>
      <c r="C20" s="45">
        <f>SUM(C17:C19)</f>
        <v>859460.91666666674</v>
      </c>
      <c r="D20" s="45">
        <f>SUM(D17:D19)</f>
        <v>868271.25</v>
      </c>
      <c r="E20" s="46">
        <f>IFERROR((D20-C20)/C20, "")</f>
        <v>1.0250999390994128E-2</v>
      </c>
      <c r="F20" s="43"/>
    </row>
    <row r="21" spans="1:6" x14ac:dyDescent="0.35">
      <c r="D21" s="11"/>
    </row>
    <row r="22" spans="1:6" x14ac:dyDescent="0.35">
      <c r="D22" s="11"/>
    </row>
    <row r="23" spans="1:6" x14ac:dyDescent="0.35">
      <c r="A23" s="131" t="s">
        <v>24</v>
      </c>
      <c r="B23" s="133" t="s">
        <v>17</v>
      </c>
      <c r="C23" s="129" t="s">
        <v>30</v>
      </c>
      <c r="D23" s="130"/>
      <c r="E23" s="76" t="s">
        <v>2</v>
      </c>
      <c r="F23" s="131" t="s">
        <v>28</v>
      </c>
    </row>
    <row r="24" spans="1:6" x14ac:dyDescent="0.35">
      <c r="A24" s="132"/>
      <c r="B24" s="134"/>
      <c r="C24" s="75">
        <v>2020</v>
      </c>
      <c r="D24" s="75">
        <v>2021</v>
      </c>
      <c r="E24" s="75" t="s">
        <v>112</v>
      </c>
      <c r="F24" s="132"/>
    </row>
    <row r="25" spans="1:6" x14ac:dyDescent="0.35">
      <c r="A25" s="7" t="s">
        <v>11</v>
      </c>
      <c r="B25" s="21"/>
      <c r="C25" s="71">
        <f>C7/C17</f>
        <v>11215.825104716854</v>
      </c>
      <c r="D25" s="71">
        <f>D7/D17</f>
        <v>11851.016112283396</v>
      </c>
      <c r="E25" s="8">
        <f>IFERROR((D25-C25)/C25, "")</f>
        <v>5.663346224072361E-2</v>
      </c>
      <c r="F25" s="7" t="s">
        <v>39</v>
      </c>
    </row>
    <row r="26" spans="1:6" s="20" customFormat="1" x14ac:dyDescent="0.35">
      <c r="A26" s="7" t="s">
        <v>85</v>
      </c>
      <c r="B26" s="21"/>
      <c r="C26" s="71">
        <f>C8/C18</f>
        <v>17329.767371073624</v>
      </c>
      <c r="D26" s="71">
        <f t="shared" ref="D26" si="2">D8/D18</f>
        <v>18394.295168571949</v>
      </c>
      <c r="E26" s="8">
        <f>IFERROR((D26-C26)/C26, "")</f>
        <v>6.1427702675063395E-2</v>
      </c>
      <c r="F26" s="7" t="s">
        <v>39</v>
      </c>
    </row>
    <row r="27" spans="1:6" x14ac:dyDescent="0.35">
      <c r="A27" s="7" t="s">
        <v>6</v>
      </c>
      <c r="B27" s="21"/>
      <c r="C27" s="71">
        <f>C9/C19</f>
        <v>11498.164674804815</v>
      </c>
      <c r="D27" s="71">
        <f>D9/D19</f>
        <v>12413.669863765679</v>
      </c>
      <c r="E27" s="8">
        <f>IFERROR((D27-C27)/C27, "")</f>
        <v>7.9621853996138289E-2</v>
      </c>
      <c r="F27" s="7" t="s">
        <v>89</v>
      </c>
    </row>
    <row r="28" spans="1:6" s="20" customFormat="1" x14ac:dyDescent="0.35">
      <c r="A28" s="7" t="s">
        <v>106</v>
      </c>
      <c r="B28" s="21"/>
      <c r="C28" s="71">
        <f>C11/(C17+C18)</f>
        <v>1878.4631598081348</v>
      </c>
      <c r="D28" s="71">
        <f t="shared" ref="D28" si="3">D11/(D17+D18)</f>
        <v>1433.509609567715</v>
      </c>
      <c r="E28" s="8">
        <f>IFERROR((D28-C28)/C28, "")</f>
        <v>-0.23687105489248306</v>
      </c>
      <c r="F28" s="7" t="s">
        <v>105</v>
      </c>
    </row>
    <row r="29" spans="1:6" x14ac:dyDescent="0.35">
      <c r="A29" s="48" t="s">
        <v>84</v>
      </c>
      <c r="B29" s="7"/>
      <c r="C29" s="72">
        <f>C12/C20</f>
        <v>13171.846650362324</v>
      </c>
      <c r="D29" s="72">
        <f>D12/D20</f>
        <v>13798.143847743904</v>
      </c>
      <c r="E29" s="46">
        <f>IFERROR((D29-C29)/C29, "")</f>
        <v>4.7548169516865149E-2</v>
      </c>
      <c r="F29" s="7"/>
    </row>
    <row r="33" spans="1:1" x14ac:dyDescent="0.35">
      <c r="A33" s="59"/>
    </row>
    <row r="34" spans="1:1" x14ac:dyDescent="0.35">
      <c r="A34" s="59"/>
    </row>
    <row r="40" spans="1:1" x14ac:dyDescent="0.35">
      <c r="A40" s="35"/>
    </row>
  </sheetData>
  <mergeCells count="12">
    <mergeCell ref="B15:B16"/>
    <mergeCell ref="B23:B24"/>
    <mergeCell ref="F15:F16"/>
    <mergeCell ref="F5:F6"/>
    <mergeCell ref="A23:A24"/>
    <mergeCell ref="C23:D23"/>
    <mergeCell ref="F23:F24"/>
    <mergeCell ref="A5:A6"/>
    <mergeCell ref="C5:D5"/>
    <mergeCell ref="A15:A16"/>
    <mergeCell ref="C15:D15"/>
    <mergeCell ref="B5:B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11C1-7FF9-4401-BA5E-D55AA7E07CBD}">
  <sheetPr>
    <tabColor theme="4"/>
  </sheetPr>
  <dimension ref="A1:F33"/>
  <sheetViews>
    <sheetView topLeftCell="B13" zoomScaleNormal="100" workbookViewId="0">
      <selection activeCell="F32" sqref="F32"/>
    </sheetView>
  </sheetViews>
  <sheetFormatPr defaultRowHeight="14.5" x14ac:dyDescent="0.35"/>
  <cols>
    <col min="1" max="1" width="32.7265625" style="20" customWidth="1"/>
    <col min="2" max="2" width="19.26953125" style="20" customWidth="1"/>
    <col min="3" max="3" width="19.7265625" style="20" customWidth="1"/>
    <col min="4" max="4" width="20" style="20" bestFit="1" customWidth="1"/>
    <col min="5" max="5" width="16.7265625" style="20" customWidth="1"/>
    <col min="6" max="6" width="60" style="20" customWidth="1"/>
  </cols>
  <sheetData>
    <row r="1" spans="1:6" ht="18.5" x14ac:dyDescent="0.45">
      <c r="A1" s="2" t="s">
        <v>111</v>
      </c>
      <c r="B1" s="28"/>
      <c r="C1" s="28"/>
      <c r="D1" s="28"/>
      <c r="E1" s="28"/>
    </row>
    <row r="2" spans="1:6" ht="15.5" x14ac:dyDescent="0.35">
      <c r="A2" s="29" t="s">
        <v>237</v>
      </c>
      <c r="B2" s="29"/>
      <c r="C2" s="30"/>
      <c r="D2" s="30"/>
      <c r="E2" s="30"/>
    </row>
    <row r="3" spans="1:6" ht="15.5" x14ac:dyDescent="0.35">
      <c r="A3" s="31"/>
      <c r="B3" s="31"/>
      <c r="C3" s="6"/>
      <c r="D3" s="6"/>
      <c r="E3" s="6"/>
    </row>
    <row r="5" spans="1:6" x14ac:dyDescent="0.35">
      <c r="A5" s="131" t="s">
        <v>24</v>
      </c>
      <c r="B5" s="131" t="s">
        <v>17</v>
      </c>
      <c r="C5" s="129" t="s">
        <v>1</v>
      </c>
      <c r="D5" s="130"/>
      <c r="E5" s="76" t="s">
        <v>2</v>
      </c>
      <c r="F5" s="131" t="s">
        <v>28</v>
      </c>
    </row>
    <row r="6" spans="1:6" x14ac:dyDescent="0.35">
      <c r="A6" s="132"/>
      <c r="B6" s="132"/>
      <c r="C6" s="75">
        <v>2020</v>
      </c>
      <c r="D6" s="75">
        <v>2021</v>
      </c>
      <c r="E6" s="75" t="s">
        <v>112</v>
      </c>
      <c r="F6" s="132"/>
    </row>
    <row r="7" spans="1:6" x14ac:dyDescent="0.35">
      <c r="A7" s="7" t="s">
        <v>25</v>
      </c>
      <c r="B7" s="7" t="s">
        <v>18</v>
      </c>
      <c r="C7" s="24">
        <v>4401944840.7930603</v>
      </c>
      <c r="D7" s="24">
        <v>5013968479.3541498</v>
      </c>
      <c r="E7" s="8">
        <f>IFERROR((D7-C7)/C7, "")</f>
        <v>0.13903482680869453</v>
      </c>
      <c r="F7" s="42" t="s">
        <v>247</v>
      </c>
    </row>
    <row r="8" spans="1:6" x14ac:dyDescent="0.35">
      <c r="A8" s="7" t="s">
        <v>26</v>
      </c>
      <c r="B8" s="7" t="s">
        <v>18</v>
      </c>
      <c r="C8" s="10">
        <v>804848949.88999999</v>
      </c>
      <c r="D8" s="10">
        <v>849378823.71000004</v>
      </c>
      <c r="E8" s="8">
        <f>IFERROR((D8-C8)/C8, "")</f>
        <v>5.5326994992148555E-2</v>
      </c>
      <c r="F8" s="42" t="s">
        <v>247</v>
      </c>
    </row>
    <row r="9" spans="1:6" s="20" customFormat="1" x14ac:dyDescent="0.35">
      <c r="A9" s="13" t="s">
        <v>54</v>
      </c>
      <c r="B9" s="7" t="s">
        <v>18</v>
      </c>
      <c r="C9" s="10">
        <v>-457781819.48387998</v>
      </c>
      <c r="D9" s="10">
        <v>-493877056.60964</v>
      </c>
      <c r="E9" s="8">
        <f>IFERROR((D9-C9)/C9, "")</f>
        <v>7.8848122816356295E-2</v>
      </c>
      <c r="F9" s="42" t="s">
        <v>98</v>
      </c>
    </row>
    <row r="10" spans="1:6" s="20" customFormat="1" x14ac:dyDescent="0.35">
      <c r="A10" s="82" t="s">
        <v>86</v>
      </c>
      <c r="B10" s="124" t="s">
        <v>18</v>
      </c>
      <c r="C10" s="84">
        <v>487526672.98828101</v>
      </c>
      <c r="D10" s="84">
        <v>462349060.73716497</v>
      </c>
      <c r="E10" s="85">
        <f>IFERROR((D10-C10)/C10, "")</f>
        <v>-5.1643558488380897E-2</v>
      </c>
      <c r="F10" s="86" t="s">
        <v>108</v>
      </c>
    </row>
    <row r="11" spans="1:6" s="20" customFormat="1" x14ac:dyDescent="0.35">
      <c r="A11" s="70" t="s">
        <v>107</v>
      </c>
      <c r="B11" s="79" t="s">
        <v>117</v>
      </c>
      <c r="C11" s="10">
        <f>THCE_NCPHI!C13</f>
        <v>409572603.1281606</v>
      </c>
      <c r="D11" s="10">
        <f>THCE_NCPHI!D13</f>
        <v>590703494.03370452</v>
      </c>
      <c r="E11" s="8"/>
      <c r="F11" s="42" t="s">
        <v>110</v>
      </c>
    </row>
    <row r="12" spans="1:6" s="77" customFormat="1" x14ac:dyDescent="0.35">
      <c r="A12" s="42" t="s">
        <v>122</v>
      </c>
      <c r="B12" s="79" t="s">
        <v>99</v>
      </c>
      <c r="C12" s="10">
        <v>1116693143.4311893</v>
      </c>
      <c r="D12" s="10">
        <v>1197433775.8756566</v>
      </c>
      <c r="E12" s="8">
        <f>IFERROR((D12-C12)/C12, "")</f>
        <v>7.2303329629463731E-2</v>
      </c>
      <c r="F12" s="42" t="s">
        <v>233</v>
      </c>
    </row>
    <row r="13" spans="1:6" s="20" customFormat="1" x14ac:dyDescent="0.35">
      <c r="A13" s="48" t="s">
        <v>83</v>
      </c>
      <c r="B13" s="44"/>
      <c r="C13" s="49">
        <f>SUM(C7:C9)+SUM(C11:C12)</f>
        <v>6275277717.7585306</v>
      </c>
      <c r="D13" s="49">
        <f>SUM(D7:D9)+SUM(D11:D12)</f>
        <v>7157607516.3638706</v>
      </c>
      <c r="E13" s="46">
        <f>IFERROR((D13-C13)/C13, "")</f>
        <v>0.14060410364124884</v>
      </c>
      <c r="F13" s="42" t="s">
        <v>109</v>
      </c>
    </row>
    <row r="14" spans="1:6" x14ac:dyDescent="0.35">
      <c r="D14" s="11"/>
    </row>
    <row r="15" spans="1:6" x14ac:dyDescent="0.35">
      <c r="D15" s="11"/>
    </row>
    <row r="16" spans="1:6" x14ac:dyDescent="0.35">
      <c r="A16" s="131" t="s">
        <v>24</v>
      </c>
      <c r="B16" s="131" t="s">
        <v>17</v>
      </c>
      <c r="C16" s="128" t="s">
        <v>43</v>
      </c>
      <c r="D16" s="128"/>
      <c r="E16" s="76" t="s">
        <v>2</v>
      </c>
      <c r="F16" s="131" t="s">
        <v>28</v>
      </c>
    </row>
    <row r="17" spans="1:6" x14ac:dyDescent="0.35">
      <c r="A17" s="132"/>
      <c r="B17" s="132"/>
      <c r="C17" s="75">
        <v>2020</v>
      </c>
      <c r="D17" s="75">
        <v>2021</v>
      </c>
      <c r="E17" s="75" t="s">
        <v>112</v>
      </c>
      <c r="F17" s="132"/>
    </row>
    <row r="18" spans="1:6" x14ac:dyDescent="0.35">
      <c r="A18" s="7" t="s">
        <v>25</v>
      </c>
      <c r="B18" s="7" t="s">
        <v>18</v>
      </c>
      <c r="C18" s="32">
        <v>896000.58333333337</v>
      </c>
      <c r="D18" s="32">
        <v>1021081.5</v>
      </c>
      <c r="E18" s="8">
        <f>IFERROR((D18-C18)/C18, "")</f>
        <v>0.13959914646632945</v>
      </c>
      <c r="F18" s="53" t="s">
        <v>44</v>
      </c>
    </row>
    <row r="19" spans="1:6" x14ac:dyDescent="0.35">
      <c r="A19" s="7" t="s">
        <v>26</v>
      </c>
      <c r="B19" s="7" t="s">
        <v>18</v>
      </c>
      <c r="C19" s="32">
        <v>71038.083333333328</v>
      </c>
      <c r="D19" s="32">
        <v>84259.75</v>
      </c>
      <c r="E19" s="8">
        <f>IFERROR((D19-C19)/C19, "")</f>
        <v>0.18612082486272044</v>
      </c>
      <c r="F19" s="53" t="s">
        <v>44</v>
      </c>
    </row>
    <row r="20" spans="1:6" s="20" customFormat="1" x14ac:dyDescent="0.35">
      <c r="A20" s="82" t="s">
        <v>86</v>
      </c>
      <c r="B20" s="7" t="s">
        <v>18</v>
      </c>
      <c r="C20" s="87">
        <v>110091.41666666667</v>
      </c>
      <c r="D20" s="87">
        <v>118452.5</v>
      </c>
      <c r="E20" s="85">
        <f>IFERROR((D20-C20)/C20, "")</f>
        <v>7.5946732147601531E-2</v>
      </c>
      <c r="F20" s="86" t="s">
        <v>108</v>
      </c>
    </row>
    <row r="21" spans="1:6" s="20" customFormat="1" x14ac:dyDescent="0.35">
      <c r="A21" s="43" t="s">
        <v>83</v>
      </c>
      <c r="B21" s="44"/>
      <c r="C21" s="45">
        <f>SUM(C18:C19)</f>
        <v>967038.66666666674</v>
      </c>
      <c r="D21" s="45">
        <f>SUM(D18:D19)</f>
        <v>1105341.25</v>
      </c>
      <c r="E21" s="46">
        <f>IFERROR((D21-C21)/C21, "")</f>
        <v>0.14301660119760801</v>
      </c>
      <c r="F21" s="7"/>
    </row>
    <row r="22" spans="1:6" x14ac:dyDescent="0.35">
      <c r="D22" s="11"/>
    </row>
    <row r="24" spans="1:6" x14ac:dyDescent="0.35">
      <c r="A24" s="131" t="s">
        <v>24</v>
      </c>
      <c r="B24" s="131" t="s">
        <v>17</v>
      </c>
      <c r="C24" s="129" t="s">
        <v>60</v>
      </c>
      <c r="D24" s="130"/>
      <c r="E24" s="76" t="s">
        <v>2</v>
      </c>
      <c r="F24" s="131" t="s">
        <v>28</v>
      </c>
    </row>
    <row r="25" spans="1:6" x14ac:dyDescent="0.35">
      <c r="A25" s="132"/>
      <c r="B25" s="132"/>
      <c r="C25" s="75">
        <v>2020</v>
      </c>
      <c r="D25" s="75">
        <v>2021</v>
      </c>
      <c r="E25" s="75" t="s">
        <v>112</v>
      </c>
      <c r="F25" s="132"/>
    </row>
    <row r="26" spans="1:6" x14ac:dyDescent="0.35">
      <c r="A26" s="7" t="s">
        <v>25</v>
      </c>
      <c r="B26" s="21"/>
      <c r="C26" s="73">
        <f>C7/C18</f>
        <v>4912.8816684658705</v>
      </c>
      <c r="D26" s="73">
        <f>D7/D18</f>
        <v>4910.4488518831749</v>
      </c>
      <c r="E26" s="8">
        <f t="shared" ref="E26:E31" si="0">IFERROR((D26-C26)/C26, "")</f>
        <v>-4.9519136565225074E-4</v>
      </c>
      <c r="F26" s="7" t="s">
        <v>55</v>
      </c>
    </row>
    <row r="27" spans="1:6" x14ac:dyDescent="0.35">
      <c r="A27" s="7" t="s">
        <v>26</v>
      </c>
      <c r="B27" s="21"/>
      <c r="C27" s="73">
        <f>C8/C19</f>
        <v>11329.82355553418</v>
      </c>
      <c r="D27" s="73">
        <f>D8/D19</f>
        <v>10080.481175294255</v>
      </c>
      <c r="E27" s="8">
        <f t="shared" si="0"/>
        <v>-0.11027024155461533</v>
      </c>
      <c r="F27" s="7" t="s">
        <v>55</v>
      </c>
    </row>
    <row r="28" spans="1:6" s="20" customFormat="1" x14ac:dyDescent="0.35">
      <c r="A28" s="82" t="s">
        <v>86</v>
      </c>
      <c r="B28" s="83"/>
      <c r="C28" s="88">
        <f>C10/C20</f>
        <v>4428.3804110215769</v>
      </c>
      <c r="D28" s="88">
        <f>D10/D20</f>
        <v>3903.2444290932226</v>
      </c>
      <c r="E28" s="85">
        <f t="shared" si="0"/>
        <v>-0.11858420758554739</v>
      </c>
      <c r="F28" s="86" t="s">
        <v>108</v>
      </c>
    </row>
    <row r="29" spans="1:6" s="20" customFormat="1" x14ac:dyDescent="0.35">
      <c r="A29" s="70" t="s">
        <v>107</v>
      </c>
      <c r="B29" s="21"/>
      <c r="C29" s="73">
        <f>THCE_NCPHI!C35</f>
        <v>420.77867562267477</v>
      </c>
      <c r="D29" s="73">
        <f>THCE_NCPHI!D35</f>
        <v>533.72195891790216</v>
      </c>
      <c r="E29" s="69">
        <f t="shared" si="0"/>
        <v>0.2684149407716353</v>
      </c>
      <c r="F29" s="7"/>
    </row>
    <row r="30" spans="1:6" s="77" customFormat="1" x14ac:dyDescent="0.35">
      <c r="A30" s="70" t="str">
        <f>A12</f>
        <v>Medicaid CCO Other Spending</v>
      </c>
      <c r="B30" s="21"/>
      <c r="C30" s="73">
        <f>C12/C18</f>
        <v>1246.3085004664033</v>
      </c>
      <c r="D30" s="73">
        <f>D12/D18</f>
        <v>1172.711263376779</v>
      </c>
      <c r="E30" s="69">
        <f t="shared" si="0"/>
        <v>-5.9052182555187703E-2</v>
      </c>
      <c r="F30" s="7"/>
    </row>
    <row r="31" spans="1:6" x14ac:dyDescent="0.35">
      <c r="A31" s="43" t="s">
        <v>83</v>
      </c>
      <c r="B31" s="44"/>
      <c r="C31" s="74">
        <f>C13/C21</f>
        <v>6489.1693931837235</v>
      </c>
      <c r="D31" s="74">
        <f>D13/D21</f>
        <v>6475.4730870343164</v>
      </c>
      <c r="E31" s="46">
        <f t="shared" si="0"/>
        <v>-2.1106408724348878E-3</v>
      </c>
      <c r="F31" s="7" t="s">
        <v>248</v>
      </c>
    </row>
    <row r="32" spans="1:6" x14ac:dyDescent="0.35">
      <c r="C32" s="51"/>
    </row>
    <row r="33" spans="1:1" x14ac:dyDescent="0.35">
      <c r="A33" s="23"/>
    </row>
  </sheetData>
  <mergeCells count="12">
    <mergeCell ref="F16:F17"/>
    <mergeCell ref="F5:F6"/>
    <mergeCell ref="A24:A25"/>
    <mergeCell ref="B24:B25"/>
    <mergeCell ref="C24:D24"/>
    <mergeCell ref="F24:F25"/>
    <mergeCell ref="A5:A6"/>
    <mergeCell ref="B5:B6"/>
    <mergeCell ref="C5:D5"/>
    <mergeCell ref="A16:A17"/>
    <mergeCell ref="B16:B17"/>
    <mergeCell ref="C16:D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I41"/>
  <sheetViews>
    <sheetView zoomScaleNormal="100" workbookViewId="0"/>
  </sheetViews>
  <sheetFormatPr defaultRowHeight="14.5" x14ac:dyDescent="0.35"/>
  <cols>
    <col min="1" max="1" width="34.54296875" customWidth="1"/>
    <col min="2" max="2" width="17.7265625" style="20" customWidth="1"/>
    <col min="3" max="3" width="19.7265625" style="20" customWidth="1"/>
    <col min="4" max="4" width="20" style="20" bestFit="1" customWidth="1"/>
    <col min="5" max="5" width="16.453125" style="20" customWidth="1"/>
    <col min="6" max="6" width="34" style="20" customWidth="1"/>
  </cols>
  <sheetData>
    <row r="1" spans="1:9" ht="18.5" x14ac:dyDescent="0.45">
      <c r="A1" s="2" t="s">
        <v>113</v>
      </c>
      <c r="B1" s="2"/>
      <c r="C1" s="2"/>
      <c r="D1" s="2"/>
      <c r="E1" s="2"/>
    </row>
    <row r="2" spans="1:9" ht="15.5" x14ac:dyDescent="0.35">
      <c r="A2" s="29" t="s">
        <v>231</v>
      </c>
      <c r="B2" s="3"/>
      <c r="C2" s="4"/>
      <c r="D2" s="4"/>
      <c r="E2" s="4"/>
    </row>
    <row r="3" spans="1:9" ht="15.75" customHeight="1" x14ac:dyDescent="0.35">
      <c r="A3" s="31" t="s">
        <v>232</v>
      </c>
      <c r="B3" s="5"/>
      <c r="C3" s="6"/>
      <c r="D3" s="6"/>
      <c r="E3" s="6"/>
      <c r="I3" s="11"/>
    </row>
    <row r="4" spans="1:9" x14ac:dyDescent="0.35">
      <c r="I4" s="11"/>
    </row>
    <row r="5" spans="1:9" x14ac:dyDescent="0.35">
      <c r="A5" s="128" t="s">
        <v>13</v>
      </c>
      <c r="B5" s="131" t="s">
        <v>17</v>
      </c>
      <c r="C5" s="128" t="s">
        <v>1</v>
      </c>
      <c r="D5" s="128"/>
      <c r="E5" s="76" t="s">
        <v>2</v>
      </c>
      <c r="F5" s="131" t="s">
        <v>28</v>
      </c>
      <c r="I5" s="11"/>
    </row>
    <row r="6" spans="1:9" x14ac:dyDescent="0.35">
      <c r="A6" s="128"/>
      <c r="B6" s="132"/>
      <c r="C6" s="75">
        <v>2020</v>
      </c>
      <c r="D6" s="75">
        <v>2021</v>
      </c>
      <c r="E6" s="75" t="s">
        <v>112</v>
      </c>
      <c r="F6" s="132"/>
      <c r="I6" s="11"/>
    </row>
    <row r="7" spans="1:9" x14ac:dyDescent="0.35">
      <c r="A7" s="7" t="s">
        <v>8</v>
      </c>
      <c r="B7" s="7" t="s">
        <v>81</v>
      </c>
      <c r="C7" s="24">
        <v>690485727.19366169</v>
      </c>
      <c r="D7" s="24">
        <v>417335981.3116101</v>
      </c>
      <c r="E7" s="8">
        <f t="shared" ref="E7:E13" si="0">IFERROR((D7-C7)/C7, "")</f>
        <v>-0.39559071987224553</v>
      </c>
      <c r="F7" s="7"/>
      <c r="I7" s="11"/>
    </row>
    <row r="8" spans="1:9" s="20" customFormat="1" x14ac:dyDescent="0.35">
      <c r="A8" s="7" t="s">
        <v>15</v>
      </c>
      <c r="B8" s="7" t="s">
        <v>81</v>
      </c>
      <c r="C8" s="24">
        <v>171323263.77882835</v>
      </c>
      <c r="D8" s="24">
        <v>114610492.45443274</v>
      </c>
      <c r="E8" s="8">
        <f t="shared" si="0"/>
        <v>-0.33102784801957535</v>
      </c>
      <c r="F8" s="7"/>
      <c r="I8" s="11"/>
    </row>
    <row r="9" spans="1:9" x14ac:dyDescent="0.35">
      <c r="A9" s="7" t="s">
        <v>9</v>
      </c>
      <c r="B9" s="7" t="s">
        <v>18</v>
      </c>
      <c r="C9" s="24">
        <v>206702436.84697527</v>
      </c>
      <c r="D9" s="24">
        <v>229632925.90000001</v>
      </c>
      <c r="E9" s="8">
        <f t="shared" si="0"/>
        <v>0.11093477852900449</v>
      </c>
      <c r="F9" s="7"/>
      <c r="I9" s="11"/>
    </row>
    <row r="10" spans="1:9" s="20" customFormat="1" x14ac:dyDescent="0.35">
      <c r="A10" s="7" t="s">
        <v>78</v>
      </c>
      <c r="B10" s="7" t="s">
        <v>81</v>
      </c>
      <c r="C10" s="24">
        <v>216129209.72507191</v>
      </c>
      <c r="D10" s="24">
        <v>130379467.08251826</v>
      </c>
      <c r="E10" s="8">
        <f t="shared" si="0"/>
        <v>-0.39675221480535633</v>
      </c>
      <c r="F10" s="7"/>
      <c r="I10" s="11"/>
    </row>
    <row r="11" spans="1:9" s="20" customFormat="1" x14ac:dyDescent="0.35">
      <c r="A11" s="7" t="s">
        <v>79</v>
      </c>
      <c r="B11" s="7" t="s">
        <v>81</v>
      </c>
      <c r="C11" s="24">
        <v>0</v>
      </c>
      <c r="D11" s="24">
        <v>0</v>
      </c>
      <c r="E11" s="8" t="str">
        <f t="shared" si="0"/>
        <v/>
      </c>
      <c r="F11" s="7"/>
      <c r="I11" s="11"/>
    </row>
    <row r="12" spans="1:9" x14ac:dyDescent="0.35">
      <c r="A12" s="7" t="s">
        <v>11</v>
      </c>
      <c r="B12" s="7" t="s">
        <v>90</v>
      </c>
      <c r="C12" s="24">
        <v>734110760.16706169</v>
      </c>
      <c r="D12" s="24">
        <v>586605392.1989975</v>
      </c>
      <c r="E12" s="8">
        <f t="shared" si="0"/>
        <v>-0.20093067146229593</v>
      </c>
      <c r="F12" s="7" t="s">
        <v>227</v>
      </c>
      <c r="I12" s="11"/>
    </row>
    <row r="13" spans="1:9" x14ac:dyDescent="0.35">
      <c r="A13" s="7" t="s">
        <v>25</v>
      </c>
      <c r="B13" s="7" t="s">
        <v>99</v>
      </c>
      <c r="C13" s="24">
        <v>409572603.1281606</v>
      </c>
      <c r="D13" s="24">
        <v>590703494.03370452</v>
      </c>
      <c r="E13" s="8">
        <f t="shared" si="0"/>
        <v>0.44224366943036403</v>
      </c>
      <c r="F13" s="42" t="s">
        <v>228</v>
      </c>
      <c r="I13" s="11"/>
    </row>
    <row r="14" spans="1:9" x14ac:dyDescent="0.35">
      <c r="E14" s="9"/>
      <c r="I14" s="11"/>
    </row>
    <row r="16" spans="1:9" x14ac:dyDescent="0.35">
      <c r="A16" s="128" t="s">
        <v>13</v>
      </c>
      <c r="B16" s="131" t="s">
        <v>17</v>
      </c>
      <c r="C16" s="128" t="s">
        <v>43</v>
      </c>
      <c r="D16" s="128"/>
      <c r="E16" s="76" t="s">
        <v>2</v>
      </c>
      <c r="F16" s="131" t="s">
        <v>28</v>
      </c>
    </row>
    <row r="17" spans="1:6" x14ac:dyDescent="0.35">
      <c r="A17" s="128"/>
      <c r="B17" s="132"/>
      <c r="C17" s="75">
        <v>2020</v>
      </c>
      <c r="D17" s="75">
        <v>2021</v>
      </c>
      <c r="E17" s="75" t="s">
        <v>112</v>
      </c>
      <c r="F17" s="132"/>
    </row>
    <row r="18" spans="1:6" x14ac:dyDescent="0.35">
      <c r="A18" s="7" t="s">
        <v>8</v>
      </c>
      <c r="B18" s="7" t="s">
        <v>18</v>
      </c>
      <c r="C18" s="32">
        <v>632443.16666666663</v>
      </c>
      <c r="D18" s="32">
        <v>617200.16666666663</v>
      </c>
      <c r="E18" s="8">
        <f t="shared" ref="E18:E24" si="1">IFERROR((D18-C18)/C18, "")</f>
        <v>-2.4101770409409647E-2</v>
      </c>
      <c r="F18" s="7"/>
    </row>
    <row r="19" spans="1:6" x14ac:dyDescent="0.35">
      <c r="A19" s="7" t="s">
        <v>15</v>
      </c>
      <c r="B19" s="7" t="s">
        <v>18</v>
      </c>
      <c r="C19" s="32">
        <v>176621.16666666666</v>
      </c>
      <c r="D19" s="32">
        <v>173897.75</v>
      </c>
      <c r="E19" s="8">
        <f t="shared" si="1"/>
        <v>-1.5419537295926161E-2</v>
      </c>
      <c r="F19" s="7"/>
    </row>
    <row r="20" spans="1:6" x14ac:dyDescent="0.35">
      <c r="A20" s="7" t="s">
        <v>9</v>
      </c>
      <c r="B20" s="7" t="s">
        <v>18</v>
      </c>
      <c r="C20" s="32">
        <v>452199.91666666669</v>
      </c>
      <c r="D20" s="32">
        <v>450946.58333333331</v>
      </c>
      <c r="E20" s="8">
        <f t="shared" si="1"/>
        <v>-2.7716354805462085E-3</v>
      </c>
      <c r="F20" s="7"/>
    </row>
    <row r="21" spans="1:6" x14ac:dyDescent="0.35">
      <c r="A21" s="7" t="s">
        <v>78</v>
      </c>
      <c r="B21" s="7" t="s">
        <v>18</v>
      </c>
      <c r="C21" s="32">
        <v>171334.83333333334</v>
      </c>
      <c r="D21" s="32">
        <v>168657.91666666666</v>
      </c>
      <c r="E21" s="8">
        <f t="shared" si="1"/>
        <v>-1.5623890452321055E-2</v>
      </c>
      <c r="F21" s="7"/>
    </row>
    <row r="22" spans="1:6" x14ac:dyDescent="0.35">
      <c r="A22" s="7" t="s">
        <v>79</v>
      </c>
      <c r="B22" s="7" t="s">
        <v>18</v>
      </c>
      <c r="C22" s="32">
        <v>9116.3333333333339</v>
      </c>
      <c r="D22" s="32">
        <v>7386.333333333333</v>
      </c>
      <c r="E22" s="8">
        <f t="shared" si="1"/>
        <v>-0.18976927858422621</v>
      </c>
      <c r="F22" s="7"/>
    </row>
    <row r="23" spans="1:6" x14ac:dyDescent="0.35">
      <c r="A23" s="7" t="s">
        <v>11</v>
      </c>
      <c r="B23" s="7" t="s">
        <v>18</v>
      </c>
      <c r="C23" s="32">
        <f>THCE_Mcare!C17+THCE_Mcare!C18</f>
        <v>390803.91666666669</v>
      </c>
      <c r="D23" s="32">
        <f>THCE_Mcare!D17+THCE_Mcare!D18</f>
        <v>409209.25</v>
      </c>
      <c r="E23" s="8">
        <f t="shared" si="1"/>
        <v>4.7096082071848851E-2</v>
      </c>
      <c r="F23" s="42" t="s">
        <v>116</v>
      </c>
    </row>
    <row r="24" spans="1:6" x14ac:dyDescent="0.35">
      <c r="A24" s="7" t="s">
        <v>25</v>
      </c>
      <c r="B24" s="7" t="s">
        <v>18</v>
      </c>
      <c r="C24" s="32">
        <v>973368.25</v>
      </c>
      <c r="D24" s="32">
        <v>1106762.5833333333</v>
      </c>
      <c r="E24" s="8">
        <f t="shared" si="1"/>
        <v>0.13704405638188141</v>
      </c>
      <c r="F24" s="42" t="s">
        <v>229</v>
      </c>
    </row>
    <row r="27" spans="1:6" x14ac:dyDescent="0.35">
      <c r="A27" s="131" t="s">
        <v>24</v>
      </c>
      <c r="B27" s="131" t="s">
        <v>17</v>
      </c>
      <c r="C27" s="129" t="s">
        <v>82</v>
      </c>
      <c r="D27" s="130"/>
      <c r="E27" s="76" t="s">
        <v>2</v>
      </c>
      <c r="F27" s="131" t="s">
        <v>28</v>
      </c>
    </row>
    <row r="28" spans="1:6" x14ac:dyDescent="0.35">
      <c r="A28" s="132"/>
      <c r="B28" s="132"/>
      <c r="C28" s="75">
        <v>2020</v>
      </c>
      <c r="D28" s="75">
        <v>2021</v>
      </c>
      <c r="E28" s="75" t="s">
        <v>112</v>
      </c>
      <c r="F28" s="132"/>
    </row>
    <row r="29" spans="1:6" x14ac:dyDescent="0.35">
      <c r="A29" s="7" t="s">
        <v>8</v>
      </c>
      <c r="B29" s="21"/>
      <c r="C29" s="56">
        <f t="shared" ref="C29:D35" si="2">C7/C18</f>
        <v>1091.7751405757331</v>
      </c>
      <c r="D29" s="56">
        <f t="shared" si="2"/>
        <v>676.17606710239625</v>
      </c>
      <c r="E29" s="8">
        <f t="shared" ref="E29:E35" si="3">IFERROR((D29-C29)/C29, "")</f>
        <v>-0.38066361655219244</v>
      </c>
      <c r="F29" s="7"/>
    </row>
    <row r="30" spans="1:6" x14ac:dyDescent="0.35">
      <c r="A30" s="7" t="s">
        <v>15</v>
      </c>
      <c r="B30" s="21"/>
      <c r="C30" s="56">
        <f t="shared" si="2"/>
        <v>970.00414509866232</v>
      </c>
      <c r="D30" s="56">
        <f t="shared" si="2"/>
        <v>659.06828843060214</v>
      </c>
      <c r="E30" s="8">
        <f t="shared" si="3"/>
        <v>-0.32055105974463011</v>
      </c>
      <c r="F30" s="7"/>
    </row>
    <row r="31" spans="1:6" x14ac:dyDescent="0.35">
      <c r="A31" s="7" t="s">
        <v>9</v>
      </c>
      <c r="B31" s="21"/>
      <c r="C31" s="56">
        <f>C9/C20</f>
        <v>457.10410203225069</v>
      </c>
      <c r="D31" s="56">
        <f t="shared" si="2"/>
        <v>509.22422829459293</v>
      </c>
      <c r="E31" s="8">
        <f t="shared" si="3"/>
        <v>0.11402244265719789</v>
      </c>
      <c r="F31" s="7"/>
    </row>
    <row r="32" spans="1:6" x14ac:dyDescent="0.35">
      <c r="A32" s="7" t="s">
        <v>78</v>
      </c>
      <c r="B32" s="21"/>
      <c r="C32" s="56">
        <f t="shared" si="2"/>
        <v>1261.4434877033482</v>
      </c>
      <c r="D32" s="56">
        <f t="shared" si="2"/>
        <v>773.04089638554331</v>
      </c>
      <c r="E32" s="8">
        <f t="shared" si="3"/>
        <v>-0.38717754388428205</v>
      </c>
      <c r="F32" s="7"/>
    </row>
    <row r="33" spans="1:6" x14ac:dyDescent="0.35">
      <c r="A33" s="7" t="s">
        <v>79</v>
      </c>
      <c r="B33" s="21"/>
      <c r="C33" s="56">
        <f t="shared" si="2"/>
        <v>0</v>
      </c>
      <c r="D33" s="56">
        <f t="shared" si="2"/>
        <v>0</v>
      </c>
      <c r="E33" s="8" t="str">
        <f t="shared" si="3"/>
        <v/>
      </c>
      <c r="F33" s="7"/>
    </row>
    <row r="34" spans="1:6" x14ac:dyDescent="0.35">
      <c r="A34" s="7" t="s">
        <v>11</v>
      </c>
      <c r="B34" s="21"/>
      <c r="C34" s="56">
        <f>C12/C23</f>
        <v>1878.4631598081348</v>
      </c>
      <c r="D34" s="56">
        <f t="shared" si="2"/>
        <v>1433.509609567715</v>
      </c>
      <c r="E34" s="8">
        <f t="shared" si="3"/>
        <v>-0.23687105489248306</v>
      </c>
      <c r="F34" s="27"/>
    </row>
    <row r="35" spans="1:6" x14ac:dyDescent="0.35">
      <c r="A35" s="7" t="s">
        <v>25</v>
      </c>
      <c r="B35" s="21"/>
      <c r="C35" s="56">
        <f t="shared" si="2"/>
        <v>420.77867562267477</v>
      </c>
      <c r="D35" s="56">
        <f t="shared" si="2"/>
        <v>533.72195891790216</v>
      </c>
      <c r="E35" s="8">
        <f t="shared" si="3"/>
        <v>0.2684149407716353</v>
      </c>
      <c r="F35" s="65"/>
    </row>
    <row r="41" spans="1:6" x14ac:dyDescent="0.35">
      <c r="A41" s="23"/>
    </row>
  </sheetData>
  <mergeCells count="12">
    <mergeCell ref="A27:A28"/>
    <mergeCell ref="B27:B28"/>
    <mergeCell ref="C27:D27"/>
    <mergeCell ref="F27:F28"/>
    <mergeCell ref="A5:A6"/>
    <mergeCell ref="C5:D5"/>
    <mergeCell ref="F5:F6"/>
    <mergeCell ref="A16:A17"/>
    <mergeCell ref="C16:D16"/>
    <mergeCell ref="F16:F17"/>
    <mergeCell ref="B5:B6"/>
    <mergeCell ref="B16:B1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H25"/>
  <sheetViews>
    <sheetView zoomScaleNormal="100" workbookViewId="0">
      <selection activeCell="A10" sqref="A10"/>
    </sheetView>
  </sheetViews>
  <sheetFormatPr defaultRowHeight="14.5" x14ac:dyDescent="0.35"/>
  <cols>
    <col min="1" max="1" width="39.81640625" customWidth="1"/>
    <col min="2" max="2" width="15.7265625" style="20" customWidth="1"/>
    <col min="3" max="3" width="19.7265625" style="20" customWidth="1"/>
    <col min="4" max="4" width="20" style="20" bestFit="1" customWidth="1"/>
    <col min="5" max="5" width="16.7265625" style="20" customWidth="1"/>
    <col min="6" max="6" width="21.26953125" style="20" customWidth="1"/>
  </cols>
  <sheetData>
    <row r="1" spans="1:8" ht="18.5" x14ac:dyDescent="0.45">
      <c r="A1" s="2" t="s">
        <v>111</v>
      </c>
      <c r="B1" s="28"/>
      <c r="C1" s="28"/>
      <c r="D1" s="28"/>
      <c r="E1" s="28"/>
    </row>
    <row r="2" spans="1:8" ht="15.5" x14ac:dyDescent="0.35">
      <c r="A2" s="29" t="s">
        <v>230</v>
      </c>
      <c r="B2" s="29"/>
      <c r="C2" s="30"/>
      <c r="D2" s="30"/>
      <c r="E2" s="30"/>
    </row>
    <row r="3" spans="1:8" ht="15.75" customHeight="1" x14ac:dyDescent="0.35">
      <c r="A3" s="5"/>
      <c r="B3" s="31"/>
      <c r="C3" s="6"/>
      <c r="D3" s="6"/>
      <c r="E3" s="6"/>
    </row>
    <row r="4" spans="1:8" x14ac:dyDescent="0.35">
      <c r="H4" s="12"/>
    </row>
    <row r="5" spans="1:8" x14ac:dyDescent="0.35">
      <c r="A5" s="131" t="s">
        <v>5</v>
      </c>
      <c r="B5" s="131" t="s">
        <v>17</v>
      </c>
      <c r="C5" s="129" t="s">
        <v>1</v>
      </c>
      <c r="D5" s="130"/>
      <c r="E5" s="76" t="s">
        <v>2</v>
      </c>
      <c r="F5" s="131" t="s">
        <v>28</v>
      </c>
      <c r="H5" s="12"/>
    </row>
    <row r="6" spans="1:8" x14ac:dyDescent="0.35">
      <c r="A6" s="132"/>
      <c r="B6" s="132"/>
      <c r="C6" s="75">
        <v>2020</v>
      </c>
      <c r="D6" s="75">
        <v>2021</v>
      </c>
      <c r="E6" s="75" t="s">
        <v>112</v>
      </c>
      <c r="F6" s="132"/>
      <c r="H6" s="12"/>
    </row>
    <row r="7" spans="1:8" x14ac:dyDescent="0.35">
      <c r="A7" s="7" t="s">
        <v>10</v>
      </c>
      <c r="B7" s="79" t="s">
        <v>10</v>
      </c>
      <c r="C7" s="26">
        <v>1644108455.4814372</v>
      </c>
      <c r="D7" s="26">
        <v>1577274241.3569672</v>
      </c>
      <c r="E7" s="8">
        <f>IFERROR((D7-C7)/C7, "")</f>
        <v>-4.0650733168876754E-2</v>
      </c>
      <c r="F7" s="7"/>
      <c r="H7" s="12"/>
    </row>
    <row r="8" spans="1:8" x14ac:dyDescent="0.35">
      <c r="A8" s="7" t="s">
        <v>20</v>
      </c>
      <c r="B8" s="79" t="s">
        <v>225</v>
      </c>
      <c r="C8" s="26">
        <v>157818273.87</v>
      </c>
      <c r="D8" s="26">
        <v>239840432.63999999</v>
      </c>
      <c r="E8" s="8">
        <f>IFERROR((D8-C8)/C8, "")</f>
        <v>0.51972535726480118</v>
      </c>
      <c r="F8" s="7"/>
    </row>
    <row r="9" spans="1:8" s="20" customFormat="1" x14ac:dyDescent="0.35">
      <c r="A9" s="13" t="s">
        <v>52</v>
      </c>
      <c r="B9" s="79" t="s">
        <v>226</v>
      </c>
      <c r="C9" s="26">
        <v>242363046</v>
      </c>
      <c r="D9" s="26">
        <v>339630521</v>
      </c>
      <c r="E9" s="8">
        <f>IFERROR((D9-C9)/C9, "")</f>
        <v>0.40132964412404687</v>
      </c>
      <c r="F9" s="7"/>
      <c r="G9" s="67"/>
    </row>
    <row r="10" spans="1:8" s="20" customFormat="1" x14ac:dyDescent="0.35">
      <c r="A10" s="13" t="s">
        <v>91</v>
      </c>
      <c r="B10" s="79" t="s">
        <v>226</v>
      </c>
      <c r="C10" s="26">
        <v>3253793</v>
      </c>
      <c r="D10" s="26">
        <v>2284067</v>
      </c>
      <c r="E10" s="8">
        <f>IFERROR((D10-C10)/C10, "")</f>
        <v>-0.29802940752530971</v>
      </c>
      <c r="F10" s="7"/>
      <c r="G10" s="67"/>
    </row>
    <row r="11" spans="1:8" x14ac:dyDescent="0.35">
      <c r="B11" s="66"/>
      <c r="D11" s="11"/>
    </row>
    <row r="12" spans="1:8" x14ac:dyDescent="0.35">
      <c r="D12" s="11"/>
    </row>
    <row r="13" spans="1:8" x14ac:dyDescent="0.35">
      <c r="A13" s="131" t="s">
        <v>24</v>
      </c>
      <c r="B13" s="131" t="s">
        <v>17</v>
      </c>
      <c r="C13" s="128" t="s">
        <v>43</v>
      </c>
      <c r="D13" s="128"/>
      <c r="E13" s="76" t="s">
        <v>2</v>
      </c>
      <c r="F13" s="131" t="s">
        <v>28</v>
      </c>
    </row>
    <row r="14" spans="1:8" x14ac:dyDescent="0.35">
      <c r="A14" s="132"/>
      <c r="B14" s="132"/>
      <c r="C14" s="75">
        <v>2020</v>
      </c>
      <c r="D14" s="75">
        <v>2021</v>
      </c>
      <c r="E14" s="75" t="s">
        <v>112</v>
      </c>
      <c r="F14" s="132"/>
    </row>
    <row r="15" spans="1:8" x14ac:dyDescent="0.35">
      <c r="A15" s="7" t="s">
        <v>10</v>
      </c>
      <c r="B15" s="79" t="s">
        <v>10</v>
      </c>
      <c r="C15" s="32">
        <v>103494</v>
      </c>
      <c r="D15" s="32">
        <v>103569</v>
      </c>
      <c r="E15" s="8">
        <f>IFERROR((D15-C15)/C15, "")</f>
        <v>7.2467969157632322E-4</v>
      </c>
      <c r="F15" s="7"/>
    </row>
    <row r="16" spans="1:8" x14ac:dyDescent="0.35">
      <c r="A16" s="7" t="s">
        <v>20</v>
      </c>
      <c r="B16" s="79" t="s">
        <v>225</v>
      </c>
      <c r="C16" s="32">
        <v>13791</v>
      </c>
      <c r="D16" s="32">
        <v>12468</v>
      </c>
      <c r="E16" s="8">
        <f>IFERROR((D16-C16)/C16, "")</f>
        <v>-9.5932129649771589E-2</v>
      </c>
      <c r="F16" s="7"/>
    </row>
    <row r="17" spans="1:7" s="20" customFormat="1" x14ac:dyDescent="0.35">
      <c r="A17" s="13" t="s">
        <v>91</v>
      </c>
      <c r="B17" s="79" t="s">
        <v>226</v>
      </c>
      <c r="C17" s="32">
        <v>316633</v>
      </c>
      <c r="D17" s="32">
        <v>318886</v>
      </c>
      <c r="E17" s="8">
        <f>IFERROR((D17-C17)/C17, "")</f>
        <v>7.1154933313962851E-3</v>
      </c>
      <c r="F17" s="7"/>
      <c r="G17" s="67"/>
    </row>
    <row r="18" spans="1:7" s="20" customFormat="1" x14ac:dyDescent="0.35">
      <c r="A18" s="16"/>
      <c r="B18" s="36"/>
      <c r="C18" s="37"/>
      <c r="D18" s="37"/>
      <c r="E18" s="17"/>
      <c r="F18" s="16"/>
    </row>
    <row r="19" spans="1:7" s="20" customFormat="1" x14ac:dyDescent="0.35">
      <c r="A19" s="16"/>
      <c r="B19" s="36"/>
      <c r="C19" s="37"/>
      <c r="D19" s="37"/>
      <c r="E19" s="17"/>
      <c r="F19" s="16"/>
    </row>
    <row r="20" spans="1:7" x14ac:dyDescent="0.35">
      <c r="A20" s="131" t="s">
        <v>24</v>
      </c>
      <c r="B20" s="131" t="s">
        <v>17</v>
      </c>
      <c r="C20" s="129" t="s">
        <v>82</v>
      </c>
      <c r="D20" s="130"/>
      <c r="E20" s="76" t="s">
        <v>2</v>
      </c>
      <c r="F20" s="131" t="s">
        <v>28</v>
      </c>
    </row>
    <row r="21" spans="1:7" x14ac:dyDescent="0.35">
      <c r="A21" s="132"/>
      <c r="B21" s="132"/>
      <c r="C21" s="75">
        <v>2020</v>
      </c>
      <c r="D21" s="75">
        <v>2021</v>
      </c>
      <c r="E21" s="75" t="s">
        <v>112</v>
      </c>
      <c r="F21" s="132"/>
    </row>
    <row r="22" spans="1:7" x14ac:dyDescent="0.35">
      <c r="A22" s="7" t="s">
        <v>10</v>
      </c>
      <c r="B22" s="22"/>
      <c r="C22" s="24">
        <f>C7/C15</f>
        <v>15886.026779150841</v>
      </c>
      <c r="D22" s="24">
        <f>D7/D15</f>
        <v>15229.21184289669</v>
      </c>
      <c r="E22" s="8">
        <f>IFERROR((D22-C22)/C22, "")</f>
        <v>-4.1345450652026446E-2</v>
      </c>
      <c r="F22" s="7"/>
    </row>
    <row r="23" spans="1:7" x14ac:dyDescent="0.35">
      <c r="A23" s="7" t="s">
        <v>20</v>
      </c>
      <c r="B23" s="22"/>
      <c r="C23" s="24">
        <f>C8/C16</f>
        <v>11443.57</v>
      </c>
      <c r="D23" s="24">
        <f>D8/D16</f>
        <v>19236.48</v>
      </c>
      <c r="E23" s="8">
        <f>IFERROR((D23-C23)/C23, "")</f>
        <v>0.68098591610834736</v>
      </c>
      <c r="F23" s="7"/>
    </row>
    <row r="24" spans="1:7" x14ac:dyDescent="0.35">
      <c r="A24" s="13" t="s">
        <v>52</v>
      </c>
      <c r="B24" s="89"/>
      <c r="C24" s="10">
        <f>C9/THCE_Statewide!B27</f>
        <v>71.588552946389015</v>
      </c>
      <c r="D24" s="10">
        <f>D9/THCE_Statewide!C27</f>
        <v>96.823222485315142</v>
      </c>
      <c r="E24" s="8">
        <f>IFERROR((D24-C24)/C24, "")</f>
        <v>0.35249587399571797</v>
      </c>
      <c r="F24" s="7"/>
    </row>
    <row r="25" spans="1:7" s="20" customFormat="1" x14ac:dyDescent="0.35">
      <c r="A25" s="13" t="s">
        <v>91</v>
      </c>
      <c r="B25" s="89"/>
      <c r="C25" s="10">
        <f>C10/C17</f>
        <v>10.276228314799784</v>
      </c>
      <c r="D25" s="10">
        <f t="shared" ref="D25" si="0">D10/D17</f>
        <v>7.1626443305758167</v>
      </c>
      <c r="E25" s="8">
        <f>IFERROR((D25-C25)/C25, "")</f>
        <v>-0.30298898475618685</v>
      </c>
      <c r="F25" s="7"/>
    </row>
  </sheetData>
  <mergeCells count="12">
    <mergeCell ref="A20:A21"/>
    <mergeCell ref="B20:B21"/>
    <mergeCell ref="C20:D20"/>
    <mergeCell ref="F20:F21"/>
    <mergeCell ref="F5:F6"/>
    <mergeCell ref="F13:F14"/>
    <mergeCell ref="A13:A14"/>
    <mergeCell ref="B13:B14"/>
    <mergeCell ref="C13:D13"/>
    <mergeCell ref="A5:A6"/>
    <mergeCell ref="B5:B6"/>
    <mergeCell ref="C5:D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DB03-06ED-4D49-95CF-C3BCABD3023D}">
  <sheetPr>
    <tabColor theme="5"/>
  </sheetPr>
  <dimension ref="A1:K55"/>
  <sheetViews>
    <sheetView zoomScaleNormal="100" workbookViewId="0">
      <selection activeCell="D3" sqref="D3"/>
    </sheetView>
  </sheetViews>
  <sheetFormatPr defaultRowHeight="14.5" x14ac:dyDescent="0.35"/>
  <cols>
    <col min="1" max="1" width="37.7265625" style="20" customWidth="1"/>
    <col min="2" max="2" width="19.7265625" style="20" customWidth="1"/>
    <col min="3" max="3" width="20" style="20" bestFit="1" customWidth="1"/>
    <col min="4" max="4" width="16.453125" style="20" customWidth="1"/>
    <col min="5" max="5" width="17.7265625" style="20" customWidth="1"/>
    <col min="7" max="7" width="38.1796875" style="20" customWidth="1"/>
    <col min="8" max="8" width="19.7265625" style="20" customWidth="1"/>
    <col min="9" max="9" width="20" style="20" bestFit="1" customWidth="1"/>
    <col min="10" max="10" width="16.453125" style="20" customWidth="1"/>
    <col min="11" max="11" width="20.7265625" style="20" customWidth="1"/>
  </cols>
  <sheetData>
    <row r="1" spans="1:11" ht="18.5" x14ac:dyDescent="0.45">
      <c r="A1" s="2" t="s">
        <v>111</v>
      </c>
      <c r="B1" s="2"/>
      <c r="C1" s="2"/>
      <c r="D1" s="2"/>
      <c r="G1" s="2"/>
      <c r="H1" s="2"/>
      <c r="I1" s="2"/>
      <c r="J1" s="2"/>
    </row>
    <row r="2" spans="1:11" ht="15.5" x14ac:dyDescent="0.35">
      <c r="A2" s="29" t="s">
        <v>217</v>
      </c>
      <c r="B2" s="30"/>
      <c r="C2" s="30"/>
      <c r="D2" s="30" t="s">
        <v>124</v>
      </c>
      <c r="G2" s="3"/>
      <c r="H2" s="4"/>
      <c r="I2" s="4"/>
      <c r="J2" s="4"/>
    </row>
    <row r="3" spans="1:11" ht="15.5" x14ac:dyDescent="0.35">
      <c r="A3" s="31" t="s">
        <v>218</v>
      </c>
      <c r="B3" s="6"/>
      <c r="C3" s="6"/>
      <c r="D3" s="31" t="s">
        <v>125</v>
      </c>
      <c r="G3" s="5"/>
      <c r="H3" s="6"/>
      <c r="I3" s="6"/>
      <c r="J3" s="6"/>
    </row>
    <row r="4" spans="1:11" ht="15.5" x14ac:dyDescent="0.35">
      <c r="A4" s="5"/>
      <c r="B4" s="6"/>
      <c r="C4" s="6"/>
      <c r="D4" s="6"/>
      <c r="G4" s="5"/>
      <c r="H4" s="6"/>
      <c r="I4" s="6"/>
      <c r="J4" s="6"/>
    </row>
    <row r="5" spans="1:11" x14ac:dyDescent="0.35">
      <c r="A5" s="34" t="s">
        <v>94</v>
      </c>
      <c r="C5" s="77"/>
      <c r="G5" s="34" t="s">
        <v>96</v>
      </c>
    </row>
    <row r="6" spans="1:11" x14ac:dyDescent="0.35">
      <c r="A6" s="128" t="s">
        <v>7</v>
      </c>
      <c r="B6" s="128" t="s">
        <v>1</v>
      </c>
      <c r="C6" s="128"/>
      <c r="D6" s="76" t="s">
        <v>2</v>
      </c>
      <c r="E6" s="131" t="s">
        <v>28</v>
      </c>
      <c r="G6" s="128" t="s">
        <v>7</v>
      </c>
      <c r="H6" s="128" t="s">
        <v>1</v>
      </c>
      <c r="I6" s="128"/>
      <c r="J6" s="76" t="s">
        <v>2</v>
      </c>
      <c r="K6" s="131" t="s">
        <v>28</v>
      </c>
    </row>
    <row r="7" spans="1:11" x14ac:dyDescent="0.35">
      <c r="A7" s="128"/>
      <c r="B7" s="75">
        <v>2020</v>
      </c>
      <c r="C7" s="75">
        <v>2021</v>
      </c>
      <c r="D7" s="75" t="s">
        <v>112</v>
      </c>
      <c r="E7" s="132"/>
      <c r="G7" s="128"/>
      <c r="H7" s="75">
        <v>2020</v>
      </c>
      <c r="I7" s="75">
        <v>2021</v>
      </c>
      <c r="J7" s="75" t="s">
        <v>112</v>
      </c>
      <c r="K7" s="132"/>
    </row>
    <row r="8" spans="1:11" x14ac:dyDescent="0.35">
      <c r="A8" s="48" t="s">
        <v>95</v>
      </c>
      <c r="B8" s="119">
        <f>TME_Comm_ServCat!B8/12+TME_Mcare_ServCat!B8/12+TME_Mcare_ServCat!H8+(TME_Maid_ServCat!B8-TME_Maid_ServCat!H8)/12</f>
        <v>3268215</v>
      </c>
      <c r="C8" s="119">
        <f>TME_Comm_ServCat!C8/12+TME_Mcare_ServCat!C8/12+TME_Mcare_ServCat!I8+(TME_Maid_ServCat!C8-TME_Maid_ServCat!I8)/12</f>
        <v>3391701.25</v>
      </c>
      <c r="D8" s="120">
        <f t="shared" ref="D8:D24" si="0">IFERROR((C8-B8)/B8, "")</f>
        <v>3.778400441831397E-2</v>
      </c>
      <c r="E8" s="13"/>
      <c r="G8" s="48" t="s">
        <v>95</v>
      </c>
      <c r="H8" s="119">
        <f>B8-TME_Mcare_ServCat!H8</f>
        <v>2799558</v>
      </c>
      <c r="I8" s="119">
        <f>C8-TME_Mcare_ServCat!I8</f>
        <v>2932639.25</v>
      </c>
      <c r="J8" s="120">
        <f t="shared" ref="J8:J18" si="1">IFERROR((I8-H8)/H8, "")</f>
        <v>4.7536521836661356E-2</v>
      </c>
      <c r="K8" s="13"/>
    </row>
    <row r="9" spans="1:11" s="77" customFormat="1" x14ac:dyDescent="0.35">
      <c r="A9" s="7" t="s">
        <v>31</v>
      </c>
      <c r="B9" s="24">
        <f>TME_Comm_ServCat!B10+TME_Maid_ServCat!B10+TME_Mcare_ServCat!B10+TME_Mcare_ServCat!H9</f>
        <v>4499047990.438199</v>
      </c>
      <c r="C9" s="24">
        <f>TME_Comm_ServCat!C10+TME_Maid_ServCat!C10+TME_Mcare_ServCat!C10+TME_Mcare_ServCat!I9</f>
        <v>4854654234.1774702</v>
      </c>
      <c r="D9" s="8">
        <f t="shared" si="0"/>
        <v>7.9040331308987827E-2</v>
      </c>
      <c r="E9" s="7"/>
      <c r="G9" s="48" t="s">
        <v>118</v>
      </c>
      <c r="H9" s="121">
        <v>1.0003077772131761</v>
      </c>
      <c r="I9" s="121">
        <v>1.015732115076811</v>
      </c>
      <c r="J9" s="120">
        <f t="shared" si="1"/>
        <v>1.5419592064561009E-2</v>
      </c>
      <c r="K9" s="13"/>
    </row>
    <row r="10" spans="1:11" x14ac:dyDescent="0.35">
      <c r="A10" s="7" t="s">
        <v>32</v>
      </c>
      <c r="B10" s="24">
        <f>TME_Comm_ServCat!B11+TME_Maid_ServCat!B11+TME_Mcare_ServCat!B11+TME_Mcare_ServCat!H10</f>
        <v>3999051244.7903862</v>
      </c>
      <c r="C10" s="24">
        <f>TME_Comm_ServCat!C11+TME_Maid_ServCat!C11+TME_Mcare_ServCat!C11+TME_Mcare_ServCat!I10</f>
        <v>4567746002.2840462</v>
      </c>
      <c r="D10" s="8">
        <f t="shared" si="0"/>
        <v>0.14220741938091083</v>
      </c>
      <c r="E10" s="7"/>
      <c r="G10" s="7" t="s">
        <v>31</v>
      </c>
      <c r="H10" s="24">
        <f>TME_Comm_ServCat!B10+TME_Maid_ServCat!B10+TME_Mcare_ServCat!B10</f>
        <v>3206163317.438199</v>
      </c>
      <c r="I10" s="24">
        <f>TME_Comm_ServCat!C10+TME_Maid_ServCat!C10+TME_Mcare_ServCat!C10</f>
        <v>3529367638.1774702</v>
      </c>
      <c r="J10" s="8">
        <f t="shared" si="1"/>
        <v>0.10080719187989436</v>
      </c>
      <c r="K10" s="7"/>
    </row>
    <row r="11" spans="1:11" x14ac:dyDescent="0.35">
      <c r="A11" s="7" t="s">
        <v>93</v>
      </c>
      <c r="B11" s="24">
        <f>SUM(TME_Comm_ServCat!B12:B15)+SUM(TME_Maid_ServCat!B12:B15)+SUM(TME_Mcare_ServCat!B12:B15)+SUM(TME_Mcare_ServCat!H11:H12)</f>
        <v>5409733638.4663925</v>
      </c>
      <c r="C11" s="24">
        <f>SUM(TME_Comm_ServCat!C12:C15)+SUM(TME_Maid_ServCat!C12:C15)+SUM(TME_Mcare_ServCat!C12:C15)+SUM(TME_Mcare_ServCat!I11:I12)</f>
        <v>6178096330.6280766</v>
      </c>
      <c r="D11" s="8">
        <f t="shared" si="0"/>
        <v>0.14203336864835131</v>
      </c>
      <c r="E11" s="7"/>
      <c r="G11" s="7" t="s">
        <v>32</v>
      </c>
      <c r="H11" s="24">
        <f>TME_Comm_ServCat!B11+TME_Maid_ServCat!B11+TME_Mcare_ServCat!B11</f>
        <v>3154791527.7903862</v>
      </c>
      <c r="I11" s="24">
        <f>TME_Comm_ServCat!C11+TME_Maid_ServCat!C11+TME_Mcare_ServCat!C11</f>
        <v>3682966980.2840466</v>
      </c>
      <c r="J11" s="8">
        <f t="shared" si="1"/>
        <v>0.16742008080121673</v>
      </c>
      <c r="K11" s="7"/>
    </row>
    <row r="12" spans="1:11" x14ac:dyDescent="0.35">
      <c r="A12" s="7" t="s">
        <v>37</v>
      </c>
      <c r="B12" s="24">
        <f>TME_Comm_ServCat!B16+TME_Maid_ServCat!B16+TME_Mcare_ServCat!B16+SUM(TME_Mcare_ServCat!H13:H14)</f>
        <v>801607114.69469988</v>
      </c>
      <c r="C12" s="24">
        <f>TME_Comm_ServCat!C16+TME_Maid_ServCat!C16+TME_Mcare_ServCat!C16+SUM(TME_Mcare_ServCat!I13:I14)</f>
        <v>791917930.06149995</v>
      </c>
      <c r="D12" s="8">
        <f t="shared" si="0"/>
        <v>-1.2087198897791911E-2</v>
      </c>
      <c r="E12" s="7"/>
      <c r="G12" s="7" t="s">
        <v>33</v>
      </c>
      <c r="H12" s="24">
        <f>TME_Comm_ServCat!B12+TME_Maid_ServCat!B12+TME_Mcare_ServCat!B12</f>
        <v>1039114842.235903</v>
      </c>
      <c r="I12" s="24">
        <f>TME_Comm_ServCat!C12+TME_Maid_ServCat!C12+TME_Mcare_ServCat!C12</f>
        <v>1221926523.0450096</v>
      </c>
      <c r="J12" s="8">
        <f t="shared" si="1"/>
        <v>0.17593019883706379</v>
      </c>
      <c r="K12" s="7"/>
    </row>
    <row r="13" spans="1:11" x14ac:dyDescent="0.35">
      <c r="A13" s="13" t="s">
        <v>56</v>
      </c>
      <c r="B13" s="24">
        <f>TME_Comm_ServCat!B17+TME_Maid_ServCat!B17+TME_Mcare_ServCat!B17+TME_Mcare_ServCat!H19</f>
        <v>4160294006.3886881</v>
      </c>
      <c r="C13" s="24">
        <f>TME_Comm_ServCat!C17+TME_Maid_ServCat!C17+TME_Mcare_ServCat!C17+TME_Mcare_ServCat!I19</f>
        <v>4528082600.3701172</v>
      </c>
      <c r="D13" s="8">
        <f t="shared" si="0"/>
        <v>8.8404471755275105E-2</v>
      </c>
      <c r="E13" s="7"/>
      <c r="G13" s="7" t="s">
        <v>34</v>
      </c>
      <c r="H13" s="24">
        <f>TME_Comm_ServCat!B13+TME_Maid_ServCat!B13+TME_Mcare_ServCat!B13</f>
        <v>1830748668.5491152</v>
      </c>
      <c r="I13" s="24">
        <f>TME_Comm_ServCat!C13+TME_Maid_ServCat!C13+TME_Mcare_ServCat!C13</f>
        <v>2088105399.6111097</v>
      </c>
      <c r="J13" s="8">
        <f t="shared" si="1"/>
        <v>0.14057458322007252</v>
      </c>
      <c r="K13" s="7"/>
    </row>
    <row r="14" spans="1:11" x14ac:dyDescent="0.35">
      <c r="A14" s="13" t="s">
        <v>57</v>
      </c>
      <c r="B14" s="24">
        <f>TME_Comm_ServCat!B18+TME_Maid_ServCat!B18+TME_Mcare_ServCat!B18+TME_Mcare_ServCat!H19</f>
        <v>3223855287.9112406</v>
      </c>
      <c r="C14" s="24">
        <f>TME_Comm_ServCat!C18+TME_Maid_ServCat!C18+TME_Mcare_ServCat!C18+TME_Mcare_ServCat!I19</f>
        <v>3467547623.9267039</v>
      </c>
      <c r="D14" s="8">
        <f t="shared" si="0"/>
        <v>7.559034579785788E-2</v>
      </c>
      <c r="E14" s="47"/>
      <c r="G14" s="7" t="s">
        <v>35</v>
      </c>
      <c r="H14" s="24">
        <f>TME_Comm_ServCat!B14+TME_Maid_ServCat!B14+TME_Mcare_ServCat!B14</f>
        <v>718812228.9282161</v>
      </c>
      <c r="I14" s="24">
        <f>TME_Comm_ServCat!C14+TME_Maid_ServCat!C14+TME_Mcare_ServCat!C14</f>
        <v>802875905.19535875</v>
      </c>
      <c r="J14" s="8">
        <f t="shared" si="1"/>
        <v>0.1169480329967197</v>
      </c>
      <c r="K14" s="7"/>
    </row>
    <row r="15" spans="1:11" x14ac:dyDescent="0.35">
      <c r="A15" s="13" t="s">
        <v>38</v>
      </c>
      <c r="B15" s="24">
        <f>TME_Comm_ServCat!B19+TME_Maid_ServCat!B19+TME_Mcare_ServCat!B19+SUM(TME_Mcare_ServCat!H15:H18)</f>
        <v>1872351300.8468161</v>
      </c>
      <c r="C15" s="24">
        <f>TME_Comm_ServCat!C19+TME_Maid_ServCat!C19+TME_Mcare_ServCat!C19+SUM(TME_Mcare_ServCat!I15:I18)</f>
        <v>2066463250.3050361</v>
      </c>
      <c r="D15" s="8">
        <f t="shared" si="0"/>
        <v>0.10367282537760313</v>
      </c>
      <c r="E15" s="7"/>
      <c r="G15" s="7" t="s">
        <v>36</v>
      </c>
      <c r="H15" s="24">
        <f>TME_Comm_ServCat!B15+TME_Maid_ServCat!B15+TME_Mcare_ServCat!B15</f>
        <v>793676679.75315797</v>
      </c>
      <c r="I15" s="24">
        <f>TME_Comm_ServCat!C15+TME_Maid_ServCat!C15+TME_Mcare_ServCat!C15</f>
        <v>920869131.77659869</v>
      </c>
      <c r="J15" s="8">
        <f t="shared" si="1"/>
        <v>0.16025726252029851</v>
      </c>
      <c r="K15" s="7"/>
    </row>
    <row r="16" spans="1:11" x14ac:dyDescent="0.35">
      <c r="A16" s="13" t="s">
        <v>45</v>
      </c>
      <c r="B16" s="24">
        <f>TME_Comm_ServCat!B20+TME_Maid_ServCat!B20+TME_Mcare_ServCat!B20</f>
        <v>874504016.27529252</v>
      </c>
      <c r="C16" s="24">
        <f>TME_Comm_ServCat!C20+TME_Maid_ServCat!C20+TME_Mcare_ServCat!C20</f>
        <v>940219823.02733326</v>
      </c>
      <c r="D16" s="8">
        <f t="shared" si="0"/>
        <v>7.5146375006874197E-2</v>
      </c>
      <c r="E16" s="7"/>
      <c r="G16" s="7" t="s">
        <v>37</v>
      </c>
      <c r="H16" s="24">
        <f>TME_Comm_ServCat!B16+TME_Maid_ServCat!B16+TME_Mcare_ServCat!B16</f>
        <v>442171717.69469988</v>
      </c>
      <c r="I16" s="24">
        <f>TME_Comm_ServCat!C16+TME_Maid_ServCat!C16+TME_Mcare_ServCat!C16</f>
        <v>442112299.06149995</v>
      </c>
      <c r="J16" s="8">
        <f t="shared" si="1"/>
        <v>-1.3437909034461616E-4</v>
      </c>
      <c r="K16" s="7"/>
    </row>
    <row r="17" spans="1:11" x14ac:dyDescent="0.35">
      <c r="A17" s="13" t="s">
        <v>46</v>
      </c>
      <c r="B17" s="24">
        <f>TME_Comm_ServCat!B21+TME_Maid_ServCat!B21+TME_Mcare_ServCat!B21</f>
        <v>314146391.96914822</v>
      </c>
      <c r="C17" s="24">
        <f>TME_Comm_ServCat!C21+TME_Maid_ServCat!C21+TME_Mcare_ServCat!C21</f>
        <v>333673075.55013907</v>
      </c>
      <c r="D17" s="8">
        <f t="shared" si="0"/>
        <v>6.2157911343793289E-2</v>
      </c>
      <c r="E17" s="7"/>
      <c r="G17" s="13" t="s">
        <v>56</v>
      </c>
      <c r="H17" s="24">
        <f>TME_Comm_ServCat!B17+TME_Maid_ServCat!B17+TME_Mcare_ServCat!B17</f>
        <v>3179819750.3886881</v>
      </c>
      <c r="I17" s="24">
        <f>TME_Comm_ServCat!C17+TME_Maid_ServCat!C17+TME_Mcare_ServCat!C17</f>
        <v>3500180470.3701167</v>
      </c>
      <c r="J17" s="8">
        <f t="shared" si="1"/>
        <v>0.10074807540341525</v>
      </c>
      <c r="K17" s="7"/>
    </row>
    <row r="18" spans="1:11" x14ac:dyDescent="0.35">
      <c r="A18" s="13" t="s">
        <v>47</v>
      </c>
      <c r="B18" s="24">
        <f>TME_Comm_ServCat!B22+TME_Maid_ServCat!B22+TME_Mcare_ServCat!B22</f>
        <v>140974118.9425244</v>
      </c>
      <c r="C18" s="24">
        <f>TME_Comm_ServCat!C22+TME_Maid_ServCat!C22+TME_Mcare_ServCat!C22</f>
        <v>135221318.91680136</v>
      </c>
      <c r="D18" s="8">
        <f t="shared" si="0"/>
        <v>-4.0807490544193255E-2</v>
      </c>
      <c r="E18" s="7"/>
      <c r="G18" s="13" t="s">
        <v>57</v>
      </c>
      <c r="H18" s="24">
        <f>TME_Comm_ServCat!B18+TME_Maid_ServCat!B18+TME_Mcare_ServCat!B18</f>
        <v>2243381031.9112406</v>
      </c>
      <c r="I18" s="24">
        <f>TME_Comm_ServCat!C18+TME_Maid_ServCat!C18+TME_Mcare_ServCat!C18</f>
        <v>2439645493.9267039</v>
      </c>
      <c r="J18" s="8">
        <f t="shared" si="1"/>
        <v>8.748601295262648E-2</v>
      </c>
      <c r="K18" s="7"/>
    </row>
    <row r="19" spans="1:11" x14ac:dyDescent="0.35">
      <c r="A19" s="13" t="s">
        <v>48</v>
      </c>
      <c r="B19" s="24">
        <f>TME_Comm_ServCat!B23+TME_Maid_ServCat!B23+TME_Mcare_ServCat!B23</f>
        <v>21087556.024800077</v>
      </c>
      <c r="C19" s="24">
        <f>TME_Comm_ServCat!C23+TME_Maid_ServCat!C23+TME_Mcare_ServCat!C23</f>
        <v>23402454.27244984</v>
      </c>
      <c r="D19" s="8">
        <f t="shared" si="0"/>
        <v>0.10977555886169646</v>
      </c>
      <c r="E19" s="7"/>
      <c r="G19" s="13" t="s">
        <v>38</v>
      </c>
      <c r="H19" s="24">
        <f>TME_Comm_ServCat!B19+TME_Maid_ServCat!B19+TME_Mcare_ServCat!B19</f>
        <v>988091200.84681594</v>
      </c>
      <c r="I19" s="24">
        <f>TME_Comm_ServCat!C19+TME_Maid_ServCat!C19+TME_Mcare_ServCat!C19</f>
        <v>1099911885.3050361</v>
      </c>
      <c r="J19" s="8">
        <f t="shared" ref="J19:J28" si="2">IFERROR((I19-H19)/H19, "")</f>
        <v>0.11316838401393245</v>
      </c>
      <c r="K19" s="7"/>
    </row>
    <row r="20" spans="1:11" x14ac:dyDescent="0.35">
      <c r="A20" s="13" t="s">
        <v>49</v>
      </c>
      <c r="B20" s="24">
        <f>TME_Comm_ServCat!B24+TME_Maid_ServCat!B24+TME_Mcare_ServCat!B24</f>
        <v>-28516593.107713722</v>
      </c>
      <c r="C20" s="24">
        <f>TME_Comm_ServCat!C24+TME_Maid_ServCat!C24+TME_Mcare_ServCat!C24</f>
        <v>-27360728.446487978</v>
      </c>
      <c r="D20" s="8">
        <f t="shared" si="0"/>
        <v>-4.0533055854876397E-2</v>
      </c>
      <c r="E20" s="7"/>
      <c r="G20" s="13" t="s">
        <v>45</v>
      </c>
      <c r="H20" s="24">
        <f>TME_Comm_ServCat!B20+TME_Maid_ServCat!B20+TME_Mcare_ServCat!B20</f>
        <v>874504016.27529252</v>
      </c>
      <c r="I20" s="24">
        <f>TME_Comm_ServCat!C20+TME_Maid_ServCat!C20+TME_Mcare_ServCat!C20</f>
        <v>940219823.02733326</v>
      </c>
      <c r="J20" s="8">
        <f t="shared" si="2"/>
        <v>7.5146375006874197E-2</v>
      </c>
      <c r="K20" s="7"/>
    </row>
    <row r="21" spans="1:11" x14ac:dyDescent="0.35">
      <c r="A21" s="13" t="s">
        <v>50</v>
      </c>
      <c r="B21" s="24">
        <f>TME_Comm_ServCat!B25+TME_Maid_ServCat!B25+TME_Mcare_ServCat!B25</f>
        <v>2266870027.0712638</v>
      </c>
      <c r="C21" s="24">
        <f>TME_Comm_ServCat!C25+TME_Maid_ServCat!C25+TME_Mcare_ServCat!C25</f>
        <v>2316044598.7134857</v>
      </c>
      <c r="D21" s="8">
        <f t="shared" si="0"/>
        <v>2.1692717736338053E-2</v>
      </c>
      <c r="E21" s="7"/>
      <c r="G21" s="13" t="s">
        <v>46</v>
      </c>
      <c r="H21" s="24">
        <f>TME_Comm_ServCat!B21+TME_Maid_ServCat!B21+TME_Mcare_ServCat!B21</f>
        <v>314146391.96914822</v>
      </c>
      <c r="I21" s="24">
        <f>TME_Comm_ServCat!C21+TME_Maid_ServCat!C21+TME_Mcare_ServCat!C21</f>
        <v>333673075.55013907</v>
      </c>
      <c r="J21" s="8">
        <f t="shared" si="2"/>
        <v>6.2157911343793289E-2</v>
      </c>
      <c r="K21" s="7"/>
    </row>
    <row r="22" spans="1:11" x14ac:dyDescent="0.35">
      <c r="A22" s="38" t="s">
        <v>58</v>
      </c>
      <c r="B22" s="40">
        <f>SUM(B9:B13)+B15</f>
        <v>20742085295.625183</v>
      </c>
      <c r="C22" s="40">
        <f>SUM(C9:C13)+C15</f>
        <v>22986960347.826244</v>
      </c>
      <c r="D22" s="41">
        <f t="shared" si="0"/>
        <v>0.10822803108781638</v>
      </c>
      <c r="E22" s="38"/>
      <c r="G22" s="13" t="s">
        <v>47</v>
      </c>
      <c r="H22" s="24">
        <f>TME_Comm_ServCat!B22+TME_Maid_ServCat!B22+TME_Mcare_ServCat!B22</f>
        <v>140974118.9425244</v>
      </c>
      <c r="I22" s="24">
        <f>TME_Comm_ServCat!C22+TME_Maid_ServCat!C22+TME_Mcare_ServCat!C22</f>
        <v>135221318.91680136</v>
      </c>
      <c r="J22" s="8">
        <f t="shared" si="2"/>
        <v>-4.0807490544193255E-2</v>
      </c>
      <c r="K22" s="7"/>
    </row>
    <row r="23" spans="1:11" x14ac:dyDescent="0.35">
      <c r="A23" s="38" t="s">
        <v>59</v>
      </c>
      <c r="B23" s="40">
        <f>SUM(B9:B12)+SUM(B14:B15)</f>
        <v>19805646577.147736</v>
      </c>
      <c r="C23" s="40">
        <f>SUM(C9:C12)+SUM(C14:C15)</f>
        <v>21926425371.382835</v>
      </c>
      <c r="D23" s="41">
        <f t="shared" si="0"/>
        <v>0.1070795031090835</v>
      </c>
      <c r="E23" s="38"/>
      <c r="G23" s="13" t="s">
        <v>48</v>
      </c>
      <c r="H23" s="24">
        <f>TME_Comm_ServCat!B23+TME_Maid_ServCat!B23+TME_Mcare_ServCat!B23</f>
        <v>21087556.024800077</v>
      </c>
      <c r="I23" s="24">
        <f>TME_Comm_ServCat!C23+TME_Maid_ServCat!C23+TME_Mcare_ServCat!C23</f>
        <v>23402454.27244984</v>
      </c>
      <c r="J23" s="8">
        <f t="shared" si="2"/>
        <v>0.10977555886169646</v>
      </c>
      <c r="K23" s="7"/>
    </row>
    <row r="24" spans="1:11" x14ac:dyDescent="0.35">
      <c r="A24" s="38" t="s">
        <v>53</v>
      </c>
      <c r="B24" s="40">
        <f>SUM(B16:B21)</f>
        <v>3589065517.1753154</v>
      </c>
      <c r="C24" s="40">
        <f>SUM(C16:C21)</f>
        <v>3721200542.033721</v>
      </c>
      <c r="D24" s="41">
        <f t="shared" si="0"/>
        <v>3.6815996873302878E-2</v>
      </c>
      <c r="E24" s="38"/>
      <c r="G24" s="13" t="s">
        <v>49</v>
      </c>
      <c r="H24" s="24">
        <f>TME_Comm_ServCat!B24+TME_Maid_ServCat!B24+TME_Mcare_ServCat!B24</f>
        <v>-28516593.107713722</v>
      </c>
      <c r="I24" s="24">
        <f>TME_Comm_ServCat!C24+TME_Maid_ServCat!C24+TME_Mcare_ServCat!C24</f>
        <v>-27360728.446487978</v>
      </c>
      <c r="J24" s="8">
        <f t="shared" si="2"/>
        <v>-4.0533055854876397E-2</v>
      </c>
      <c r="K24" s="7"/>
    </row>
    <row r="25" spans="1:11" x14ac:dyDescent="0.35">
      <c r="G25" s="13" t="s">
        <v>50</v>
      </c>
      <c r="H25" s="24">
        <f>TME_Comm_ServCat!B25+TME_Maid_ServCat!B25+TME_Mcare_ServCat!B25</f>
        <v>2266870027.0712638</v>
      </c>
      <c r="I25" s="24">
        <f>TME_Comm_ServCat!C25+TME_Maid_ServCat!C25+TME_Mcare_ServCat!C25</f>
        <v>2316044598.7134857</v>
      </c>
      <c r="J25" s="8">
        <f t="shared" si="2"/>
        <v>2.1692717736338053E-2</v>
      </c>
      <c r="K25" s="7"/>
    </row>
    <row r="26" spans="1:11" x14ac:dyDescent="0.35">
      <c r="G26" s="38" t="s">
        <v>58</v>
      </c>
      <c r="H26" s="40">
        <f>SUM(H10:H16) + H17 +H19</f>
        <v>15353389933.625181</v>
      </c>
      <c r="I26" s="40">
        <f t="shared" ref="I26" si="3">SUM(I10:I16) + I17 +I19</f>
        <v>17288316232.826248</v>
      </c>
      <c r="J26" s="41">
        <f t="shared" si="2"/>
        <v>0.12602599865997149</v>
      </c>
      <c r="K26" s="39"/>
    </row>
    <row r="27" spans="1:11" x14ac:dyDescent="0.35">
      <c r="A27" s="128" t="s">
        <v>7</v>
      </c>
      <c r="B27" s="128" t="s">
        <v>61</v>
      </c>
      <c r="C27" s="128"/>
      <c r="D27" s="76" t="s">
        <v>2</v>
      </c>
      <c r="E27" s="131" t="s">
        <v>28</v>
      </c>
      <c r="G27" s="38" t="s">
        <v>59</v>
      </c>
      <c r="H27" s="40">
        <f>SUM(H10:H16) + H18 +H19</f>
        <v>14416951215.147734</v>
      </c>
      <c r="I27" s="40">
        <f t="shared" ref="I27" si="4">SUM(I10:I16) + I18 +I19</f>
        <v>16227781256.382835</v>
      </c>
      <c r="J27" s="41">
        <f t="shared" si="2"/>
        <v>0.12560422895323958</v>
      </c>
      <c r="K27" s="39"/>
    </row>
    <row r="28" spans="1:11" x14ac:dyDescent="0.35">
      <c r="A28" s="128"/>
      <c r="B28" s="75">
        <v>2020</v>
      </c>
      <c r="C28" s="75">
        <v>2021</v>
      </c>
      <c r="D28" s="75" t="s">
        <v>112</v>
      </c>
      <c r="E28" s="132"/>
      <c r="G28" s="38" t="s">
        <v>53</v>
      </c>
      <c r="H28" s="40">
        <f>SUM(H20:H25)</f>
        <v>3589065517.1753154</v>
      </c>
      <c r="I28" s="40">
        <f t="shared" ref="I28" si="5">SUM(I20:I25)</f>
        <v>3721200542.033721</v>
      </c>
      <c r="J28" s="41">
        <f t="shared" si="2"/>
        <v>3.6815996873302878E-2</v>
      </c>
      <c r="K28" s="39"/>
    </row>
    <row r="29" spans="1:11" x14ac:dyDescent="0.35">
      <c r="A29" s="7" t="s">
        <v>31</v>
      </c>
      <c r="B29" s="24">
        <f>B9/$B$8</f>
        <v>1376.6071052357936</v>
      </c>
      <c r="C29" s="24">
        <f>C9/$C$8</f>
        <v>1431.3330910785467</v>
      </c>
      <c r="D29" s="8">
        <f t="shared" ref="D29:D46" si="6">IFERROR((C29-B29)/B29, "")</f>
        <v>3.9754252055367145E-2</v>
      </c>
      <c r="E29" s="7"/>
      <c r="G29" s="18"/>
      <c r="H29" s="54"/>
      <c r="I29" s="54"/>
      <c r="J29" s="55"/>
      <c r="K29" s="15"/>
    </row>
    <row r="30" spans="1:11" x14ac:dyDescent="0.35">
      <c r="A30" s="7" t="s">
        <v>32</v>
      </c>
      <c r="B30" s="24">
        <f t="shared" ref="B30:B41" si="7">B10/$B$8</f>
        <v>1223.6193900310677</v>
      </c>
      <c r="C30" s="24">
        <f t="shared" ref="C30:C41" si="8">C10/$C$8</f>
        <v>1346.741845934705</v>
      </c>
      <c r="D30" s="8">
        <f t="shared" si="6"/>
        <v>0.10062153060561682</v>
      </c>
      <c r="E30" s="7"/>
      <c r="G30" s="18"/>
      <c r="H30" s="54"/>
      <c r="I30" s="54"/>
      <c r="J30" s="55"/>
      <c r="K30" s="15"/>
    </row>
    <row r="31" spans="1:11" x14ac:dyDescent="0.35">
      <c r="A31" s="7" t="s">
        <v>93</v>
      </c>
      <c r="B31" s="24">
        <f t="shared" si="7"/>
        <v>1655.2563520045017</v>
      </c>
      <c r="C31" s="24">
        <f t="shared" si="8"/>
        <v>1821.5331703015047</v>
      </c>
      <c r="D31" s="8">
        <f t="shared" si="6"/>
        <v>0.10045381677324072</v>
      </c>
      <c r="E31" s="7"/>
      <c r="G31" s="128" t="s">
        <v>7</v>
      </c>
      <c r="H31" s="128" t="s">
        <v>61</v>
      </c>
      <c r="I31" s="128"/>
      <c r="J31" s="76" t="s">
        <v>2</v>
      </c>
      <c r="K31" s="131" t="s">
        <v>28</v>
      </c>
    </row>
    <row r="32" spans="1:11" x14ac:dyDescent="0.35">
      <c r="A32" s="7" t="s">
        <v>37</v>
      </c>
      <c r="B32" s="24">
        <f t="shared" si="7"/>
        <v>245.27367835185257</v>
      </c>
      <c r="C32" s="24">
        <f t="shared" si="8"/>
        <v>233.48693522505849</v>
      </c>
      <c r="D32" s="8">
        <f t="shared" si="6"/>
        <v>-4.805547503505711E-2</v>
      </c>
      <c r="E32" s="7"/>
      <c r="G32" s="128"/>
      <c r="H32" s="75">
        <v>2020</v>
      </c>
      <c r="I32" s="75">
        <v>2021</v>
      </c>
      <c r="J32" s="75" t="s">
        <v>112</v>
      </c>
      <c r="K32" s="132"/>
    </row>
    <row r="33" spans="1:11" x14ac:dyDescent="0.35">
      <c r="A33" s="13" t="s">
        <v>56</v>
      </c>
      <c r="B33" s="24">
        <f t="shared" si="7"/>
        <v>1272.9560345291507</v>
      </c>
      <c r="C33" s="24">
        <f t="shared" si="8"/>
        <v>1335.0475960611559</v>
      </c>
      <c r="D33" s="8">
        <f t="shared" si="6"/>
        <v>4.8777459588360474E-2</v>
      </c>
      <c r="E33" s="7"/>
      <c r="G33" s="7" t="s">
        <v>31</v>
      </c>
      <c r="H33" s="24">
        <f>H10/$H$8</f>
        <v>1145.2391118305816</v>
      </c>
      <c r="I33" s="24">
        <f>I10/$I$8</f>
        <v>1203.4782792249234</v>
      </c>
      <c r="J33" s="8">
        <f t="shared" ref="J33:J55" si="9">IFERROR((I33-H33)/H33, "")</f>
        <v>5.085328189783072E-2</v>
      </c>
      <c r="K33" s="47"/>
    </row>
    <row r="34" spans="1:11" x14ac:dyDescent="0.35">
      <c r="A34" s="13" t="s">
        <v>57</v>
      </c>
      <c r="B34" s="24">
        <f t="shared" si="7"/>
        <v>986.42692965770016</v>
      </c>
      <c r="C34" s="24">
        <f t="shared" si="8"/>
        <v>1022.3623392321786</v>
      </c>
      <c r="D34" s="8">
        <f t="shared" si="6"/>
        <v>3.6429874828081125E-2</v>
      </c>
      <c r="E34" s="7"/>
      <c r="G34" s="7" t="s">
        <v>32</v>
      </c>
      <c r="H34" s="24">
        <f t="shared" ref="H34:H48" si="10">H11/$H$8</f>
        <v>1126.8891474262673</v>
      </c>
      <c r="I34" s="24">
        <f t="shared" ref="I34:I48" si="11">I11/$I$8</f>
        <v>1255.8540844340287</v>
      </c>
      <c r="J34" s="8">
        <f t="shared" si="9"/>
        <v>0.11444332151242018</v>
      </c>
      <c r="K34" s="7"/>
    </row>
    <row r="35" spans="1:11" x14ac:dyDescent="0.35">
      <c r="A35" s="13" t="s">
        <v>38</v>
      </c>
      <c r="B35" s="24">
        <f t="shared" si="7"/>
        <v>572.89722397296873</v>
      </c>
      <c r="C35" s="24">
        <f t="shared" si="8"/>
        <v>609.2704215340417</v>
      </c>
      <c r="D35" s="8">
        <f t="shared" si="6"/>
        <v>6.3489917631001092E-2</v>
      </c>
      <c r="E35" s="7"/>
      <c r="G35" s="7" t="s">
        <v>33</v>
      </c>
      <c r="H35" s="24">
        <f t="shared" si="10"/>
        <v>371.17103565487946</v>
      </c>
      <c r="I35" s="24">
        <f t="shared" si="11"/>
        <v>416.66445098728377</v>
      </c>
      <c r="J35" s="8">
        <f t="shared" si="9"/>
        <v>0.12256725596095486</v>
      </c>
      <c r="K35" s="7"/>
    </row>
    <row r="36" spans="1:11" x14ac:dyDescent="0.35">
      <c r="A36" s="13" t="s">
        <v>45</v>
      </c>
      <c r="B36" s="24">
        <f t="shared" si="7"/>
        <v>267.57848436387832</v>
      </c>
      <c r="C36" s="24">
        <f t="shared" si="8"/>
        <v>277.21186322861814</v>
      </c>
      <c r="D36" s="8">
        <f t="shared" si="6"/>
        <v>3.6002068281541851E-2</v>
      </c>
      <c r="E36" s="7"/>
      <c r="G36" s="7" t="s">
        <v>34</v>
      </c>
      <c r="H36" s="24">
        <f t="shared" si="10"/>
        <v>653.9420396180808</v>
      </c>
      <c r="I36" s="24">
        <f t="shared" si="11"/>
        <v>712.02259180399017</v>
      </c>
      <c r="J36" s="8">
        <f t="shared" si="9"/>
        <v>8.8816055043394862E-2</v>
      </c>
      <c r="K36" s="7"/>
    </row>
    <row r="37" spans="1:11" x14ac:dyDescent="0.35">
      <c r="A37" s="13" t="s">
        <v>46</v>
      </c>
      <c r="B37" s="24">
        <f t="shared" si="7"/>
        <v>96.121703122085975</v>
      </c>
      <c r="C37" s="24">
        <f t="shared" si="8"/>
        <v>98.379264845374891</v>
      </c>
      <c r="D37" s="8">
        <f t="shared" si="6"/>
        <v>2.3486493164000064E-2</v>
      </c>
      <c r="E37" s="47"/>
      <c r="G37" s="7" t="s">
        <v>35</v>
      </c>
      <c r="H37" s="24">
        <f t="shared" si="10"/>
        <v>256.75918445990976</v>
      </c>
      <c r="I37" s="24">
        <f t="shared" si="11"/>
        <v>273.77247480928952</v>
      </c>
      <c r="J37" s="8">
        <f t="shared" si="9"/>
        <v>6.6261662207593608E-2</v>
      </c>
      <c r="K37" s="7"/>
    </row>
    <row r="38" spans="1:11" x14ac:dyDescent="0.35">
      <c r="A38" s="13" t="s">
        <v>47</v>
      </c>
      <c r="B38" s="24">
        <f t="shared" si="7"/>
        <v>43.134897472327985</v>
      </c>
      <c r="C38" s="24">
        <f t="shared" si="8"/>
        <v>39.868287018734733</v>
      </c>
      <c r="D38" s="8">
        <f t="shared" si="6"/>
        <v>-7.5730108218962533E-2</v>
      </c>
      <c r="E38" s="7"/>
      <c r="G38" s="7" t="s">
        <v>36</v>
      </c>
      <c r="H38" s="24">
        <f t="shared" si="10"/>
        <v>283.50070966672524</v>
      </c>
      <c r="I38" s="24">
        <f t="shared" si="11"/>
        <v>314.00695867266955</v>
      </c>
      <c r="J38" s="8">
        <f t="shared" si="9"/>
        <v>0.10760554723762958</v>
      </c>
      <c r="K38" s="7"/>
    </row>
    <row r="39" spans="1:11" x14ac:dyDescent="0.35">
      <c r="A39" s="13" t="s">
        <v>48</v>
      </c>
      <c r="B39" s="24">
        <f t="shared" si="7"/>
        <v>6.4523160271891777</v>
      </c>
      <c r="C39" s="24">
        <f t="shared" si="8"/>
        <v>6.8999161622651286</v>
      </c>
      <c r="D39" s="8">
        <f t="shared" si="6"/>
        <v>6.9370460651621071E-2</v>
      </c>
      <c r="E39" s="7"/>
      <c r="G39" s="7" t="s">
        <v>37</v>
      </c>
      <c r="H39" s="24">
        <f t="shared" si="10"/>
        <v>157.9434030995964</v>
      </c>
      <c r="I39" s="24">
        <f t="shared" si="11"/>
        <v>150.7557736811645</v>
      </c>
      <c r="J39" s="8">
        <f t="shared" si="9"/>
        <v>-4.5507626639521633E-2</v>
      </c>
      <c r="K39" s="7"/>
    </row>
    <row r="40" spans="1:11" x14ac:dyDescent="0.35">
      <c r="A40" s="13" t="s">
        <v>49</v>
      </c>
      <c r="B40" s="24">
        <f>B20/$B$8</f>
        <v>-8.7254336412120139</v>
      </c>
      <c r="C40" s="24">
        <f t="shared" si="8"/>
        <v>-8.0669629869340582</v>
      </c>
      <c r="D40" s="8">
        <f t="shared" si="6"/>
        <v>-7.5465665244173502E-2</v>
      </c>
      <c r="E40" s="7"/>
      <c r="G40" s="13" t="s">
        <v>56</v>
      </c>
      <c r="H40" s="24">
        <f t="shared" si="10"/>
        <v>1135.8292096069051</v>
      </c>
      <c r="I40" s="24">
        <f t="shared" si="11"/>
        <v>1193.5257534216378</v>
      </c>
      <c r="J40" s="8">
        <f t="shared" si="9"/>
        <v>5.0796848088367645E-2</v>
      </c>
      <c r="K40" s="7"/>
    </row>
    <row r="41" spans="1:11" x14ac:dyDescent="0.35">
      <c r="A41" s="13" t="s">
        <v>50</v>
      </c>
      <c r="B41" s="24">
        <f t="shared" si="7"/>
        <v>693.61104672466888</v>
      </c>
      <c r="C41" s="24">
        <f t="shared" si="8"/>
        <v>682.85630956249042</v>
      </c>
      <c r="D41" s="8">
        <f t="shared" si="6"/>
        <v>-1.5505429466505577E-2</v>
      </c>
      <c r="E41" s="7"/>
      <c r="G41" s="13" t="s">
        <v>57</v>
      </c>
      <c r="H41" s="24">
        <f t="shared" si="10"/>
        <v>801.33400769380046</v>
      </c>
      <c r="I41" s="24">
        <f t="shared" si="11"/>
        <v>831.89416970624802</v>
      </c>
      <c r="J41" s="8">
        <f t="shared" si="9"/>
        <v>3.8136609352694507E-2</v>
      </c>
      <c r="K41" s="47"/>
    </row>
    <row r="42" spans="1:11" x14ac:dyDescent="0.35">
      <c r="A42" s="38" t="s">
        <v>58</v>
      </c>
      <c r="B42" s="52">
        <f>B22/$B$8</f>
        <v>6346.6097841253359</v>
      </c>
      <c r="C42" s="52">
        <f>C22/$C$8</f>
        <v>6777.4130601350116</v>
      </c>
      <c r="D42" s="41">
        <f t="shared" si="6"/>
        <v>6.7879275812298481E-2</v>
      </c>
      <c r="E42" s="39"/>
      <c r="G42" s="13" t="s">
        <v>38</v>
      </c>
      <c r="H42" s="24">
        <f t="shared" si="10"/>
        <v>352.94542954524104</v>
      </c>
      <c r="I42" s="24">
        <f t="shared" si="11"/>
        <v>375.0587070349809</v>
      </c>
      <c r="J42" s="8">
        <f t="shared" si="9"/>
        <v>6.2653531222183867E-2</v>
      </c>
      <c r="K42" s="7"/>
    </row>
    <row r="43" spans="1:11" x14ac:dyDescent="0.35">
      <c r="A43" s="38" t="s">
        <v>59</v>
      </c>
      <c r="B43" s="52">
        <f t="shared" ref="B43:B44" si="12">B23/$B$8</f>
        <v>6060.0806792538851</v>
      </c>
      <c r="C43" s="52">
        <f t="shared" ref="C43:C44" si="13">C23/$C$8</f>
        <v>6464.7278033060356</v>
      </c>
      <c r="D43" s="41">
        <f t="shared" si="6"/>
        <v>6.677256384348508E-2</v>
      </c>
      <c r="E43" s="39"/>
      <c r="G43" s="13" t="s">
        <v>45</v>
      </c>
      <c r="H43" s="24">
        <f t="shared" si="10"/>
        <v>312.37217313422065</v>
      </c>
      <c r="I43" s="24">
        <f t="shared" si="11"/>
        <v>320.60534654145863</v>
      </c>
      <c r="J43" s="8">
        <f t="shared" si="9"/>
        <v>2.6356936101668504E-2</v>
      </c>
      <c r="K43" s="7"/>
    </row>
    <row r="44" spans="1:11" x14ac:dyDescent="0.35">
      <c r="A44" s="38" t="s">
        <v>53</v>
      </c>
      <c r="B44" s="52">
        <f t="shared" si="12"/>
        <v>1098.1730140689383</v>
      </c>
      <c r="C44" s="52">
        <f t="shared" si="13"/>
        <v>1097.1486778305491</v>
      </c>
      <c r="D44" s="41">
        <f t="shared" si="6"/>
        <v>-9.327639864267263E-4</v>
      </c>
      <c r="E44" s="39"/>
      <c r="G44" s="13" t="s">
        <v>46</v>
      </c>
      <c r="H44" s="24">
        <f t="shared" si="10"/>
        <v>112.21285358944098</v>
      </c>
      <c r="I44" s="24">
        <f t="shared" si="11"/>
        <v>113.77910718140292</v>
      </c>
      <c r="J44" s="8">
        <f t="shared" si="9"/>
        <v>1.3957880419764319E-2</v>
      </c>
      <c r="K44" s="7"/>
    </row>
    <row r="45" spans="1:11" x14ac:dyDescent="0.35">
      <c r="A45" s="38" t="s">
        <v>184</v>
      </c>
      <c r="B45" s="52">
        <f>B42+B44</f>
        <v>7444.7827981942737</v>
      </c>
      <c r="C45" s="52">
        <f>C42+C44</f>
        <v>7874.5617379655605</v>
      </c>
      <c r="D45" s="41">
        <f t="shared" si="6"/>
        <v>5.7728875565789421E-2</v>
      </c>
      <c r="E45" s="39"/>
      <c r="G45" s="13" t="s">
        <v>47</v>
      </c>
      <c r="H45" s="24">
        <f t="shared" si="10"/>
        <v>50.35584865272461</v>
      </c>
      <c r="I45" s="24">
        <f t="shared" si="11"/>
        <v>46.109087204231258</v>
      </c>
      <c r="J45" s="8">
        <f t="shared" si="9"/>
        <v>-8.4335018912715151E-2</v>
      </c>
      <c r="K45" s="7"/>
    </row>
    <row r="46" spans="1:11" x14ac:dyDescent="0.35">
      <c r="A46" s="38" t="s">
        <v>186</v>
      </c>
      <c r="B46" s="52">
        <f>B43+B44</f>
        <v>7158.2536933228239</v>
      </c>
      <c r="C46" s="52">
        <f>C43+C44</f>
        <v>7561.8764811365845</v>
      </c>
      <c r="D46" s="41">
        <f t="shared" si="6"/>
        <v>5.6385650062983593E-2</v>
      </c>
      <c r="E46" s="39"/>
      <c r="G46" s="13" t="s">
        <v>48</v>
      </c>
      <c r="H46" s="24">
        <f t="shared" si="10"/>
        <v>7.5324590613232791</v>
      </c>
      <c r="I46" s="24">
        <f t="shared" si="11"/>
        <v>7.9799976326613784</v>
      </c>
      <c r="J46" s="8">
        <f t="shared" si="9"/>
        <v>5.9414670255038472E-2</v>
      </c>
      <c r="K46" s="7"/>
    </row>
    <row r="47" spans="1:11" x14ac:dyDescent="0.35">
      <c r="A47" s="50"/>
      <c r="G47" s="13" t="s">
        <v>49</v>
      </c>
      <c r="H47" s="24">
        <f t="shared" si="10"/>
        <v>-10.186105487978359</v>
      </c>
      <c r="I47" s="24">
        <f t="shared" si="11"/>
        <v>-9.3297286553359662</v>
      </c>
      <c r="J47" s="8">
        <f t="shared" si="9"/>
        <v>-8.4073037890005073E-2</v>
      </c>
      <c r="K47" s="7"/>
    </row>
    <row r="48" spans="1:11" x14ac:dyDescent="0.35">
      <c r="G48" s="13" t="s">
        <v>50</v>
      </c>
      <c r="H48" s="24">
        <f t="shared" si="10"/>
        <v>809.72425899776454</v>
      </c>
      <c r="I48" s="24">
        <f t="shared" si="11"/>
        <v>789.747528173977</v>
      </c>
      <c r="J48" s="8">
        <f t="shared" si="9"/>
        <v>-2.4671029182840237E-2</v>
      </c>
      <c r="K48" s="7"/>
    </row>
    <row r="49" spans="7:11" x14ac:dyDescent="0.35">
      <c r="G49" s="38" t="s">
        <v>58</v>
      </c>
      <c r="H49" s="52">
        <f>H26/$H$8</f>
        <v>5484.2192709081864</v>
      </c>
      <c r="I49" s="52">
        <f>I26/$I$8</f>
        <v>5895.139074069969</v>
      </c>
      <c r="J49" s="41">
        <f t="shared" si="9"/>
        <v>7.4927675729809795E-2</v>
      </c>
      <c r="K49" s="39"/>
    </row>
    <row r="50" spans="7:11" x14ac:dyDescent="0.35">
      <c r="G50" s="38" t="s">
        <v>59</v>
      </c>
      <c r="H50" s="52">
        <f t="shared" ref="H50:H51" si="14">H27/$H$8</f>
        <v>5149.7240689950822</v>
      </c>
      <c r="I50" s="52">
        <f t="shared" ref="I50:I51" si="15">I27/$I$8</f>
        <v>5533.5074903545792</v>
      </c>
      <c r="J50" s="41">
        <f t="shared" si="9"/>
        <v>7.4525045656356592E-2</v>
      </c>
      <c r="K50" s="39"/>
    </row>
    <row r="51" spans="7:11" x14ac:dyDescent="0.35">
      <c r="G51" s="38" t="s">
        <v>53</v>
      </c>
      <c r="H51" s="52">
        <f t="shared" si="14"/>
        <v>1282.0114879474959</v>
      </c>
      <c r="I51" s="52">
        <f t="shared" si="15"/>
        <v>1268.8913380783952</v>
      </c>
      <c r="J51" s="41">
        <f t="shared" si="9"/>
        <v>-1.0234034556200516E-2</v>
      </c>
      <c r="K51" s="39"/>
    </row>
    <row r="52" spans="7:11" x14ac:dyDescent="0.35">
      <c r="G52" s="38" t="s">
        <v>184</v>
      </c>
      <c r="H52" s="52">
        <f>H49+H51</f>
        <v>6766.2307588556823</v>
      </c>
      <c r="I52" s="52">
        <f>I49+I51</f>
        <v>7164.0304121483641</v>
      </c>
      <c r="J52" s="41">
        <f t="shared" si="9"/>
        <v>5.8791913469997945E-2</v>
      </c>
      <c r="K52" s="39"/>
    </row>
    <row r="53" spans="7:11" x14ac:dyDescent="0.35">
      <c r="G53" s="38" t="s">
        <v>185</v>
      </c>
      <c r="H53" s="52">
        <f>H49/H9+H51</f>
        <v>6764.5433604748068</v>
      </c>
      <c r="I53" s="52">
        <f>I49/I9+I51</f>
        <v>7072.7238511659334</v>
      </c>
      <c r="J53" s="41">
        <f t="shared" si="9"/>
        <v>4.5558210550001595E-2</v>
      </c>
      <c r="K53" s="39"/>
    </row>
    <row r="54" spans="7:11" x14ac:dyDescent="0.35">
      <c r="G54" s="38" t="s">
        <v>186</v>
      </c>
      <c r="H54" s="52">
        <f>H50+H51</f>
        <v>6431.7355569425781</v>
      </c>
      <c r="I54" s="52">
        <f>I50+I51</f>
        <v>6802.3988284329744</v>
      </c>
      <c r="J54" s="41">
        <f t="shared" si="9"/>
        <v>5.763036558465047E-2</v>
      </c>
      <c r="K54" s="39"/>
    </row>
    <row r="55" spans="7:11" x14ac:dyDescent="0.35">
      <c r="G55" s="38" t="s">
        <v>187</v>
      </c>
      <c r="H55" s="52">
        <f>H50/H9+H51</f>
        <v>6430.1510768868529</v>
      </c>
      <c r="I55" s="52">
        <f>I50/I9+I51</f>
        <v>6716.6933797969714</v>
      </c>
      <c r="J55" s="41">
        <f t="shared" si="9"/>
        <v>4.4562297134836129E-2</v>
      </c>
      <c r="K55" s="39"/>
    </row>
  </sheetData>
  <mergeCells count="12">
    <mergeCell ref="G31:G32"/>
    <mergeCell ref="H31:I31"/>
    <mergeCell ref="K31:K32"/>
    <mergeCell ref="G6:G7"/>
    <mergeCell ref="H6:I6"/>
    <mergeCell ref="K6:K7"/>
    <mergeCell ref="A6:A7"/>
    <mergeCell ref="B6:C6"/>
    <mergeCell ref="E6:E7"/>
    <mergeCell ref="A27:A28"/>
    <mergeCell ref="B27:C27"/>
    <mergeCell ref="E27:E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Q55"/>
  <sheetViews>
    <sheetView zoomScaleNormal="100" workbookViewId="0">
      <selection activeCell="I9" sqref="I9"/>
    </sheetView>
  </sheetViews>
  <sheetFormatPr defaultRowHeight="14.5" x14ac:dyDescent="0.35"/>
  <cols>
    <col min="1" max="1" width="39" customWidth="1"/>
    <col min="2" max="2" width="19.7265625" style="20" customWidth="1"/>
    <col min="3" max="3" width="20" style="20" bestFit="1" customWidth="1"/>
    <col min="4" max="4" width="16.453125" style="20" customWidth="1"/>
    <col min="5" max="5" width="20.7265625" style="20" customWidth="1"/>
    <col min="6" max="6" width="14.26953125" customWidth="1"/>
    <col min="7" max="7" width="38.453125" customWidth="1"/>
    <col min="8" max="9" width="19.7265625" customWidth="1"/>
    <col min="10" max="10" width="16.453125" customWidth="1"/>
    <col min="11" max="11" width="17.7265625" style="20" customWidth="1"/>
    <col min="13" max="13" width="38.26953125" style="20" customWidth="1"/>
    <col min="14" max="15" width="19.7265625" style="20" customWidth="1"/>
    <col min="16" max="16" width="16.453125" style="20" customWidth="1"/>
    <col min="17" max="17" width="14.7265625" style="20" customWidth="1"/>
  </cols>
  <sheetData>
    <row r="1" spans="1:17" ht="18.5" x14ac:dyDescent="0.45">
      <c r="A1" s="2" t="s">
        <v>111</v>
      </c>
      <c r="B1" s="2"/>
      <c r="C1" s="2"/>
      <c r="D1" s="2"/>
    </row>
    <row r="2" spans="1:17" ht="15.5" x14ac:dyDescent="0.35">
      <c r="A2" s="29" t="s">
        <v>220</v>
      </c>
      <c r="B2" s="4"/>
      <c r="C2" s="4"/>
      <c r="D2" s="4"/>
      <c r="G2" s="11"/>
      <c r="M2" s="11"/>
    </row>
    <row r="3" spans="1:17" ht="15.75" customHeight="1" x14ac:dyDescent="0.35">
      <c r="A3" s="31" t="s">
        <v>218</v>
      </c>
      <c r="B3" s="6"/>
      <c r="C3" s="6"/>
      <c r="D3" s="6"/>
      <c r="G3" s="11"/>
      <c r="M3" s="11"/>
    </row>
    <row r="4" spans="1:17" s="20" customFormat="1" ht="15.75" customHeight="1" x14ac:dyDescent="0.35">
      <c r="A4" s="5"/>
      <c r="B4" s="6"/>
      <c r="C4" s="6"/>
      <c r="D4" s="6"/>
      <c r="G4" s="11"/>
      <c r="M4" s="11"/>
    </row>
    <row r="5" spans="1:17" x14ac:dyDescent="0.35">
      <c r="A5" s="34" t="s">
        <v>21</v>
      </c>
      <c r="G5" s="34" t="s">
        <v>23</v>
      </c>
      <c r="H5" s="20"/>
      <c r="I5" s="20"/>
      <c r="J5" s="20"/>
      <c r="M5" s="34" t="s">
        <v>22</v>
      </c>
    </row>
    <row r="6" spans="1:17" x14ac:dyDescent="0.35">
      <c r="A6" s="128" t="s">
        <v>7</v>
      </c>
      <c r="B6" s="128" t="s">
        <v>1</v>
      </c>
      <c r="C6" s="128"/>
      <c r="D6" s="76" t="s">
        <v>2</v>
      </c>
      <c r="E6" s="131" t="s">
        <v>28</v>
      </c>
      <c r="G6" s="128" t="s">
        <v>7</v>
      </c>
      <c r="H6" s="128" t="s">
        <v>1</v>
      </c>
      <c r="I6" s="128"/>
      <c r="J6" s="76" t="s">
        <v>2</v>
      </c>
      <c r="K6" s="131" t="s">
        <v>28</v>
      </c>
      <c r="M6" s="128" t="s">
        <v>7</v>
      </c>
      <c r="N6" s="128" t="s">
        <v>1</v>
      </c>
      <c r="O6" s="128"/>
      <c r="P6" s="76" t="s">
        <v>2</v>
      </c>
      <c r="Q6" s="131" t="s">
        <v>28</v>
      </c>
    </row>
    <row r="7" spans="1:17" x14ac:dyDescent="0.35">
      <c r="A7" s="128"/>
      <c r="B7" s="75">
        <v>2020</v>
      </c>
      <c r="C7" s="75">
        <v>2021</v>
      </c>
      <c r="D7" s="75" t="s">
        <v>112</v>
      </c>
      <c r="E7" s="132"/>
      <c r="G7" s="128"/>
      <c r="H7" s="75">
        <v>2020</v>
      </c>
      <c r="I7" s="75">
        <v>2021</v>
      </c>
      <c r="J7" s="75" t="s">
        <v>112</v>
      </c>
      <c r="K7" s="132"/>
      <c r="M7" s="128"/>
      <c r="N7" s="75">
        <v>2020</v>
      </c>
      <c r="O7" s="75">
        <v>2021</v>
      </c>
      <c r="P7" s="75" t="s">
        <v>112</v>
      </c>
      <c r="Q7" s="132"/>
    </row>
    <row r="8" spans="1:17" s="20" customFormat="1" x14ac:dyDescent="0.35">
      <c r="A8" s="48" t="s">
        <v>27</v>
      </c>
      <c r="B8" s="122">
        <f>H8+N8</f>
        <v>17300585</v>
      </c>
      <c r="C8" s="122">
        <f t="shared" ref="C8:C25" si="0">I8+O8</f>
        <v>17017065</v>
      </c>
      <c r="D8" s="120">
        <f>IFERROR((C8-B8)/B8, "")</f>
        <v>-1.638788514954841E-2</v>
      </c>
      <c r="E8" s="13"/>
      <c r="G8" s="48" t="s">
        <v>27</v>
      </c>
      <c r="H8" s="122">
        <v>15434391</v>
      </c>
      <c r="I8" s="122">
        <v>15091466</v>
      </c>
      <c r="J8" s="120">
        <f t="shared" ref="J8:J28" si="1">IFERROR((I8-H8)/H8, "")</f>
        <v>-2.2218239773762371E-2</v>
      </c>
      <c r="K8" s="13"/>
      <c r="M8" s="48" t="s">
        <v>27</v>
      </c>
      <c r="N8" s="122">
        <v>1866194</v>
      </c>
      <c r="O8" s="122">
        <v>1925599</v>
      </c>
      <c r="P8" s="120">
        <f t="shared" ref="P8:P28" si="2">IFERROR((O8-N8)/N8, "")</f>
        <v>3.1832167502414001E-2</v>
      </c>
      <c r="Q8" s="13"/>
    </row>
    <row r="9" spans="1:17" s="77" customFormat="1" x14ac:dyDescent="0.35">
      <c r="A9" s="48" t="s">
        <v>118</v>
      </c>
      <c r="B9" s="123">
        <f>(H8*H9+N8*N9)/(H8+N8)</f>
        <v>1.0044554561485084</v>
      </c>
      <c r="C9" s="123">
        <f>(I8*I9+O8*O9)/(I8+O8)</f>
        <v>1.0221124974618943</v>
      </c>
      <c r="D9" s="120">
        <f>IFERROR((C9-B9)/B9, "")</f>
        <v>1.7578720096847449E-2</v>
      </c>
      <c r="E9" s="13"/>
      <c r="G9" s="48" t="s">
        <v>118</v>
      </c>
      <c r="H9" s="123">
        <v>1.0065900989347401</v>
      </c>
      <c r="I9" s="123">
        <v>1.00544970857729</v>
      </c>
      <c r="J9" s="120">
        <f t="shared" si="1"/>
        <v>-1.132924274396221E-3</v>
      </c>
      <c r="K9" s="13"/>
      <c r="M9" s="48" t="s">
        <v>118</v>
      </c>
      <c r="N9" s="123">
        <v>0.98680085463975398</v>
      </c>
      <c r="O9" s="123">
        <v>1.1527035041653599</v>
      </c>
      <c r="P9" s="120">
        <f t="shared" si="2"/>
        <v>0.16812171244639948</v>
      </c>
      <c r="Q9" s="13"/>
    </row>
    <row r="10" spans="1:17" x14ac:dyDescent="0.35">
      <c r="A10" s="7" t="s">
        <v>31</v>
      </c>
      <c r="B10" s="24">
        <f t="shared" ref="B10:B25" si="3">H10+N10</f>
        <v>1311212593.9547</v>
      </c>
      <c r="C10" s="24">
        <f t="shared" si="0"/>
        <v>1432446629.0369</v>
      </c>
      <c r="D10" s="8">
        <f t="shared" ref="D10:D17" si="4">IFERROR((C10-B10)/B10, "")</f>
        <v>9.2459480362791932E-2</v>
      </c>
      <c r="E10" s="7"/>
      <c r="G10" s="7" t="s">
        <v>31</v>
      </c>
      <c r="H10" s="24">
        <v>1148056047.5747001</v>
      </c>
      <c r="I10" s="24">
        <v>1242751550.6069</v>
      </c>
      <c r="J10" s="8">
        <f t="shared" si="1"/>
        <v>8.2483344983240767E-2</v>
      </c>
      <c r="K10" s="7"/>
      <c r="M10" s="7" t="s">
        <v>31</v>
      </c>
      <c r="N10" s="24">
        <v>163156546.38</v>
      </c>
      <c r="O10" s="24">
        <v>189695078.43000001</v>
      </c>
      <c r="P10" s="8">
        <f t="shared" si="2"/>
        <v>0.16265686323238546</v>
      </c>
      <c r="Q10" s="7"/>
    </row>
    <row r="11" spans="1:17" x14ac:dyDescent="0.35">
      <c r="A11" s="7" t="s">
        <v>32</v>
      </c>
      <c r="B11" s="24">
        <f t="shared" si="3"/>
        <v>1699290249.260699</v>
      </c>
      <c r="C11" s="24">
        <f t="shared" si="0"/>
        <v>1957990169.1147199</v>
      </c>
      <c r="D11" s="8">
        <f t="shared" si="4"/>
        <v>0.15223998370294423</v>
      </c>
      <c r="E11" s="7"/>
      <c r="G11" s="7" t="s">
        <v>32</v>
      </c>
      <c r="H11" s="24">
        <v>1421262166.2607</v>
      </c>
      <c r="I11" s="24">
        <v>1623148024.5747199</v>
      </c>
      <c r="J11" s="8">
        <f t="shared" si="1"/>
        <v>0.14204688136121699</v>
      </c>
      <c r="K11" s="7"/>
      <c r="M11" s="7" t="s">
        <v>32</v>
      </c>
      <c r="N11" s="24">
        <v>278028082.99999899</v>
      </c>
      <c r="O11" s="24">
        <v>334842144.54000002</v>
      </c>
      <c r="P11" s="8">
        <f t="shared" si="2"/>
        <v>0.20434648517143228</v>
      </c>
      <c r="Q11" s="7"/>
    </row>
    <row r="12" spans="1:17" x14ac:dyDescent="0.35">
      <c r="A12" s="7" t="s">
        <v>33</v>
      </c>
      <c r="B12" s="24">
        <f t="shared" si="3"/>
        <v>584339329.24389505</v>
      </c>
      <c r="C12" s="24">
        <f t="shared" si="0"/>
        <v>686397504.67399883</v>
      </c>
      <c r="D12" s="8">
        <f t="shared" si="4"/>
        <v>0.1746556672167896</v>
      </c>
      <c r="E12" s="7"/>
      <c r="G12" s="7" t="s">
        <v>33</v>
      </c>
      <c r="H12" s="24">
        <v>504888052.50389498</v>
      </c>
      <c r="I12" s="24">
        <v>590554343.28399897</v>
      </c>
      <c r="J12" s="8">
        <f t="shared" si="1"/>
        <v>0.16967383235800199</v>
      </c>
      <c r="K12" s="7"/>
      <c r="M12" s="7" t="s">
        <v>33</v>
      </c>
      <c r="N12" s="24">
        <v>79451276.740000099</v>
      </c>
      <c r="O12" s="24">
        <v>95843161.389999807</v>
      </c>
      <c r="P12" s="8">
        <f t="shared" si="2"/>
        <v>0.20631367200858511</v>
      </c>
      <c r="Q12" s="7"/>
    </row>
    <row r="13" spans="1:17" x14ac:dyDescent="0.35">
      <c r="A13" s="7" t="s">
        <v>34</v>
      </c>
      <c r="B13" s="24">
        <f t="shared" si="3"/>
        <v>906483888.38089705</v>
      </c>
      <c r="C13" s="24">
        <f t="shared" si="0"/>
        <v>1039916997.5574119</v>
      </c>
      <c r="D13" s="8">
        <f t="shared" si="4"/>
        <v>0.14719854471417518</v>
      </c>
      <c r="E13" s="7"/>
      <c r="G13" s="7" t="s">
        <v>34</v>
      </c>
      <c r="H13" s="24">
        <v>788240902.01089704</v>
      </c>
      <c r="I13" s="24">
        <v>891821993.37741196</v>
      </c>
      <c r="J13" s="8">
        <f t="shared" si="1"/>
        <v>0.13140791235555924</v>
      </c>
      <c r="K13" s="7"/>
      <c r="M13" s="7" t="s">
        <v>34</v>
      </c>
      <c r="N13" s="24">
        <v>118242986.37</v>
      </c>
      <c r="O13" s="24">
        <v>148095004.18000001</v>
      </c>
      <c r="P13" s="8">
        <f t="shared" si="2"/>
        <v>0.25246332764793822</v>
      </c>
      <c r="Q13" s="7"/>
    </row>
    <row r="14" spans="1:17" x14ac:dyDescent="0.35">
      <c r="A14" s="7" t="s">
        <v>35</v>
      </c>
      <c r="B14" s="24">
        <f t="shared" si="3"/>
        <v>218761244.78130102</v>
      </c>
      <c r="C14" s="24">
        <f t="shared" si="0"/>
        <v>281373929.7247988</v>
      </c>
      <c r="D14" s="8">
        <f t="shared" si="4"/>
        <v>0.28621470409940591</v>
      </c>
      <c r="E14" s="7"/>
      <c r="G14" s="7" t="s">
        <v>35</v>
      </c>
      <c r="H14" s="25">
        <v>192065131.32130101</v>
      </c>
      <c r="I14" s="25">
        <v>250538900.27479899</v>
      </c>
      <c r="J14" s="8">
        <f t="shared" si="1"/>
        <v>0.30444760353548322</v>
      </c>
      <c r="K14" s="7"/>
      <c r="M14" s="7" t="s">
        <v>35</v>
      </c>
      <c r="N14" s="25">
        <v>26696113.460000001</v>
      </c>
      <c r="O14" s="25">
        <v>30835029.449999802</v>
      </c>
      <c r="P14" s="8">
        <f t="shared" si="2"/>
        <v>0.15503814801361729</v>
      </c>
      <c r="Q14" s="7"/>
    </row>
    <row r="15" spans="1:17" x14ac:dyDescent="0.35">
      <c r="A15" s="7" t="s">
        <v>36</v>
      </c>
      <c r="B15" s="24">
        <f t="shared" si="3"/>
        <v>414198153.18569893</v>
      </c>
      <c r="C15" s="24">
        <f t="shared" si="0"/>
        <v>486624161.47459781</v>
      </c>
      <c r="D15" s="8">
        <f t="shared" si="4"/>
        <v>0.17485835639742187</v>
      </c>
      <c r="E15" s="7"/>
      <c r="G15" s="7" t="s">
        <v>36</v>
      </c>
      <c r="H15" s="26">
        <v>357501501.53569901</v>
      </c>
      <c r="I15" s="26">
        <v>411333412.35459799</v>
      </c>
      <c r="J15" s="8">
        <f t="shared" si="1"/>
        <v>0.15057813907817527</v>
      </c>
      <c r="K15" s="7"/>
      <c r="M15" s="7" t="s">
        <v>36</v>
      </c>
      <c r="N15" s="26">
        <v>56696651.649999902</v>
      </c>
      <c r="O15" s="26">
        <v>75290749.119999796</v>
      </c>
      <c r="P15" s="8">
        <f t="shared" si="2"/>
        <v>0.3279575941236369</v>
      </c>
      <c r="Q15" s="7"/>
    </row>
    <row r="16" spans="1:17" x14ac:dyDescent="0.35">
      <c r="A16" s="7" t="s">
        <v>37</v>
      </c>
      <c r="B16" s="24">
        <f t="shared" si="3"/>
        <v>49025601.541500002</v>
      </c>
      <c r="C16" s="24">
        <f t="shared" si="0"/>
        <v>47768735.449099995</v>
      </c>
      <c r="D16" s="8">
        <f t="shared" si="4"/>
        <v>-2.5636933620000035E-2</v>
      </c>
      <c r="E16" s="7"/>
      <c r="G16" s="7" t="s">
        <v>37</v>
      </c>
      <c r="H16" s="26">
        <v>46012222.321500003</v>
      </c>
      <c r="I16" s="26">
        <v>45048585.479099996</v>
      </c>
      <c r="J16" s="8">
        <f t="shared" si="1"/>
        <v>-2.0943062381703983E-2</v>
      </c>
      <c r="K16" s="7"/>
      <c r="M16" s="7" t="s">
        <v>37</v>
      </c>
      <c r="N16" s="26">
        <v>3013379.22</v>
      </c>
      <c r="O16" s="26">
        <v>2720149.97</v>
      </c>
      <c r="P16" s="8">
        <f t="shared" si="2"/>
        <v>-9.7309110003088159E-2</v>
      </c>
      <c r="Q16" s="7"/>
    </row>
    <row r="17" spans="1:17" x14ac:dyDescent="0.35">
      <c r="A17" s="13" t="s">
        <v>56</v>
      </c>
      <c r="B17" s="24">
        <f t="shared" si="3"/>
        <v>1409621821.5191898</v>
      </c>
      <c r="C17" s="24">
        <f t="shared" si="0"/>
        <v>1515016853.062521</v>
      </c>
      <c r="D17" s="8">
        <f t="shared" si="4"/>
        <v>7.4768303054321264E-2</v>
      </c>
      <c r="E17" s="7"/>
      <c r="G17" s="13" t="s">
        <v>56</v>
      </c>
      <c r="H17" s="26">
        <v>1242890964.9391899</v>
      </c>
      <c r="I17" s="26">
        <v>1312667341.55251</v>
      </c>
      <c r="J17" s="8">
        <f t="shared" si="1"/>
        <v>5.6140384459817852E-2</v>
      </c>
      <c r="K17" s="7"/>
      <c r="M17" s="13" t="s">
        <v>56</v>
      </c>
      <c r="N17" s="26">
        <v>166730856.58000001</v>
      </c>
      <c r="O17" s="26">
        <v>202349511.51001099</v>
      </c>
      <c r="P17" s="8">
        <f t="shared" si="2"/>
        <v>0.21362965236684067</v>
      </c>
      <c r="Q17" s="7"/>
    </row>
    <row r="18" spans="1:17" s="20" customFormat="1" x14ac:dyDescent="0.35">
      <c r="A18" s="13" t="s">
        <v>57</v>
      </c>
      <c r="B18" s="24">
        <f t="shared" si="3"/>
        <v>1128492295.8748531</v>
      </c>
      <c r="C18" s="24">
        <f t="shared" si="0"/>
        <v>1183700164.6118679</v>
      </c>
      <c r="D18" s="8">
        <f t="shared" ref="D18:D23" si="5">IFERROR((C18-B18)/B18, "")</f>
        <v>4.8921794981520356E-2</v>
      </c>
      <c r="E18" s="7"/>
      <c r="G18" s="13" t="s">
        <v>57</v>
      </c>
      <c r="H18" s="26">
        <v>962732783.36485302</v>
      </c>
      <c r="I18" s="26">
        <v>982573783.93185699</v>
      </c>
      <c r="J18" s="8">
        <f t="shared" si="1"/>
        <v>2.0609042207597385E-2</v>
      </c>
      <c r="K18" s="7"/>
      <c r="M18" s="13" t="s">
        <v>57</v>
      </c>
      <c r="N18" s="26">
        <v>165759512.50999999</v>
      </c>
      <c r="O18" s="26">
        <v>201126380.680011</v>
      </c>
      <c r="P18" s="8">
        <f t="shared" si="2"/>
        <v>0.21336252522990132</v>
      </c>
      <c r="Q18" s="7"/>
    </row>
    <row r="19" spans="1:17" x14ac:dyDescent="0.35">
      <c r="A19" s="13" t="s">
        <v>38</v>
      </c>
      <c r="B19" s="24">
        <f t="shared" si="3"/>
        <v>379494243.71599996</v>
      </c>
      <c r="C19" s="24">
        <f t="shared" si="0"/>
        <v>422784134.10359997</v>
      </c>
      <c r="D19" s="8">
        <f t="shared" si="5"/>
        <v>0.11407258767275696</v>
      </c>
      <c r="E19" s="7"/>
      <c r="G19" s="13" t="s">
        <v>38</v>
      </c>
      <c r="H19" s="26">
        <v>310481372.63599998</v>
      </c>
      <c r="I19" s="26">
        <v>346963746.96359998</v>
      </c>
      <c r="J19" s="8">
        <f t="shared" si="1"/>
        <v>0.1175026186526525</v>
      </c>
      <c r="K19" s="7"/>
      <c r="M19" s="13" t="s">
        <v>38</v>
      </c>
      <c r="N19" s="26">
        <v>69012871.079999998</v>
      </c>
      <c r="O19" s="26">
        <v>75820387.140000001</v>
      </c>
      <c r="P19" s="8">
        <f t="shared" si="2"/>
        <v>9.8641252761513171E-2</v>
      </c>
      <c r="Q19" s="7"/>
    </row>
    <row r="20" spans="1:17" x14ac:dyDescent="0.35">
      <c r="A20" s="13" t="s">
        <v>45</v>
      </c>
      <c r="B20" s="24">
        <f t="shared" si="3"/>
        <v>72058569.729599997</v>
      </c>
      <c r="C20" s="24">
        <f t="shared" si="0"/>
        <v>40851001.738799997</v>
      </c>
      <c r="D20" s="8">
        <f t="shared" si="5"/>
        <v>-0.43308614239647686</v>
      </c>
      <c r="E20" s="7"/>
      <c r="G20" s="13" t="s">
        <v>45</v>
      </c>
      <c r="H20" s="26">
        <v>69710306.979599997</v>
      </c>
      <c r="I20" s="26">
        <v>38586265.478799999</v>
      </c>
      <c r="J20" s="8">
        <f t="shared" si="1"/>
        <v>-0.44647689630613918</v>
      </c>
      <c r="K20" s="7"/>
      <c r="M20" s="13" t="s">
        <v>45</v>
      </c>
      <c r="N20" s="26">
        <v>2348262.75</v>
      </c>
      <c r="O20" s="26">
        <v>2264736.2599999998</v>
      </c>
      <c r="P20" s="8">
        <f t="shared" si="2"/>
        <v>-3.5569482162930967E-2</v>
      </c>
      <c r="Q20" s="7"/>
    </row>
    <row r="21" spans="1:17" x14ac:dyDescent="0.35">
      <c r="A21" s="13" t="s">
        <v>46</v>
      </c>
      <c r="B21" s="24">
        <f t="shared" si="3"/>
        <v>33353108.761545807</v>
      </c>
      <c r="C21" s="24">
        <f t="shared" si="0"/>
        <v>19281998.611903299</v>
      </c>
      <c r="D21" s="8">
        <f t="shared" si="5"/>
        <v>-0.4218830169697908</v>
      </c>
      <c r="E21" s="7"/>
      <c r="G21" s="13" t="s">
        <v>46</v>
      </c>
      <c r="H21" s="26">
        <v>32594922.5727375</v>
      </c>
      <c r="I21" s="26">
        <v>18181456.201441899</v>
      </c>
      <c r="J21" s="8">
        <f t="shared" si="1"/>
        <v>-0.44219974258662825</v>
      </c>
      <c r="K21" s="7"/>
      <c r="M21" s="13" t="s">
        <v>46</v>
      </c>
      <c r="N21" s="26">
        <v>758186.18880830798</v>
      </c>
      <c r="O21" s="26">
        <v>1100542.4104613999</v>
      </c>
      <c r="P21" s="8">
        <f t="shared" si="2"/>
        <v>0.45154637041225476</v>
      </c>
      <c r="Q21" s="7"/>
    </row>
    <row r="22" spans="1:17" x14ac:dyDescent="0.35">
      <c r="A22" s="13" t="s">
        <v>47</v>
      </c>
      <c r="B22" s="24">
        <f t="shared" si="3"/>
        <v>15096585.724967843</v>
      </c>
      <c r="C22" s="24">
        <f t="shared" si="0"/>
        <v>19492339.242301382</v>
      </c>
      <c r="D22" s="8">
        <f t="shared" si="5"/>
        <v>0.29117534238642578</v>
      </c>
      <c r="E22" s="7"/>
      <c r="G22" s="13" t="s">
        <v>47</v>
      </c>
      <c r="H22" s="26">
        <v>14326324.176934199</v>
      </c>
      <c r="I22" s="26">
        <v>18718893.877315499</v>
      </c>
      <c r="J22" s="8">
        <f t="shared" si="1"/>
        <v>0.30660828598681755</v>
      </c>
      <c r="K22" s="7"/>
      <c r="M22" s="13" t="s">
        <v>47</v>
      </c>
      <c r="N22" s="26">
        <v>770261.54803364305</v>
      </c>
      <c r="O22" s="26">
        <v>773445.36498588196</v>
      </c>
      <c r="P22" s="8">
        <f t="shared" si="2"/>
        <v>4.1334231993881724E-3</v>
      </c>
      <c r="Q22" s="7"/>
    </row>
    <row r="23" spans="1:17" x14ac:dyDescent="0.35">
      <c r="A23" s="13" t="s">
        <v>48</v>
      </c>
      <c r="B23" s="24">
        <f t="shared" si="3"/>
        <v>0</v>
      </c>
      <c r="C23" s="24">
        <f t="shared" si="0"/>
        <v>0</v>
      </c>
      <c r="D23" s="8" t="str">
        <f t="shared" si="5"/>
        <v/>
      </c>
      <c r="E23" s="7"/>
      <c r="G23" s="13" t="s">
        <v>48</v>
      </c>
      <c r="H23" s="26">
        <v>0</v>
      </c>
      <c r="I23" s="26">
        <v>0</v>
      </c>
      <c r="J23" s="8" t="str">
        <f t="shared" si="1"/>
        <v/>
      </c>
      <c r="K23" s="7"/>
      <c r="M23" s="13" t="s">
        <v>48</v>
      </c>
      <c r="N23" s="26">
        <v>0</v>
      </c>
      <c r="O23" s="26">
        <v>0</v>
      </c>
      <c r="P23" s="8" t="str">
        <f t="shared" si="2"/>
        <v/>
      </c>
      <c r="Q23" s="7"/>
    </row>
    <row r="24" spans="1:17" x14ac:dyDescent="0.35">
      <c r="A24" s="13" t="s">
        <v>49</v>
      </c>
      <c r="B24" s="24">
        <f t="shared" si="3"/>
        <v>-19892913.230564799</v>
      </c>
      <c r="C24" s="24">
        <f t="shared" si="0"/>
        <v>-17932203.730190001</v>
      </c>
      <c r="D24" s="8">
        <f>IFERROR((C24-B24)/B24, "")</f>
        <v>-9.8563215837197377E-2</v>
      </c>
      <c r="E24" s="7"/>
      <c r="G24" s="13" t="s">
        <v>49</v>
      </c>
      <c r="H24" s="26">
        <v>-19892913.230564799</v>
      </c>
      <c r="I24" s="26">
        <v>-17932203.730190001</v>
      </c>
      <c r="J24" s="8">
        <f t="shared" si="1"/>
        <v>-9.8563215837197377E-2</v>
      </c>
      <c r="K24" s="7"/>
      <c r="M24" s="13" t="s">
        <v>49</v>
      </c>
      <c r="N24" s="26">
        <v>0</v>
      </c>
      <c r="O24" s="26">
        <v>0</v>
      </c>
      <c r="P24" s="8" t="str">
        <f t="shared" si="2"/>
        <v/>
      </c>
      <c r="Q24" s="7"/>
    </row>
    <row r="25" spans="1:17" x14ac:dyDescent="0.35">
      <c r="A25" s="13" t="s">
        <v>50</v>
      </c>
      <c r="B25" s="24">
        <f t="shared" si="3"/>
        <v>1267210536.05267</v>
      </c>
      <c r="C25" s="24">
        <f t="shared" si="0"/>
        <v>1283533891.19082</v>
      </c>
      <c r="D25" s="8">
        <f>IFERROR((C25-B25)/B25, "")</f>
        <v>1.2881328456277543E-2</v>
      </c>
      <c r="E25" s="7"/>
      <c r="G25" s="13" t="s">
        <v>50</v>
      </c>
      <c r="H25" s="26">
        <v>1267181281.79267</v>
      </c>
      <c r="I25" s="26">
        <v>1283450307.22082</v>
      </c>
      <c r="J25" s="8">
        <f t="shared" si="1"/>
        <v>1.2838751378282904E-2</v>
      </c>
      <c r="K25" s="7"/>
      <c r="M25" s="13" t="s">
        <v>50</v>
      </c>
      <c r="N25" s="26">
        <v>29254.26</v>
      </c>
      <c r="O25" s="26">
        <v>83583.97</v>
      </c>
      <c r="P25" s="8">
        <f t="shared" si="2"/>
        <v>1.8571555048734785</v>
      </c>
      <c r="Q25" s="7"/>
    </row>
    <row r="26" spans="1:17" x14ac:dyDescent="0.35">
      <c r="A26" s="38" t="s">
        <v>58</v>
      </c>
      <c r="B26" s="40">
        <f>SUM(B10:B16) + B17 +B19</f>
        <v>6972427125.5838804</v>
      </c>
      <c r="C26" s="40">
        <f t="shared" ref="C26" si="6">SUM(C10:C16) + C17 +C19</f>
        <v>7870319114.197648</v>
      </c>
      <c r="D26" s="41">
        <f>IFERROR((C26-B26)/B26, "")</f>
        <v>0.12877753649358895</v>
      </c>
      <c r="E26" s="39"/>
      <c r="G26" s="38" t="s">
        <v>58</v>
      </c>
      <c r="H26" s="40">
        <f>SUM(H10:H16) + H17 +H19</f>
        <v>6011398361.1038818</v>
      </c>
      <c r="I26" s="40">
        <f t="shared" ref="I26" si="7">SUM(I10:I19)</f>
        <v>7697401682.3994961</v>
      </c>
      <c r="J26" s="41">
        <f t="shared" si="1"/>
        <v>0.28046774145009595</v>
      </c>
      <c r="K26" s="39"/>
      <c r="M26" s="38" t="s">
        <v>58</v>
      </c>
      <c r="N26" s="40">
        <f>SUM(N10:N16) + N17 +N19</f>
        <v>961028764.47999907</v>
      </c>
      <c r="O26" s="40">
        <f t="shared" ref="O26" si="8">SUM(O10:O19)</f>
        <v>1356617596.4100218</v>
      </c>
      <c r="P26" s="41">
        <f t="shared" si="2"/>
        <v>0.41163058438117717</v>
      </c>
      <c r="Q26" s="39"/>
    </row>
    <row r="27" spans="1:17" s="20" customFormat="1" x14ac:dyDescent="0.35">
      <c r="A27" s="38" t="s">
        <v>59</v>
      </c>
      <c r="B27" s="40">
        <f>SUM(B10:B16) + B18 +B19</f>
        <v>6691297599.9395437</v>
      </c>
      <c r="C27" s="40">
        <f t="shared" ref="C27" si="9">SUM(C10:C16) + C18 +C19</f>
        <v>7539002425.746995</v>
      </c>
      <c r="D27" s="41">
        <f>IFERROR((C27-B27)/B27, "")</f>
        <v>0.12668765858136549</v>
      </c>
      <c r="E27" s="39"/>
      <c r="G27" s="38" t="s">
        <v>59</v>
      </c>
      <c r="H27" s="40">
        <f>SUM(H10:H16) + H18 +H19</f>
        <v>5731240179.5295448</v>
      </c>
      <c r="I27" s="40">
        <f t="shared" ref="I27" si="10">SUM(I10:I16) + I18 +I19</f>
        <v>6384734340.8469858</v>
      </c>
      <c r="J27" s="41">
        <f t="shared" si="1"/>
        <v>0.1140231679090238</v>
      </c>
      <c r="K27" s="39"/>
      <c r="M27" s="38" t="s">
        <v>59</v>
      </c>
      <c r="N27" s="40">
        <f>SUM(N10:N16) + N18 +N19</f>
        <v>960057420.40999901</v>
      </c>
      <c r="O27" s="40">
        <f t="shared" ref="O27" si="11">SUM(O10:O16) + O18 +O19</f>
        <v>1154268084.9000106</v>
      </c>
      <c r="P27" s="41">
        <f t="shared" si="2"/>
        <v>0.20229067591298092</v>
      </c>
      <c r="Q27" s="39"/>
    </row>
    <row r="28" spans="1:17" x14ac:dyDescent="0.35">
      <c r="A28" s="38" t="s">
        <v>53</v>
      </c>
      <c r="B28" s="40">
        <f>SUM(B20:B25)</f>
        <v>1367825887.0382187</v>
      </c>
      <c r="C28" s="40">
        <f t="shared" ref="C28" si="12">SUM(C20:C25)</f>
        <v>1345227027.0536346</v>
      </c>
      <c r="D28" s="41">
        <f>IFERROR((C28-B28)/B28, "")</f>
        <v>-1.6521737304970786E-2</v>
      </c>
      <c r="E28" s="39"/>
      <c r="G28" s="38" t="s">
        <v>53</v>
      </c>
      <c r="H28" s="40">
        <f>SUM(H20:H25)</f>
        <v>1363919922.2913768</v>
      </c>
      <c r="I28" s="40">
        <f t="shared" ref="I28" si="13">SUM(I20:I25)</f>
        <v>1341004719.0481873</v>
      </c>
      <c r="J28" s="41">
        <f t="shared" si="1"/>
        <v>-1.6800988730109739E-2</v>
      </c>
      <c r="K28" s="39"/>
      <c r="M28" s="38" t="s">
        <v>53</v>
      </c>
      <c r="N28" s="40">
        <f>SUM(N20:N25)</f>
        <v>3905964.7468419508</v>
      </c>
      <c r="O28" s="40">
        <f t="shared" ref="O28" si="14">SUM(O20:O25)</f>
        <v>4222308.0054472815</v>
      </c>
      <c r="P28" s="41">
        <f t="shared" si="2"/>
        <v>8.0989788466754711E-2</v>
      </c>
      <c r="Q28" s="39"/>
    </row>
    <row r="29" spans="1:17" s="20" customFormat="1" x14ac:dyDescent="0.35">
      <c r="A29" s="18"/>
      <c r="B29" s="54"/>
      <c r="C29" s="54"/>
      <c r="D29" s="55"/>
      <c r="E29" s="15"/>
      <c r="F29" s="14"/>
      <c r="G29" s="18"/>
      <c r="H29" s="54"/>
      <c r="I29" s="54"/>
      <c r="J29" s="55"/>
      <c r="K29" s="15"/>
      <c r="L29" s="14"/>
      <c r="M29" s="18"/>
      <c r="N29" s="54"/>
      <c r="O29" s="54"/>
      <c r="P29" s="55"/>
      <c r="Q29" s="15"/>
    </row>
    <row r="30" spans="1:17" s="20" customFormat="1" x14ac:dyDescent="0.35">
      <c r="A30" s="18"/>
      <c r="B30" s="54"/>
      <c r="C30" s="54"/>
      <c r="D30" s="55"/>
      <c r="E30" s="15"/>
      <c r="F30" s="14"/>
      <c r="G30" s="18"/>
      <c r="H30" s="54"/>
      <c r="I30" s="54"/>
      <c r="J30" s="55"/>
      <c r="K30" s="15"/>
      <c r="L30" s="14"/>
      <c r="M30" s="18"/>
      <c r="N30" s="54"/>
      <c r="O30" s="54"/>
      <c r="P30" s="55"/>
      <c r="Q30" s="15"/>
    </row>
    <row r="31" spans="1:17" s="20" customFormat="1" x14ac:dyDescent="0.35">
      <c r="A31" s="128" t="s">
        <v>7</v>
      </c>
      <c r="B31" s="128" t="s">
        <v>61</v>
      </c>
      <c r="C31" s="128"/>
      <c r="D31" s="76" t="s">
        <v>2</v>
      </c>
      <c r="E31" s="131" t="s">
        <v>28</v>
      </c>
      <c r="G31" s="128" t="s">
        <v>7</v>
      </c>
      <c r="H31" s="128" t="s">
        <v>61</v>
      </c>
      <c r="I31" s="128"/>
      <c r="J31" s="76" t="s">
        <v>2</v>
      </c>
      <c r="K31" s="131" t="s">
        <v>28</v>
      </c>
      <c r="M31" s="128" t="s">
        <v>7</v>
      </c>
      <c r="N31" s="128" t="s">
        <v>61</v>
      </c>
      <c r="O31" s="128"/>
      <c r="P31" s="76" t="s">
        <v>2</v>
      </c>
      <c r="Q31" s="131" t="s">
        <v>28</v>
      </c>
    </row>
    <row r="32" spans="1:17" s="20" customFormat="1" x14ac:dyDescent="0.35">
      <c r="A32" s="128"/>
      <c r="B32" s="75">
        <v>2020</v>
      </c>
      <c r="C32" s="75">
        <v>2021</v>
      </c>
      <c r="D32" s="75" t="s">
        <v>112</v>
      </c>
      <c r="E32" s="132"/>
      <c r="G32" s="128"/>
      <c r="H32" s="75">
        <v>2020</v>
      </c>
      <c r="I32" s="75">
        <v>2021</v>
      </c>
      <c r="J32" s="75" t="s">
        <v>112</v>
      </c>
      <c r="K32" s="132"/>
      <c r="M32" s="128"/>
      <c r="N32" s="75">
        <v>2020</v>
      </c>
      <c r="O32" s="75">
        <v>2021</v>
      </c>
      <c r="P32" s="75" t="s">
        <v>112</v>
      </c>
      <c r="Q32" s="132"/>
    </row>
    <row r="33" spans="1:17" s="20" customFormat="1" x14ac:dyDescent="0.35">
      <c r="A33" s="7" t="s">
        <v>31</v>
      </c>
      <c r="B33" s="24">
        <f>B10/($B$8/12)</f>
        <v>909.48087174256818</v>
      </c>
      <c r="C33" s="24">
        <f>C10/($C$8/12)</f>
        <v>1010.1248099153879</v>
      </c>
      <c r="D33" s="8">
        <f t="shared" ref="D33:D55" si="15">IFERROR((C33-B33)/B33, "")</f>
        <v>0.11066086302616308</v>
      </c>
      <c r="E33" s="47"/>
      <c r="G33" s="7" t="s">
        <v>31</v>
      </c>
      <c r="H33" s="24">
        <f>H10/($H$8/12)</f>
        <v>892.59579927036975</v>
      </c>
      <c r="I33" s="24">
        <f>I10/($I$8/12)</f>
        <v>988.17560913451348</v>
      </c>
      <c r="J33" s="8">
        <f t="shared" ref="J33:J55" si="16">IFERROR((I33-H33)/H33, "")</f>
        <v>0.10708073009336708</v>
      </c>
      <c r="K33" s="7"/>
      <c r="M33" s="7" t="s">
        <v>31</v>
      </c>
      <c r="N33" s="24">
        <f>N10/($N$8/12)</f>
        <v>1049.1291669354848</v>
      </c>
      <c r="O33" s="24">
        <f>O10/($O$8/12)</f>
        <v>1182.1469273509178</v>
      </c>
      <c r="P33" s="8">
        <f t="shared" ref="P33:P55" si="17">IFERROR((O33-N33)/N33, "")</f>
        <v>0.12678873546522307</v>
      </c>
      <c r="Q33" s="7"/>
    </row>
    <row r="34" spans="1:17" s="20" customFormat="1" x14ac:dyDescent="0.35">
      <c r="A34" s="7" t="s">
        <v>32</v>
      </c>
      <c r="B34" s="24">
        <f t="shared" ref="B34:B51" si="18">B11/($B$8/12)</f>
        <v>1178.6585824195186</v>
      </c>
      <c r="C34" s="24">
        <f t="shared" ref="C34:C51" si="19">C11/($C$8/12)</f>
        <v>1380.7247036652113</v>
      </c>
      <c r="D34" s="8">
        <f t="shared" si="15"/>
        <v>0.17143736469546331</v>
      </c>
      <c r="E34" s="7"/>
      <c r="G34" s="7" t="s">
        <v>32</v>
      </c>
      <c r="H34" s="24">
        <f t="shared" ref="H34:H48" si="20">H11/($H$8/12)</f>
        <v>1105.0093259350758</v>
      </c>
      <c r="I34" s="24">
        <f t="shared" ref="I34:I48" si="21">I11/($I$8/12)</f>
        <v>1290.64838995076</v>
      </c>
      <c r="J34" s="8">
        <f t="shared" si="16"/>
        <v>0.16799773509476365</v>
      </c>
      <c r="K34" s="7"/>
      <c r="M34" s="7" t="s">
        <v>32</v>
      </c>
      <c r="N34" s="24">
        <f>N11/($N$8/12)</f>
        <v>1787.7760811576868</v>
      </c>
      <c r="O34" s="24">
        <f t="shared" ref="O34:O51" si="22">O11/($O$8/12)</f>
        <v>2086.6783450136813</v>
      </c>
      <c r="P34" s="8">
        <f t="shared" si="17"/>
        <v>0.1671922267034909</v>
      </c>
      <c r="Q34" s="7"/>
    </row>
    <row r="35" spans="1:17" s="20" customFormat="1" x14ac:dyDescent="0.35">
      <c r="A35" s="7" t="s">
        <v>33</v>
      </c>
      <c r="B35" s="24">
        <f t="shared" si="18"/>
        <v>405.30837257391818</v>
      </c>
      <c r="C35" s="24">
        <f t="shared" si="19"/>
        <v>484.03000494433007</v>
      </c>
      <c r="D35" s="8">
        <f t="shared" si="15"/>
        <v>0.19422651417361242</v>
      </c>
      <c r="E35" s="7"/>
      <c r="G35" s="7" t="s">
        <v>33</v>
      </c>
      <c r="H35" s="24">
        <f t="shared" si="20"/>
        <v>392.54264259903351</v>
      </c>
      <c r="I35" s="24">
        <f t="shared" si="21"/>
        <v>469.58010039634235</v>
      </c>
      <c r="J35" s="8">
        <f t="shared" si="16"/>
        <v>0.19625245626116469</v>
      </c>
      <c r="K35" s="7"/>
      <c r="M35" s="7" t="s">
        <v>33</v>
      </c>
      <c r="N35" s="24">
        <f t="shared" ref="N35:N51" si="23">N12/($N$8/12)</f>
        <v>510.88757164582097</v>
      </c>
      <c r="O35" s="24">
        <f t="shared" si="22"/>
        <v>597.27800891047286</v>
      </c>
      <c r="P35" s="8">
        <f t="shared" si="17"/>
        <v>0.16909872555001812</v>
      </c>
      <c r="Q35" s="7"/>
    </row>
    <row r="36" spans="1:17" s="20" customFormat="1" x14ac:dyDescent="0.35">
      <c r="A36" s="7" t="s">
        <v>34</v>
      </c>
      <c r="B36" s="24">
        <f t="shared" si="18"/>
        <v>628.75369015387423</v>
      </c>
      <c r="C36" s="24">
        <f t="shared" si="19"/>
        <v>733.32293028727008</v>
      </c>
      <c r="D36" s="8">
        <f t="shared" si="15"/>
        <v>0.1663119306827523</v>
      </c>
      <c r="E36" s="7"/>
      <c r="G36" s="7" t="s">
        <v>34</v>
      </c>
      <c r="H36" s="24">
        <f t="shared" si="20"/>
        <v>612.84509535431391</v>
      </c>
      <c r="I36" s="24">
        <f t="shared" si="21"/>
        <v>709.13348779561522</v>
      </c>
      <c r="J36" s="8">
        <f t="shared" si="16"/>
        <v>0.15711701565569774</v>
      </c>
      <c r="K36" s="7"/>
      <c r="M36" s="7" t="s">
        <v>34</v>
      </c>
      <c r="N36" s="24">
        <f t="shared" si="23"/>
        <v>760.32600921447613</v>
      </c>
      <c r="O36" s="24">
        <f t="shared" si="22"/>
        <v>922.90245796762463</v>
      </c>
      <c r="P36" s="8">
        <f t="shared" si="17"/>
        <v>0.21382465782160059</v>
      </c>
      <c r="Q36" s="7"/>
    </row>
    <row r="37" spans="1:17" s="20" customFormat="1" x14ac:dyDescent="0.35">
      <c r="A37" s="7" t="s">
        <v>35</v>
      </c>
      <c r="B37" s="24">
        <f t="shared" si="18"/>
        <v>151.73677291118261</v>
      </c>
      <c r="C37" s="24">
        <f t="shared" si="19"/>
        <v>198.41771519927704</v>
      </c>
      <c r="D37" s="8">
        <f t="shared" si="15"/>
        <v>0.30764422751641479</v>
      </c>
      <c r="E37" s="7"/>
      <c r="G37" s="7" t="s">
        <v>35</v>
      </c>
      <c r="H37" s="24">
        <f t="shared" si="20"/>
        <v>149.32766546186448</v>
      </c>
      <c r="I37" s="24">
        <f t="shared" si="21"/>
        <v>199.21635202952368</v>
      </c>
      <c r="J37" s="8">
        <f t="shared" si="16"/>
        <v>0.33408870629133247</v>
      </c>
      <c r="K37" s="7"/>
      <c r="M37" s="7" t="s">
        <v>35</v>
      </c>
      <c r="N37" s="24">
        <f t="shared" si="23"/>
        <v>171.66133934628448</v>
      </c>
      <c r="O37" s="24">
        <f t="shared" si="22"/>
        <v>192.15857164445848</v>
      </c>
      <c r="P37" s="8">
        <f t="shared" si="17"/>
        <v>0.11940505868258361</v>
      </c>
      <c r="Q37" s="7"/>
    </row>
    <row r="38" spans="1:17" s="20" customFormat="1" x14ac:dyDescent="0.35">
      <c r="A38" s="7" t="s">
        <v>36</v>
      </c>
      <c r="B38" s="24">
        <f t="shared" si="18"/>
        <v>287.29536245325733</v>
      </c>
      <c r="C38" s="24">
        <f t="shared" si="19"/>
        <v>343.15494109561041</v>
      </c>
      <c r="D38" s="8">
        <f t="shared" si="15"/>
        <v>0.1944325803429611</v>
      </c>
      <c r="E38" s="7"/>
      <c r="G38" s="7" t="s">
        <v>36</v>
      </c>
      <c r="H38" s="24">
        <f t="shared" si="20"/>
        <v>277.95188151112592</v>
      </c>
      <c r="I38" s="24">
        <f t="shared" si="21"/>
        <v>327.0723300344165</v>
      </c>
      <c r="J38" s="8">
        <f t="shared" si="16"/>
        <v>0.17672284949553174</v>
      </c>
      <c r="K38" s="7"/>
      <c r="M38" s="7" t="s">
        <v>36</v>
      </c>
      <c r="N38" s="24">
        <f t="shared" si="23"/>
        <v>364.57078942489306</v>
      </c>
      <c r="O38" s="24">
        <f t="shared" si="22"/>
        <v>469.19892949674232</v>
      </c>
      <c r="P38" s="8">
        <f t="shared" si="17"/>
        <v>0.28698991555768677</v>
      </c>
      <c r="Q38" s="7"/>
    </row>
    <row r="39" spans="1:17" s="20" customFormat="1" x14ac:dyDescent="0.35">
      <c r="A39" s="7" t="s">
        <v>37</v>
      </c>
      <c r="B39" s="24">
        <f t="shared" si="18"/>
        <v>34.005047719369024</v>
      </c>
      <c r="C39" s="24">
        <f t="shared" si="19"/>
        <v>33.685293285839826</v>
      </c>
      <c r="D39" s="8">
        <f t="shared" si="15"/>
        <v>-9.4031461495955558E-3</v>
      </c>
      <c r="E39" s="7"/>
      <c r="G39" s="7" t="s">
        <v>37</v>
      </c>
      <c r="H39" s="24">
        <f t="shared" si="20"/>
        <v>35.773790352855521</v>
      </c>
      <c r="I39" s="24">
        <f t="shared" si="21"/>
        <v>35.820444862626331</v>
      </c>
      <c r="J39" s="8">
        <f t="shared" si="16"/>
        <v>1.3041533846604714E-3</v>
      </c>
      <c r="K39" s="7"/>
      <c r="M39" s="7" t="s">
        <v>37</v>
      </c>
      <c r="N39" s="24">
        <f t="shared" si="23"/>
        <v>19.376629996667017</v>
      </c>
      <c r="O39" s="24">
        <f t="shared" si="22"/>
        <v>16.951504254000962</v>
      </c>
      <c r="P39" s="8">
        <f t="shared" si="17"/>
        <v>-0.12515725092976443</v>
      </c>
      <c r="Q39" s="7"/>
    </row>
    <row r="40" spans="1:17" s="20" customFormat="1" x14ac:dyDescent="0.35">
      <c r="A40" s="13" t="s">
        <v>56</v>
      </c>
      <c r="B40" s="24">
        <f t="shared" si="18"/>
        <v>977.73929946474505</v>
      </c>
      <c r="C40" s="24">
        <f t="shared" si="19"/>
        <v>1068.3512248880904</v>
      </c>
      <c r="D40" s="8">
        <f t="shared" si="15"/>
        <v>9.2674934384810045E-2</v>
      </c>
      <c r="E40" s="7"/>
      <c r="G40" s="13" t="s">
        <v>56</v>
      </c>
      <c r="H40" s="24">
        <f t="shared" si="20"/>
        <v>966.32847899669503</v>
      </c>
      <c r="I40" s="24">
        <f t="shared" si="21"/>
        <v>1043.7692467140116</v>
      </c>
      <c r="J40" s="8">
        <f t="shared" si="16"/>
        <v>8.0139175653521688E-2</v>
      </c>
      <c r="K40" s="7"/>
      <c r="M40" s="13" t="s">
        <v>56</v>
      </c>
      <c r="N40" s="24">
        <f t="shared" si="23"/>
        <v>1072.1126951217293</v>
      </c>
      <c r="O40" s="24">
        <f t="shared" si="22"/>
        <v>1261.0071661442137</v>
      </c>
      <c r="P40" s="8">
        <f t="shared" si="17"/>
        <v>0.17618900688517358</v>
      </c>
      <c r="Q40" s="7"/>
    </row>
    <row r="41" spans="1:17" s="20" customFormat="1" x14ac:dyDescent="0.35">
      <c r="A41" s="13" t="s">
        <v>57</v>
      </c>
      <c r="B41" s="24">
        <f t="shared" si="18"/>
        <v>782.74275410329983</v>
      </c>
      <c r="C41" s="24">
        <f t="shared" si="19"/>
        <v>834.71515066448967</v>
      </c>
      <c r="D41" s="8">
        <f t="shared" si="15"/>
        <v>6.6397799645847577E-2</v>
      </c>
      <c r="E41" s="47"/>
      <c r="G41" s="13" t="s">
        <v>57</v>
      </c>
      <c r="H41" s="24">
        <f t="shared" si="20"/>
        <v>748.50983108943115</v>
      </c>
      <c r="I41" s="24">
        <f t="shared" si="21"/>
        <v>781.29489919549781</v>
      </c>
      <c r="J41" s="8">
        <f t="shared" si="16"/>
        <v>4.3800450901692344E-2</v>
      </c>
      <c r="K41" s="47"/>
      <c r="M41" s="13" t="s">
        <v>57</v>
      </c>
      <c r="N41" s="24">
        <f t="shared" si="23"/>
        <v>1065.8667588257169</v>
      </c>
      <c r="O41" s="24">
        <f t="shared" si="22"/>
        <v>1253.3848263112579</v>
      </c>
      <c r="P41" s="8">
        <f t="shared" si="17"/>
        <v>0.17593012065798239</v>
      </c>
      <c r="Q41" s="47"/>
    </row>
    <row r="42" spans="1:17" s="20" customFormat="1" x14ac:dyDescent="0.35">
      <c r="A42" s="13" t="s">
        <v>38</v>
      </c>
      <c r="B42" s="24">
        <f t="shared" si="18"/>
        <v>263.22410049093713</v>
      </c>
      <c r="C42" s="24">
        <f t="shared" si="19"/>
        <v>298.13658285040339</v>
      </c>
      <c r="D42" s="8">
        <f t="shared" si="15"/>
        <v>0.13263406464055255</v>
      </c>
      <c r="E42" s="7"/>
      <c r="G42" s="13" t="s">
        <v>38</v>
      </c>
      <c r="H42" s="24">
        <f t="shared" si="20"/>
        <v>241.39445940121641</v>
      </c>
      <c r="I42" s="24">
        <f t="shared" si="21"/>
        <v>275.88870183739601</v>
      </c>
      <c r="J42" s="8">
        <f t="shared" si="16"/>
        <v>0.14289575047307729</v>
      </c>
      <c r="K42" s="7"/>
      <c r="M42" s="13" t="s">
        <v>38</v>
      </c>
      <c r="N42" s="24">
        <f t="shared" si="23"/>
        <v>443.76653925583304</v>
      </c>
      <c r="O42" s="24">
        <f t="shared" si="22"/>
        <v>472.49954205418675</v>
      </c>
      <c r="P42" s="8">
        <f t="shared" si="17"/>
        <v>6.4748015581654814E-2</v>
      </c>
      <c r="Q42" s="7"/>
    </row>
    <row r="43" spans="1:17" s="20" customFormat="1" x14ac:dyDescent="0.35">
      <c r="A43" s="13" t="s">
        <v>45</v>
      </c>
      <c r="B43" s="24">
        <f t="shared" si="18"/>
        <v>49.98113282037572</v>
      </c>
      <c r="C43" s="24">
        <f t="shared" si="19"/>
        <v>28.80708399865664</v>
      </c>
      <c r="D43" s="8">
        <f t="shared" si="15"/>
        <v>-0.42364083458882895</v>
      </c>
      <c r="E43" s="7"/>
      <c r="G43" s="13" t="s">
        <v>45</v>
      </c>
      <c r="H43" s="24">
        <f t="shared" si="20"/>
        <v>54.198684208220456</v>
      </c>
      <c r="I43" s="24">
        <f t="shared" si="21"/>
        <v>30.681922203290252</v>
      </c>
      <c r="J43" s="8">
        <f t="shared" si="16"/>
        <v>-0.43389913147307285</v>
      </c>
      <c r="K43" s="7"/>
      <c r="M43" s="13" t="s">
        <v>45</v>
      </c>
      <c r="N43" s="24">
        <f t="shared" si="23"/>
        <v>15.099798306071074</v>
      </c>
      <c r="O43" s="24">
        <f t="shared" si="22"/>
        <v>14.113444761863709</v>
      </c>
      <c r="P43" s="8">
        <f t="shared" si="17"/>
        <v>-6.5322299292619568E-2</v>
      </c>
      <c r="Q43" s="7"/>
    </row>
    <row r="44" spans="1:17" s="20" customFormat="1" x14ac:dyDescent="0.35">
      <c r="A44" s="13" t="s">
        <v>46</v>
      </c>
      <c r="B44" s="24">
        <f t="shared" si="18"/>
        <v>23.134322055499837</v>
      </c>
      <c r="C44" s="24">
        <f t="shared" si="19"/>
        <v>13.597173386999437</v>
      </c>
      <c r="D44" s="8">
        <f t="shared" si="15"/>
        <v>-0.41225105475840329</v>
      </c>
      <c r="E44" s="7"/>
      <c r="G44" s="13" t="s">
        <v>46</v>
      </c>
      <c r="H44" s="24">
        <f t="shared" si="20"/>
        <v>25.342047565909791</v>
      </c>
      <c r="I44" s="24">
        <f t="shared" si="21"/>
        <v>14.457009969561788</v>
      </c>
      <c r="J44" s="8">
        <f t="shared" si="16"/>
        <v>-0.42952478753100409</v>
      </c>
      <c r="K44" s="7"/>
      <c r="M44" s="13" t="s">
        <v>46</v>
      </c>
      <c r="N44" s="24">
        <f t="shared" si="23"/>
        <v>4.8752885636218402</v>
      </c>
      <c r="O44" s="24">
        <f t="shared" si="22"/>
        <v>6.8583899999619851</v>
      </c>
      <c r="P44" s="8">
        <f t="shared" si="17"/>
        <v>0.4067659607141087</v>
      </c>
      <c r="Q44" s="7"/>
    </row>
    <row r="45" spans="1:17" s="20" customFormat="1" x14ac:dyDescent="0.35">
      <c r="A45" s="13" t="s">
        <v>47</v>
      </c>
      <c r="B45" s="24">
        <f t="shared" si="18"/>
        <v>10.471266069882267</v>
      </c>
      <c r="C45" s="24">
        <f t="shared" si="19"/>
        <v>13.745500232126785</v>
      </c>
      <c r="D45" s="8">
        <f t="shared" si="15"/>
        <v>0.31268751461315236</v>
      </c>
      <c r="E45" s="7"/>
      <c r="G45" s="13" t="s">
        <v>47</v>
      </c>
      <c r="H45" s="24">
        <f t="shared" si="20"/>
        <v>11.138495203549683</v>
      </c>
      <c r="I45" s="24">
        <f t="shared" si="21"/>
        <v>14.884354278622499</v>
      </c>
      <c r="J45" s="8">
        <f t="shared" si="16"/>
        <v>0.33629848616167324</v>
      </c>
      <c r="K45" s="7"/>
      <c r="M45" s="13" t="s">
        <v>47</v>
      </c>
      <c r="N45" s="24">
        <f t="shared" si="23"/>
        <v>4.9529355342497707</v>
      </c>
      <c r="O45" s="24">
        <f t="shared" si="22"/>
        <v>4.8199777730620879</v>
      </c>
      <c r="P45" s="8">
        <f t="shared" si="17"/>
        <v>-2.6844234145240536E-2</v>
      </c>
      <c r="Q45" s="7"/>
    </row>
    <row r="46" spans="1:17" s="20" customFormat="1" x14ac:dyDescent="0.35">
      <c r="A46" s="13" t="s">
        <v>48</v>
      </c>
      <c r="B46" s="24">
        <f t="shared" si="18"/>
        <v>0</v>
      </c>
      <c r="C46" s="24">
        <f t="shared" si="19"/>
        <v>0</v>
      </c>
      <c r="D46" s="8" t="str">
        <f t="shared" si="15"/>
        <v/>
      </c>
      <c r="E46" s="7"/>
      <c r="G46" s="13" t="s">
        <v>48</v>
      </c>
      <c r="H46" s="24">
        <f t="shared" si="20"/>
        <v>0</v>
      </c>
      <c r="I46" s="24">
        <f t="shared" si="21"/>
        <v>0</v>
      </c>
      <c r="J46" s="8" t="str">
        <f t="shared" si="16"/>
        <v/>
      </c>
      <c r="K46" s="7"/>
      <c r="M46" s="13" t="s">
        <v>48</v>
      </c>
      <c r="N46" s="24">
        <f t="shared" si="23"/>
        <v>0</v>
      </c>
      <c r="O46" s="24">
        <f t="shared" si="22"/>
        <v>0</v>
      </c>
      <c r="P46" s="8" t="str">
        <f t="shared" si="17"/>
        <v/>
      </c>
      <c r="Q46" s="7"/>
    </row>
    <row r="47" spans="1:17" s="20" customFormat="1" x14ac:dyDescent="0.35">
      <c r="A47" s="13" t="s">
        <v>49</v>
      </c>
      <c r="B47" s="24">
        <f t="shared" si="18"/>
        <v>-13.798085947196443</v>
      </c>
      <c r="C47" s="24">
        <f t="shared" si="19"/>
        <v>-12.645332480206195</v>
      </c>
      <c r="D47" s="8">
        <f t="shared" si="15"/>
        <v>-8.3544447498130683E-2</v>
      </c>
      <c r="E47" s="7"/>
      <c r="G47" s="13" t="s">
        <v>49</v>
      </c>
      <c r="H47" s="24">
        <f t="shared" si="20"/>
        <v>-15.466431993771415</v>
      </c>
      <c r="I47" s="24">
        <f t="shared" si="21"/>
        <v>-14.258816523343723</v>
      </c>
      <c r="J47" s="8">
        <f t="shared" si="16"/>
        <v>-7.8079771140106419E-2</v>
      </c>
      <c r="K47" s="7"/>
      <c r="M47" s="13" t="s">
        <v>49</v>
      </c>
      <c r="N47" s="24">
        <f t="shared" si="23"/>
        <v>0</v>
      </c>
      <c r="O47" s="24">
        <f t="shared" si="22"/>
        <v>0</v>
      </c>
      <c r="P47" s="8" t="str">
        <f t="shared" si="17"/>
        <v/>
      </c>
      <c r="Q47" s="7"/>
    </row>
    <row r="48" spans="1:17" s="20" customFormat="1" x14ac:dyDescent="0.35">
      <c r="A48" s="13" t="s">
        <v>50</v>
      </c>
      <c r="B48" s="24">
        <f t="shared" si="18"/>
        <v>878.96024513807129</v>
      </c>
      <c r="C48" s="24">
        <f t="shared" si="19"/>
        <v>905.11534711125796</v>
      </c>
      <c r="D48" s="8">
        <f t="shared" si="15"/>
        <v>2.9756865703383553E-2</v>
      </c>
      <c r="E48" s="7"/>
      <c r="G48" s="13" t="s">
        <v>50</v>
      </c>
      <c r="H48" s="24">
        <f t="shared" si="20"/>
        <v>985.21382421321584</v>
      </c>
      <c r="I48" s="24">
        <f t="shared" si="21"/>
        <v>1020.5372815768752</v>
      </c>
      <c r="J48" s="8">
        <f t="shared" si="16"/>
        <v>3.585359492074567E-2</v>
      </c>
      <c r="K48" s="7"/>
      <c r="M48" s="13" t="s">
        <v>50</v>
      </c>
      <c r="N48" s="24">
        <f t="shared" si="23"/>
        <v>0.18811073232472081</v>
      </c>
      <c r="O48" s="24">
        <f t="shared" si="22"/>
        <v>0.52088084798548395</v>
      </c>
      <c r="P48" s="8">
        <f t="shared" si="17"/>
        <v>1.7690118556676935</v>
      </c>
      <c r="Q48" s="7"/>
    </row>
    <row r="49" spans="1:17" s="20" customFormat="1" x14ac:dyDescent="0.35">
      <c r="A49" s="38" t="s">
        <v>58</v>
      </c>
      <c r="B49" s="52">
        <f t="shared" si="18"/>
        <v>4836.20209992937</v>
      </c>
      <c r="C49" s="52">
        <f t="shared" si="19"/>
        <v>5549.9482061314202</v>
      </c>
      <c r="D49" s="41">
        <f t="shared" si="15"/>
        <v>0.14758401147306768</v>
      </c>
      <c r="E49" s="39"/>
      <c r="G49" s="38" t="s">
        <v>58</v>
      </c>
      <c r="H49" s="40">
        <f>SUM(H33:H39) + H40 +H42</f>
        <v>4673.7691388825497</v>
      </c>
      <c r="I49" s="40">
        <f>SUM(I33:I39) + I40 +I42</f>
        <v>5339.3046627552048</v>
      </c>
      <c r="J49" s="41">
        <f t="shared" si="16"/>
        <v>0.14239803124545811</v>
      </c>
      <c r="K49" s="39"/>
      <c r="M49" s="38" t="s">
        <v>58</v>
      </c>
      <c r="N49" s="52">
        <f t="shared" si="23"/>
        <v>6179.6068220988755</v>
      </c>
      <c r="O49" s="52">
        <f t="shared" si="22"/>
        <v>8454.2062791475582</v>
      </c>
      <c r="P49" s="41">
        <f t="shared" si="17"/>
        <v>0.36808158229654575</v>
      </c>
      <c r="Q49" s="38"/>
    </row>
    <row r="50" spans="1:17" s="20" customFormat="1" x14ac:dyDescent="0.35">
      <c r="A50" s="38" t="s">
        <v>59</v>
      </c>
      <c r="B50" s="52">
        <f t="shared" si="18"/>
        <v>4641.205554567925</v>
      </c>
      <c r="C50" s="52">
        <f t="shared" si="19"/>
        <v>5316.31213190782</v>
      </c>
      <c r="D50" s="41">
        <f t="shared" si="15"/>
        <v>0.14545931426705455</v>
      </c>
      <c r="E50" s="39"/>
      <c r="G50" s="38" t="s">
        <v>59</v>
      </c>
      <c r="H50" s="40">
        <f>SUM(H33:H39) + H41 +H42</f>
        <v>4455.9504909752859</v>
      </c>
      <c r="I50" s="40">
        <f>SUM(I33:I39) + I41 +I42</f>
        <v>5076.8303152366916</v>
      </c>
      <c r="J50" s="41">
        <f t="shared" si="16"/>
        <v>0.13933723579714011</v>
      </c>
      <c r="K50" s="39"/>
      <c r="M50" s="38" t="s">
        <v>59</v>
      </c>
      <c r="N50" s="52">
        <f t="shared" si="23"/>
        <v>6173.3608858028638</v>
      </c>
      <c r="O50" s="52">
        <f t="shared" si="22"/>
        <v>7193.1991130033439</v>
      </c>
      <c r="P50" s="41">
        <f t="shared" si="17"/>
        <v>0.16519983944982786</v>
      </c>
      <c r="Q50" s="38"/>
    </row>
    <row r="51" spans="1:17" s="20" customFormat="1" x14ac:dyDescent="0.35">
      <c r="A51" s="38" t="s">
        <v>53</v>
      </c>
      <c r="B51" s="52">
        <f t="shared" si="18"/>
        <v>948.74888013663258</v>
      </c>
      <c r="C51" s="52">
        <f t="shared" si="19"/>
        <v>948.61977224883469</v>
      </c>
      <c r="D51" s="41">
        <f t="shared" si="15"/>
        <v>-1.3608225580123259E-4</v>
      </c>
      <c r="E51" s="39"/>
      <c r="G51" s="38" t="s">
        <v>53</v>
      </c>
      <c r="H51" s="40">
        <f>SUM(H43:H48)</f>
        <v>1060.4266191971244</v>
      </c>
      <c r="I51" s="40">
        <f t="shared" ref="I51" si="24">SUM(I43:I48)</f>
        <v>1066.301751505006</v>
      </c>
      <c r="J51" s="41">
        <f t="shared" si="16"/>
        <v>5.5403478199460851E-3</v>
      </c>
      <c r="K51" s="39"/>
      <c r="M51" s="38" t="s">
        <v>53</v>
      </c>
      <c r="N51" s="52">
        <f t="shared" si="23"/>
        <v>25.116133136267404</v>
      </c>
      <c r="O51" s="52">
        <f t="shared" si="22"/>
        <v>26.312693382873263</v>
      </c>
      <c r="P51" s="41">
        <f t="shared" si="17"/>
        <v>4.7641101443201064E-2</v>
      </c>
      <c r="Q51" s="38"/>
    </row>
    <row r="52" spans="1:17" x14ac:dyDescent="0.35">
      <c r="A52" s="38" t="s">
        <v>184</v>
      </c>
      <c r="B52" s="52">
        <f>B49+B51</f>
        <v>5784.9509800660026</v>
      </c>
      <c r="C52" s="52">
        <f>C49+C51</f>
        <v>6498.5679783802552</v>
      </c>
      <c r="D52" s="41">
        <f t="shared" si="15"/>
        <v>0.12335748406049774</v>
      </c>
      <c r="E52" s="39"/>
      <c r="G52" s="38" t="s">
        <v>184</v>
      </c>
      <c r="H52" s="52">
        <f>H49+H51</f>
        <v>5734.1957580796743</v>
      </c>
      <c r="I52" s="52">
        <f>I49+I51</f>
        <v>6405.6064142602108</v>
      </c>
      <c r="J52" s="41">
        <f t="shared" si="16"/>
        <v>0.11708889694505047</v>
      </c>
      <c r="K52" s="39"/>
      <c r="M52" s="38" t="s">
        <v>184</v>
      </c>
      <c r="N52" s="52">
        <f>N49+N51</f>
        <v>6204.7229552351428</v>
      </c>
      <c r="O52" s="52">
        <f>O49+O51</f>
        <v>8480.5189725304317</v>
      </c>
      <c r="P52" s="41">
        <f t="shared" si="17"/>
        <v>0.36678446946210869</v>
      </c>
      <c r="Q52" s="39"/>
    </row>
    <row r="53" spans="1:17" x14ac:dyDescent="0.35">
      <c r="A53" s="38" t="s">
        <v>185</v>
      </c>
      <c r="B53" s="52">
        <f>B49/B9+B51</f>
        <v>5763.4990717213741</v>
      </c>
      <c r="C53" s="52">
        <f>C49/C9+C51</f>
        <v>6378.4997706961976</v>
      </c>
      <c r="D53" s="41">
        <f t="shared" si="15"/>
        <v>0.1067061330836898</v>
      </c>
      <c r="E53" s="39"/>
      <c r="G53" s="38" t="s">
        <v>185</v>
      </c>
      <c r="H53" s="52">
        <f>H49/H9+H51</f>
        <v>5703.5968071700972</v>
      </c>
      <c r="I53" s="52">
        <f>I49/I9+I51</f>
        <v>6376.6664740830392</v>
      </c>
      <c r="J53" s="41">
        <f t="shared" si="16"/>
        <v>0.11800793247987194</v>
      </c>
      <c r="K53" s="80" t="s">
        <v>119</v>
      </c>
      <c r="M53" s="38" t="s">
        <v>185</v>
      </c>
      <c r="N53" s="52">
        <f>N49/N9+N51</f>
        <v>6287.3794794269743</v>
      </c>
      <c r="O53" s="52">
        <f>O49/O9+O51</f>
        <v>7360.5545418701913</v>
      </c>
      <c r="P53" s="41">
        <f t="shared" si="17"/>
        <v>0.17068717833157179</v>
      </c>
      <c r="Q53" s="39"/>
    </row>
    <row r="54" spans="1:17" x14ac:dyDescent="0.35">
      <c r="A54" s="38" t="s">
        <v>186</v>
      </c>
      <c r="B54" s="52">
        <f>B50+B51</f>
        <v>5589.9544347045576</v>
      </c>
      <c r="C54" s="52">
        <f>C50+C51</f>
        <v>6264.931904156655</v>
      </c>
      <c r="D54" s="41">
        <f t="shared" si="15"/>
        <v>0.12074829541750488</v>
      </c>
      <c r="E54" s="39"/>
      <c r="G54" s="38" t="s">
        <v>186</v>
      </c>
      <c r="H54" s="52">
        <f>H50+H51</f>
        <v>5516.3771101724105</v>
      </c>
      <c r="I54" s="52">
        <f>I50+I51</f>
        <v>6143.1320667416976</v>
      </c>
      <c r="J54" s="41">
        <f t="shared" si="16"/>
        <v>0.11361713386373222</v>
      </c>
      <c r="K54" s="39"/>
      <c r="M54" s="38" t="s">
        <v>186</v>
      </c>
      <c r="N54" s="52">
        <f>N50+N51</f>
        <v>6198.4770189391311</v>
      </c>
      <c r="O54" s="52">
        <f>O50+O51</f>
        <v>7219.5118063862174</v>
      </c>
      <c r="P54" s="41">
        <f t="shared" si="17"/>
        <v>0.16472349325929037</v>
      </c>
      <c r="Q54" s="39"/>
    </row>
    <row r="55" spans="1:17" x14ac:dyDescent="0.35">
      <c r="A55" s="38" t="s">
        <v>187</v>
      </c>
      <c r="B55" s="52">
        <f>B50/B9+B51</f>
        <v>5569.3674711931226</v>
      </c>
      <c r="C55" s="52">
        <f>C50/C9+C51</f>
        <v>6149.9182057473645</v>
      </c>
      <c r="D55" s="41">
        <f t="shared" si="15"/>
        <v>0.10423997654259126</v>
      </c>
      <c r="E55" s="39"/>
      <c r="G55" s="38" t="s">
        <v>187</v>
      </c>
      <c r="H55" s="52">
        <f>H50/H9+H51</f>
        <v>5487.2042079007633</v>
      </c>
      <c r="I55" s="52">
        <f>I50/I9+I51</f>
        <v>6115.6147822088487</v>
      </c>
      <c r="J55" s="41">
        <f t="shared" si="16"/>
        <v>0.11452290647453343</v>
      </c>
      <c r="K55" s="80" t="s">
        <v>120</v>
      </c>
      <c r="M55" s="38" t="s">
        <v>187</v>
      </c>
      <c r="N55" s="52">
        <f>N50/N9+N51</f>
        <v>6281.0499994040856</v>
      </c>
      <c r="O55" s="52">
        <f>O50/O9+O51</f>
        <v>6266.5983236514621</v>
      </c>
      <c r="P55" s="41">
        <f t="shared" si="17"/>
        <v>-2.3008375596428286E-3</v>
      </c>
      <c r="Q55" s="39"/>
    </row>
  </sheetData>
  <mergeCells count="18">
    <mergeCell ref="Q31:Q32"/>
    <mergeCell ref="H31:I31"/>
    <mergeCell ref="K31:K32"/>
    <mergeCell ref="M31:M32"/>
    <mergeCell ref="N31:O31"/>
    <mergeCell ref="G6:G7"/>
    <mergeCell ref="A6:A7"/>
    <mergeCell ref="B6:C6"/>
    <mergeCell ref="E6:E7"/>
    <mergeCell ref="A31:A32"/>
    <mergeCell ref="B31:C31"/>
    <mergeCell ref="E31:E32"/>
    <mergeCell ref="G31:G32"/>
    <mergeCell ref="N6:O6"/>
    <mergeCell ref="Q6:Q7"/>
    <mergeCell ref="H6:I6"/>
    <mergeCell ref="K6:K7"/>
    <mergeCell ref="M6:M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D712A58CC08C4881FD312BDEE7828F" ma:contentTypeVersion="18" ma:contentTypeDescription="Create a new document." ma:contentTypeScope="" ma:versionID="3e465648bc2416bf3331cb4bfc901fe2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5b6704dc-846a-4f54-9541-bd5523c0ad09" targetNamespace="http://schemas.microsoft.com/office/2006/metadata/properties" ma:root="true" ma:fieldsID="95cf926887d78b97aa7756545dadeee2" ns1:_="" ns2:_="" ns3:_="">
    <xsd:import namespace="http://schemas.microsoft.com/sharepoint/v3"/>
    <xsd:import namespace="59da1016-2a1b-4f8a-9768-d7a4932f6f16"/>
    <xsd:import namespace="5b6704dc-846a-4f54-9541-bd5523c0ad0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704dc-846a-4f54-9541-bd5523c0ad0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Keywords xmlns="5b6704dc-846a-4f54-9541-bd5523c0ad09" xsi:nil="true"/>
    <IASubtopic xmlns="59da1016-2a1b-4f8a-9768-d7a4932f6f16" xsi:nil="true"/>
    <URL xmlns="http://schemas.microsoft.com/sharepoint/v3">
      <Url xsi:nil="true"/>
      <Description xsi:nil="true"/>
    </URL>
    <Meta_x0020_Description xmlns="5b6704dc-846a-4f54-9541-bd5523c0ad09" xsi:nil="true"/>
  </documentManagement>
</p:properties>
</file>

<file path=customXml/itemProps1.xml><?xml version="1.0" encoding="utf-8"?>
<ds:datastoreItem xmlns:ds="http://schemas.openxmlformats.org/officeDocument/2006/customXml" ds:itemID="{5567503D-1E15-4885-9B89-3E6078F6851D}"/>
</file>

<file path=customXml/itemProps2.xml><?xml version="1.0" encoding="utf-8"?>
<ds:datastoreItem xmlns:ds="http://schemas.openxmlformats.org/officeDocument/2006/customXml" ds:itemID="{BA70030F-385B-4AE8-9263-8CD7E334C9E6}"/>
</file>

<file path=customXml/itemProps3.xml><?xml version="1.0" encoding="utf-8"?>
<ds:datastoreItem xmlns:ds="http://schemas.openxmlformats.org/officeDocument/2006/customXml" ds:itemID="{A1A0A440-ED19-4DAA-A9EE-6D44301584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Index</vt:lpstr>
      <vt:lpstr>THCE_Statewide</vt:lpstr>
      <vt:lpstr>THCE_Comm</vt:lpstr>
      <vt:lpstr>THCE_Mcare</vt:lpstr>
      <vt:lpstr>THCE_Maid</vt:lpstr>
      <vt:lpstr>THCE_NCPHI</vt:lpstr>
      <vt:lpstr>THCE_Other</vt:lpstr>
      <vt:lpstr>TME_Statewide_ServCat</vt:lpstr>
      <vt:lpstr>TME_Comm_ServCat</vt:lpstr>
      <vt:lpstr>TME_Mcare_ServCat</vt:lpstr>
      <vt:lpstr>TME_Maid_ServCat</vt:lpstr>
      <vt:lpstr>Comm_MM_Full_Partial</vt:lpstr>
      <vt:lpstr>TME_Payer</vt:lpstr>
      <vt:lpstr>TME_Provider</vt:lpstr>
      <vt:lpstr>Entity_Name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2019-10-04T13:40:41Z</dcterms:created>
  <dcterms:modified xsi:type="dcterms:W3CDTF">2023-05-08T23:44:25Z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0x01010024D712A58CC08C4881FD312BDEE7828F</vt:lpwstr>
  </property>
</Properties>
</file>