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1F542199-B280-428A-886E-F4A224053EB9}" xr6:coauthVersionLast="47" xr6:coauthVersionMax="47" xr10:uidLastSave="{00000000-0000-0000-0000-000000000000}"/>
  <bookViews>
    <workbookView xWindow="-110" yWindow="-110" windowWidth="19420" windowHeight="11620" tabRatio="892" firstSheet="11" activeTab="18" xr2:uid="{00000000-000D-0000-FFFF-FFFF00000000}"/>
  </bookViews>
  <sheets>
    <sheet name="Index" sheetId="110" r:id="rId1"/>
    <sheet name="THCE_Statewide" sheetId="5" r:id="rId2"/>
    <sheet name="TME_StatewideServCat" sheetId="91" r:id="rId3"/>
    <sheet name="THCE_NCPHI" sheetId="9" r:id="rId4"/>
    <sheet name="THCE_Other" sheetId="10" r:id="rId5"/>
    <sheet name="THCE_Comm" sheetId="71" r:id="rId6"/>
    <sheet name="TME_Comm_ServCat" sheetId="52" r:id="rId7"/>
    <sheet name="TME_Comm_MedPharm" sheetId="104" r:id="rId8"/>
    <sheet name="THCE_Mcare" sheetId="69" r:id="rId9"/>
    <sheet name="TME_Mcare_ServCat" sheetId="81" r:id="rId10"/>
    <sheet name="TME_Mcare_MedPharm" sheetId="106" r:id="rId11"/>
    <sheet name="THCE_Maid" sheetId="70" r:id="rId12"/>
    <sheet name="TME_Maid_ServCat" sheetId="80" r:id="rId13"/>
    <sheet name="TME_Maid_MedPharm" sheetId="107" r:id="rId14"/>
    <sheet name="TME_Payer" sheetId="100" r:id="rId15"/>
    <sheet name="TME_ProviderOLD" sheetId="101" state="hidden" r:id="rId16"/>
    <sheet name="Comm MM Full vs Partial" sheetId="102" r:id="rId17"/>
    <sheet name="APAC Price vs Utilization" sheetId="108" r:id="rId18"/>
    <sheet name="APAC BH in Medicaid" sheetId="109" r:id="rId19"/>
    <sheet name="Entity Name" sheetId="103" state="hidden" r:id="rId20"/>
  </sheets>
  <definedNames>
    <definedName name="_xlnm._FilterDatabase" localSheetId="14" hidden="1">TME_Payer!$A$5:$G$40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70" l="1"/>
  <c r="C22" i="70"/>
  <c r="D21" i="70"/>
  <c r="C21" i="70"/>
  <c r="D20" i="70"/>
  <c r="C20" i="70"/>
  <c r="C18" i="80"/>
  <c r="B18" i="80"/>
  <c r="B14" i="91" s="1"/>
  <c r="C8" i="70" l="1"/>
  <c r="D13" i="70"/>
  <c r="C12" i="70"/>
  <c r="C13" i="70"/>
  <c r="D12" i="70"/>
  <c r="C34" i="70"/>
  <c r="D10" i="70"/>
  <c r="C10" i="70"/>
  <c r="D9" i="70"/>
  <c r="C9" i="70"/>
  <c r="D8" i="70"/>
  <c r="C11" i="70"/>
  <c r="D7" i="70"/>
  <c r="C7" i="70"/>
  <c r="H23" i="106"/>
  <c r="B10" i="81"/>
  <c r="B20" i="52"/>
  <c r="B21" i="52"/>
  <c r="B22" i="52"/>
  <c r="B23" i="52"/>
  <c r="B24" i="52"/>
  <c r="B25" i="52"/>
  <c r="B26" i="52"/>
  <c r="B27" i="52"/>
  <c r="B28" i="52"/>
  <c r="AF28" i="80"/>
  <c r="AF27" i="80"/>
  <c r="A34" i="70" l="1"/>
  <c r="B25" i="102"/>
  <c r="C25" i="102"/>
  <c r="B16" i="102"/>
  <c r="AH9" i="80"/>
  <c r="AH8" i="80"/>
  <c r="AH23" i="80" l="1"/>
  <c r="AG29" i="80"/>
  <c r="AH13" i="80"/>
  <c r="AG28" i="80"/>
  <c r="AH14" i="80"/>
  <c r="AH15" i="80"/>
  <c r="AH24" i="80"/>
  <c r="AG27" i="80"/>
  <c r="AH12" i="80"/>
  <c r="AH21" i="80"/>
  <c r="AH10" i="80"/>
  <c r="AH18" i="80"/>
  <c r="AH22" i="80"/>
  <c r="AH16" i="80"/>
  <c r="AH25" i="80"/>
  <c r="AH11" i="80"/>
  <c r="AH20" i="80"/>
  <c r="AF29" i="80"/>
  <c r="AH17" i="80"/>
  <c r="AH26" i="80"/>
  <c r="E13" i="70" l="1"/>
  <c r="AH28" i="80"/>
  <c r="AH27" i="80"/>
  <c r="AH29" i="80"/>
  <c r="D28" i="70" l="1"/>
  <c r="C28" i="70"/>
  <c r="D11" i="70"/>
  <c r="E11" i="70" l="1"/>
  <c r="C24" i="10" l="1"/>
  <c r="D24" i="10"/>
  <c r="D26" i="10"/>
  <c r="C26" i="10"/>
  <c r="E11" i="9" l="1"/>
  <c r="C15" i="5"/>
  <c r="B15" i="5"/>
  <c r="D23" i="10"/>
  <c r="C23" i="10"/>
  <c r="D15" i="5" l="1"/>
  <c r="AA44" i="80" l="1"/>
  <c r="AA42" i="80"/>
  <c r="AA40" i="80"/>
  <c r="AA37" i="80"/>
  <c r="AA36" i="80"/>
  <c r="AA35" i="80"/>
  <c r="AB9" i="80"/>
  <c r="B10" i="106"/>
  <c r="D34" i="70"/>
  <c r="AA49" i="80" l="1"/>
  <c r="Z35" i="80"/>
  <c r="AB35" i="80" s="1"/>
  <c r="Z44" i="80"/>
  <c r="AB44" i="80" s="1"/>
  <c r="Z36" i="80"/>
  <c r="AB36" i="80" s="1"/>
  <c r="Z45" i="80"/>
  <c r="AA45" i="80"/>
  <c r="AB45" i="80" s="1"/>
  <c r="AA38" i="80"/>
  <c r="Z34" i="80"/>
  <c r="Z42" i="80"/>
  <c r="AB42" i="80" s="1"/>
  <c r="AA34" i="80"/>
  <c r="B10" i="107"/>
  <c r="Z37" i="80"/>
  <c r="AB37" i="80" s="1"/>
  <c r="Z46" i="80"/>
  <c r="AA46" i="80"/>
  <c r="Z38" i="80"/>
  <c r="Z47" i="80"/>
  <c r="AA47" i="80"/>
  <c r="Z39" i="80"/>
  <c r="Z48" i="80"/>
  <c r="AA39" i="80"/>
  <c r="AA48" i="80"/>
  <c r="Z40" i="80"/>
  <c r="AB40" i="80" s="1"/>
  <c r="Z49" i="80"/>
  <c r="Z41" i="80"/>
  <c r="Z50" i="80"/>
  <c r="AA41" i="80"/>
  <c r="AA50" i="80"/>
  <c r="AB11" i="80"/>
  <c r="AB20" i="80"/>
  <c r="AB12" i="80"/>
  <c r="AB21" i="80"/>
  <c r="AB13" i="80"/>
  <c r="AB14" i="80"/>
  <c r="AB23" i="80"/>
  <c r="AB15" i="80"/>
  <c r="AB24" i="80"/>
  <c r="AB22" i="80"/>
  <c r="AB16" i="80"/>
  <c r="AB25" i="80"/>
  <c r="AB26" i="80"/>
  <c r="AB10" i="80"/>
  <c r="AB18" i="80"/>
  <c r="Z27" i="80"/>
  <c r="Z51" i="80" s="1"/>
  <c r="U18" i="107"/>
  <c r="U19" i="80" s="1"/>
  <c r="T18" i="107"/>
  <c r="T19" i="80" s="1"/>
  <c r="T43" i="80" s="1"/>
  <c r="Z29" i="80"/>
  <c r="Z53" i="80" s="1"/>
  <c r="AB17" i="80"/>
  <c r="AB8" i="80"/>
  <c r="Z28" i="80"/>
  <c r="Z52" i="80" s="1"/>
  <c r="AA28" i="80"/>
  <c r="AA29" i="80"/>
  <c r="AA27" i="80"/>
  <c r="B8" i="107"/>
  <c r="N23" i="107"/>
  <c r="V17" i="107"/>
  <c r="N18" i="107"/>
  <c r="N19" i="80" s="1"/>
  <c r="N43" i="80" s="1"/>
  <c r="O18" i="107"/>
  <c r="O19" i="80" s="1"/>
  <c r="P12" i="107"/>
  <c r="I18" i="107"/>
  <c r="I19" i="80" s="1"/>
  <c r="H18" i="107"/>
  <c r="H19" i="80" s="1"/>
  <c r="H43" i="80" s="1"/>
  <c r="J11" i="107"/>
  <c r="N18" i="106"/>
  <c r="T19" i="81" s="1"/>
  <c r="O18" i="106"/>
  <c r="U19" i="81" s="1"/>
  <c r="B17" i="107"/>
  <c r="J13" i="107"/>
  <c r="U28" i="107"/>
  <c r="C12" i="107"/>
  <c r="I29" i="107"/>
  <c r="H25" i="107"/>
  <c r="H23" i="107"/>
  <c r="J15" i="107"/>
  <c r="I27" i="107"/>
  <c r="O23" i="107"/>
  <c r="U29" i="107"/>
  <c r="H29" i="107"/>
  <c r="C8" i="107"/>
  <c r="U27" i="107"/>
  <c r="B15" i="107"/>
  <c r="I25" i="107"/>
  <c r="J8" i="107"/>
  <c r="J10" i="107"/>
  <c r="O24" i="107"/>
  <c r="B12" i="107"/>
  <c r="D12" i="107" s="1"/>
  <c r="U25" i="107"/>
  <c r="H27" i="107"/>
  <c r="U23" i="107"/>
  <c r="B13" i="107"/>
  <c r="O30" i="107"/>
  <c r="P8" i="107"/>
  <c r="V9" i="107"/>
  <c r="C10" i="107"/>
  <c r="B11" i="107"/>
  <c r="V15" i="107"/>
  <c r="V11" i="107"/>
  <c r="C14" i="107"/>
  <c r="N27" i="107"/>
  <c r="N29" i="107"/>
  <c r="N25" i="107"/>
  <c r="N26" i="107"/>
  <c r="O27" i="107"/>
  <c r="O28" i="107"/>
  <c r="O29" i="107"/>
  <c r="I23" i="107"/>
  <c r="P9" i="107"/>
  <c r="V13" i="107"/>
  <c r="C16" i="107"/>
  <c r="N28" i="107"/>
  <c r="U30" i="107"/>
  <c r="N24" i="107"/>
  <c r="O25" i="107"/>
  <c r="O26" i="107"/>
  <c r="P14" i="107"/>
  <c r="P16" i="107"/>
  <c r="T26" i="107"/>
  <c r="T30" i="107"/>
  <c r="T28" i="107"/>
  <c r="T24" i="107"/>
  <c r="V8" i="107"/>
  <c r="T23" i="107"/>
  <c r="N30" i="107"/>
  <c r="C17" i="107"/>
  <c r="I30" i="107"/>
  <c r="B9" i="107"/>
  <c r="T27" i="107"/>
  <c r="J17" i="107"/>
  <c r="C9" i="107"/>
  <c r="B14" i="107"/>
  <c r="T29" i="107"/>
  <c r="P10" i="107"/>
  <c r="T25" i="107"/>
  <c r="J9" i="107"/>
  <c r="B16" i="107"/>
  <c r="C11" i="107"/>
  <c r="I24" i="107"/>
  <c r="C13" i="107"/>
  <c r="I26" i="107"/>
  <c r="C15" i="107"/>
  <c r="I28" i="107"/>
  <c r="U24" i="107"/>
  <c r="U26" i="107"/>
  <c r="V12" i="107"/>
  <c r="V14" i="107"/>
  <c r="H24" i="107"/>
  <c r="H26" i="107"/>
  <c r="H28" i="107"/>
  <c r="H30" i="107"/>
  <c r="V10" i="107"/>
  <c r="V16" i="107"/>
  <c r="P11" i="107"/>
  <c r="P13" i="107"/>
  <c r="P15" i="107"/>
  <c r="P17" i="107"/>
  <c r="J12" i="107"/>
  <c r="J14" i="107"/>
  <c r="J16" i="107"/>
  <c r="C17" i="106"/>
  <c r="C16" i="106"/>
  <c r="C15" i="106"/>
  <c r="C14" i="106"/>
  <c r="C13" i="106"/>
  <c r="C12" i="106"/>
  <c r="C11" i="106"/>
  <c r="B17" i="106"/>
  <c r="B16" i="106"/>
  <c r="B15" i="106"/>
  <c r="B14" i="106"/>
  <c r="B13" i="106"/>
  <c r="B12" i="106"/>
  <c r="B11" i="106"/>
  <c r="C10" i="106"/>
  <c r="I18" i="106"/>
  <c r="O19" i="81" s="1"/>
  <c r="H18" i="106"/>
  <c r="N18" i="104"/>
  <c r="N19" i="52" s="1"/>
  <c r="N43" i="52" s="1"/>
  <c r="J15" i="106"/>
  <c r="J17" i="106"/>
  <c r="P13" i="106"/>
  <c r="J9" i="106"/>
  <c r="H26" i="106"/>
  <c r="P15" i="106"/>
  <c r="H24" i="106"/>
  <c r="N24" i="106"/>
  <c r="B9" i="106"/>
  <c r="J8" i="106"/>
  <c r="O25" i="106"/>
  <c r="N27" i="106"/>
  <c r="J10" i="106"/>
  <c r="O27" i="106"/>
  <c r="C9" i="106"/>
  <c r="N23" i="106"/>
  <c r="P11" i="106"/>
  <c r="I26" i="106"/>
  <c r="H30" i="106"/>
  <c r="O23" i="106"/>
  <c r="J11" i="106"/>
  <c r="J13" i="106"/>
  <c r="J12" i="106"/>
  <c r="N26" i="106"/>
  <c r="H28" i="106"/>
  <c r="O29" i="106"/>
  <c r="C8" i="106"/>
  <c r="N29" i="106"/>
  <c r="B8" i="106"/>
  <c r="N25" i="106"/>
  <c r="I28" i="106"/>
  <c r="P9" i="106"/>
  <c r="I24" i="106"/>
  <c r="J14" i="106"/>
  <c r="N28" i="106"/>
  <c r="P8" i="106"/>
  <c r="P10" i="106"/>
  <c r="P12" i="106"/>
  <c r="P14" i="106"/>
  <c r="P16" i="106"/>
  <c r="I30" i="106"/>
  <c r="O24" i="106"/>
  <c r="H25" i="106"/>
  <c r="O26" i="106"/>
  <c r="H27" i="106"/>
  <c r="O28" i="106"/>
  <c r="H29" i="106"/>
  <c r="O30" i="106"/>
  <c r="N30" i="106"/>
  <c r="P17" i="106"/>
  <c r="I23" i="106"/>
  <c r="I25" i="106"/>
  <c r="I27" i="106"/>
  <c r="I29" i="106"/>
  <c r="J16" i="106"/>
  <c r="I18" i="104"/>
  <c r="I19" i="52" s="1"/>
  <c r="O18" i="104"/>
  <c r="O19" i="52" s="1"/>
  <c r="H18" i="104"/>
  <c r="H19" i="52" s="1"/>
  <c r="B17" i="104"/>
  <c r="B14" i="104"/>
  <c r="C15" i="104"/>
  <c r="C17" i="104"/>
  <c r="P12" i="104"/>
  <c r="B12" i="104"/>
  <c r="P17" i="104"/>
  <c r="P13" i="104"/>
  <c r="J9" i="104"/>
  <c r="I24" i="104"/>
  <c r="H28" i="104"/>
  <c r="J15" i="104"/>
  <c r="C13" i="104"/>
  <c r="N25" i="104"/>
  <c r="I28" i="104"/>
  <c r="H29" i="104"/>
  <c r="B11" i="104"/>
  <c r="B13" i="104"/>
  <c r="C16" i="104"/>
  <c r="B10" i="104"/>
  <c r="P11" i="104"/>
  <c r="H27" i="104"/>
  <c r="O28" i="104"/>
  <c r="I30" i="104"/>
  <c r="O25" i="104"/>
  <c r="J8" i="104"/>
  <c r="C10" i="104"/>
  <c r="J14" i="104"/>
  <c r="N30" i="104"/>
  <c r="N23" i="104"/>
  <c r="C12" i="104"/>
  <c r="H26" i="104"/>
  <c r="N27" i="104"/>
  <c r="O30" i="104"/>
  <c r="P8" i="104"/>
  <c r="P10" i="104"/>
  <c r="H25" i="104"/>
  <c r="J13" i="104"/>
  <c r="P14" i="104"/>
  <c r="J16" i="104"/>
  <c r="C11" i="104"/>
  <c r="I25" i="104"/>
  <c r="N29" i="104"/>
  <c r="O24" i="104"/>
  <c r="O26" i="104"/>
  <c r="O29" i="104"/>
  <c r="B9" i="104"/>
  <c r="P9" i="104"/>
  <c r="N24" i="104"/>
  <c r="N28" i="104"/>
  <c r="I27" i="104"/>
  <c r="O23" i="104"/>
  <c r="I26" i="104"/>
  <c r="J10" i="104"/>
  <c r="C14" i="104"/>
  <c r="B15" i="104"/>
  <c r="P15" i="104"/>
  <c r="I29" i="104"/>
  <c r="J11" i="104"/>
  <c r="B16" i="104"/>
  <c r="P16" i="104"/>
  <c r="J17" i="104"/>
  <c r="H23" i="104"/>
  <c r="O27" i="104"/>
  <c r="J12" i="104"/>
  <c r="I23" i="104"/>
  <c r="H24" i="104"/>
  <c r="H30" i="104"/>
  <c r="B8" i="104"/>
  <c r="C8" i="104"/>
  <c r="C9" i="104"/>
  <c r="N26" i="104"/>
  <c r="C16" i="102"/>
  <c r="O43" i="52" l="1"/>
  <c r="P43" i="52" s="1"/>
  <c r="P19" i="52"/>
  <c r="B19" i="52"/>
  <c r="H43" i="52"/>
  <c r="C19" i="52"/>
  <c r="D19" i="52" s="1"/>
  <c r="J19" i="52"/>
  <c r="I43" i="52"/>
  <c r="J43" i="52" s="1"/>
  <c r="AB34" i="80"/>
  <c r="AB38" i="80"/>
  <c r="N43" i="81"/>
  <c r="N19" i="81"/>
  <c r="O43" i="81"/>
  <c r="P19" i="81"/>
  <c r="V19" i="81"/>
  <c r="T43" i="81"/>
  <c r="P19" i="80"/>
  <c r="O43" i="80"/>
  <c r="P43" i="80" s="1"/>
  <c r="U43" i="80"/>
  <c r="V43" i="80" s="1"/>
  <c r="V19" i="80"/>
  <c r="J19" i="80"/>
  <c r="I43" i="80"/>
  <c r="J43" i="80" s="1"/>
  <c r="AB49" i="80"/>
  <c r="Z55" i="80"/>
  <c r="Z54" i="80"/>
  <c r="AB47" i="80"/>
  <c r="C9" i="5"/>
  <c r="AB41" i="80"/>
  <c r="AB39" i="80"/>
  <c r="C15" i="70"/>
  <c r="E12" i="70"/>
  <c r="B9" i="5"/>
  <c r="AB50" i="80"/>
  <c r="AB48" i="80"/>
  <c r="AB46" i="80"/>
  <c r="B18" i="107"/>
  <c r="B19" i="80" s="1"/>
  <c r="C18" i="107"/>
  <c r="C19" i="80" s="1"/>
  <c r="B30" i="104"/>
  <c r="AB28" i="80"/>
  <c r="AB29" i="80"/>
  <c r="AB27" i="80"/>
  <c r="B27" i="104"/>
  <c r="C29" i="107"/>
  <c r="T31" i="107"/>
  <c r="U31" i="107"/>
  <c r="V28" i="107"/>
  <c r="N31" i="107"/>
  <c r="P23" i="107"/>
  <c r="O31" i="107"/>
  <c r="P29" i="107"/>
  <c r="J29" i="107"/>
  <c r="H31" i="107"/>
  <c r="D15" i="106"/>
  <c r="I31" i="107"/>
  <c r="V25" i="107"/>
  <c r="J25" i="107"/>
  <c r="D11" i="106"/>
  <c r="O31" i="106"/>
  <c r="N31" i="106"/>
  <c r="P26" i="107"/>
  <c r="J23" i="107"/>
  <c r="P27" i="107"/>
  <c r="C25" i="107"/>
  <c r="P24" i="107"/>
  <c r="C27" i="107"/>
  <c r="D8" i="107"/>
  <c r="V30" i="107"/>
  <c r="J27" i="107"/>
  <c r="J26" i="107"/>
  <c r="V27" i="107"/>
  <c r="C23" i="107"/>
  <c r="P25" i="107"/>
  <c r="V29" i="107"/>
  <c r="B25" i="107"/>
  <c r="B28" i="107"/>
  <c r="B29" i="107"/>
  <c r="P28" i="107"/>
  <c r="D14" i="107"/>
  <c r="V23" i="107"/>
  <c r="J28" i="107"/>
  <c r="J24" i="107"/>
  <c r="P30" i="107"/>
  <c r="V24" i="107"/>
  <c r="V18" i="107"/>
  <c r="B23" i="107"/>
  <c r="D13" i="107"/>
  <c r="C26" i="107"/>
  <c r="B27" i="107"/>
  <c r="J18" i="107"/>
  <c r="D15" i="107"/>
  <c r="C28" i="107"/>
  <c r="B26" i="107"/>
  <c r="V26" i="107"/>
  <c r="C24" i="107"/>
  <c r="D11" i="107"/>
  <c r="D9" i="107"/>
  <c r="D17" i="107"/>
  <c r="C30" i="107"/>
  <c r="B24" i="107"/>
  <c r="D16" i="107"/>
  <c r="P18" i="107"/>
  <c r="J30" i="107"/>
  <c r="D10" i="107"/>
  <c r="B30" i="107"/>
  <c r="D16" i="106"/>
  <c r="D13" i="106"/>
  <c r="C18" i="106"/>
  <c r="C19" i="81" s="1"/>
  <c r="B18" i="106"/>
  <c r="B19" i="81" s="1"/>
  <c r="H31" i="106"/>
  <c r="J18" i="106"/>
  <c r="P25" i="106"/>
  <c r="J24" i="106"/>
  <c r="I31" i="106"/>
  <c r="P27" i="106"/>
  <c r="J26" i="106"/>
  <c r="P29" i="106"/>
  <c r="P24" i="106"/>
  <c r="D17" i="106"/>
  <c r="P18" i="106"/>
  <c r="J25" i="106"/>
  <c r="P28" i="106"/>
  <c r="C24" i="106"/>
  <c r="C28" i="106"/>
  <c r="J23" i="106"/>
  <c r="J30" i="106"/>
  <c r="D9" i="106"/>
  <c r="P23" i="106"/>
  <c r="P26" i="106"/>
  <c r="C30" i="106"/>
  <c r="C26" i="106"/>
  <c r="C29" i="106"/>
  <c r="B27" i="106"/>
  <c r="B26" i="106"/>
  <c r="D8" i="106"/>
  <c r="B29" i="106"/>
  <c r="B30" i="106"/>
  <c r="P30" i="106"/>
  <c r="B24" i="106"/>
  <c r="B23" i="106"/>
  <c r="B25" i="106"/>
  <c r="J28" i="106"/>
  <c r="B28" i="106"/>
  <c r="D14" i="106"/>
  <c r="C27" i="106"/>
  <c r="D12" i="106"/>
  <c r="C25" i="106"/>
  <c r="J29" i="106"/>
  <c r="D10" i="106"/>
  <c r="C23" i="106"/>
  <c r="J27" i="106"/>
  <c r="O31" i="104"/>
  <c r="N31" i="104"/>
  <c r="H31" i="104"/>
  <c r="I31" i="104"/>
  <c r="P25" i="104"/>
  <c r="B18" i="104"/>
  <c r="C18" i="104"/>
  <c r="D17" i="104"/>
  <c r="D15" i="104"/>
  <c r="D12" i="104"/>
  <c r="J27" i="104"/>
  <c r="D13" i="104"/>
  <c r="J25" i="104"/>
  <c r="D11" i="104"/>
  <c r="P26" i="104"/>
  <c r="J24" i="104"/>
  <c r="D10" i="104"/>
  <c r="P29" i="104"/>
  <c r="D16" i="104"/>
  <c r="C30" i="104"/>
  <c r="P28" i="104"/>
  <c r="J28" i="104"/>
  <c r="J18" i="104"/>
  <c r="J26" i="104"/>
  <c r="P23" i="104"/>
  <c r="J29" i="104"/>
  <c r="B24" i="104"/>
  <c r="P27" i="104"/>
  <c r="P24" i="104"/>
  <c r="J30" i="104"/>
  <c r="D9" i="104"/>
  <c r="J23" i="104"/>
  <c r="P30" i="104"/>
  <c r="C27" i="104"/>
  <c r="D14" i="104"/>
  <c r="D8" i="104"/>
  <c r="P18" i="104"/>
  <c r="C26" i="104"/>
  <c r="B25" i="104"/>
  <c r="B26" i="104"/>
  <c r="B23" i="104"/>
  <c r="C25" i="104"/>
  <c r="B29" i="104"/>
  <c r="B28" i="104"/>
  <c r="C28" i="104"/>
  <c r="C24" i="104"/>
  <c r="C23" i="104"/>
  <c r="C29" i="104"/>
  <c r="E10" i="10"/>
  <c r="E11" i="10"/>
  <c r="I19" i="91" l="1"/>
  <c r="H19" i="91"/>
  <c r="P43" i="81"/>
  <c r="D19" i="81"/>
  <c r="D19" i="80"/>
  <c r="C31" i="107"/>
  <c r="B31" i="107"/>
  <c r="D29" i="107"/>
  <c r="J31" i="106"/>
  <c r="P31" i="106"/>
  <c r="D25" i="107"/>
  <c r="D23" i="107"/>
  <c r="B31" i="106"/>
  <c r="C31" i="106"/>
  <c r="D24" i="107"/>
  <c r="D28" i="107"/>
  <c r="D27" i="107"/>
  <c r="D18" i="107"/>
  <c r="J31" i="107"/>
  <c r="V31" i="107"/>
  <c r="P31" i="107"/>
  <c r="D30" i="107"/>
  <c r="D26" i="107"/>
  <c r="D30" i="106"/>
  <c r="D29" i="106"/>
  <c r="D18" i="106"/>
  <c r="D28" i="106"/>
  <c r="D24" i="106"/>
  <c r="D26" i="106"/>
  <c r="D25" i="106"/>
  <c r="D27" i="106"/>
  <c r="D23" i="106"/>
  <c r="C31" i="104"/>
  <c r="B31" i="104"/>
  <c r="D24" i="104"/>
  <c r="D30" i="104"/>
  <c r="D29" i="104"/>
  <c r="D28" i="104"/>
  <c r="D27" i="104"/>
  <c r="D25" i="104"/>
  <c r="D23" i="104"/>
  <c r="P31" i="104"/>
  <c r="D18" i="104"/>
  <c r="J31" i="104"/>
  <c r="D26" i="104"/>
  <c r="J19" i="91" l="1"/>
  <c r="D31" i="106"/>
  <c r="D31" i="107"/>
  <c r="D31" i="104"/>
  <c r="H20" i="81"/>
  <c r="I20" i="81"/>
  <c r="G7" i="102"/>
  <c r="F7" i="102"/>
  <c r="D16" i="71" l="1"/>
  <c r="C16" i="71"/>
  <c r="D15" i="71"/>
  <c r="C15" i="71"/>
  <c r="C18" i="69"/>
  <c r="D18" i="69" l="1"/>
  <c r="U43" i="81"/>
  <c r="V43" i="81" s="1"/>
  <c r="C17" i="69"/>
  <c r="D17" i="69"/>
  <c r="V9" i="80"/>
  <c r="E14" i="70"/>
  <c r="B9" i="52"/>
  <c r="P9" i="52"/>
  <c r="J9" i="80"/>
  <c r="J9" i="52"/>
  <c r="C9" i="52"/>
  <c r="D19" i="69"/>
  <c r="C19" i="69"/>
  <c r="P9" i="80"/>
  <c r="B9" i="80"/>
  <c r="B9" i="81"/>
  <c r="C9" i="81"/>
  <c r="P9" i="81"/>
  <c r="V9" i="81"/>
  <c r="D9" i="52" l="1"/>
  <c r="D9" i="81"/>
  <c r="C11" i="69" l="1"/>
  <c r="D11" i="69" l="1"/>
  <c r="T40" i="80"/>
  <c r="D9" i="69" l="1"/>
  <c r="E11" i="69" l="1"/>
  <c r="T50" i="80" l="1"/>
  <c r="T49" i="80"/>
  <c r="T48" i="80"/>
  <c r="T47" i="80"/>
  <c r="T46" i="80"/>
  <c r="T45" i="80"/>
  <c r="T44" i="80"/>
  <c r="T42" i="80"/>
  <c r="T41" i="80"/>
  <c r="T39" i="80"/>
  <c r="T38" i="80"/>
  <c r="T37" i="80"/>
  <c r="T36" i="80"/>
  <c r="T35" i="80"/>
  <c r="T34" i="80"/>
  <c r="B27" i="5"/>
  <c r="C14" i="5"/>
  <c r="B14" i="5"/>
  <c r="AA51" i="80" l="1"/>
  <c r="AA53" i="80"/>
  <c r="AB53" i="80" s="1"/>
  <c r="AA52" i="80"/>
  <c r="C9" i="80"/>
  <c r="D9" i="80" s="1"/>
  <c r="B40" i="5"/>
  <c r="U40" i="80"/>
  <c r="C22" i="80"/>
  <c r="U49" i="80"/>
  <c r="U47" i="80"/>
  <c r="U34" i="80"/>
  <c r="U38" i="80"/>
  <c r="U41" i="80"/>
  <c r="U48" i="80"/>
  <c r="U36" i="80"/>
  <c r="U44" i="80"/>
  <c r="U46" i="80"/>
  <c r="U50" i="80"/>
  <c r="C20" i="80"/>
  <c r="U35" i="80"/>
  <c r="U37" i="80"/>
  <c r="U39" i="80"/>
  <c r="U42" i="80"/>
  <c r="U45" i="80"/>
  <c r="C21" i="80"/>
  <c r="V21" i="80"/>
  <c r="N27" i="80"/>
  <c r="V26" i="80"/>
  <c r="V25" i="80"/>
  <c r="V23" i="80"/>
  <c r="V22" i="80"/>
  <c r="V18" i="80"/>
  <c r="V17" i="80"/>
  <c r="V8" i="80"/>
  <c r="C10" i="80"/>
  <c r="B13" i="80"/>
  <c r="C16" i="80"/>
  <c r="C15" i="80"/>
  <c r="C14" i="80"/>
  <c r="C13" i="80"/>
  <c r="C12" i="80"/>
  <c r="C11" i="80"/>
  <c r="B16" i="80"/>
  <c r="B15" i="80"/>
  <c r="B14" i="80"/>
  <c r="B12" i="80"/>
  <c r="B11" i="80"/>
  <c r="V16" i="80"/>
  <c r="V14" i="80"/>
  <c r="V13" i="80"/>
  <c r="V12" i="80"/>
  <c r="B10" i="80"/>
  <c r="C8" i="80"/>
  <c r="C43" i="80" s="1"/>
  <c r="B8" i="80"/>
  <c r="B43" i="80" s="1"/>
  <c r="T28" i="80"/>
  <c r="T52" i="80" s="1"/>
  <c r="U27" i="80"/>
  <c r="U51" i="80" s="1"/>
  <c r="V10" i="80"/>
  <c r="T27" i="80"/>
  <c r="T51" i="80" s="1"/>
  <c r="T29" i="80"/>
  <c r="T53" i="80" s="1"/>
  <c r="U28" i="80"/>
  <c r="U52" i="80" s="1"/>
  <c r="U29" i="80"/>
  <c r="U53" i="80" s="1"/>
  <c r="V11" i="80"/>
  <c r="V15" i="80"/>
  <c r="V20" i="80"/>
  <c r="V24" i="80"/>
  <c r="E18" i="10"/>
  <c r="D14" i="5"/>
  <c r="C27" i="5"/>
  <c r="D27" i="5" s="1"/>
  <c r="D43" i="80" l="1"/>
  <c r="AA55" i="80"/>
  <c r="AB55" i="80" s="1"/>
  <c r="AB52" i="80"/>
  <c r="AB51" i="80"/>
  <c r="AA54" i="80"/>
  <c r="AB54" i="80" s="1"/>
  <c r="E26" i="10"/>
  <c r="U55" i="80"/>
  <c r="U54" i="80"/>
  <c r="U56" i="80"/>
  <c r="U57" i="80"/>
  <c r="D18" i="80"/>
  <c r="T57" i="80"/>
  <c r="T56" i="80"/>
  <c r="T54" i="80"/>
  <c r="T55" i="80"/>
  <c r="V42" i="80"/>
  <c r="V47" i="80"/>
  <c r="V50" i="80"/>
  <c r="V49" i="80"/>
  <c r="V46" i="80"/>
  <c r="V48" i="80"/>
  <c r="V41" i="80"/>
  <c r="V40" i="80"/>
  <c r="V39" i="80"/>
  <c r="V38" i="80"/>
  <c r="V36" i="80"/>
  <c r="V37" i="80"/>
  <c r="V44" i="80"/>
  <c r="V35" i="80"/>
  <c r="V45" i="80"/>
  <c r="V34" i="80"/>
  <c r="V27" i="80"/>
  <c r="V51" i="80"/>
  <c r="V28" i="80"/>
  <c r="V29" i="80"/>
  <c r="V53" i="80"/>
  <c r="C40" i="5"/>
  <c r="V54" i="80" l="1"/>
  <c r="V52" i="80"/>
  <c r="V57" i="80"/>
  <c r="V56" i="80"/>
  <c r="V55" i="80"/>
  <c r="B24" i="5" l="1"/>
  <c r="C24" i="5" l="1"/>
  <c r="C31" i="9"/>
  <c r="J21" i="81"/>
  <c r="C23" i="70"/>
  <c r="D23" i="70"/>
  <c r="D10" i="69"/>
  <c r="D33" i="70" l="1"/>
  <c r="D32" i="70"/>
  <c r="C33" i="70"/>
  <c r="C32" i="70"/>
  <c r="E32" i="70" s="1"/>
  <c r="C35" i="70"/>
  <c r="P20" i="81"/>
  <c r="E34" i="70"/>
  <c r="C10" i="69"/>
  <c r="E10" i="69" s="1"/>
  <c r="T34" i="81"/>
  <c r="C8" i="81"/>
  <c r="C43" i="81" s="1"/>
  <c r="U35" i="81"/>
  <c r="U36" i="81"/>
  <c r="E10" i="70"/>
  <c r="B23" i="5"/>
  <c r="B35" i="5" s="1"/>
  <c r="C34" i="9"/>
  <c r="C28" i="69" s="1"/>
  <c r="D30" i="70"/>
  <c r="E18" i="69"/>
  <c r="U34" i="81"/>
  <c r="T35" i="81"/>
  <c r="T37" i="81"/>
  <c r="T41" i="81"/>
  <c r="T46" i="81"/>
  <c r="T50" i="81"/>
  <c r="U37" i="81"/>
  <c r="U39" i="81"/>
  <c r="U41" i="81"/>
  <c r="U44" i="81"/>
  <c r="U46" i="81"/>
  <c r="U48" i="81"/>
  <c r="U50" i="81"/>
  <c r="T39" i="81"/>
  <c r="T44" i="81"/>
  <c r="T48" i="81"/>
  <c r="U38" i="81"/>
  <c r="U40" i="81"/>
  <c r="U42" i="81"/>
  <c r="U45" i="81"/>
  <c r="U47" i="81"/>
  <c r="T36" i="81"/>
  <c r="T40" i="81"/>
  <c r="T45" i="81"/>
  <c r="T38" i="81"/>
  <c r="T42" i="81"/>
  <c r="T47" i="81"/>
  <c r="B11" i="81"/>
  <c r="B15" i="81"/>
  <c r="B20" i="81"/>
  <c r="B24" i="81"/>
  <c r="C12" i="81"/>
  <c r="C16" i="81"/>
  <c r="C18" i="81"/>
  <c r="C21" i="81"/>
  <c r="C23" i="81"/>
  <c r="U49" i="81"/>
  <c r="B12" i="81"/>
  <c r="B16" i="81"/>
  <c r="B21" i="81"/>
  <c r="T49" i="81"/>
  <c r="B13" i="81"/>
  <c r="B17" i="81"/>
  <c r="B22" i="81"/>
  <c r="B26" i="81"/>
  <c r="C11" i="81"/>
  <c r="C13" i="81"/>
  <c r="C15" i="81"/>
  <c r="C17" i="81"/>
  <c r="C20" i="81"/>
  <c r="C22" i="81"/>
  <c r="C24" i="81"/>
  <c r="C26" i="81"/>
  <c r="B8" i="81"/>
  <c r="B43" i="81" s="1"/>
  <c r="B14" i="81"/>
  <c r="B18" i="81"/>
  <c r="B23" i="81"/>
  <c r="C14" i="81"/>
  <c r="B25" i="81"/>
  <c r="C25" i="81"/>
  <c r="T28" i="81"/>
  <c r="C10" i="81"/>
  <c r="J12" i="81"/>
  <c r="C33" i="9"/>
  <c r="D30" i="9"/>
  <c r="D33" i="9"/>
  <c r="D32" i="9"/>
  <c r="C32" i="9"/>
  <c r="C30" i="9"/>
  <c r="J11" i="81"/>
  <c r="J19" i="81"/>
  <c r="J15" i="81"/>
  <c r="C9" i="69"/>
  <c r="J14" i="81"/>
  <c r="J16" i="81"/>
  <c r="J13" i="81"/>
  <c r="J10" i="81"/>
  <c r="J18" i="81"/>
  <c r="J9" i="81"/>
  <c r="J17" i="81"/>
  <c r="V24" i="81"/>
  <c r="V18" i="81"/>
  <c r="V26" i="81"/>
  <c r="V25" i="81"/>
  <c r="T29" i="81"/>
  <c r="T53" i="81" s="1"/>
  <c r="V21" i="81"/>
  <c r="V17" i="81"/>
  <c r="V15" i="81"/>
  <c r="V12" i="81"/>
  <c r="V8" i="81"/>
  <c r="V16" i="81"/>
  <c r="V14" i="81"/>
  <c r="V23" i="81"/>
  <c r="V11" i="81"/>
  <c r="V20" i="81"/>
  <c r="T27" i="81"/>
  <c r="T51" i="81" s="1"/>
  <c r="U28" i="81"/>
  <c r="U27" i="81"/>
  <c r="U51" i="81" s="1"/>
  <c r="V13" i="81"/>
  <c r="V22" i="81"/>
  <c r="V10" i="81"/>
  <c r="U29" i="81"/>
  <c r="U53" i="81" s="1"/>
  <c r="C30" i="70"/>
  <c r="E22" i="70"/>
  <c r="D35" i="9"/>
  <c r="D31" i="70" s="1"/>
  <c r="C35" i="9"/>
  <c r="C31" i="70" s="1"/>
  <c r="E33" i="70" l="1"/>
  <c r="C28" i="81"/>
  <c r="D43" i="81"/>
  <c r="B28" i="81"/>
  <c r="B10" i="5"/>
  <c r="C9" i="71"/>
  <c r="U52" i="81"/>
  <c r="U56" i="81" s="1"/>
  <c r="D8" i="69"/>
  <c r="D26" i="69" s="1"/>
  <c r="T52" i="81"/>
  <c r="T57" i="81" s="1"/>
  <c r="C8" i="69"/>
  <c r="C26" i="69" s="1"/>
  <c r="T54" i="81"/>
  <c r="T55" i="81"/>
  <c r="U55" i="81"/>
  <c r="U54" i="81"/>
  <c r="D14" i="81"/>
  <c r="C50" i="81"/>
  <c r="D16" i="81"/>
  <c r="D22" i="81"/>
  <c r="C48" i="81"/>
  <c r="C47" i="81"/>
  <c r="C46" i="81"/>
  <c r="E31" i="70"/>
  <c r="D34" i="9"/>
  <c r="D28" i="69" s="1"/>
  <c r="E28" i="69" s="1"/>
  <c r="B40" i="81"/>
  <c r="E30" i="70"/>
  <c r="D29" i="9"/>
  <c r="D17" i="81"/>
  <c r="D21" i="81"/>
  <c r="D13" i="81"/>
  <c r="B45" i="81"/>
  <c r="D20" i="81"/>
  <c r="D11" i="81"/>
  <c r="D23" i="81"/>
  <c r="B27" i="81"/>
  <c r="D18" i="81"/>
  <c r="B48" i="81"/>
  <c r="D8" i="81"/>
  <c r="B39" i="81"/>
  <c r="D15" i="81"/>
  <c r="B42" i="81"/>
  <c r="D12" i="81"/>
  <c r="D26" i="81"/>
  <c r="D24" i="81"/>
  <c r="B47" i="81"/>
  <c r="C41" i="81"/>
  <c r="B50" i="81"/>
  <c r="C42" i="81"/>
  <c r="C39" i="81"/>
  <c r="B46" i="81"/>
  <c r="C40" i="81"/>
  <c r="B44" i="81"/>
  <c r="C38" i="81"/>
  <c r="B38" i="81"/>
  <c r="C37" i="81"/>
  <c r="B41" i="81"/>
  <c r="B36" i="81"/>
  <c r="C29" i="9"/>
  <c r="C44" i="81"/>
  <c r="C35" i="81"/>
  <c r="B37" i="81"/>
  <c r="C45" i="81"/>
  <c r="C36" i="81"/>
  <c r="B35" i="81"/>
  <c r="B49" i="81"/>
  <c r="D25" i="81"/>
  <c r="C49" i="81"/>
  <c r="B29" i="81"/>
  <c r="B53" i="81" s="1"/>
  <c r="C29" i="81"/>
  <c r="C53" i="81" s="1"/>
  <c r="C27" i="81"/>
  <c r="C34" i="81"/>
  <c r="B34" i="81"/>
  <c r="D10" i="81"/>
  <c r="J20" i="81"/>
  <c r="V28" i="81"/>
  <c r="V27" i="81"/>
  <c r="V29" i="81"/>
  <c r="E33" i="9"/>
  <c r="E30" i="9"/>
  <c r="E20" i="9"/>
  <c r="E32" i="9"/>
  <c r="E24" i="9"/>
  <c r="E19" i="9"/>
  <c r="E18" i="9"/>
  <c r="E22" i="9"/>
  <c r="D31" i="9"/>
  <c r="C10" i="5" l="1"/>
  <c r="D9" i="71"/>
  <c r="E9" i="71" s="1"/>
  <c r="U57" i="81"/>
  <c r="V57" i="81" s="1"/>
  <c r="T56" i="81"/>
  <c r="V56" i="81" s="1"/>
  <c r="D50" i="81"/>
  <c r="E26" i="69"/>
  <c r="E8" i="69"/>
  <c r="V54" i="81"/>
  <c r="V55" i="81"/>
  <c r="B51" i="81"/>
  <c r="C51" i="81"/>
  <c r="C52" i="81"/>
  <c r="B52" i="81"/>
  <c r="E29" i="9"/>
  <c r="D47" i="81"/>
  <c r="D46" i="81"/>
  <c r="D48" i="81"/>
  <c r="B36" i="5"/>
  <c r="D42" i="81"/>
  <c r="D53" i="81"/>
  <c r="D45" i="81"/>
  <c r="D44" i="81"/>
  <c r="D38" i="81"/>
  <c r="D40" i="81"/>
  <c r="D37" i="81"/>
  <c r="D27" i="81"/>
  <c r="D36" i="81"/>
  <c r="D35" i="81"/>
  <c r="D39" i="81"/>
  <c r="D41" i="81"/>
  <c r="D29" i="81"/>
  <c r="D49" i="81"/>
  <c r="D34" i="81"/>
  <c r="E31" i="9"/>
  <c r="E21" i="9"/>
  <c r="D28" i="81"/>
  <c r="E35" i="9"/>
  <c r="E23" i="9"/>
  <c r="E10" i="9"/>
  <c r="E8" i="9"/>
  <c r="E13" i="9"/>
  <c r="E12" i="9"/>
  <c r="E9" i="9"/>
  <c r="D51" i="81" l="1"/>
  <c r="C54" i="81"/>
  <c r="C55" i="81"/>
  <c r="B54" i="81"/>
  <c r="B55" i="81"/>
  <c r="B56" i="81"/>
  <c r="B57" i="81"/>
  <c r="C56" i="81"/>
  <c r="C57" i="81"/>
  <c r="D52" i="81"/>
  <c r="E34" i="9"/>
  <c r="D56" i="81" l="1"/>
  <c r="D55" i="81"/>
  <c r="D54" i="81"/>
  <c r="D57" i="81"/>
  <c r="B8" i="52"/>
  <c r="B43" i="52" s="1"/>
  <c r="B8" i="91" l="1"/>
  <c r="H9" i="91"/>
  <c r="N34" i="52"/>
  <c r="H34" i="52"/>
  <c r="V34" i="81"/>
  <c r="P18" i="81"/>
  <c r="P8" i="80"/>
  <c r="P21" i="81"/>
  <c r="P12" i="81"/>
  <c r="P10" i="81"/>
  <c r="P15" i="81"/>
  <c r="P24" i="81"/>
  <c r="N28" i="81"/>
  <c r="P11" i="81"/>
  <c r="P13" i="81"/>
  <c r="P22" i="81"/>
  <c r="P16" i="81"/>
  <c r="P25" i="81"/>
  <c r="P14" i="81"/>
  <c r="N29" i="81"/>
  <c r="N53" i="81" s="1"/>
  <c r="P23" i="81"/>
  <c r="P26" i="81"/>
  <c r="P17" i="81"/>
  <c r="O29" i="81"/>
  <c r="O28" i="81"/>
  <c r="N34" i="81"/>
  <c r="O27" i="81"/>
  <c r="O51" i="81" s="1"/>
  <c r="P8" i="81"/>
  <c r="N27" i="81"/>
  <c r="N51" i="81" s="1"/>
  <c r="O46" i="81"/>
  <c r="O40" i="81"/>
  <c r="O50" i="81"/>
  <c r="O39" i="81"/>
  <c r="O49" i="81"/>
  <c r="O48" i="81"/>
  <c r="O42" i="81"/>
  <c r="O37" i="81"/>
  <c r="O44" i="81"/>
  <c r="O41" i="81"/>
  <c r="O36" i="81"/>
  <c r="O45" i="81"/>
  <c r="N34" i="80"/>
  <c r="N46" i="81"/>
  <c r="N40" i="81"/>
  <c r="N42" i="81"/>
  <c r="N41" i="81"/>
  <c r="N50" i="81"/>
  <c r="N37" i="81"/>
  <c r="N36" i="81"/>
  <c r="N39" i="81"/>
  <c r="N48" i="81"/>
  <c r="J8" i="80"/>
  <c r="H34" i="80"/>
  <c r="N38" i="81"/>
  <c r="N35" i="81"/>
  <c r="O38" i="81"/>
  <c r="N44" i="81"/>
  <c r="O47" i="81"/>
  <c r="O35" i="81"/>
  <c r="N49" i="81"/>
  <c r="N47" i="81"/>
  <c r="O34" i="81"/>
  <c r="N45" i="81"/>
  <c r="C8" i="52"/>
  <c r="C43" i="52" s="1"/>
  <c r="D43" i="52" s="1"/>
  <c r="P8" i="52"/>
  <c r="J8" i="52"/>
  <c r="I38" i="80"/>
  <c r="I34" i="80"/>
  <c r="H38" i="80"/>
  <c r="I40" i="80"/>
  <c r="H40" i="80"/>
  <c r="I39" i="80"/>
  <c r="H39" i="80"/>
  <c r="I37" i="80"/>
  <c r="H37" i="80"/>
  <c r="I36" i="80"/>
  <c r="H36" i="80"/>
  <c r="I35" i="80"/>
  <c r="H35" i="80"/>
  <c r="N50" i="80"/>
  <c r="O49" i="80"/>
  <c r="N49" i="80"/>
  <c r="O48" i="80"/>
  <c r="N48" i="80"/>
  <c r="O47" i="80"/>
  <c r="N47" i="80"/>
  <c r="O46" i="80"/>
  <c r="N46" i="80"/>
  <c r="O45" i="80"/>
  <c r="N45" i="80"/>
  <c r="O44" i="80"/>
  <c r="N44" i="80"/>
  <c r="O42" i="80"/>
  <c r="N42" i="80"/>
  <c r="O41" i="80"/>
  <c r="N41" i="80"/>
  <c r="N40" i="80"/>
  <c r="O40" i="80"/>
  <c r="O39" i="80"/>
  <c r="N39" i="80"/>
  <c r="O38" i="80"/>
  <c r="N38" i="80"/>
  <c r="O37" i="80"/>
  <c r="N37" i="80"/>
  <c r="O36" i="80"/>
  <c r="N36" i="80"/>
  <c r="N35" i="80"/>
  <c r="O35" i="80"/>
  <c r="O34" i="80"/>
  <c r="O42" i="52"/>
  <c r="I42" i="52"/>
  <c r="O44" i="52"/>
  <c r="N44" i="52"/>
  <c r="I44" i="52"/>
  <c r="H44" i="52"/>
  <c r="D7" i="69" l="1"/>
  <c r="D25" i="69" s="1"/>
  <c r="D8" i="52"/>
  <c r="C8" i="91"/>
  <c r="I9" i="91"/>
  <c r="J9" i="91" s="1"/>
  <c r="N52" i="81"/>
  <c r="N57" i="81" s="1"/>
  <c r="C7" i="69"/>
  <c r="C25" i="69" s="1"/>
  <c r="N54" i="81"/>
  <c r="N55" i="81"/>
  <c r="H42" i="52"/>
  <c r="N41" i="52"/>
  <c r="H41" i="52"/>
  <c r="N42" i="52"/>
  <c r="H46" i="80"/>
  <c r="B22" i="80"/>
  <c r="D22" i="80" s="1"/>
  <c r="I48" i="80"/>
  <c r="C24" i="80"/>
  <c r="I42" i="80"/>
  <c r="H49" i="80"/>
  <c r="B25" i="80"/>
  <c r="I41" i="80"/>
  <c r="C17" i="80"/>
  <c r="H44" i="80"/>
  <c r="B20" i="80"/>
  <c r="I46" i="80"/>
  <c r="H48" i="80"/>
  <c r="B24" i="80"/>
  <c r="I50" i="80"/>
  <c r="C26" i="80"/>
  <c r="H41" i="80"/>
  <c r="B17" i="80"/>
  <c r="I44" i="80"/>
  <c r="H50" i="80"/>
  <c r="B26" i="80"/>
  <c r="H45" i="80"/>
  <c r="B21" i="80"/>
  <c r="D21" i="80" s="1"/>
  <c r="I47" i="80"/>
  <c r="C23" i="80"/>
  <c r="H42" i="80"/>
  <c r="I45" i="80"/>
  <c r="H47" i="80"/>
  <c r="B23" i="80"/>
  <c r="I49" i="80"/>
  <c r="C25" i="80"/>
  <c r="V49" i="81"/>
  <c r="V36" i="81"/>
  <c r="V41" i="81"/>
  <c r="V48" i="81"/>
  <c r="V53" i="81"/>
  <c r="V51" i="81"/>
  <c r="V44" i="81"/>
  <c r="V37" i="81"/>
  <c r="V42" i="81"/>
  <c r="V45" i="81"/>
  <c r="V35" i="81"/>
  <c r="V52" i="81"/>
  <c r="V46" i="81"/>
  <c r="V40" i="81"/>
  <c r="V47" i="81"/>
  <c r="V50" i="81"/>
  <c r="V39" i="81"/>
  <c r="V38" i="81"/>
  <c r="P39" i="81"/>
  <c r="P28" i="81"/>
  <c r="P29" i="81"/>
  <c r="P49" i="81"/>
  <c r="P36" i="81"/>
  <c r="P37" i="81"/>
  <c r="P46" i="81"/>
  <c r="P50" i="81"/>
  <c r="P27" i="81"/>
  <c r="P45" i="81"/>
  <c r="P48" i="81"/>
  <c r="P42" i="81"/>
  <c r="P40" i="81"/>
  <c r="P41" i="81"/>
  <c r="P44" i="81"/>
  <c r="P35" i="80"/>
  <c r="P38" i="80"/>
  <c r="P47" i="80"/>
  <c r="P34" i="81"/>
  <c r="P45" i="80"/>
  <c r="P39" i="80"/>
  <c r="P48" i="80"/>
  <c r="P40" i="80"/>
  <c r="D8" i="80"/>
  <c r="P36" i="80"/>
  <c r="P42" i="80"/>
  <c r="P37" i="80"/>
  <c r="P46" i="80"/>
  <c r="P49" i="80"/>
  <c r="P44" i="80"/>
  <c r="P41" i="80"/>
  <c r="P26" i="80"/>
  <c r="O50" i="80"/>
  <c r="P50" i="80" s="1"/>
  <c r="P35" i="81"/>
  <c r="P51" i="81"/>
  <c r="O53" i="81"/>
  <c r="P53" i="81" s="1"/>
  <c r="O52" i="81"/>
  <c r="P47" i="81"/>
  <c r="P38" i="81"/>
  <c r="P20" i="80"/>
  <c r="P18" i="52"/>
  <c r="P44" i="52"/>
  <c r="I27" i="80"/>
  <c r="I51" i="80" s="1"/>
  <c r="P23" i="80"/>
  <c r="P21" i="80"/>
  <c r="P22" i="80"/>
  <c r="H28" i="80"/>
  <c r="H52" i="80" s="1"/>
  <c r="H29" i="80"/>
  <c r="H53" i="80" s="1"/>
  <c r="H27" i="80"/>
  <c r="H51" i="80" s="1"/>
  <c r="J18" i="80"/>
  <c r="J39" i="80"/>
  <c r="P25" i="80"/>
  <c r="P24" i="80"/>
  <c r="P18" i="80"/>
  <c r="P34" i="80"/>
  <c r="J40" i="80"/>
  <c r="O29" i="80"/>
  <c r="O53" i="80" s="1"/>
  <c r="N29" i="80"/>
  <c r="N53" i="80" s="1"/>
  <c r="O28" i="80"/>
  <c r="O52" i="80" s="1"/>
  <c r="N28" i="80"/>
  <c r="N52" i="80" s="1"/>
  <c r="O27" i="80"/>
  <c r="O51" i="80" s="1"/>
  <c r="N51" i="80"/>
  <c r="J26" i="80"/>
  <c r="J25" i="80"/>
  <c r="J24" i="80"/>
  <c r="J23" i="80"/>
  <c r="J22" i="80"/>
  <c r="I29" i="80"/>
  <c r="I53" i="80" s="1"/>
  <c r="J20" i="80"/>
  <c r="J21" i="80"/>
  <c r="C18" i="52"/>
  <c r="B18" i="52"/>
  <c r="J18" i="52"/>
  <c r="N56" i="81" l="1"/>
  <c r="B28" i="80"/>
  <c r="B52" i="80" s="1"/>
  <c r="D20" i="80"/>
  <c r="D15" i="70"/>
  <c r="D35" i="70" s="1"/>
  <c r="B27" i="80"/>
  <c r="B51" i="80" s="1"/>
  <c r="C12" i="69"/>
  <c r="C29" i="69" s="1"/>
  <c r="I54" i="80"/>
  <c r="I55" i="80"/>
  <c r="N54" i="80"/>
  <c r="N55" i="80"/>
  <c r="O55" i="80"/>
  <c r="O54" i="80"/>
  <c r="H55" i="80"/>
  <c r="H54" i="80"/>
  <c r="O57" i="80"/>
  <c r="O56" i="80"/>
  <c r="H56" i="80"/>
  <c r="H57" i="80"/>
  <c r="N56" i="80"/>
  <c r="N57" i="80"/>
  <c r="O54" i="81"/>
  <c r="P54" i="81" s="1"/>
  <c r="O55" i="81"/>
  <c r="P55" i="81" s="1"/>
  <c r="O57" i="81"/>
  <c r="P57" i="81" s="1"/>
  <c r="O56" i="81"/>
  <c r="P52" i="81"/>
  <c r="D18" i="52"/>
  <c r="J50" i="80"/>
  <c r="J49" i="80"/>
  <c r="J45" i="80"/>
  <c r="J41" i="80"/>
  <c r="J47" i="80"/>
  <c r="J48" i="80"/>
  <c r="J46" i="80"/>
  <c r="H18" i="91"/>
  <c r="I18" i="91"/>
  <c r="J42" i="80"/>
  <c r="C14" i="91"/>
  <c r="B42" i="52"/>
  <c r="C42" i="52"/>
  <c r="C42" i="80"/>
  <c r="B42" i="80"/>
  <c r="C29" i="70"/>
  <c r="P42" i="52"/>
  <c r="J37" i="80"/>
  <c r="J36" i="80"/>
  <c r="J38" i="80"/>
  <c r="J53" i="80"/>
  <c r="J35" i="80"/>
  <c r="P53" i="80"/>
  <c r="J44" i="80"/>
  <c r="J34" i="80"/>
  <c r="I28" i="80"/>
  <c r="I52" i="80" s="1"/>
  <c r="P51" i="80"/>
  <c r="P29" i="80"/>
  <c r="P28" i="80"/>
  <c r="P27" i="80"/>
  <c r="J29" i="80"/>
  <c r="J18" i="91" l="1"/>
  <c r="P56" i="81"/>
  <c r="P56" i="80"/>
  <c r="P54" i="80"/>
  <c r="J55" i="80"/>
  <c r="I56" i="80"/>
  <c r="J56" i="80" s="1"/>
  <c r="I57" i="80"/>
  <c r="J57" i="80" s="1"/>
  <c r="P57" i="80"/>
  <c r="P55" i="80"/>
  <c r="J54" i="80"/>
  <c r="D14" i="91"/>
  <c r="D42" i="80"/>
  <c r="D42" i="52"/>
  <c r="J51" i="80"/>
  <c r="J52" i="80"/>
  <c r="J27" i="80"/>
  <c r="J28" i="80"/>
  <c r="P52" i="80"/>
  <c r="E9" i="70" l="1"/>
  <c r="P17" i="80" l="1"/>
  <c r="P16" i="80"/>
  <c r="J16" i="80"/>
  <c r="P15" i="80"/>
  <c r="J15" i="80"/>
  <c r="P14" i="80"/>
  <c r="J14" i="80"/>
  <c r="P13" i="80"/>
  <c r="P12" i="80"/>
  <c r="J12" i="80"/>
  <c r="P11" i="80"/>
  <c r="J11" i="80"/>
  <c r="P10" i="80"/>
  <c r="O39" i="52"/>
  <c r="O38" i="52"/>
  <c r="O37" i="52"/>
  <c r="O40" i="52"/>
  <c r="O45" i="52"/>
  <c r="O46" i="52"/>
  <c r="O47" i="52"/>
  <c r="O48" i="52"/>
  <c r="O49" i="52"/>
  <c r="O50" i="52"/>
  <c r="O36" i="52"/>
  <c r="C49" i="80" l="1"/>
  <c r="C39" i="80"/>
  <c r="C34" i="80"/>
  <c r="B40" i="80"/>
  <c r="B36" i="80"/>
  <c r="B47" i="80"/>
  <c r="B41" i="80"/>
  <c r="B37" i="80"/>
  <c r="B48" i="80"/>
  <c r="B44" i="80"/>
  <c r="B38" i="80"/>
  <c r="B49" i="80"/>
  <c r="B45" i="80"/>
  <c r="B39" i="80"/>
  <c r="B50" i="80"/>
  <c r="B46" i="80"/>
  <c r="B34" i="80"/>
  <c r="B35" i="80"/>
  <c r="C47" i="80"/>
  <c r="C37" i="80"/>
  <c r="C46" i="80"/>
  <c r="C36" i="80"/>
  <c r="C41" i="80"/>
  <c r="C48" i="80"/>
  <c r="C38" i="80"/>
  <c r="C50" i="80"/>
  <c r="O41" i="52"/>
  <c r="C45" i="80"/>
  <c r="C35" i="80"/>
  <c r="C40" i="80"/>
  <c r="C44" i="80"/>
  <c r="C29" i="80"/>
  <c r="C53" i="80" s="1"/>
  <c r="C27" i="80"/>
  <c r="C51" i="80" s="1"/>
  <c r="C28" i="80"/>
  <c r="C52" i="80" s="1"/>
  <c r="B29" i="80"/>
  <c r="B53" i="80" s="1"/>
  <c r="D25" i="80"/>
  <c r="D15" i="80"/>
  <c r="D23" i="80"/>
  <c r="D11" i="80"/>
  <c r="O29" i="52"/>
  <c r="O53" i="52" s="1"/>
  <c r="D26" i="80"/>
  <c r="J10" i="80"/>
  <c r="D16" i="80"/>
  <c r="D13" i="80"/>
  <c r="D17" i="80"/>
  <c r="D12" i="80"/>
  <c r="D14" i="80"/>
  <c r="J17" i="80"/>
  <c r="D24" i="80"/>
  <c r="J13" i="80"/>
  <c r="B55" i="80" l="1"/>
  <c r="B54" i="80"/>
  <c r="B56" i="80"/>
  <c r="B57" i="80"/>
  <c r="C54" i="80"/>
  <c r="C55" i="80"/>
  <c r="C56" i="80"/>
  <c r="C57" i="80"/>
  <c r="D39" i="80"/>
  <c r="D40" i="80"/>
  <c r="D46" i="80"/>
  <c r="D49" i="80"/>
  <c r="D50" i="80"/>
  <c r="D48" i="80"/>
  <c r="D36" i="80"/>
  <c r="D34" i="80"/>
  <c r="D38" i="80"/>
  <c r="D41" i="80"/>
  <c r="D47" i="80"/>
  <c r="D44" i="80"/>
  <c r="D45" i="80"/>
  <c r="P41" i="52"/>
  <c r="D35" i="80"/>
  <c r="D37" i="80"/>
  <c r="D51" i="80"/>
  <c r="D52" i="80"/>
  <c r="D53" i="80"/>
  <c r="D28" i="80"/>
  <c r="D29" i="80"/>
  <c r="D27" i="80"/>
  <c r="D10" i="80"/>
  <c r="I50" i="52"/>
  <c r="I49" i="52"/>
  <c r="I48" i="52"/>
  <c r="I47" i="52"/>
  <c r="H50" i="52"/>
  <c r="H49" i="52"/>
  <c r="H48" i="52"/>
  <c r="H47" i="52"/>
  <c r="H46" i="52"/>
  <c r="I46" i="52"/>
  <c r="I45" i="52"/>
  <c r="N48" i="52"/>
  <c r="N47" i="52"/>
  <c r="N46" i="52"/>
  <c r="D56" i="80" l="1"/>
  <c r="D57" i="80"/>
  <c r="D55" i="80"/>
  <c r="D54" i="80"/>
  <c r="H45" i="52"/>
  <c r="H29" i="52"/>
  <c r="N45" i="52"/>
  <c r="P45" i="52" s="1"/>
  <c r="N29" i="52"/>
  <c r="N49" i="52"/>
  <c r="P49" i="52" s="1"/>
  <c r="N50" i="52"/>
  <c r="P50" i="52" s="1"/>
  <c r="C26" i="52"/>
  <c r="P23" i="52"/>
  <c r="P47" i="52"/>
  <c r="P22" i="52"/>
  <c r="P46" i="52"/>
  <c r="P24" i="52"/>
  <c r="P48" i="52"/>
  <c r="C22" i="52"/>
  <c r="C24" i="52"/>
  <c r="C23" i="52"/>
  <c r="J25" i="52"/>
  <c r="C25" i="52"/>
  <c r="C21" i="52"/>
  <c r="I29" i="52"/>
  <c r="J26" i="52"/>
  <c r="J24" i="52"/>
  <c r="J23" i="52"/>
  <c r="J22" i="52"/>
  <c r="P26" i="52"/>
  <c r="P25" i="52"/>
  <c r="C13" i="5"/>
  <c r="B13" i="5"/>
  <c r="D25" i="52" l="1"/>
  <c r="D23" i="52"/>
  <c r="D22" i="52"/>
  <c r="D24" i="52"/>
  <c r="C46" i="52"/>
  <c r="I22" i="91"/>
  <c r="C17" i="91"/>
  <c r="B46" i="52"/>
  <c r="B17" i="91"/>
  <c r="H22" i="91"/>
  <c r="C47" i="52"/>
  <c r="C18" i="91"/>
  <c r="I23" i="91"/>
  <c r="B48" i="52"/>
  <c r="H24" i="91"/>
  <c r="B19" i="91"/>
  <c r="C16" i="91"/>
  <c r="I21" i="91"/>
  <c r="B50" i="52"/>
  <c r="H26" i="91"/>
  <c r="B21" i="91"/>
  <c r="C48" i="52"/>
  <c r="C19" i="91"/>
  <c r="I24" i="91"/>
  <c r="C50" i="52"/>
  <c r="I26" i="91"/>
  <c r="C21" i="91"/>
  <c r="C20" i="91"/>
  <c r="I25" i="91"/>
  <c r="B20" i="91"/>
  <c r="B40" i="91" s="1"/>
  <c r="H25" i="91"/>
  <c r="B47" i="52"/>
  <c r="B18" i="91"/>
  <c r="H23" i="91"/>
  <c r="C45" i="52"/>
  <c r="C49" i="52"/>
  <c r="B49" i="52"/>
  <c r="D13" i="5"/>
  <c r="P29" i="52"/>
  <c r="N53" i="52"/>
  <c r="P53" i="52" s="1"/>
  <c r="D26" i="52"/>
  <c r="J29" i="52"/>
  <c r="C29" i="52"/>
  <c r="C53" i="52" s="1"/>
  <c r="E9" i="10"/>
  <c r="J24" i="91" l="1"/>
  <c r="C17" i="71"/>
  <c r="C24" i="71" s="1"/>
  <c r="J26" i="91"/>
  <c r="D47" i="52"/>
  <c r="D46" i="52"/>
  <c r="J23" i="91"/>
  <c r="D18" i="91"/>
  <c r="D17" i="91"/>
  <c r="D21" i="91"/>
  <c r="D19" i="91"/>
  <c r="J25" i="91"/>
  <c r="D48" i="52"/>
  <c r="I29" i="91"/>
  <c r="D20" i="91"/>
  <c r="C24" i="91"/>
  <c r="J22" i="91"/>
  <c r="D49" i="52"/>
  <c r="D17" i="71"/>
  <c r="D24" i="71" s="1"/>
  <c r="D50" i="52"/>
  <c r="B21" i="5" l="1"/>
  <c r="C23" i="5"/>
  <c r="E24" i="71"/>
  <c r="C21" i="5"/>
  <c r="E23" i="70"/>
  <c r="J47" i="52"/>
  <c r="J46" i="52"/>
  <c r="J44" i="52"/>
  <c r="J48" i="52"/>
  <c r="J50" i="52"/>
  <c r="H53" i="52"/>
  <c r="J42" i="52"/>
  <c r="J45" i="52"/>
  <c r="I53" i="52"/>
  <c r="J49" i="52"/>
  <c r="E17" i="71"/>
  <c r="C8" i="5" l="1"/>
  <c r="D12" i="69"/>
  <c r="B8" i="5"/>
  <c r="E15" i="70"/>
  <c r="J53" i="52"/>
  <c r="O35" i="52"/>
  <c r="O34" i="52"/>
  <c r="D21" i="52"/>
  <c r="C20" i="52"/>
  <c r="I41" i="52"/>
  <c r="I40" i="52"/>
  <c r="H40" i="52"/>
  <c r="I39" i="52"/>
  <c r="H39" i="52"/>
  <c r="I38" i="52"/>
  <c r="H38" i="52"/>
  <c r="I37" i="52"/>
  <c r="H37" i="52"/>
  <c r="I36" i="52"/>
  <c r="H36" i="52"/>
  <c r="I35" i="52"/>
  <c r="I34" i="52"/>
  <c r="E7" i="9"/>
  <c r="D24" i="5"/>
  <c r="D10" i="5"/>
  <c r="C36" i="5"/>
  <c r="B26" i="5"/>
  <c r="I51" i="52" l="1"/>
  <c r="N35" i="52"/>
  <c r="P35" i="52" s="1"/>
  <c r="N27" i="52"/>
  <c r="N51" i="52" s="1"/>
  <c r="N28" i="52"/>
  <c r="H35" i="52"/>
  <c r="J35" i="52" s="1"/>
  <c r="H28" i="52"/>
  <c r="C7" i="71" s="1"/>
  <c r="H27" i="52"/>
  <c r="I52" i="52"/>
  <c r="C15" i="91"/>
  <c r="I20" i="91"/>
  <c r="B16" i="91"/>
  <c r="H21" i="91"/>
  <c r="C44" i="52"/>
  <c r="B45" i="52"/>
  <c r="E12" i="69"/>
  <c r="E35" i="70"/>
  <c r="N36" i="52"/>
  <c r="P36" i="52" s="1"/>
  <c r="N37" i="52"/>
  <c r="P37" i="52" s="1"/>
  <c r="N38" i="52"/>
  <c r="P38" i="52" s="1"/>
  <c r="N39" i="52"/>
  <c r="P39" i="52" s="1"/>
  <c r="N40" i="52"/>
  <c r="P40" i="52" s="1"/>
  <c r="J39" i="52"/>
  <c r="C16" i="52"/>
  <c r="C13" i="52"/>
  <c r="I13" i="91" s="1"/>
  <c r="J37" i="52"/>
  <c r="P34" i="52"/>
  <c r="C17" i="52"/>
  <c r="J41" i="52"/>
  <c r="C12" i="52"/>
  <c r="I12" i="91" s="1"/>
  <c r="J36" i="52"/>
  <c r="B29" i="52"/>
  <c r="B53" i="52" s="1"/>
  <c r="J34" i="52"/>
  <c r="C14" i="52"/>
  <c r="I14" i="91" s="1"/>
  <c r="J38" i="52"/>
  <c r="O27" i="52"/>
  <c r="O51" i="52" s="1"/>
  <c r="O28" i="52"/>
  <c r="I28" i="52"/>
  <c r="D7" i="71" s="1"/>
  <c r="B16" i="52"/>
  <c r="B11" i="52"/>
  <c r="B17" i="52"/>
  <c r="C11" i="52"/>
  <c r="B12" i="52"/>
  <c r="H12" i="91" s="1"/>
  <c r="B15" i="52"/>
  <c r="H15" i="91" s="1"/>
  <c r="D20" i="52"/>
  <c r="B13" i="52"/>
  <c r="H13" i="91" s="1"/>
  <c r="I27" i="52"/>
  <c r="C10" i="52"/>
  <c r="C15" i="52"/>
  <c r="I15" i="91" s="1"/>
  <c r="B10" i="52"/>
  <c r="B14" i="52"/>
  <c r="H14" i="91" s="1"/>
  <c r="E17" i="10"/>
  <c r="C26" i="5"/>
  <c r="D26" i="5" s="1"/>
  <c r="D36" i="5"/>
  <c r="P17" i="52"/>
  <c r="P13" i="52"/>
  <c r="P16" i="52"/>
  <c r="P21" i="52"/>
  <c r="P20" i="52"/>
  <c r="P15" i="52"/>
  <c r="P14" i="52"/>
  <c r="P12" i="52"/>
  <c r="P11" i="52"/>
  <c r="P10" i="52"/>
  <c r="J17" i="52"/>
  <c r="J13" i="52"/>
  <c r="J10" i="52"/>
  <c r="J14" i="52"/>
  <c r="J12" i="52"/>
  <c r="J16" i="52"/>
  <c r="J20" i="52"/>
  <c r="J15" i="52"/>
  <c r="J21" i="52"/>
  <c r="J11" i="52"/>
  <c r="C22" i="71" l="1"/>
  <c r="B34" i="52"/>
  <c r="H10" i="91"/>
  <c r="I57" i="52"/>
  <c r="I56" i="52"/>
  <c r="N55" i="52"/>
  <c r="N54" i="52"/>
  <c r="O55" i="52"/>
  <c r="O54" i="52"/>
  <c r="D22" i="71"/>
  <c r="N52" i="52"/>
  <c r="C8" i="71"/>
  <c r="C10" i="71" s="1"/>
  <c r="O52" i="52"/>
  <c r="D8" i="71"/>
  <c r="D10" i="71" s="1"/>
  <c r="I55" i="52"/>
  <c r="I54" i="52"/>
  <c r="H52" i="52"/>
  <c r="J52" i="52" s="1"/>
  <c r="H51" i="52"/>
  <c r="J12" i="91"/>
  <c r="D45" i="52"/>
  <c r="J13" i="91"/>
  <c r="H29" i="91"/>
  <c r="J29" i="91" s="1"/>
  <c r="J21" i="91"/>
  <c r="B13" i="91"/>
  <c r="H17" i="91"/>
  <c r="B24" i="91"/>
  <c r="D24" i="91" s="1"/>
  <c r="D16" i="91"/>
  <c r="J15" i="91"/>
  <c r="C12" i="91"/>
  <c r="I16" i="91"/>
  <c r="B15" i="91"/>
  <c r="D15" i="91" s="1"/>
  <c r="H20" i="91"/>
  <c r="J20" i="91" s="1"/>
  <c r="B10" i="91"/>
  <c r="H11" i="91"/>
  <c r="B9" i="91"/>
  <c r="C9" i="91"/>
  <c r="I10" i="91"/>
  <c r="C10" i="91"/>
  <c r="I11" i="91"/>
  <c r="B12" i="91"/>
  <c r="H16" i="91"/>
  <c r="J14" i="91"/>
  <c r="C13" i="91"/>
  <c r="I17" i="91"/>
  <c r="B11" i="91"/>
  <c r="C11" i="91"/>
  <c r="C39" i="52"/>
  <c r="B39" i="52"/>
  <c r="C40" i="52"/>
  <c r="B37" i="52"/>
  <c r="B41" i="52"/>
  <c r="B38" i="52"/>
  <c r="B44" i="52"/>
  <c r="B36" i="52"/>
  <c r="B35" i="52"/>
  <c r="C36" i="52"/>
  <c r="C37" i="52"/>
  <c r="C35" i="52"/>
  <c r="B40" i="52"/>
  <c r="C38" i="52"/>
  <c r="C41" i="52"/>
  <c r="C34" i="52"/>
  <c r="P51" i="52"/>
  <c r="D16" i="52"/>
  <c r="D12" i="52"/>
  <c r="J40" i="52"/>
  <c r="D13" i="52"/>
  <c r="P28" i="52"/>
  <c r="J28" i="52"/>
  <c r="D14" i="52"/>
  <c r="D29" i="52"/>
  <c r="D53" i="52"/>
  <c r="B51" i="52"/>
  <c r="B52" i="52"/>
  <c r="C27" i="52"/>
  <c r="C51" i="52" s="1"/>
  <c r="C28" i="52"/>
  <c r="C52" i="52" s="1"/>
  <c r="D17" i="52"/>
  <c r="D15" i="52"/>
  <c r="P27" i="52"/>
  <c r="D10" i="52"/>
  <c r="J27" i="52"/>
  <c r="C25" i="5"/>
  <c r="B25" i="5"/>
  <c r="H27" i="91" l="1"/>
  <c r="P52" i="52"/>
  <c r="P54" i="52"/>
  <c r="H57" i="52"/>
  <c r="J57" i="52" s="1"/>
  <c r="H56" i="52"/>
  <c r="J56" i="52" s="1"/>
  <c r="O56" i="52"/>
  <c r="O57" i="52"/>
  <c r="J51" i="52"/>
  <c r="H54" i="52"/>
  <c r="J54" i="52" s="1"/>
  <c r="H55" i="52"/>
  <c r="J55" i="52" s="1"/>
  <c r="B54" i="52"/>
  <c r="B55" i="52"/>
  <c r="C23" i="71"/>
  <c r="C25" i="71"/>
  <c r="B7" i="5"/>
  <c r="P55" i="52"/>
  <c r="B56" i="52"/>
  <c r="B57" i="52"/>
  <c r="D23" i="71"/>
  <c r="C7" i="5"/>
  <c r="C57" i="52"/>
  <c r="C56" i="52"/>
  <c r="C54" i="52"/>
  <c r="C55" i="52"/>
  <c r="N57" i="52"/>
  <c r="N56" i="52"/>
  <c r="D10" i="91"/>
  <c r="D13" i="91"/>
  <c r="D12" i="91"/>
  <c r="D9" i="91"/>
  <c r="C22" i="91"/>
  <c r="D35" i="52"/>
  <c r="I27" i="91"/>
  <c r="I28" i="91"/>
  <c r="J10" i="91"/>
  <c r="D44" i="52"/>
  <c r="J17" i="91"/>
  <c r="H28" i="91"/>
  <c r="J11" i="91"/>
  <c r="J16" i="91"/>
  <c r="D38" i="52"/>
  <c r="C23" i="91"/>
  <c r="B23" i="91"/>
  <c r="B22" i="91"/>
  <c r="D11" i="91"/>
  <c r="D34" i="52"/>
  <c r="D41" i="52"/>
  <c r="D39" i="52"/>
  <c r="D37" i="52"/>
  <c r="D36" i="52"/>
  <c r="D40" i="52"/>
  <c r="D51" i="52"/>
  <c r="D28" i="52"/>
  <c r="D27" i="52"/>
  <c r="E16" i="10"/>
  <c r="D25" i="5"/>
  <c r="E21" i="70"/>
  <c r="D55" i="52" l="1"/>
  <c r="D54" i="52"/>
  <c r="D57" i="52"/>
  <c r="P57" i="52"/>
  <c r="E10" i="71"/>
  <c r="D25" i="71"/>
  <c r="P56" i="52"/>
  <c r="D56" i="52"/>
  <c r="B33" i="5"/>
  <c r="J28" i="91"/>
  <c r="J27" i="91"/>
  <c r="I8" i="91"/>
  <c r="I43" i="91" s="1"/>
  <c r="C39" i="91"/>
  <c r="C44" i="91"/>
  <c r="C37" i="91"/>
  <c r="C41" i="91"/>
  <c r="C36" i="91"/>
  <c r="C40" i="91"/>
  <c r="C38" i="91"/>
  <c r="C34" i="91"/>
  <c r="C35" i="91"/>
  <c r="C30" i="91"/>
  <c r="C29" i="91"/>
  <c r="C32" i="91"/>
  <c r="C33" i="91"/>
  <c r="C43" i="91"/>
  <c r="C31" i="91"/>
  <c r="C42" i="91"/>
  <c r="D23" i="91"/>
  <c r="D22" i="91"/>
  <c r="I36" i="81"/>
  <c r="I44" i="81"/>
  <c r="I42" i="81"/>
  <c r="I34" i="81"/>
  <c r="I38" i="81"/>
  <c r="I35" i="81"/>
  <c r="I41" i="81"/>
  <c r="I32" i="81"/>
  <c r="I33" i="81"/>
  <c r="I37" i="81"/>
  <c r="I40" i="81"/>
  <c r="I39" i="81"/>
  <c r="I43" i="81"/>
  <c r="D20" i="69"/>
  <c r="D29" i="69" s="1"/>
  <c r="D52" i="52"/>
  <c r="D21" i="5"/>
  <c r="E15" i="71"/>
  <c r="E16" i="71"/>
  <c r="E17" i="69"/>
  <c r="E20" i="70"/>
  <c r="C22" i="5" l="1"/>
  <c r="C28" i="5" s="1"/>
  <c r="C41" i="5" s="1"/>
  <c r="C45" i="91"/>
  <c r="C46" i="91"/>
  <c r="E25" i="71"/>
  <c r="I52" i="91"/>
  <c r="I37" i="91"/>
  <c r="I41" i="91"/>
  <c r="I46" i="91"/>
  <c r="I50" i="91"/>
  <c r="I40" i="91"/>
  <c r="I53" i="91"/>
  <c r="I38" i="91"/>
  <c r="I42" i="91"/>
  <c r="I47" i="91"/>
  <c r="I34" i="91"/>
  <c r="I36" i="91"/>
  <c r="I49" i="91"/>
  <c r="I51" i="91"/>
  <c r="I35" i="91"/>
  <c r="I39" i="91"/>
  <c r="I44" i="91"/>
  <c r="I48" i="91"/>
  <c r="I45" i="91"/>
  <c r="D23" i="5"/>
  <c r="E8" i="71"/>
  <c r="E23" i="71"/>
  <c r="C35" i="5"/>
  <c r="E7" i="70"/>
  <c r="D29" i="70"/>
  <c r="E8" i="70"/>
  <c r="E7" i="69"/>
  <c r="E7" i="71"/>
  <c r="E22" i="71"/>
  <c r="D25" i="10" l="1"/>
  <c r="D27" i="10"/>
  <c r="I56" i="91"/>
  <c r="I57" i="91"/>
  <c r="I54" i="91"/>
  <c r="I55" i="91"/>
  <c r="E29" i="70"/>
  <c r="E25" i="69"/>
  <c r="C39" i="5"/>
  <c r="B12" i="5"/>
  <c r="E7" i="10"/>
  <c r="C11" i="5"/>
  <c r="D9" i="5"/>
  <c r="D35" i="5"/>
  <c r="B11" i="5"/>
  <c r="C12" i="5"/>
  <c r="E8" i="10"/>
  <c r="E28" i="70"/>
  <c r="E9" i="69"/>
  <c r="D27" i="69"/>
  <c r="B16" i="5" l="1"/>
  <c r="C16" i="5"/>
  <c r="D40" i="5"/>
  <c r="B38" i="5"/>
  <c r="B37" i="5"/>
  <c r="E24" i="10"/>
  <c r="C33" i="5"/>
  <c r="D33" i="5" s="1"/>
  <c r="D11" i="5"/>
  <c r="C37" i="5"/>
  <c r="E23" i="10"/>
  <c r="D7" i="5"/>
  <c r="D12" i="5"/>
  <c r="C38" i="5"/>
  <c r="D11" i="52"/>
  <c r="D8" i="5"/>
  <c r="C34" i="5"/>
  <c r="C42" i="5" l="1"/>
  <c r="D38" i="5"/>
  <c r="D37" i="5"/>
  <c r="D16" i="5"/>
  <c r="C27" i="69"/>
  <c r="C20" i="69"/>
  <c r="E19" i="69"/>
  <c r="J8" i="81"/>
  <c r="E20" i="69" l="1"/>
  <c r="H36" i="81"/>
  <c r="H43" i="81"/>
  <c r="J43" i="81" s="1"/>
  <c r="H40" i="81"/>
  <c r="H42" i="81"/>
  <c r="H33" i="81"/>
  <c r="H44" i="81"/>
  <c r="J44" i="81" s="1"/>
  <c r="H34" i="81"/>
  <c r="B43" i="91"/>
  <c r="E27" i="69"/>
  <c r="H32" i="81"/>
  <c r="H38" i="81"/>
  <c r="H41" i="81"/>
  <c r="H37" i="81"/>
  <c r="H35" i="81"/>
  <c r="B22" i="5"/>
  <c r="H39" i="81"/>
  <c r="B28" i="5" l="1"/>
  <c r="B42" i="5" s="1"/>
  <c r="J33" i="81"/>
  <c r="J42" i="81"/>
  <c r="J35" i="81"/>
  <c r="J40" i="81"/>
  <c r="J34" i="81"/>
  <c r="J37" i="81"/>
  <c r="J32" i="81"/>
  <c r="J38" i="81"/>
  <c r="J36" i="81"/>
  <c r="J41" i="81"/>
  <c r="J39" i="81"/>
  <c r="D43" i="91"/>
  <c r="B34" i="91"/>
  <c r="D34" i="91" s="1"/>
  <c r="B36" i="91"/>
  <c r="D36" i="91" s="1"/>
  <c r="B30" i="91"/>
  <c r="D30" i="91" s="1"/>
  <c r="D8" i="91"/>
  <c r="D40" i="91"/>
  <c r="D22" i="5"/>
  <c r="B34" i="5"/>
  <c r="D34" i="5" s="1"/>
  <c r="B33" i="91"/>
  <c r="D33" i="91" s="1"/>
  <c r="B41" i="91"/>
  <c r="D41" i="91" s="1"/>
  <c r="H8" i="91"/>
  <c r="B29" i="91"/>
  <c r="D29" i="91" s="1"/>
  <c r="B38" i="91"/>
  <c r="D38" i="91" s="1"/>
  <c r="B44" i="91"/>
  <c r="D44" i="91" s="1"/>
  <c r="B42" i="91"/>
  <c r="B32" i="91"/>
  <c r="D32" i="91" s="1"/>
  <c r="B37" i="91"/>
  <c r="D37" i="91" s="1"/>
  <c r="B31" i="91"/>
  <c r="D31" i="91" s="1"/>
  <c r="B39" i="91"/>
  <c r="D39" i="91" s="1"/>
  <c r="B35" i="91"/>
  <c r="D35" i="91" s="1"/>
  <c r="E29" i="69"/>
  <c r="B39" i="5" l="1"/>
  <c r="C27" i="10"/>
  <c r="E27" i="10" s="1"/>
  <c r="C25" i="10"/>
  <c r="E25" i="10" s="1"/>
  <c r="B41" i="5"/>
  <c r="D41" i="5" s="1"/>
  <c r="H43" i="91"/>
  <c r="J43" i="91" s="1"/>
  <c r="H51" i="91"/>
  <c r="J51" i="91" s="1"/>
  <c r="D42" i="91"/>
  <c r="B45" i="91"/>
  <c r="D45" i="91" s="1"/>
  <c r="B46" i="91"/>
  <c r="D46" i="91" s="1"/>
  <c r="J8" i="91"/>
  <c r="H53" i="91"/>
  <c r="J53" i="91" s="1"/>
  <c r="H37" i="91"/>
  <c r="J37" i="91" s="1"/>
  <c r="H41" i="91"/>
  <c r="J41" i="91" s="1"/>
  <c r="H46" i="91"/>
  <c r="J46" i="91" s="1"/>
  <c r="H50" i="91"/>
  <c r="J50" i="91" s="1"/>
  <c r="H36" i="91"/>
  <c r="J36" i="91" s="1"/>
  <c r="H49" i="91"/>
  <c r="J49" i="91" s="1"/>
  <c r="H38" i="91"/>
  <c r="J38" i="91" s="1"/>
  <c r="H42" i="91"/>
  <c r="J42" i="91" s="1"/>
  <c r="H47" i="91"/>
  <c r="J47" i="91" s="1"/>
  <c r="H34" i="91"/>
  <c r="J34" i="91" s="1"/>
  <c r="H45" i="91"/>
  <c r="J45" i="91" s="1"/>
  <c r="H35" i="91"/>
  <c r="J35" i="91" s="1"/>
  <c r="H39" i="91"/>
  <c r="J39" i="91" s="1"/>
  <c r="H44" i="91"/>
  <c r="J44" i="91" s="1"/>
  <c r="H48" i="91"/>
  <c r="J48" i="91" s="1"/>
  <c r="H52" i="91"/>
  <c r="H40" i="91"/>
  <c r="J40" i="91" s="1"/>
  <c r="D28" i="5"/>
  <c r="D42" i="5"/>
  <c r="D39" i="5"/>
  <c r="J52" i="91" l="1"/>
  <c r="H57" i="91"/>
  <c r="J57" i="91" s="1"/>
  <c r="H54" i="91"/>
  <c r="J54" i="91" s="1"/>
  <c r="H56" i="91"/>
  <c r="J56" i="91" s="1"/>
  <c r="H55" i="91"/>
  <c r="J55" i="91" s="1"/>
</calcChain>
</file>

<file path=xl/sharedStrings.xml><?xml version="1.0" encoding="utf-8"?>
<sst xmlns="http://schemas.openxmlformats.org/spreadsheetml/2006/main" count="2695" uniqueCount="418">
  <si>
    <t>Total Health Care Expenditures</t>
  </si>
  <si>
    <t>THCE Component</t>
  </si>
  <si>
    <t>Total Expenses</t>
  </si>
  <si>
    <t>Percent Change</t>
  </si>
  <si>
    <t>Commercial</t>
  </si>
  <si>
    <t>NCPHI</t>
  </si>
  <si>
    <t>Program Type</t>
  </si>
  <si>
    <t>Medicare FFS</t>
  </si>
  <si>
    <t>Service Category</t>
  </si>
  <si>
    <t>Large Group</t>
  </si>
  <si>
    <t>Self-Insured</t>
  </si>
  <si>
    <t>VA</t>
  </si>
  <si>
    <t>Medicare Advantage</t>
  </si>
  <si>
    <t>Payer</t>
  </si>
  <si>
    <t>Market Sector</t>
  </si>
  <si>
    <t>Total</t>
  </si>
  <si>
    <t>Small Group</t>
  </si>
  <si>
    <t>Cigna</t>
  </si>
  <si>
    <t>Data Source</t>
  </si>
  <si>
    <t>CGT-1</t>
  </si>
  <si>
    <t>CMS</t>
  </si>
  <si>
    <t>Oregon Department of Corrections</t>
  </si>
  <si>
    <t>Corrections</t>
  </si>
  <si>
    <t>Commercial (Full and Partial Claims)</t>
  </si>
  <si>
    <t>Commercial Partial Claims</t>
  </si>
  <si>
    <t>Commercial Full Claims</t>
  </si>
  <si>
    <t>Market Type</t>
  </si>
  <si>
    <t>Medicaid CCO</t>
  </si>
  <si>
    <t>Medicaid Open Card</t>
  </si>
  <si>
    <t>Member Month</t>
  </si>
  <si>
    <t>Note</t>
  </si>
  <si>
    <t>Person</t>
  </si>
  <si>
    <t>TME PMPM/TME Per Person</t>
  </si>
  <si>
    <t>Claims Hospital Inpatient</t>
  </si>
  <si>
    <t>Claims Hospital Outpatient</t>
  </si>
  <si>
    <t>Claims Professional PCPs</t>
  </si>
  <si>
    <t>Claims Professional Specialty</t>
  </si>
  <si>
    <t>Claims Professional BH</t>
  </si>
  <si>
    <t>Claims Professional Other</t>
  </si>
  <si>
    <t>Claims LTC</t>
  </si>
  <si>
    <t>Claims Other</t>
  </si>
  <si>
    <t>LOB</t>
  </si>
  <si>
    <t>PMPY</t>
  </si>
  <si>
    <t>Medicare</t>
  </si>
  <si>
    <t>Medicaid</t>
  </si>
  <si>
    <t>TME PMPY/Per Person</t>
  </si>
  <si>
    <t>Member Year/Person</t>
  </si>
  <si>
    <t>Member Year</t>
  </si>
  <si>
    <t>Non-Claims Prospective Payments</t>
  </si>
  <si>
    <t>Non-Claims Performance Incentives</t>
  </si>
  <si>
    <t>Non-Claims Support Population Health</t>
  </si>
  <si>
    <t>Non-Claims Provider Salaries</t>
  </si>
  <si>
    <t>Non-Claims Recovery</t>
  </si>
  <si>
    <t>Non-Claims Other</t>
  </si>
  <si>
    <t>Denominator is the entire state.</t>
  </si>
  <si>
    <t>BH services provided by additional contracts</t>
  </si>
  <si>
    <t>Non-Claims: Total</t>
  </si>
  <si>
    <t>Medicaid Rx Rebate</t>
  </si>
  <si>
    <t>exclude rx rebates</t>
  </si>
  <si>
    <t>Medicaid All</t>
  </si>
  <si>
    <t>Claims Retail Pharmacy (Gross of Rebates)</t>
  </si>
  <si>
    <t>Claims Retail Pharmacy (Net of Rebates)</t>
  </si>
  <si>
    <t>Claims: Total (Gross of Rebates)</t>
  </si>
  <si>
    <t>Claims: Total (Net of Rebates)</t>
  </si>
  <si>
    <t>Include all rebates</t>
  </si>
  <si>
    <t>No Rebates</t>
  </si>
  <si>
    <t>Expenses PMPY</t>
  </si>
  <si>
    <t>Member Months</t>
  </si>
  <si>
    <t>Medicaid FFS</t>
  </si>
  <si>
    <t>Claims Professional Physician</t>
  </si>
  <si>
    <t>Claims Professional Other Providers</t>
  </si>
  <si>
    <t>CGT Professional</t>
  </si>
  <si>
    <t>Claims Non Hospital Outpatient</t>
  </si>
  <si>
    <t>CGT Other</t>
  </si>
  <si>
    <t>Claims Home Health Agency</t>
  </si>
  <si>
    <t>Claims Skilled Nursing Facility</t>
  </si>
  <si>
    <t>CGT LTC</t>
  </si>
  <si>
    <t>Claims Hospice</t>
  </si>
  <si>
    <t>CGT Inpatient</t>
  </si>
  <si>
    <t>CGT Outpatient</t>
  </si>
  <si>
    <t>Claims DME</t>
  </si>
  <si>
    <t>Claims Part D</t>
  </si>
  <si>
    <t>CGT Retail (Rx net of rebates)</t>
  </si>
  <si>
    <t>Claims Other Suppliers</t>
  </si>
  <si>
    <t>Individual</t>
  </si>
  <si>
    <t>Student</t>
  </si>
  <si>
    <t>Advanced Health</t>
  </si>
  <si>
    <t>Cascade Health Alliance</t>
  </si>
  <si>
    <t>Health Share of Oregon</t>
  </si>
  <si>
    <t>Umpqua Health Alliance</t>
  </si>
  <si>
    <t>AllCare CCO</t>
  </si>
  <si>
    <t>Eastern Oregon CCO</t>
  </si>
  <si>
    <t>Intercommunity Health Network</t>
  </si>
  <si>
    <t>MLR</t>
  </si>
  <si>
    <t>TME PMPY/TME Per Person</t>
  </si>
  <si>
    <t>exlcude duals (see row 10); exclude rx rebates (see row 9)</t>
  </si>
  <si>
    <t>Total excluding duals</t>
  </si>
  <si>
    <t>Total including duals</t>
  </si>
  <si>
    <t>Dual: Medicare Advantage</t>
  </si>
  <si>
    <t>Dual: Medicaid Expenses</t>
  </si>
  <si>
    <t>MA + FFS + MA dual</t>
  </si>
  <si>
    <t>CCO + Open Card</t>
  </si>
  <si>
    <t>Per Capita</t>
  </si>
  <si>
    <t>inlcude rx rebates</t>
  </si>
  <si>
    <t>SHCE</t>
  </si>
  <si>
    <t>NW Pharmacy Purchasing Program (ArrayRx)</t>
  </si>
  <si>
    <t>Not rolled up to statewide.</t>
  </si>
  <si>
    <r>
      <t xml:space="preserve">Medicare Advantage (LOB = 1 + 5) </t>
    </r>
    <r>
      <rPr>
        <sz val="11"/>
        <color rgb="FFFF0000"/>
        <rFont val="Calibri"/>
        <family val="2"/>
        <scheme val="minor"/>
      </rPr>
      <t xml:space="preserve">Note: LOB = 1 data is in Column Q to W. </t>
    </r>
  </si>
  <si>
    <t>Claims Professional</t>
  </si>
  <si>
    <t>Statewide including Medicare FFS</t>
  </si>
  <si>
    <t>Member/Person</t>
  </si>
  <si>
    <t>Statewide excluding Medicare FFS</t>
  </si>
  <si>
    <t>Medicaid duals</t>
  </si>
  <si>
    <t>Exclude duals</t>
  </si>
  <si>
    <t>Medicare Advantage only (LOB = 1)</t>
  </si>
  <si>
    <t>Sum of rx rebates data are applied to the entire Medicaid market</t>
  </si>
  <si>
    <t>Exhibit L</t>
  </si>
  <si>
    <t>Commercial NCPHI</t>
  </si>
  <si>
    <t>denominator is total number of people</t>
  </si>
  <si>
    <t>MA + FFS + MA dual + Medicaid dual</t>
  </si>
  <si>
    <t>from TCHE_NCPHI tab</t>
  </si>
  <si>
    <t>Full + Partial Claims</t>
  </si>
  <si>
    <t>Medicare Advantage NCPHI</t>
  </si>
  <si>
    <t>Medicaid CCO NCPHI</t>
  </si>
  <si>
    <t>Not roll up to Medicaid TCHE. It is in Medicare TCHE.</t>
  </si>
  <si>
    <t>THCE has duals in Medicare</t>
  </si>
  <si>
    <t>Medicaid CCO NCPHI including duals.</t>
  </si>
  <si>
    <t>Person (part A and/or Part B)</t>
  </si>
  <si>
    <t>Dollars for Medicaid duals are also in this row.</t>
  </si>
  <si>
    <t>THCE_NCPHI tab</t>
  </si>
  <si>
    <t>Demographic Score</t>
  </si>
  <si>
    <t>Medicaid CCO Other Spending</t>
  </si>
  <si>
    <t>Exh L &amp; Audited HRS</t>
  </si>
  <si>
    <t>Total Medical Expenses</t>
  </si>
  <si>
    <t xml:space="preserve">Medicare FFS data is reported without the additional granularity for professional services. </t>
  </si>
  <si>
    <t>Statewide data are presented here with and without Medicare FFS data</t>
  </si>
  <si>
    <t>Demographic Adjusted Total Medical Expenses Per Member Per Month by Market by Payer</t>
  </si>
  <si>
    <t xml:space="preserve">Net of prescription drug rebates </t>
  </si>
  <si>
    <t>Note: In Medicaid market, only the rx rebates reported by CCOs are included.</t>
  </si>
  <si>
    <t>Market</t>
  </si>
  <si>
    <t>Member Months in 2021</t>
  </si>
  <si>
    <t>TME PMPM Growth, Adjusted</t>
  </si>
  <si>
    <t>95% CI Lower</t>
  </si>
  <si>
    <t>95% CI Upper</t>
  </si>
  <si>
    <t>Type</t>
  </si>
  <si>
    <t>Kaiser Permanente</t>
  </si>
  <si>
    <t>All</t>
  </si>
  <si>
    <t>Providence Health</t>
  </si>
  <si>
    <t>UnitedHealthcare Insurance Company</t>
  </si>
  <si>
    <t>MM &gt;= 60K</t>
  </si>
  <si>
    <t>Moda Health Plan</t>
  </si>
  <si>
    <t>Yamhill Community Care</t>
  </si>
  <si>
    <t>Demographic Adjusted Total Medical Expenses Per Member Per Month by Market by Provider Organizations</t>
  </si>
  <si>
    <t xml:space="preserve">Gross of prescription drug rebates </t>
  </si>
  <si>
    <t>Group</t>
  </si>
  <si>
    <t>Provider Organization Name</t>
  </si>
  <si>
    <t>1. more than 20,000 attributed patients</t>
  </si>
  <si>
    <t>Oregon Medical Group</t>
  </si>
  <si>
    <t>Legacy Health</t>
  </si>
  <si>
    <t>Praxis Health</t>
  </si>
  <si>
    <t>PeaceHealth</t>
  </si>
  <si>
    <t>Salem Clinic</t>
  </si>
  <si>
    <t>2. 10,000 to 20,000 attributed patients</t>
  </si>
  <si>
    <t>The Corvallis Clinic</t>
  </si>
  <si>
    <t>Salem Health</t>
  </si>
  <si>
    <t>3. Fewer than 10,000 attributed patients</t>
  </si>
  <si>
    <t>Summit Health</t>
  </si>
  <si>
    <t>4. Pediatric practices</t>
  </si>
  <si>
    <t>Northwest Primary Care</t>
  </si>
  <si>
    <t>5. Federally qualified health centers (FQHCs)</t>
  </si>
  <si>
    <t>The Portland Clinic</t>
  </si>
  <si>
    <t>St Charles Health System</t>
  </si>
  <si>
    <t>North Bend Medical Center</t>
  </si>
  <si>
    <t>Metropolitan Pediatrics</t>
  </si>
  <si>
    <t>The Children's Clinic</t>
  </si>
  <si>
    <t>Oregon Integrated Health</t>
  </si>
  <si>
    <t>Northwest Medical Homes</t>
  </si>
  <si>
    <t>Sky Lakes Medical Center</t>
  </si>
  <si>
    <t>WFMC Health</t>
  </si>
  <si>
    <t>Columbia Clinic</t>
  </si>
  <si>
    <t>Evergreen Family Medicine</t>
  </si>
  <si>
    <t>Adventist Health</t>
  </si>
  <si>
    <t>Grants Pass Clinic</t>
  </si>
  <si>
    <t>BestMed</t>
  </si>
  <si>
    <t>Yakima Valley Farm Workers Clinic</t>
  </si>
  <si>
    <t>Neighborhood Health Center</t>
  </si>
  <si>
    <t>Rogue Community Health</t>
  </si>
  <si>
    <t>Northwest Human Services</t>
  </si>
  <si>
    <t>Aviva Health</t>
  </si>
  <si>
    <t>Valley Family Health Care</t>
  </si>
  <si>
    <t>One Community Health</t>
  </si>
  <si>
    <t>Number of Provider Organizations</t>
  </si>
  <si>
    <t>TME (Gross of Rebates), Unadjusted</t>
  </si>
  <si>
    <t>TME (Gross of Rebates), Adjusted</t>
  </si>
  <si>
    <t>TME (Net of Rebates), Unadjusted</t>
  </si>
  <si>
    <t>TME (Net of Rebates), Adjusted</t>
  </si>
  <si>
    <t>Commercial Member Months by Payer</t>
  </si>
  <si>
    <t>Commercial Full Claims vs Commercial Partial Claims</t>
  </si>
  <si>
    <t>Percent of Member Months in Partial Claims</t>
  </si>
  <si>
    <t>2021-2022 Annual Report on the Performance of the Oregon Health Care System</t>
  </si>
  <si>
    <t>ATRIO</t>
  </si>
  <si>
    <t>Member Months in 2022</t>
  </si>
  <si>
    <t>Year 2022</t>
  </si>
  <si>
    <t>Oregon State Hospital</t>
  </si>
  <si>
    <t>Aetna</t>
  </si>
  <si>
    <t>Health Net Oregon</t>
  </si>
  <si>
    <t>Kaiser</t>
  </si>
  <si>
    <t>Moda</t>
  </si>
  <si>
    <t>PacificSource Health</t>
  </si>
  <si>
    <t>Providence</t>
  </si>
  <si>
    <t>UHC Company</t>
  </si>
  <si>
    <t>Health Net Company</t>
  </si>
  <si>
    <t>PacificSource Community</t>
  </si>
  <si>
    <t>Providence Health Assurance</t>
  </si>
  <si>
    <t>Regence</t>
  </si>
  <si>
    <t>Cascade Health</t>
  </si>
  <si>
    <t>Health Share</t>
  </si>
  <si>
    <t>Trillium CCO Tri-county</t>
  </si>
  <si>
    <t>Umpqua CCO</t>
  </si>
  <si>
    <t>MA + Medicaid + Commercial Full Claims</t>
  </si>
  <si>
    <t>OHSU</t>
  </si>
  <si>
    <t>Samaritan Health</t>
  </si>
  <si>
    <t>Asante Health</t>
  </si>
  <si>
    <t>COPA</t>
  </si>
  <si>
    <t>Salem Pediatrics</t>
  </si>
  <si>
    <t>Asante</t>
  </si>
  <si>
    <t>Grande Ronde Hospital</t>
  </si>
  <si>
    <t>Physicians Medical Center</t>
  </si>
  <si>
    <t>Santiam Memorial Hospital</t>
  </si>
  <si>
    <t>CHAOS</t>
  </si>
  <si>
    <t>Hillsboro Pediatrics</t>
  </si>
  <si>
    <t>Oregon Pediatrics</t>
  </si>
  <si>
    <t>Sanford Children's</t>
  </si>
  <si>
    <t>Benton Co Health Dept</t>
  </si>
  <si>
    <t>Clackamas Co Health Dept</t>
  </si>
  <si>
    <t>La Clinica</t>
  </si>
  <si>
    <t>Community Health Centers of Lane</t>
  </si>
  <si>
    <t>Mosaic Community Health</t>
  </si>
  <si>
    <t>Multnomah Co Health Dept</t>
  </si>
  <si>
    <t>Siskiyou CHC</t>
  </si>
  <si>
    <t xml:space="preserve">Virginia Garcia </t>
  </si>
  <si>
    <t xml:space="preserve">Providence </t>
  </si>
  <si>
    <t>Entity name key</t>
  </si>
  <si>
    <t>Entity type</t>
  </si>
  <si>
    <t>Name in report</t>
  </si>
  <si>
    <t>Other name/full name</t>
  </si>
  <si>
    <t>payer</t>
  </si>
  <si>
    <t>Atrio Health Plans, Inc.</t>
  </si>
  <si>
    <t>Cigna Health And Life Insurance Company</t>
  </si>
  <si>
    <t>CPC – CareOregon</t>
  </si>
  <si>
    <t>Columbia Pacific CCO</t>
  </si>
  <si>
    <t>EOCCO – Moda</t>
  </si>
  <si>
    <t>Health Net Life Insurance Company</t>
  </si>
  <si>
    <t>Health Net Health Plan Of Oregon, Inc.</t>
  </si>
  <si>
    <t>IHN – Samaritan</t>
  </si>
  <si>
    <t>Jackson CCO – CareOregon</t>
  </si>
  <si>
    <t>Jackson Care Connect</t>
  </si>
  <si>
    <t>Kaiser Foundation Health Plan Of The Northwest</t>
  </si>
  <si>
    <t>Medicaid FFS/Open Card</t>
  </si>
  <si>
    <t>Moda Health Plan, Inc.</t>
  </si>
  <si>
    <t>PacificSource – Central OR</t>
  </si>
  <si>
    <t>PacificSource Central</t>
  </si>
  <si>
    <t>PacificSource – Gorge</t>
  </si>
  <si>
    <t>PacificSource Gorge</t>
  </si>
  <si>
    <t>PacificSource – Lane</t>
  </si>
  <si>
    <t>PacificSource Lane</t>
  </si>
  <si>
    <t>PacificSource – Marion Polk</t>
  </si>
  <si>
    <t>PacificSource Marion Polk</t>
  </si>
  <si>
    <t>PacificSource Community Health Plans</t>
  </si>
  <si>
    <t>PacificSource Health Plans</t>
  </si>
  <si>
    <t>Providence Health Plan</t>
  </si>
  <si>
    <t>Regence Bluecross Blueshield Of Oregon</t>
  </si>
  <si>
    <t>Trillium CCO</t>
  </si>
  <si>
    <t>Trillium Community Health Plan, Inc.</t>
  </si>
  <si>
    <t>UHC Oregon</t>
  </si>
  <si>
    <t>UnitedHealthcare Of Oregon, Inc.</t>
  </si>
  <si>
    <t>provider organization</t>
  </si>
  <si>
    <t xml:space="preserve">Adventist Health </t>
  </si>
  <si>
    <t>Asante Health System</t>
  </si>
  <si>
    <t>Benton County Health Department / Community Health Centers of Benton &amp; Linn Counties</t>
  </si>
  <si>
    <t>Childhood Health Associates of Salem</t>
  </si>
  <si>
    <t>Clackamas County Health Department</t>
  </si>
  <si>
    <t>Central Oregon Pediatric Associates</t>
  </si>
  <si>
    <t>Grande Ronde Hospital and Clinics</t>
  </si>
  <si>
    <t>Hillsboro Pediatric Clinic</t>
  </si>
  <si>
    <t>La Clinica del Valle</t>
  </si>
  <si>
    <t>Community Health Centers of Lane County</t>
  </si>
  <si>
    <t xml:space="preserve">Legacy Health </t>
  </si>
  <si>
    <t xml:space="preserve">Mosaic Medical </t>
  </si>
  <si>
    <t>Multnomah County Health Department</t>
  </si>
  <si>
    <t xml:space="preserve">North Bend Medical Center </t>
  </si>
  <si>
    <t>Northwest Health Partners</t>
  </si>
  <si>
    <t xml:space="preserve">Northwest Primary Care </t>
  </si>
  <si>
    <t>Oregon Health &amp; Science University</t>
  </si>
  <si>
    <t xml:space="preserve">Oregon Integrated Health </t>
  </si>
  <si>
    <t xml:space="preserve">PeaceHealth </t>
  </si>
  <si>
    <t>Providence Health &amp; Services</t>
  </si>
  <si>
    <t>River Rock Family Practice</t>
  </si>
  <si>
    <t xml:space="preserve">Salem Health </t>
  </si>
  <si>
    <t>Salem Pediatric Clinic</t>
  </si>
  <si>
    <t>Samaritan Health Services</t>
  </si>
  <si>
    <t>Sanford Children's Clinic</t>
  </si>
  <si>
    <t>Siskiyou Community Health Center</t>
  </si>
  <si>
    <t>St. Charles Health System</t>
  </si>
  <si>
    <t>Summit Health / Bend Memorial Clinic</t>
  </si>
  <si>
    <t>Virginia Garcia</t>
  </si>
  <si>
    <t>Virginia Garcia Memorial Health Center</t>
  </si>
  <si>
    <t>Willamette Family Medical Center</t>
  </si>
  <si>
    <t>2022-2023 Annual Report on the Performance of the Oregon Health Care System</t>
  </si>
  <si>
    <t>Components of Total Health Care Expenditures, 2022-2023</t>
  </si>
  <si>
    <t>2022-2023</t>
  </si>
  <si>
    <t>Components of Total Health Care Expenditures: Commercial, 2022-2023</t>
  </si>
  <si>
    <t>2022-2023 Annual Report on the Performance of the Massachusetts Health Care System</t>
  </si>
  <si>
    <t>Components of Total Health Care Expenditures: Net Cost of Private Health Insurance by Market Sector, 2022-2023</t>
  </si>
  <si>
    <t>Components of Total Health Care Expenditures: Medicare Programs, 2022-2023</t>
  </si>
  <si>
    <t>Components of Total Health Care Expenditures: Medicaid, 2022-2023</t>
  </si>
  <si>
    <t>Components of Total Health Care Expenditures: Other Public Programs, 2022-2023</t>
  </si>
  <si>
    <t>Components of Total Health Care Expenditures, Medicare Spending by Service Category, 2022-2023: Gross/Net of Prescription Drug Rebates</t>
  </si>
  <si>
    <t>Components of Total Health Care Expenditures, Commercial Spending by Service Category, 2022-2023: Gross/Net of Prescription Drug Rebates</t>
  </si>
  <si>
    <t>Dual: Medicare Advantage (LOB = 5)</t>
  </si>
  <si>
    <t>Claims: Total Medical Pharmacy</t>
  </si>
  <si>
    <t>Medicaid CCOF</t>
  </si>
  <si>
    <t>N/A</t>
  </si>
  <si>
    <t>TME PMPM Growth</t>
  </si>
  <si>
    <t>Regence Blue Cross Blue Shield of Oregon</t>
  </si>
  <si>
    <t>Health Net Health Plan of Oregon</t>
  </si>
  <si>
    <t>PacificSource Health Plan</t>
  </si>
  <si>
    <t>MM in 2022</t>
  </si>
  <si>
    <t>MM in 2023</t>
  </si>
  <si>
    <t>Member Months in 2023</t>
  </si>
  <si>
    <t>Year 2023</t>
  </si>
  <si>
    <t>Samaritan Health Plans Inc</t>
  </si>
  <si>
    <t>TME Per Person</t>
  </si>
  <si>
    <t>Medicaid Carve-Out</t>
  </si>
  <si>
    <t>Claims Medical Pharmacy (Gross of Rebates)</t>
  </si>
  <si>
    <t>NA</t>
  </si>
  <si>
    <t xml:space="preserve">Regence </t>
  </si>
  <si>
    <t>CPC - CareOregon</t>
  </si>
  <si>
    <t>EOCCO - Moda</t>
  </si>
  <si>
    <t>IHN - Samaritan</t>
  </si>
  <si>
    <t>Jackson CCO - CareOregon</t>
  </si>
  <si>
    <t>Medicaid FFS/ Open Card</t>
  </si>
  <si>
    <t>PacificSource - Central OR</t>
  </si>
  <si>
    <t>PacificSource - Gorge</t>
  </si>
  <si>
    <t xml:space="preserve">PacificSource - Lane </t>
  </si>
  <si>
    <t>PacificSource - Marion and Polk</t>
  </si>
  <si>
    <t>Trillium CCO Southwest</t>
  </si>
  <si>
    <t>Number of Payers</t>
  </si>
  <si>
    <t>Medicare Advantage + Medicaid + Commercial Full</t>
  </si>
  <si>
    <t>Medicaid All excluding CCOF and Medicaid Carve-Out</t>
  </si>
  <si>
    <t>Year</t>
  </si>
  <si>
    <t>Cost per Person</t>
  </si>
  <si>
    <t>Price per Unit</t>
  </si>
  <si>
    <t>Unit per Thousand People</t>
  </si>
  <si>
    <t>Cost per Person %</t>
  </si>
  <si>
    <t>Price per Unit %</t>
  </si>
  <si>
    <t>Unit per Thousand People %</t>
  </si>
  <si>
    <t>Cumulative cost per person</t>
  </si>
  <si>
    <t>Cumulative price per unit % from 2018</t>
  </si>
  <si>
    <t>Cumulative unit per thousand people % from 2018</t>
  </si>
  <si>
    <t>ED</t>
  </si>
  <si>
    <t>Inpatient</t>
  </si>
  <si>
    <t>Other</t>
  </si>
  <si>
    <t>Outpatient</t>
  </si>
  <si>
    <t>Professional</t>
  </si>
  <si>
    <t>RX</t>
  </si>
  <si>
    <t>Dual</t>
  </si>
  <si>
    <t>Statewide</t>
  </si>
  <si>
    <t>Unit</t>
  </si>
  <si>
    <t>TotalPaid</t>
  </si>
  <si>
    <t>Cost</t>
  </si>
  <si>
    <t>Cost driver analysis in APAC, 2018-2023</t>
  </si>
  <si>
    <t>Behavioral health analysis in APAC for Medicaid, 2022-2023</t>
  </si>
  <si>
    <t xml:space="preserve">Dollars for Medicare duals are also in this row. </t>
  </si>
  <si>
    <t>CCO + Open Card + Carve-Outs + CCO-F + Other spend</t>
  </si>
  <si>
    <r>
      <t xml:space="preserve">Please contact </t>
    </r>
    <r>
      <rPr>
        <b/>
        <u/>
        <sz val="11"/>
        <color theme="5"/>
        <rFont val="Calibri"/>
        <family val="2"/>
        <scheme val="minor"/>
      </rPr>
      <t>HealthCare.CostTarget@oha.oregon.gov</t>
    </r>
    <r>
      <rPr>
        <sz val="11"/>
        <color theme="1"/>
        <rFont val="Calibri"/>
        <family val="2"/>
        <scheme val="minor"/>
      </rPr>
      <t xml:space="preserve"> with any questions. </t>
    </r>
  </si>
  <si>
    <t>Workbook Tabs</t>
  </si>
  <si>
    <t>Description</t>
  </si>
  <si>
    <t>THCE_Statewide</t>
  </si>
  <si>
    <t>THCE_Comm</t>
  </si>
  <si>
    <t>THCE_Mcare</t>
  </si>
  <si>
    <t>THCE_Maid</t>
  </si>
  <si>
    <t>THCE_NCPHI</t>
  </si>
  <si>
    <t>THCE_Other</t>
  </si>
  <si>
    <t>TME_StatewideServCat</t>
  </si>
  <si>
    <t>TME_Comm_ServCat</t>
  </si>
  <si>
    <t>TME_Mcare_ServCat</t>
  </si>
  <si>
    <t>TME_Maid_ServCat</t>
  </si>
  <si>
    <t>TME_Payer</t>
  </si>
  <si>
    <t>Demographic adjusted TME per person growth by payer</t>
  </si>
  <si>
    <t>Comm_MM_Full_Partial</t>
  </si>
  <si>
    <t>Member Months in Commercial: Full Claims vs Commercial: Partial Claims</t>
  </si>
  <si>
    <t>Health Care Cost Growth Trends in Oregon, 2022-2023</t>
  </si>
  <si>
    <t>Total Health Care Expenditures (THCE) Statewide, 2022-2023</t>
  </si>
  <si>
    <t>THCE Commercial Market, 2022-2023</t>
  </si>
  <si>
    <t>THCE Medicare Market, 2022-2023</t>
  </si>
  <si>
    <t>THCE Medicaid Market, 2022-2023</t>
  </si>
  <si>
    <t>THCE Net Cost of Private Health Insurance by Market Sector, 2022-2023</t>
  </si>
  <si>
    <t>THCE Other Spending, 2022-2023</t>
  </si>
  <si>
    <t>Total Medical Expenses (TME) Spending by Service Category, Statewide, 2022-2023</t>
  </si>
  <si>
    <t>TME Spending by Service Category, Commercial, 2022-2023</t>
  </si>
  <si>
    <t>TME Spending by Service Category, Medicare, 2022-2023</t>
  </si>
  <si>
    <t>TME Spending by Service Category, Medicaid, 2022-2023</t>
  </si>
  <si>
    <t>APAC Price vs. Utilization</t>
  </si>
  <si>
    <t>APAC BH in Medicaid</t>
  </si>
  <si>
    <t>2025 Sustainable Health Care Cost Growth Target Annual Report - Databook</t>
  </si>
  <si>
    <t>TME_Comm_MedPharm</t>
  </si>
  <si>
    <t>TME_Mcare_MedPharm</t>
  </si>
  <si>
    <t>Medical Pharmacy Claims Spending by Service Category, Medicare Advantage, 2022-2023</t>
  </si>
  <si>
    <t>Medical Pharmacy Claims Spending by Service Category, Commercial, 2022-2023</t>
  </si>
  <si>
    <t>TME_Maid_MedPharm</t>
  </si>
  <si>
    <t>Medical Pharmacy Claims Spending by Service Category, Medicaid, 2022-2023</t>
  </si>
  <si>
    <t>Medicaid Behavioral Health Claims Spending, 2022-2023, by Claims Category</t>
  </si>
  <si>
    <t>Price vs. Utilization data from APAC, 2018-2023, by Claims Category and Market</t>
  </si>
  <si>
    <t>Includes Duals</t>
  </si>
  <si>
    <t>Medical Pharmacy Claims Spending</t>
  </si>
  <si>
    <t xml:space="preserve">This databook provides the detailed state, market, and payer level data underlying the 2025 Sustainable Health Care Cost Growth Target Annual Report </t>
  </si>
  <si>
    <t xml:space="preserve">Note: Compare Medicaid payers to TME by Payer tab.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</si>
</sst>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0.0%"/>
    <numFmt numFmtId="167" formatCode="&quot;$&quot;#,##0"/>
    <numFmt numFmtId="168" formatCode="#,##0.00000"/>
    <numFmt numFmtId="170" formatCode="0.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</font>
    <font>
      <b/>
      <u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Calibri"/>
      <family val="2"/>
    </font>
    <font>
      <b/>
      <sz val="12"/>
      <color rgb="FF0082AC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0000"/>
      <name val="Calibri"/>
      <family val="2"/>
      <scheme val="minor"/>
    </font>
    <font>
      <b/>
      <sz val="22"/>
      <color rgb="FF1F497D"/>
      <name val="Rockwell"/>
      <family val="1"/>
    </font>
    <font>
      <sz val="12"/>
      <color rgb="FF003F6F"/>
      <name val="Rockwell"/>
      <family val="1"/>
    </font>
    <font>
      <i/>
      <sz val="11"/>
      <color theme="4"/>
      <name val="Calibri"/>
      <family val="2"/>
      <scheme val="minor"/>
    </font>
    <font>
      <b/>
      <u/>
      <sz val="11"/>
      <color theme="5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71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1" applyNumberFormat="0" applyAlignment="0" applyProtection="0"/>
    <xf numFmtId="0" fontId="17" fillId="8" borderId="12" applyNumberFormat="0" applyAlignment="0" applyProtection="0"/>
    <xf numFmtId="0" fontId="18" fillId="8" borderId="11" applyNumberFormat="0" applyAlignment="0" applyProtection="0"/>
    <xf numFmtId="0" fontId="19" fillId="0" borderId="13" applyNumberFormat="0" applyFill="0" applyAlignment="0" applyProtection="0"/>
    <xf numFmtId="0" fontId="20" fillId="9" borderId="14" applyNumberFormat="0" applyAlignment="0" applyProtection="0"/>
    <xf numFmtId="0" fontId="21" fillId="0" borderId="0" applyNumberFormat="0" applyFill="0" applyBorder="0" applyAlignment="0" applyProtection="0"/>
    <xf numFmtId="0" fontId="1" fillId="10" borderId="15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4" fillId="0" borderId="0"/>
    <xf numFmtId="0" fontId="24" fillId="0" borderId="0"/>
    <xf numFmtId="0" fontId="8" fillId="0" borderId="0"/>
    <xf numFmtId="0" fontId="25" fillId="35" borderId="0" applyNumberFormat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15" applyNumberFormat="0" applyFont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</cellStyleXfs>
  <cellXfs count="180">
    <xf numFmtId="0" fontId="0" fillId="0" borderId="0" xfId="0"/>
    <xf numFmtId="0" fontId="3" fillId="0" borderId="0" xfId="0" applyFont="1" applyFill="1" applyAlignment="1"/>
    <xf numFmtId="164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/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0" fillId="0" borderId="1" xfId="0" applyBorder="1"/>
    <xf numFmtId="166" fontId="0" fillId="0" borderId="1" xfId="0" applyNumberFormat="1" applyBorder="1"/>
    <xf numFmtId="0" fontId="0" fillId="0" borderId="0" xfId="0" applyAlignment="1">
      <alignment horizontal="center"/>
    </xf>
    <xf numFmtId="167" fontId="0" fillId="0" borderId="1" xfId="0" applyNumberFormat="1" applyBorder="1"/>
    <xf numFmtId="4" fontId="0" fillId="0" borderId="0" xfId="0" applyNumberFormat="1"/>
    <xf numFmtId="3" fontId="0" fillId="0" borderId="0" xfId="0" applyNumberFormat="1"/>
    <xf numFmtId="0" fontId="0" fillId="0" borderId="1" xfId="0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166" fontId="0" fillId="0" borderId="0" xfId="0" applyNumberFormat="1" applyBorder="1"/>
    <xf numFmtId="0" fontId="2" fillId="0" borderId="0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4" fillId="0" borderId="1" xfId="2" applyBorder="1"/>
    <xf numFmtId="0" fontId="4" fillId="0" borderId="1" xfId="2" applyFont="1" applyBorder="1"/>
    <xf numFmtId="0" fontId="21" fillId="0" borderId="0" xfId="0" applyFont="1"/>
    <xf numFmtId="167" fontId="0" fillId="0" borderId="1" xfId="1" applyNumberFormat="1" applyFont="1" applyBorder="1"/>
    <xf numFmtId="167" fontId="6" fillId="0" borderId="1" xfId="1" applyNumberFormat="1" applyFont="1" applyBorder="1"/>
    <xf numFmtId="167" fontId="0" fillId="0" borderId="1" xfId="0" applyNumberFormat="1" applyFont="1" applyBorder="1" applyAlignment="1">
      <alignment horizontal="right"/>
    </xf>
    <xf numFmtId="0" fontId="21" fillId="0" borderId="1" xfId="0" applyFont="1" applyBorder="1"/>
    <xf numFmtId="0" fontId="3" fillId="0" borderId="0" xfId="0" applyFont="1"/>
    <xf numFmtId="164" fontId="5" fillId="0" borderId="0" xfId="0" applyNumberFormat="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top"/>
    </xf>
    <xf numFmtId="3" fontId="0" fillId="0" borderId="1" xfId="1" applyNumberFormat="1" applyFont="1" applyBorder="1"/>
    <xf numFmtId="0" fontId="7" fillId="0" borderId="1" xfId="0" applyFont="1" applyFill="1" applyBorder="1"/>
    <xf numFmtId="0" fontId="2" fillId="0" borderId="0" xfId="0" applyFont="1"/>
    <xf numFmtId="0" fontId="21" fillId="0" borderId="0" xfId="0" applyFont="1" applyAlignment="1">
      <alignment horizontal="left"/>
    </xf>
    <xf numFmtId="0" fontId="4" fillId="0" borderId="0" xfId="2" applyFont="1" applyBorder="1"/>
    <xf numFmtId="3" fontId="0" fillId="0" borderId="0" xfId="1" applyNumberFormat="1" applyFont="1" applyBorder="1"/>
    <xf numFmtId="0" fontId="2" fillId="3" borderId="1" xfId="0" applyFont="1" applyFill="1" applyBorder="1"/>
    <xf numFmtId="0" fontId="0" fillId="3" borderId="1" xfId="0" applyFill="1" applyBorder="1"/>
    <xf numFmtId="167" fontId="2" fillId="3" borderId="1" xfId="0" applyNumberFormat="1" applyFont="1" applyFill="1" applyBorder="1"/>
    <xf numFmtId="166" fontId="2" fillId="3" borderId="1" xfId="0" applyNumberFormat="1" applyFont="1" applyFill="1" applyBorder="1"/>
    <xf numFmtId="0" fontId="6" fillId="0" borderId="1" xfId="0" applyFont="1" applyBorder="1"/>
    <xf numFmtId="0" fontId="2" fillId="0" borderId="1" xfId="0" applyFont="1" applyBorder="1"/>
    <xf numFmtId="0" fontId="27" fillId="0" borderId="1" xfId="2" applyFont="1" applyBorder="1"/>
    <xf numFmtId="3" fontId="2" fillId="0" borderId="1" xfId="1" applyNumberFormat="1" applyFont="1" applyBorder="1"/>
    <xf numFmtId="166" fontId="2" fillId="0" borderId="1" xfId="0" applyNumberFormat="1" applyFont="1" applyBorder="1"/>
    <xf numFmtId="0" fontId="28" fillId="0" borderId="1" xfId="0" applyFont="1" applyBorder="1"/>
    <xf numFmtId="0" fontId="2" fillId="0" borderId="1" xfId="0" applyFont="1" applyFill="1" applyBorder="1"/>
    <xf numFmtId="167" fontId="2" fillId="0" borderId="1" xfId="0" applyNumberFormat="1" applyFont="1" applyBorder="1"/>
    <xf numFmtId="165" fontId="0" fillId="0" borderId="0" xfId="1" applyNumberFormat="1" applyFont="1" applyFill="1"/>
    <xf numFmtId="0" fontId="28" fillId="0" borderId="0" xfId="0" applyFont="1"/>
    <xf numFmtId="165" fontId="0" fillId="0" borderId="0" xfId="0" applyNumberFormat="1"/>
    <xf numFmtId="167" fontId="1" fillId="0" borderId="1" xfId="1" applyNumberFormat="1" applyFont="1" applyBorder="1"/>
    <xf numFmtId="167" fontId="2" fillId="3" borderId="1" xfId="1" applyNumberFormat="1" applyFont="1" applyFill="1" applyBorder="1"/>
    <xf numFmtId="0" fontId="0" fillId="0" borderId="1" xfId="0" applyFont="1" applyBorder="1"/>
    <xf numFmtId="167" fontId="2" fillId="0" borderId="0" xfId="0" applyNumberFormat="1" applyFont="1" applyFill="1" applyBorder="1"/>
    <xf numFmtId="166" fontId="2" fillId="0" borderId="0" xfId="0" applyNumberFormat="1" applyFont="1" applyFill="1" applyBorder="1"/>
    <xf numFmtId="165" fontId="0" fillId="0" borderId="1" xfId="1" applyNumberFormat="1" applyFont="1" applyBorder="1"/>
    <xf numFmtId="3" fontId="2" fillId="0" borderId="1" xfId="0" applyNumberFormat="1" applyFont="1" applyBorder="1"/>
    <xf numFmtId="166" fontId="0" fillId="3" borderId="1" xfId="0" applyNumberFormat="1" applyFill="1" applyBorder="1"/>
    <xf numFmtId="3" fontId="2" fillId="3" borderId="1" xfId="0" applyNumberFormat="1" applyFont="1" applyFill="1" applyBorder="1"/>
    <xf numFmtId="0" fontId="6" fillId="0" borderId="0" xfId="0" applyFont="1"/>
    <xf numFmtId="165" fontId="2" fillId="0" borderId="1" xfId="1" applyNumberFormat="1" applyFont="1" applyBorder="1"/>
    <xf numFmtId="0" fontId="7" fillId="3" borderId="1" xfId="0" applyFont="1" applyFill="1" applyBorder="1"/>
    <xf numFmtId="167" fontId="7" fillId="3" borderId="1" xfId="1" applyNumberFormat="1" applyFont="1" applyFill="1" applyBorder="1"/>
    <xf numFmtId="166" fontId="0" fillId="0" borderId="1" xfId="68" applyNumberFormat="1" applyFont="1" applyBorder="1"/>
    <xf numFmtId="9" fontId="0" fillId="0" borderId="1" xfId="68" applyFont="1" applyBorder="1"/>
    <xf numFmtId="0" fontId="29" fillId="0" borderId="1" xfId="0" applyFont="1" applyBorder="1"/>
    <xf numFmtId="0" fontId="29" fillId="0" borderId="0" xfId="0" applyFont="1"/>
    <xf numFmtId="166" fontId="0" fillId="0" borderId="1" xfId="0" applyNumberFormat="1" applyFill="1" applyBorder="1"/>
    <xf numFmtId="0" fontId="6" fillId="0" borderId="1" xfId="0" applyFont="1" applyFill="1" applyBorder="1"/>
    <xf numFmtId="165" fontId="0" fillId="0" borderId="1" xfId="0" applyNumberFormat="1" applyFont="1" applyBorder="1"/>
    <xf numFmtId="165" fontId="2" fillId="0" borderId="1" xfId="0" applyNumberFormat="1" applyFont="1" applyBorder="1"/>
    <xf numFmtId="44" fontId="0" fillId="0" borderId="1" xfId="1" applyNumberFormat="1" applyFont="1" applyBorder="1"/>
    <xf numFmtId="44" fontId="2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/>
    <xf numFmtId="3" fontId="0" fillId="0" borderId="0" xfId="0" applyNumberFormat="1"/>
    <xf numFmtId="9" fontId="0" fillId="0" borderId="0" xfId="68" applyFont="1"/>
    <xf numFmtId="0" fontId="6" fillId="0" borderId="1" xfId="2" applyFont="1" applyFill="1" applyBorder="1"/>
    <xf numFmtId="168" fontId="2" fillId="3" borderId="1" xfId="0" applyNumberFormat="1" applyFont="1" applyFill="1" applyBorder="1"/>
    <xf numFmtId="0" fontId="21" fillId="3" borderId="1" xfId="0" applyFont="1" applyFill="1" applyBorder="1"/>
    <xf numFmtId="0" fontId="28" fillId="3" borderId="1" xfId="0" applyFont="1" applyFill="1" applyBorder="1"/>
    <xf numFmtId="0" fontId="28" fillId="0" borderId="0" xfId="0" applyFont="1" applyFill="1" applyBorder="1"/>
    <xf numFmtId="3" fontId="2" fillId="3" borderId="1" xfId="1" applyNumberFormat="1" applyFont="1" applyFill="1" applyBorder="1"/>
    <xf numFmtId="168" fontId="2" fillId="3" borderId="1" xfId="1" applyNumberFormat="1" applyFont="1" applyFill="1" applyBorder="1"/>
    <xf numFmtId="0" fontId="0" fillId="2" borderId="1" xfId="0" applyFill="1" applyBorder="1"/>
    <xf numFmtId="0" fontId="4" fillId="2" borderId="1" xfId="2" applyFill="1" applyBorder="1"/>
    <xf numFmtId="167" fontId="0" fillId="2" borderId="1" xfId="0" applyNumberFormat="1" applyFill="1" applyBorder="1"/>
    <xf numFmtId="166" fontId="0" fillId="2" borderId="1" xfId="0" applyNumberFormat="1" applyFill="1" applyBorder="1"/>
    <xf numFmtId="0" fontId="6" fillId="2" borderId="1" xfId="0" applyFont="1" applyFill="1" applyBorder="1"/>
    <xf numFmtId="3" fontId="0" fillId="2" borderId="1" xfId="1" applyNumberFormat="1" applyFont="1" applyFill="1" applyBorder="1"/>
    <xf numFmtId="44" fontId="0" fillId="2" borderId="1" xfId="1" applyNumberFormat="1" applyFont="1" applyFill="1" applyBorder="1"/>
    <xf numFmtId="0" fontId="26" fillId="0" borderId="1" xfId="2" applyFont="1" applyFill="1" applyBorder="1"/>
    <xf numFmtId="167" fontId="0" fillId="0" borderId="1" xfId="1" applyNumberFormat="1" applyFont="1" applyFill="1" applyBorder="1"/>
    <xf numFmtId="167" fontId="6" fillId="0" borderId="1" xfId="1" applyNumberFormat="1" applyFont="1" applyFill="1" applyBorder="1"/>
    <xf numFmtId="167" fontId="0" fillId="0" borderId="1" xfId="0" applyNumberFormat="1" applyFont="1" applyFill="1" applyBorder="1" applyAlignment="1">
      <alignment horizontal="right"/>
    </xf>
    <xf numFmtId="0" fontId="21" fillId="0" borderId="1" xfId="0" applyFont="1" applyFill="1" applyBorder="1"/>
    <xf numFmtId="3" fontId="0" fillId="0" borderId="1" xfId="0" applyNumberFormat="1" applyFill="1" applyBorder="1"/>
    <xf numFmtId="165" fontId="0" fillId="0" borderId="1" xfId="1" applyNumberFormat="1" applyFont="1" applyFill="1" applyBorder="1"/>
    <xf numFmtId="0" fontId="28" fillId="0" borderId="1" xfId="0" applyFont="1" applyFill="1" applyBorder="1"/>
    <xf numFmtId="164" fontId="31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top"/>
    </xf>
    <xf numFmtId="0" fontId="32" fillId="0" borderId="1" xfId="0" applyFont="1" applyBorder="1"/>
    <xf numFmtId="3" fontId="33" fillId="0" borderId="1" xfId="0" applyNumberFormat="1" applyFont="1" applyBorder="1"/>
    <xf numFmtId="166" fontId="33" fillId="0" borderId="1" xfId="0" applyNumberFormat="1" applyFont="1" applyBorder="1"/>
    <xf numFmtId="0" fontId="33" fillId="0" borderId="1" xfId="0" applyFont="1" applyBorder="1"/>
    <xf numFmtId="3" fontId="0" fillId="0" borderId="1" xfId="0" applyNumberFormat="1" applyBorder="1"/>
    <xf numFmtId="3" fontId="32" fillId="0" borderId="1" xfId="0" applyNumberFormat="1" applyFont="1" applyBorder="1"/>
    <xf numFmtId="1" fontId="2" fillId="0" borderId="1" xfId="0" applyNumberFormat="1" applyFont="1" applyFill="1" applyBorder="1" applyAlignment="1">
      <alignment horizontal="center" vertical="center"/>
    </xf>
    <xf numFmtId="0" fontId="32" fillId="0" borderId="0" xfId="0" applyFont="1" applyBorder="1"/>
    <xf numFmtId="3" fontId="32" fillId="0" borderId="0" xfId="0" applyNumberFormat="1" applyFont="1" applyBorder="1"/>
    <xf numFmtId="0" fontId="2" fillId="2" borderId="1" xfId="0" applyFont="1" applyFill="1" applyBorder="1" applyAlignment="1">
      <alignment horizontal="center"/>
    </xf>
    <xf numFmtId="0" fontId="4" fillId="0" borderId="1" xfId="2" applyFill="1" applyBorder="1"/>
    <xf numFmtId="167" fontId="0" fillId="0" borderId="1" xfId="0" applyNumberFormat="1" applyFill="1" applyBorder="1"/>
    <xf numFmtId="0" fontId="6" fillId="0" borderId="0" xfId="0" applyFont="1" applyFill="1"/>
    <xf numFmtId="0" fontId="29" fillId="0" borderId="0" xfId="2" applyFont="1" applyFill="1" applyBorder="1"/>
    <xf numFmtId="4" fontId="0" fillId="0" borderId="0" xfId="0" applyNumberFormat="1" applyBorder="1"/>
    <xf numFmtId="3" fontId="0" fillId="0" borderId="1" xfId="0" applyNumberFormat="1" applyFont="1" applyFill="1" applyBorder="1" applyAlignment="1">
      <alignment horizontal="right"/>
    </xf>
    <xf numFmtId="165" fontId="0" fillId="0" borderId="1" xfId="0" applyNumberFormat="1" applyBorder="1"/>
    <xf numFmtId="166" fontId="0" fillId="0" borderId="0" xfId="68" applyNumberFormat="1" applyFont="1"/>
    <xf numFmtId="0" fontId="0" fillId="36" borderId="1" xfId="0" applyFill="1" applyBorder="1"/>
    <xf numFmtId="0" fontId="1" fillId="0" borderId="1" xfId="0" applyFont="1" applyBorder="1" applyAlignment="1">
      <alignment wrapText="1"/>
    </xf>
    <xf numFmtId="0" fontId="34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8" fontId="2" fillId="3" borderId="1" xfId="0" applyNumberFormat="1" applyFont="1" applyFill="1" applyBorder="1" applyAlignment="1">
      <alignment horizontal="right"/>
    </xf>
    <xf numFmtId="3" fontId="3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3" fontId="2" fillId="0" borderId="18" xfId="0" applyNumberFormat="1" applyFont="1" applyBorder="1"/>
    <xf numFmtId="166" fontId="2" fillId="0" borderId="18" xfId="68" applyNumberFormat="1" applyFont="1" applyBorder="1"/>
    <xf numFmtId="0" fontId="0" fillId="0" borderId="19" xfId="0" applyBorder="1"/>
    <xf numFmtId="3" fontId="0" fillId="0" borderId="0" xfId="0" applyNumberFormat="1" applyBorder="1"/>
    <xf numFmtId="166" fontId="0" fillId="0" borderId="0" xfId="68" applyNumberFormat="1" applyFont="1" applyBorder="1"/>
    <xf numFmtId="0" fontId="0" fillId="0" borderId="20" xfId="0" applyBorder="1"/>
    <xf numFmtId="0" fontId="0" fillId="0" borderId="21" xfId="0" applyBorder="1"/>
    <xf numFmtId="3" fontId="0" fillId="0" borderId="21" xfId="0" applyNumberFormat="1" applyBorder="1"/>
    <xf numFmtId="166" fontId="0" fillId="0" borderId="21" xfId="68" applyNumberFormat="1" applyFont="1" applyBorder="1"/>
    <xf numFmtId="0" fontId="35" fillId="0" borderId="0" xfId="0" applyFont="1" applyBorder="1" applyAlignment="1">
      <alignment vertical="top"/>
    </xf>
    <xf numFmtId="167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37" borderId="1" xfId="0" applyFill="1" applyBorder="1"/>
    <xf numFmtId="167" fontId="0" fillId="37" borderId="1" xfId="1" applyNumberFormat="1" applyFont="1" applyFill="1" applyBorder="1"/>
    <xf numFmtId="166" fontId="0" fillId="37" borderId="1" xfId="0" applyNumberFormat="1" applyFill="1" applyBorder="1"/>
    <xf numFmtId="0" fontId="28" fillId="37" borderId="1" xfId="0" applyFont="1" applyFill="1" applyBorder="1"/>
    <xf numFmtId="167" fontId="0" fillId="37" borderId="1" xfId="0" applyNumberFormat="1" applyFont="1" applyFill="1" applyBorder="1" applyAlignment="1">
      <alignment horizontal="right"/>
    </xf>
    <xf numFmtId="167" fontId="0" fillId="37" borderId="1" xfId="0" applyNumberFormat="1" applyFill="1" applyBorder="1"/>
    <xf numFmtId="44" fontId="0" fillId="0" borderId="1" xfId="1" applyNumberFormat="1" applyFont="1" applyFill="1" applyBorder="1"/>
    <xf numFmtId="3" fontId="0" fillId="0" borderId="1" xfId="1" applyNumberFormat="1" applyFont="1" applyFill="1" applyBorder="1"/>
    <xf numFmtId="3" fontId="35" fillId="0" borderId="0" xfId="0" applyNumberFormat="1" applyFont="1" applyAlignment="1">
      <alignment horizontal="left" vertical="center"/>
    </xf>
    <xf numFmtId="165" fontId="0" fillId="0" borderId="0" xfId="1" applyNumberFormat="1" applyFont="1"/>
    <xf numFmtId="2" fontId="0" fillId="0" borderId="0" xfId="0" applyNumberFormat="1"/>
    <xf numFmtId="165" fontId="2" fillId="0" borderId="0" xfId="1" applyNumberFormat="1" applyFont="1"/>
    <xf numFmtId="165" fontId="2" fillId="0" borderId="0" xfId="0" applyNumberFormat="1" applyFont="1"/>
    <xf numFmtId="2" fontId="2" fillId="0" borderId="0" xfId="0" applyNumberFormat="1" applyFont="1"/>
    <xf numFmtId="166" fontId="2" fillId="0" borderId="0" xfId="68" applyNumberFormat="1" applyFont="1"/>
    <xf numFmtId="3" fontId="2" fillId="0" borderId="0" xfId="0" applyNumberFormat="1" applyFont="1"/>
    <xf numFmtId="170" fontId="2" fillId="0" borderId="0" xfId="0" applyNumberFormat="1" applyFont="1"/>
    <xf numFmtId="0" fontId="36" fillId="0" borderId="0" xfId="0" applyFont="1" applyAlignment="1">
      <alignment vertical="center"/>
    </xf>
    <xf numFmtId="0" fontId="0" fillId="36" borderId="0" xfId="0" applyFill="1"/>
    <xf numFmtId="0" fontId="37" fillId="0" borderId="0" xfId="0" applyFont="1" applyAlignment="1">
      <alignment vertical="center"/>
    </xf>
    <xf numFmtId="0" fontId="38" fillId="36" borderId="0" xfId="0" applyFont="1" applyFill="1"/>
    <xf numFmtId="0" fontId="2" fillId="36" borderId="23" xfId="0" applyFont="1" applyFill="1" applyBorder="1"/>
    <xf numFmtId="0" fontId="0" fillId="36" borderId="23" xfId="0" applyFill="1" applyBorder="1"/>
    <xf numFmtId="0" fontId="0" fillId="36" borderId="0" xfId="0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" xfId="2" applyFont="1" applyBorder="1"/>
  </cellXfs>
  <cellStyles count="71">
    <cellStyle name="20% - Accent1" xfId="21" builtinId="30" customBuiltin="1"/>
    <cellStyle name="20% - Accent1 2" xfId="56" xr:uid="{00000000-0005-0000-0000-000001000000}"/>
    <cellStyle name="20% - Accent2" xfId="25" builtinId="34" customBuiltin="1"/>
    <cellStyle name="20% - Accent2 2" xfId="58" xr:uid="{00000000-0005-0000-0000-000003000000}"/>
    <cellStyle name="20% - Accent3" xfId="29" builtinId="38" customBuiltin="1"/>
    <cellStyle name="20% - Accent3 2" xfId="60" xr:uid="{00000000-0005-0000-0000-000005000000}"/>
    <cellStyle name="20% - Accent4" xfId="33" builtinId="42" customBuiltin="1"/>
    <cellStyle name="20% - Accent4 2" xfId="62" xr:uid="{00000000-0005-0000-0000-000007000000}"/>
    <cellStyle name="20% - Accent5" xfId="37" builtinId="46" customBuiltin="1"/>
    <cellStyle name="20% - Accent5 2" xfId="64" xr:uid="{00000000-0005-0000-0000-000009000000}"/>
    <cellStyle name="20% - Accent6" xfId="41" builtinId="50" customBuiltin="1"/>
    <cellStyle name="20% - Accent6 2" xfId="66" xr:uid="{00000000-0005-0000-0000-00000B000000}"/>
    <cellStyle name="40% - Accent1" xfId="22" builtinId="31" customBuiltin="1"/>
    <cellStyle name="40% - Accent1 2" xfId="57" xr:uid="{00000000-0005-0000-0000-00000D000000}"/>
    <cellStyle name="40% - Accent2" xfId="26" builtinId="35" customBuiltin="1"/>
    <cellStyle name="40% - Accent2 2" xfId="59" xr:uid="{00000000-0005-0000-0000-00000F000000}"/>
    <cellStyle name="40% - Accent3" xfId="30" builtinId="39" customBuiltin="1"/>
    <cellStyle name="40% - Accent3 2" xfId="61" xr:uid="{00000000-0005-0000-0000-000011000000}"/>
    <cellStyle name="40% - Accent4" xfId="34" builtinId="43" customBuiltin="1"/>
    <cellStyle name="40% - Accent4 2" xfId="63" xr:uid="{00000000-0005-0000-0000-000013000000}"/>
    <cellStyle name="40% - Accent5" xfId="38" builtinId="47" customBuiltin="1"/>
    <cellStyle name="40% - Accent5 2" xfId="65" xr:uid="{00000000-0005-0000-0000-000015000000}"/>
    <cellStyle name="40% - Accent6" xfId="42" builtinId="51" customBuiltin="1"/>
    <cellStyle name="40% - Accent6 2" xfId="67" xr:uid="{00000000-0005-0000-0000-000017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1 2" xfId="55" xr:uid="{00000000-0005-0000-0000-00001F000000}"/>
    <cellStyle name="Accent1 3" xfId="47" xr:uid="{00000000-0005-0000-0000-000020000000}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48" xr:uid="{00000000-0005-0000-0000-00002A000000}"/>
    <cellStyle name="Comma 2 2" xfId="69" xr:uid="{2C9B0058-1106-4305-8D5E-48B799511833}"/>
    <cellStyle name="Comma 3" xfId="52" xr:uid="{00000000-0005-0000-0000-00002B000000}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2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5" xr:uid="{00000000-0005-0000-0000-000038000000}"/>
    <cellStyle name="Normal 2 2" xfId="49" xr:uid="{00000000-0005-0000-0000-000039000000}"/>
    <cellStyle name="Normal 2 3" xfId="70" xr:uid="{497EFC48-0424-495E-9DEF-053FF56C4DD1}"/>
    <cellStyle name="Normal 3" xfId="44" xr:uid="{00000000-0005-0000-0000-00003A000000}"/>
    <cellStyle name="Normal 3 2" xfId="51" xr:uid="{00000000-0005-0000-0000-00003B000000}"/>
    <cellStyle name="Normal 4" xfId="46" xr:uid="{00000000-0005-0000-0000-00003C000000}"/>
    <cellStyle name="Note" xfId="17" builtinId="10" customBuiltin="1"/>
    <cellStyle name="Note 2" xfId="54" xr:uid="{00000000-0005-0000-0000-00003E000000}"/>
    <cellStyle name="Output" xfId="12" builtinId="21" customBuiltin="1"/>
    <cellStyle name="Percent" xfId="68" builtinId="5"/>
    <cellStyle name="Percent 2" xfId="50" xr:uid="{00000000-0005-0000-0000-000041000000}"/>
    <cellStyle name="Percent 3" xfId="53" xr:uid="{00000000-0005-0000-0000-000042000000}"/>
    <cellStyle name="Title" xfId="3" builtinId="15" customBuiltin="1"/>
    <cellStyle name="Total" xfId="19" builtinId="25" customBuiltin="1"/>
    <cellStyle name="Warning Text" xfId="16" builtinId="11" customBuiltin="1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0082AC"/>
      <color rgb="FFE6F2D1"/>
      <color rgb="FFCDE5A4"/>
      <color rgb="FFB5D876"/>
      <color rgb="FF7DA830"/>
      <color rgb="FF5E7E24"/>
      <color rgb="FF3F5418"/>
      <color rgb="FF5D7D24"/>
      <color rgb="FF3E5418"/>
      <color rgb="FFB06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F497D"/>
      </a:accent1>
      <a:accent2>
        <a:srgbClr val="0078A3"/>
      </a:accent2>
      <a:accent3>
        <a:srgbClr val="00AAE6"/>
      </a:accent3>
      <a:accent4>
        <a:srgbClr val="A01C3F"/>
      </a:accent4>
      <a:accent5>
        <a:srgbClr val="7DA830"/>
      </a:accent5>
      <a:accent6>
        <a:srgbClr val="E1821B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94D89-E418-440B-9AF2-0098CE873C0D}">
  <sheetPr>
    <tabColor theme="4"/>
  </sheetPr>
  <dimension ref="A1:H30"/>
  <sheetViews>
    <sheetView topLeftCell="A13" workbookViewId="0">
      <selection activeCell="A6" sqref="A6"/>
    </sheetView>
  </sheetViews>
  <sheetFormatPr defaultColWidth="9.08984375" defaultRowHeight="14.5" x14ac:dyDescent="0.35"/>
  <cols>
    <col min="1" max="1" width="9.08984375" style="164"/>
    <col min="2" max="2" width="15.90625" style="164" customWidth="1"/>
    <col min="3" max="16384" width="9.08984375" style="164"/>
  </cols>
  <sheetData>
    <row r="1" spans="1:8" ht="28.5" x14ac:dyDescent="0.35">
      <c r="A1" s="163" t="s">
        <v>392</v>
      </c>
    </row>
    <row r="2" spans="1:8" ht="15" x14ac:dyDescent="0.35">
      <c r="A2" s="165" t="s">
        <v>405</v>
      </c>
    </row>
    <row r="3" spans="1:8" x14ac:dyDescent="0.35">
      <c r="A3" s="166"/>
    </row>
    <row r="5" spans="1:8" x14ac:dyDescent="0.35">
      <c r="A5" s="164" t="s">
        <v>416</v>
      </c>
    </row>
    <row r="6" spans="1:8" x14ac:dyDescent="0.35">
      <c r="A6" s="164" t="s">
        <v>375</v>
      </c>
    </row>
    <row r="8" spans="1:8" ht="15.75" customHeight="1" x14ac:dyDescent="0.35">
      <c r="A8" s="167" t="s">
        <v>376</v>
      </c>
      <c r="B8" s="168"/>
      <c r="C8" s="167" t="s">
        <v>377</v>
      </c>
      <c r="D8" s="168"/>
      <c r="E8" s="168"/>
      <c r="F8" s="168"/>
      <c r="G8" s="168"/>
      <c r="H8" s="168"/>
    </row>
    <row r="9" spans="1:8" x14ac:dyDescent="0.35">
      <c r="A9" s="164" t="s">
        <v>378</v>
      </c>
      <c r="C9" s="164" t="s">
        <v>393</v>
      </c>
    </row>
    <row r="10" spans="1:8" x14ac:dyDescent="0.35">
      <c r="A10" s="164" t="s">
        <v>384</v>
      </c>
      <c r="C10" s="169" t="s">
        <v>399</v>
      </c>
    </row>
    <row r="11" spans="1:8" x14ac:dyDescent="0.35">
      <c r="A11" s="164" t="s">
        <v>382</v>
      </c>
      <c r="C11" s="164" t="s">
        <v>397</v>
      </c>
    </row>
    <row r="12" spans="1:8" x14ac:dyDescent="0.35">
      <c r="A12" s="164" t="s">
        <v>383</v>
      </c>
      <c r="C12" s="164" t="s">
        <v>398</v>
      </c>
    </row>
    <row r="14" spans="1:8" x14ac:dyDescent="0.35">
      <c r="A14" s="164" t="s">
        <v>379</v>
      </c>
      <c r="C14" s="164" t="s">
        <v>394</v>
      </c>
    </row>
    <row r="15" spans="1:8" x14ac:dyDescent="0.35">
      <c r="A15" s="164" t="s">
        <v>385</v>
      </c>
      <c r="C15" s="164" t="s">
        <v>400</v>
      </c>
    </row>
    <row r="16" spans="1:8" x14ac:dyDescent="0.35">
      <c r="A16" s="164" t="s">
        <v>406</v>
      </c>
      <c r="C16" s="164" t="s">
        <v>409</v>
      </c>
    </row>
    <row r="18" spans="1:3" x14ac:dyDescent="0.35">
      <c r="A18" s="164" t="s">
        <v>380</v>
      </c>
      <c r="C18" s="164" t="s">
        <v>395</v>
      </c>
    </row>
    <row r="19" spans="1:3" x14ac:dyDescent="0.35">
      <c r="A19" s="164" t="s">
        <v>386</v>
      </c>
      <c r="C19" s="164" t="s">
        <v>401</v>
      </c>
    </row>
    <row r="20" spans="1:3" x14ac:dyDescent="0.35">
      <c r="A20" s="164" t="s">
        <v>407</v>
      </c>
      <c r="C20" s="164" t="s">
        <v>408</v>
      </c>
    </row>
    <row r="22" spans="1:3" x14ac:dyDescent="0.35">
      <c r="A22" s="164" t="s">
        <v>381</v>
      </c>
      <c r="C22" s="164" t="s">
        <v>396</v>
      </c>
    </row>
    <row r="23" spans="1:3" x14ac:dyDescent="0.35">
      <c r="A23" s="164" t="s">
        <v>387</v>
      </c>
      <c r="C23" s="164" t="s">
        <v>402</v>
      </c>
    </row>
    <row r="24" spans="1:3" x14ac:dyDescent="0.35">
      <c r="A24" s="164" t="s">
        <v>410</v>
      </c>
      <c r="C24" s="164" t="s">
        <v>411</v>
      </c>
    </row>
    <row r="26" spans="1:3" x14ac:dyDescent="0.35">
      <c r="A26" s="164" t="s">
        <v>388</v>
      </c>
      <c r="C26" s="164" t="s">
        <v>389</v>
      </c>
    </row>
    <row r="27" spans="1:3" x14ac:dyDescent="0.35">
      <c r="A27" s="164" t="s">
        <v>390</v>
      </c>
      <c r="C27" s="164" t="s">
        <v>391</v>
      </c>
    </row>
    <row r="29" spans="1:3" x14ac:dyDescent="0.35">
      <c r="A29" s="164" t="s">
        <v>403</v>
      </c>
      <c r="C29" s="164" t="s">
        <v>413</v>
      </c>
    </row>
    <row r="30" spans="1:3" x14ac:dyDescent="0.35">
      <c r="A30" s="164" t="s">
        <v>404</v>
      </c>
      <c r="C30" s="164" t="s">
        <v>412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1203-8EE3-4577-9432-09A7BB4E6642}">
  <sheetPr>
    <tabColor theme="7"/>
  </sheetPr>
  <dimension ref="A1:W58"/>
  <sheetViews>
    <sheetView zoomScaleNormal="100" workbookViewId="0">
      <selection activeCell="F19" sqref="F19"/>
    </sheetView>
  </sheetViews>
  <sheetFormatPr defaultRowHeight="14.5" x14ac:dyDescent="0.35"/>
  <cols>
    <col min="1" max="1" width="41.54296875" style="19" customWidth="1"/>
    <col min="2" max="2" width="19.6328125" style="19" customWidth="1"/>
    <col min="3" max="3" width="20" style="19" bestFit="1" customWidth="1"/>
    <col min="4" max="4" width="16.453125" style="19" customWidth="1"/>
    <col min="5" max="5" width="17.6328125" style="19" customWidth="1"/>
    <col min="6" max="6" width="18.36328125" style="19" customWidth="1"/>
    <col min="7" max="7" width="37.6328125" style="19" customWidth="1"/>
    <col min="8" max="8" width="19.6328125" style="19" customWidth="1"/>
    <col min="9" max="9" width="20" style="19" bestFit="1" customWidth="1"/>
    <col min="10" max="10" width="16.453125" style="19" customWidth="1"/>
    <col min="11" max="11" width="28.453125" style="19" customWidth="1"/>
    <col min="12" max="12" width="8.6328125" style="19"/>
    <col min="13" max="13" width="41.6328125" style="19" customWidth="1"/>
    <col min="14" max="14" width="19.6328125" style="19" customWidth="1"/>
    <col min="15" max="15" width="20" style="19" bestFit="1" customWidth="1"/>
    <col min="16" max="16" width="16.453125" style="19" customWidth="1"/>
    <col min="17" max="17" width="49.90625" style="19" customWidth="1"/>
    <col min="19" max="19" width="41.6328125" style="19" customWidth="1"/>
    <col min="20" max="20" width="19.6328125" style="19" customWidth="1"/>
    <col min="21" max="21" width="20" style="19" bestFit="1" customWidth="1"/>
    <col min="22" max="22" width="16.453125" style="19" customWidth="1"/>
    <col min="23" max="23" width="17.6328125" style="19" customWidth="1"/>
  </cols>
  <sheetData>
    <row r="1" spans="1:23" ht="18.5" x14ac:dyDescent="0.45">
      <c r="A1" s="1" t="s">
        <v>308</v>
      </c>
      <c r="B1" s="1"/>
      <c r="C1" s="1"/>
      <c r="D1" s="1"/>
      <c r="H1" s="1"/>
      <c r="I1" s="1"/>
      <c r="J1" s="1"/>
      <c r="N1" s="1"/>
      <c r="O1" s="1"/>
      <c r="P1" s="1"/>
      <c r="S1" s="1"/>
      <c r="T1" s="1"/>
      <c r="U1" s="1"/>
      <c r="V1" s="1"/>
    </row>
    <row r="2" spans="1:23" ht="15.5" x14ac:dyDescent="0.35">
      <c r="A2" s="2" t="s">
        <v>133</v>
      </c>
      <c r="B2" s="3"/>
      <c r="C2" s="3"/>
      <c r="D2" s="3"/>
      <c r="G2" s="2" t="s">
        <v>134</v>
      </c>
      <c r="H2" s="3"/>
      <c r="I2" s="3"/>
      <c r="J2" s="3"/>
      <c r="N2" s="3"/>
      <c r="O2" s="3"/>
      <c r="P2" s="3"/>
      <c r="S2" s="2"/>
      <c r="T2" s="3"/>
      <c r="U2" s="3"/>
      <c r="V2" s="3"/>
    </row>
    <row r="3" spans="1:23" ht="15.5" x14ac:dyDescent="0.35">
      <c r="A3" s="4" t="s">
        <v>317</v>
      </c>
      <c r="B3" s="5"/>
      <c r="C3" s="5"/>
      <c r="D3" s="5"/>
      <c r="G3" s="2" t="s">
        <v>135</v>
      </c>
      <c r="H3" s="5"/>
      <c r="I3" s="5"/>
      <c r="J3" s="5"/>
      <c r="N3" s="5"/>
      <c r="O3" s="5"/>
      <c r="P3" s="5"/>
      <c r="S3" s="4"/>
      <c r="T3" s="5"/>
      <c r="U3" s="5"/>
      <c r="V3" s="5"/>
    </row>
    <row r="4" spans="1:23" ht="15.5" x14ac:dyDescent="0.35">
      <c r="A4" s="4"/>
      <c r="B4" s="5"/>
      <c r="C4" s="5"/>
      <c r="D4" s="5"/>
      <c r="G4" s="4"/>
      <c r="H4" s="5"/>
      <c r="I4" s="5"/>
      <c r="J4" s="5"/>
      <c r="M4" s="4"/>
      <c r="N4" s="5"/>
      <c r="O4" s="5"/>
      <c r="P4" s="5"/>
      <c r="S4" s="4"/>
      <c r="T4" s="5"/>
      <c r="U4" s="5"/>
      <c r="V4" s="5"/>
    </row>
    <row r="5" spans="1:23" x14ac:dyDescent="0.35">
      <c r="A5" s="33" t="s">
        <v>107</v>
      </c>
      <c r="G5" s="33" t="s">
        <v>7</v>
      </c>
      <c r="M5" s="33" t="s">
        <v>114</v>
      </c>
      <c r="S5" s="33" t="s">
        <v>319</v>
      </c>
    </row>
    <row r="6" spans="1:23" x14ac:dyDescent="0.35">
      <c r="A6" s="170" t="s">
        <v>8</v>
      </c>
      <c r="B6" s="170" t="s">
        <v>2</v>
      </c>
      <c r="C6" s="170"/>
      <c r="D6" s="76" t="s">
        <v>3</v>
      </c>
      <c r="E6" s="173" t="s">
        <v>30</v>
      </c>
      <c r="G6" s="173" t="s">
        <v>8</v>
      </c>
      <c r="H6" s="171" t="s">
        <v>2</v>
      </c>
      <c r="I6" s="172"/>
      <c r="J6" s="76" t="s">
        <v>3</v>
      </c>
      <c r="K6" s="173" t="s">
        <v>30</v>
      </c>
      <c r="M6" s="170" t="s">
        <v>8</v>
      </c>
      <c r="N6" s="170" t="s">
        <v>2</v>
      </c>
      <c r="O6" s="170"/>
      <c r="P6" s="76" t="s">
        <v>3</v>
      </c>
      <c r="Q6" s="173" t="s">
        <v>30</v>
      </c>
      <c r="S6" s="170" t="s">
        <v>8</v>
      </c>
      <c r="T6" s="170" t="s">
        <v>2</v>
      </c>
      <c r="U6" s="170"/>
      <c r="V6" s="76" t="s">
        <v>3</v>
      </c>
      <c r="W6" s="173" t="s">
        <v>30</v>
      </c>
    </row>
    <row r="7" spans="1:23" x14ac:dyDescent="0.35">
      <c r="A7" s="170"/>
      <c r="B7" s="75">
        <v>2022</v>
      </c>
      <c r="C7" s="75">
        <v>2023</v>
      </c>
      <c r="D7" s="75" t="s">
        <v>310</v>
      </c>
      <c r="E7" s="174"/>
      <c r="G7" s="174"/>
      <c r="H7" s="75">
        <v>2022</v>
      </c>
      <c r="I7" s="75">
        <v>2023</v>
      </c>
      <c r="J7" s="75" t="s">
        <v>310</v>
      </c>
      <c r="K7" s="174"/>
      <c r="M7" s="170"/>
      <c r="N7" s="75">
        <v>2022</v>
      </c>
      <c r="O7" s="75">
        <v>2023</v>
      </c>
      <c r="P7" s="75" t="s">
        <v>310</v>
      </c>
      <c r="Q7" s="174"/>
      <c r="S7" s="170"/>
      <c r="T7" s="75">
        <v>2022</v>
      </c>
      <c r="U7" s="75">
        <v>2023</v>
      </c>
      <c r="V7" s="75" t="s">
        <v>310</v>
      </c>
      <c r="W7" s="174"/>
    </row>
    <row r="8" spans="1:23" x14ac:dyDescent="0.35">
      <c r="A8" s="37" t="s">
        <v>67</v>
      </c>
      <c r="B8" s="60">
        <f>N8+T8</f>
        <v>5360738</v>
      </c>
      <c r="C8" s="60">
        <f>O8+U8</f>
        <v>5612598</v>
      </c>
      <c r="D8" s="40">
        <f t="shared" ref="D8:D29" si="0">IFERROR((C8-B8)/B8, "")</f>
        <v>4.6982337133432001E-2</v>
      </c>
      <c r="E8" s="38"/>
      <c r="G8" s="37" t="s">
        <v>31</v>
      </c>
      <c r="H8" s="60">
        <v>468657</v>
      </c>
      <c r="I8" s="60">
        <v>459062</v>
      </c>
      <c r="J8" s="40">
        <f t="shared" ref="J8:J21" si="1">IFERROR((I8-H8)/H8, "")</f>
        <v>-2.0473395254951916E-2</v>
      </c>
      <c r="K8" s="38"/>
      <c r="M8" s="37" t="s">
        <v>67</v>
      </c>
      <c r="N8" s="60">
        <v>4485653</v>
      </c>
      <c r="O8" s="60">
        <v>4622711</v>
      </c>
      <c r="P8" s="40">
        <f t="shared" ref="P8:P29" si="2">IFERROR((O8-N8)/N8, "")</f>
        <v>3.0554748662011976E-2</v>
      </c>
      <c r="Q8" s="38"/>
      <c r="S8" s="37" t="s">
        <v>67</v>
      </c>
      <c r="T8" s="60">
        <v>875085</v>
      </c>
      <c r="U8" s="60">
        <v>989887</v>
      </c>
      <c r="V8" s="40">
        <f t="shared" ref="V8:V29" si="3">IFERROR((U8-T8)/T8, "")</f>
        <v>0.13118954158738866</v>
      </c>
      <c r="W8" s="38"/>
    </row>
    <row r="9" spans="1:23" s="77" customFormat="1" x14ac:dyDescent="0.35">
      <c r="A9" s="37" t="s">
        <v>130</v>
      </c>
      <c r="B9" s="81">
        <f>(N9*N8+T9*T8)/(N8+T8)</f>
        <v>0.98944222923696545</v>
      </c>
      <c r="C9" s="81">
        <f>(O9*O8+U9*U8)/(O8+U8)</f>
        <v>0.99149869970519766</v>
      </c>
      <c r="D9" s="40">
        <f t="shared" si="0"/>
        <v>2.0784138855869426E-3</v>
      </c>
      <c r="E9" s="38"/>
      <c r="G9" s="6" t="s">
        <v>33</v>
      </c>
      <c r="H9" s="23">
        <v>1357461244</v>
      </c>
      <c r="I9" s="23">
        <v>1347083622</v>
      </c>
      <c r="J9" s="7">
        <f t="shared" si="1"/>
        <v>-7.6448753479108535E-3</v>
      </c>
      <c r="K9" s="41" t="s">
        <v>78</v>
      </c>
      <c r="L9" s="121"/>
      <c r="M9" s="37" t="s">
        <v>130</v>
      </c>
      <c r="N9" s="81">
        <v>0.97020078698095802</v>
      </c>
      <c r="O9" s="81">
        <v>0.97293990858020896</v>
      </c>
      <c r="P9" s="40">
        <f t="shared" si="2"/>
        <v>2.8232522958205951E-3</v>
      </c>
      <c r="Q9" s="38"/>
      <c r="S9" s="37" t="s">
        <v>130</v>
      </c>
      <c r="T9" s="81">
        <v>1.08807314301104</v>
      </c>
      <c r="U9" s="81">
        <v>1.07816710516985</v>
      </c>
      <c r="V9" s="40">
        <f t="shared" si="3"/>
        <v>-9.1042021437794281E-3</v>
      </c>
      <c r="W9" s="38"/>
    </row>
    <row r="10" spans="1:23" x14ac:dyDescent="0.35">
      <c r="A10" s="6" t="s">
        <v>33</v>
      </c>
      <c r="B10" s="23">
        <f>N10+T10</f>
        <v>1273278562.9989681</v>
      </c>
      <c r="C10" s="23">
        <f t="shared" ref="C10:C18" si="4">O10+U10</f>
        <v>1367500439.7902241</v>
      </c>
      <c r="D10" s="7">
        <f t="shared" si="0"/>
        <v>7.3999421280865715E-2</v>
      </c>
      <c r="E10" s="6"/>
      <c r="G10" s="6" t="s">
        <v>34</v>
      </c>
      <c r="H10" s="23">
        <v>931033005</v>
      </c>
      <c r="I10" s="23">
        <v>946227791</v>
      </c>
      <c r="J10" s="7">
        <f t="shared" si="1"/>
        <v>1.6320351607728451E-2</v>
      </c>
      <c r="K10" s="41" t="s">
        <v>79</v>
      </c>
      <c r="L10" s="121"/>
      <c r="M10" s="6" t="s">
        <v>33</v>
      </c>
      <c r="N10" s="23">
        <v>929135198.80671299</v>
      </c>
      <c r="O10" s="23">
        <v>994091469.087515</v>
      </c>
      <c r="P10" s="7">
        <f t="shared" si="2"/>
        <v>6.9910461216220479E-2</v>
      </c>
      <c r="Q10" s="6"/>
      <c r="S10" s="6" t="s">
        <v>33</v>
      </c>
      <c r="T10" s="23">
        <v>344143364.19225502</v>
      </c>
      <c r="U10" s="23">
        <v>373408970.70270902</v>
      </c>
      <c r="V10" s="7">
        <f t="shared" si="3"/>
        <v>8.5038996986455978E-2</v>
      </c>
      <c r="W10" s="6"/>
    </row>
    <row r="11" spans="1:23" x14ac:dyDescent="0.35">
      <c r="A11" s="6" t="s">
        <v>34</v>
      </c>
      <c r="B11" s="23">
        <f t="shared" ref="B11:B18" si="5">N11+T11</f>
        <v>1065921223.555935</v>
      </c>
      <c r="C11" s="23">
        <f t="shared" si="4"/>
        <v>1183841915.8043721</v>
      </c>
      <c r="D11" s="7">
        <f t="shared" si="0"/>
        <v>0.11062796165653893</v>
      </c>
      <c r="E11" s="6"/>
      <c r="G11" s="6" t="s">
        <v>69</v>
      </c>
      <c r="H11" s="23">
        <v>828317060</v>
      </c>
      <c r="I11" s="23">
        <v>862989920</v>
      </c>
      <c r="J11" s="7">
        <f t="shared" si="1"/>
        <v>4.1859405865671773E-2</v>
      </c>
      <c r="K11" s="41" t="s">
        <v>71</v>
      </c>
      <c r="L11" s="121"/>
      <c r="M11" s="6" t="s">
        <v>34</v>
      </c>
      <c r="N11" s="23">
        <v>850238228.93632603</v>
      </c>
      <c r="O11" s="23">
        <v>929341757.16208398</v>
      </c>
      <c r="P11" s="7">
        <f t="shared" si="2"/>
        <v>9.3036898993260841E-2</v>
      </c>
      <c r="Q11" s="6"/>
      <c r="S11" s="6" t="s">
        <v>34</v>
      </c>
      <c r="T11" s="23">
        <v>215682994.619609</v>
      </c>
      <c r="U11" s="23">
        <v>254500158.642288</v>
      </c>
      <c r="V11" s="7">
        <f t="shared" si="3"/>
        <v>0.1799732245517974</v>
      </c>
      <c r="W11" s="6"/>
    </row>
    <row r="12" spans="1:23" x14ac:dyDescent="0.35">
      <c r="A12" s="6" t="s">
        <v>35</v>
      </c>
      <c r="B12" s="23">
        <f t="shared" si="5"/>
        <v>343976087.2658335</v>
      </c>
      <c r="C12" s="23">
        <f t="shared" si="4"/>
        <v>385069933.3315773</v>
      </c>
      <c r="D12" s="7">
        <f t="shared" si="0"/>
        <v>0.11946715945398097</v>
      </c>
      <c r="E12" s="6"/>
      <c r="G12" s="6" t="s">
        <v>70</v>
      </c>
      <c r="H12" s="23">
        <v>286063059</v>
      </c>
      <c r="I12" s="23">
        <v>313688612</v>
      </c>
      <c r="J12" s="7">
        <f t="shared" si="1"/>
        <v>9.6571549981222846E-2</v>
      </c>
      <c r="K12" s="41" t="s">
        <v>71</v>
      </c>
      <c r="L12" s="121"/>
      <c r="M12" s="6" t="s">
        <v>35</v>
      </c>
      <c r="N12" s="23">
        <v>288163093.44440502</v>
      </c>
      <c r="O12" s="23">
        <v>317627438.43426001</v>
      </c>
      <c r="P12" s="7">
        <f t="shared" si="2"/>
        <v>0.10224885025236417</v>
      </c>
      <c r="Q12" s="6"/>
      <c r="S12" s="6" t="s">
        <v>35</v>
      </c>
      <c r="T12" s="23">
        <v>55812993.8214285</v>
      </c>
      <c r="U12" s="23">
        <v>67442494.897317305</v>
      </c>
      <c r="V12" s="7">
        <f t="shared" si="3"/>
        <v>0.20836547691917298</v>
      </c>
      <c r="W12" s="6"/>
    </row>
    <row r="13" spans="1:23" x14ac:dyDescent="0.35">
      <c r="A13" s="6" t="s">
        <v>36</v>
      </c>
      <c r="B13" s="23">
        <f t="shared" si="5"/>
        <v>988724775.00245297</v>
      </c>
      <c r="C13" s="23">
        <f t="shared" si="4"/>
        <v>1066017166.371424</v>
      </c>
      <c r="D13" s="7">
        <f t="shared" si="0"/>
        <v>7.8173818764457711E-2</v>
      </c>
      <c r="E13" s="6"/>
      <c r="G13" s="6" t="s">
        <v>75</v>
      </c>
      <c r="H13" s="23">
        <v>214633460</v>
      </c>
      <c r="I13" s="23">
        <v>219066059</v>
      </c>
      <c r="J13" s="7">
        <f t="shared" si="1"/>
        <v>2.0651947743841988E-2</v>
      </c>
      <c r="K13" s="41" t="s">
        <v>76</v>
      </c>
      <c r="L13" s="121"/>
      <c r="M13" s="6" t="s">
        <v>36</v>
      </c>
      <c r="N13" s="23">
        <v>844018434.63237798</v>
      </c>
      <c r="O13" s="23">
        <v>891518687.19158995</v>
      </c>
      <c r="P13" s="7">
        <f t="shared" si="2"/>
        <v>5.6278690855729063E-2</v>
      </c>
      <c r="Q13" s="6"/>
      <c r="S13" s="6" t="s">
        <v>36</v>
      </c>
      <c r="T13" s="23">
        <v>144706340.37007499</v>
      </c>
      <c r="U13" s="23">
        <v>174498479.17983401</v>
      </c>
      <c r="V13" s="7">
        <f t="shared" si="3"/>
        <v>0.2058799824082897</v>
      </c>
      <c r="W13" s="6"/>
    </row>
    <row r="14" spans="1:23" x14ac:dyDescent="0.35">
      <c r="A14" s="6" t="s">
        <v>37</v>
      </c>
      <c r="B14" s="23">
        <f t="shared" si="5"/>
        <v>24171733.142321482</v>
      </c>
      <c r="C14" s="23">
        <f t="shared" si="4"/>
        <v>27389119.3777535</v>
      </c>
      <c r="D14" s="7">
        <f t="shared" si="0"/>
        <v>0.13310531836870246</v>
      </c>
      <c r="E14" s="6"/>
      <c r="G14" s="6" t="s">
        <v>74</v>
      </c>
      <c r="H14" s="23">
        <v>129929358</v>
      </c>
      <c r="I14" s="23">
        <v>127745334</v>
      </c>
      <c r="J14" s="7">
        <f t="shared" si="1"/>
        <v>-1.680931879922011E-2</v>
      </c>
      <c r="K14" s="41" t="s">
        <v>76</v>
      </c>
      <c r="L14" s="121"/>
      <c r="M14" s="6" t="s">
        <v>37</v>
      </c>
      <c r="N14" s="23">
        <v>16494682.1724717</v>
      </c>
      <c r="O14" s="23">
        <v>18080354.294069599</v>
      </c>
      <c r="P14" s="7">
        <f t="shared" si="2"/>
        <v>9.6132323437201989E-2</v>
      </c>
      <c r="Q14" s="6"/>
      <c r="S14" s="6" t="s">
        <v>37</v>
      </c>
      <c r="T14" s="23">
        <v>7677050.9698497802</v>
      </c>
      <c r="U14" s="23">
        <v>9308765.0836839005</v>
      </c>
      <c r="V14" s="7">
        <f t="shared" si="3"/>
        <v>0.21254438979790291</v>
      </c>
      <c r="W14" s="6"/>
    </row>
    <row r="15" spans="1:23" x14ac:dyDescent="0.35">
      <c r="A15" s="6" t="s">
        <v>38</v>
      </c>
      <c r="B15" s="23">
        <f t="shared" si="5"/>
        <v>263777912.83175579</v>
      </c>
      <c r="C15" s="23">
        <f t="shared" si="4"/>
        <v>289067355.08610821</v>
      </c>
      <c r="D15" s="7">
        <f t="shared" si="0"/>
        <v>9.5873994842330362E-2</v>
      </c>
      <c r="E15" s="6"/>
      <c r="G15" s="6" t="s">
        <v>72</v>
      </c>
      <c r="H15" s="23">
        <v>410113233</v>
      </c>
      <c r="I15" s="23">
        <v>438064691</v>
      </c>
      <c r="J15" s="7">
        <f t="shared" si="1"/>
        <v>6.8155464761606457E-2</v>
      </c>
      <c r="K15" s="41" t="s">
        <v>73</v>
      </c>
      <c r="L15" s="121"/>
      <c r="M15" s="6" t="s">
        <v>38</v>
      </c>
      <c r="N15" s="23">
        <v>233926650.20368499</v>
      </c>
      <c r="O15" s="23">
        <v>247561332.00046501</v>
      </c>
      <c r="P15" s="7">
        <f t="shared" si="2"/>
        <v>5.8286141339210423E-2</v>
      </c>
      <c r="Q15" s="6"/>
      <c r="S15" s="6" t="s">
        <v>38</v>
      </c>
      <c r="T15" s="23">
        <v>29851262.628070801</v>
      </c>
      <c r="U15" s="23">
        <v>41506023.085643202</v>
      </c>
      <c r="V15" s="7">
        <f t="shared" si="3"/>
        <v>0.39042772169418327</v>
      </c>
      <c r="W15" s="6"/>
    </row>
    <row r="16" spans="1:23" x14ac:dyDescent="0.35">
      <c r="A16" s="6" t="s">
        <v>39</v>
      </c>
      <c r="B16" s="23">
        <f t="shared" si="5"/>
        <v>242802652.8803221</v>
      </c>
      <c r="C16" s="23">
        <f t="shared" si="4"/>
        <v>286715176.49135309</v>
      </c>
      <c r="D16" s="7">
        <f t="shared" si="0"/>
        <v>0.18085685263363066</v>
      </c>
      <c r="E16" s="6"/>
      <c r="G16" s="12" t="s">
        <v>77</v>
      </c>
      <c r="H16" s="23">
        <v>289955661</v>
      </c>
      <c r="I16" s="23">
        <v>318543269</v>
      </c>
      <c r="J16" s="7">
        <f t="shared" si="1"/>
        <v>9.8593032815455187E-2</v>
      </c>
      <c r="K16" s="41" t="s">
        <v>73</v>
      </c>
      <c r="L16" s="121"/>
      <c r="M16" s="6" t="s">
        <v>39</v>
      </c>
      <c r="N16" s="23">
        <v>165458923.82508001</v>
      </c>
      <c r="O16" s="23">
        <v>196868179.540387</v>
      </c>
      <c r="P16" s="7">
        <f t="shared" si="2"/>
        <v>0.18983113747622496</v>
      </c>
      <c r="Q16" s="6"/>
      <c r="S16" s="6" t="s">
        <v>39</v>
      </c>
      <c r="T16" s="23">
        <v>77343729.055242106</v>
      </c>
      <c r="U16" s="23">
        <v>89846996.950966105</v>
      </c>
      <c r="V16" s="7">
        <f t="shared" si="3"/>
        <v>0.16165845697449685</v>
      </c>
      <c r="W16" s="6"/>
    </row>
    <row r="17" spans="1:23" x14ac:dyDescent="0.35">
      <c r="A17" s="12" t="s">
        <v>60</v>
      </c>
      <c r="B17" s="23">
        <f t="shared" si="5"/>
        <v>1376740580.7567129</v>
      </c>
      <c r="C17" s="23">
        <f t="shared" si="4"/>
        <v>1594427075.4736629</v>
      </c>
      <c r="D17" s="7">
        <f t="shared" si="0"/>
        <v>0.1581172936714777</v>
      </c>
      <c r="E17" s="6"/>
      <c r="G17" s="12" t="s">
        <v>80</v>
      </c>
      <c r="H17" s="23">
        <v>123736609</v>
      </c>
      <c r="I17" s="23">
        <v>173203464</v>
      </c>
      <c r="J17" s="7">
        <f t="shared" si="1"/>
        <v>0.39977542135488781</v>
      </c>
      <c r="K17" s="41" t="s">
        <v>73</v>
      </c>
      <c r="L17" s="121"/>
      <c r="M17" s="12" t="s">
        <v>60</v>
      </c>
      <c r="N17" s="23">
        <v>956026475.14560497</v>
      </c>
      <c r="O17" s="23">
        <v>1087077526.4095099</v>
      </c>
      <c r="P17" s="7">
        <f t="shared" si="2"/>
        <v>0.13707889338937559</v>
      </c>
      <c r="Q17" s="6"/>
      <c r="S17" s="12" t="s">
        <v>60</v>
      </c>
      <c r="T17" s="23">
        <v>420714105.61110801</v>
      </c>
      <c r="U17" s="23">
        <v>507349549.06415302</v>
      </c>
      <c r="V17" s="7">
        <f t="shared" si="3"/>
        <v>0.20592474152299398</v>
      </c>
      <c r="W17" s="6"/>
    </row>
    <row r="18" spans="1:23" x14ac:dyDescent="0.35">
      <c r="A18" s="12" t="s">
        <v>61</v>
      </c>
      <c r="B18" s="23">
        <f t="shared" si="5"/>
        <v>1064517800.899165</v>
      </c>
      <c r="C18" s="23">
        <f t="shared" si="4"/>
        <v>1199361330.3973701</v>
      </c>
      <c r="D18" s="7">
        <f t="shared" si="0"/>
        <v>0.12667099543502883</v>
      </c>
      <c r="E18" s="46"/>
      <c r="G18" s="6" t="s">
        <v>83</v>
      </c>
      <c r="H18" s="23">
        <v>146798856</v>
      </c>
      <c r="I18" s="23">
        <v>161893092</v>
      </c>
      <c r="J18" s="7">
        <f t="shared" si="1"/>
        <v>0.10282257240478768</v>
      </c>
      <c r="K18" s="41" t="s">
        <v>73</v>
      </c>
      <c r="L18" s="121"/>
      <c r="M18" s="12" t="s">
        <v>61</v>
      </c>
      <c r="N18" s="23">
        <v>718600831.14988804</v>
      </c>
      <c r="O18" s="23">
        <v>785924792.53793204</v>
      </c>
      <c r="P18" s="7">
        <f t="shared" si="2"/>
        <v>9.3687564040684165E-2</v>
      </c>
      <c r="Q18" s="46"/>
      <c r="S18" s="12" t="s">
        <v>61</v>
      </c>
      <c r="T18" s="23">
        <v>345916969.749277</v>
      </c>
      <c r="U18" s="23">
        <v>413436537.859438</v>
      </c>
      <c r="V18" s="7">
        <f t="shared" si="3"/>
        <v>0.19519010055823413</v>
      </c>
      <c r="W18" s="46"/>
    </row>
    <row r="19" spans="1:23" x14ac:dyDescent="0.35">
      <c r="A19" s="146" t="s">
        <v>334</v>
      </c>
      <c r="B19" s="23">
        <f>TME_Mcare_MedPharm!B18</f>
        <v>476843825.99000001</v>
      </c>
      <c r="C19" s="23">
        <f>TME_Mcare_MedPharm!C18</f>
        <v>589742259.40999997</v>
      </c>
      <c r="D19" s="7">
        <f t="shared" si="0"/>
        <v>0.23676186471662017</v>
      </c>
      <c r="E19" s="46"/>
      <c r="G19" s="12" t="s">
        <v>81</v>
      </c>
      <c r="H19" s="23">
        <v>1020260898</v>
      </c>
      <c r="I19" s="23">
        <v>1065955782</v>
      </c>
      <c r="J19" s="7">
        <f t="shared" si="1"/>
        <v>4.4787450042998708E-2</v>
      </c>
      <c r="K19" s="6" t="s">
        <v>82</v>
      </c>
      <c r="L19" s="121"/>
      <c r="M19" s="146" t="s">
        <v>334</v>
      </c>
      <c r="N19" s="147">
        <f>TME_Mcare_MedPharm!H18</f>
        <v>394614925.80000007</v>
      </c>
      <c r="O19" s="147">
        <f>TME_Mcare_MedPharm!I18</f>
        <v>486420254.51000005</v>
      </c>
      <c r="P19" s="148">
        <f t="shared" si="2"/>
        <v>0.23264535299541364</v>
      </c>
      <c r="Q19" s="149"/>
      <c r="S19" s="146" t="s">
        <v>334</v>
      </c>
      <c r="T19" s="147">
        <f>TME_Mcare_MedPharm!N18</f>
        <v>82228900.189999983</v>
      </c>
      <c r="U19" s="147">
        <f>TME_Mcare_MedPharm!O18</f>
        <v>103322004.90000001</v>
      </c>
      <c r="V19" s="148">
        <f t="shared" si="3"/>
        <v>0.25651692605959475</v>
      </c>
      <c r="W19" s="149"/>
    </row>
    <row r="20" spans="1:23" x14ac:dyDescent="0.35">
      <c r="A20" s="12" t="s">
        <v>40</v>
      </c>
      <c r="B20" s="23">
        <f t="shared" ref="B20:C26" si="6">N20+T20</f>
        <v>319704366.18015218</v>
      </c>
      <c r="C20" s="23">
        <f t="shared" si="6"/>
        <v>362165319.526411</v>
      </c>
      <c r="D20" s="7">
        <f t="shared" si="0"/>
        <v>0.13281317941817608</v>
      </c>
      <c r="E20" s="6"/>
      <c r="G20" s="37" t="s">
        <v>63</v>
      </c>
      <c r="H20" s="39">
        <f>SUM(H9:H19)</f>
        <v>5738302443</v>
      </c>
      <c r="I20" s="39">
        <f>SUM(I9:I19)</f>
        <v>5974461636</v>
      </c>
      <c r="J20" s="40">
        <f t="shared" si="1"/>
        <v>4.1154887764426606E-2</v>
      </c>
      <c r="K20" s="37"/>
      <c r="L20" s="121"/>
      <c r="M20" s="12" t="s">
        <v>40</v>
      </c>
      <c r="N20" s="23">
        <v>229839301.600719</v>
      </c>
      <c r="O20" s="23">
        <v>258060439.54208899</v>
      </c>
      <c r="P20" s="7">
        <f t="shared" si="2"/>
        <v>0.12278638920682178</v>
      </c>
      <c r="Q20" s="6"/>
      <c r="S20" s="12" t="s">
        <v>40</v>
      </c>
      <c r="T20" s="23">
        <v>89865064.579433203</v>
      </c>
      <c r="U20" s="23">
        <v>104104879.984322</v>
      </c>
      <c r="V20" s="7">
        <f t="shared" si="3"/>
        <v>0.15845774408031485</v>
      </c>
      <c r="W20" s="6"/>
    </row>
    <row r="21" spans="1:23" x14ac:dyDescent="0.35">
      <c r="A21" s="12" t="s">
        <v>48</v>
      </c>
      <c r="B21" s="23">
        <f t="shared" si="6"/>
        <v>167486458.14863199</v>
      </c>
      <c r="C21" s="23">
        <f t="shared" si="6"/>
        <v>378326262.9850471</v>
      </c>
      <c r="D21" s="7">
        <f t="shared" si="0"/>
        <v>1.2588468773356603</v>
      </c>
      <c r="E21" s="6"/>
      <c r="G21" s="37" t="s">
        <v>56</v>
      </c>
      <c r="H21" s="39">
        <v>0</v>
      </c>
      <c r="I21" s="39">
        <v>0</v>
      </c>
      <c r="J21" s="59" t="str">
        <f t="shared" si="1"/>
        <v/>
      </c>
      <c r="K21" s="37"/>
      <c r="M21" s="12" t="s">
        <v>48</v>
      </c>
      <c r="N21" s="23">
        <v>138995385.86866999</v>
      </c>
      <c r="O21" s="23">
        <v>310788823.478585</v>
      </c>
      <c r="P21" s="7">
        <f t="shared" si="2"/>
        <v>1.2359650396757367</v>
      </c>
      <c r="Q21" s="6"/>
      <c r="S21" s="12" t="s">
        <v>48</v>
      </c>
      <c r="T21" s="23">
        <v>28491072.279962</v>
      </c>
      <c r="U21" s="23">
        <v>67537439.506462097</v>
      </c>
      <c r="V21" s="7">
        <f t="shared" si="3"/>
        <v>1.3704772794375211</v>
      </c>
      <c r="W21" s="6"/>
    </row>
    <row r="22" spans="1:23" x14ac:dyDescent="0.35">
      <c r="A22" s="12" t="s">
        <v>49</v>
      </c>
      <c r="B22" s="23">
        <f t="shared" si="6"/>
        <v>102656883.86730878</v>
      </c>
      <c r="C22" s="23">
        <f t="shared" si="6"/>
        <v>43243022.515588567</v>
      </c>
      <c r="D22" s="7">
        <f t="shared" si="0"/>
        <v>-0.57876159019707629</v>
      </c>
      <c r="E22" s="6"/>
      <c r="M22" s="12" t="s">
        <v>49</v>
      </c>
      <c r="N22" s="23">
        <v>97024903.805007294</v>
      </c>
      <c r="O22" s="23">
        <v>44957866.373702496</v>
      </c>
      <c r="P22" s="7">
        <f t="shared" si="2"/>
        <v>-0.53663580575091185</v>
      </c>
      <c r="Q22" s="6"/>
      <c r="S22" s="12" t="s">
        <v>49</v>
      </c>
      <c r="T22" s="23">
        <v>5631980.0623014802</v>
      </c>
      <c r="U22" s="23">
        <v>-1714843.8581139301</v>
      </c>
      <c r="V22" s="7">
        <f t="shared" si="3"/>
        <v>-1.3044832970188407</v>
      </c>
      <c r="W22" s="6"/>
    </row>
    <row r="23" spans="1:23" x14ac:dyDescent="0.35">
      <c r="A23" s="12" t="s">
        <v>50</v>
      </c>
      <c r="B23" s="23">
        <f t="shared" si="6"/>
        <v>8675286.3899999037</v>
      </c>
      <c r="C23" s="23">
        <f t="shared" si="6"/>
        <v>8563812.3899997137</v>
      </c>
      <c r="D23" s="7">
        <f t="shared" si="0"/>
        <v>-1.2849604611173099E-2</v>
      </c>
      <c r="E23" s="6"/>
      <c r="M23" s="12" t="s">
        <v>50</v>
      </c>
      <c r="N23" s="23">
        <v>7940997.3685799101</v>
      </c>
      <c r="O23" s="23">
        <v>7650470.1058597099</v>
      </c>
      <c r="P23" s="7">
        <f t="shared" si="2"/>
        <v>-3.6585739704401293E-2</v>
      </c>
      <c r="Q23" s="6"/>
      <c r="S23" s="12" t="s">
        <v>50</v>
      </c>
      <c r="T23" s="23">
        <v>734289.02141999302</v>
      </c>
      <c r="U23" s="23">
        <v>913342.28414000303</v>
      </c>
      <c r="V23" s="7">
        <f t="shared" si="3"/>
        <v>0.24384575759249502</v>
      </c>
      <c r="W23" s="6"/>
    </row>
    <row r="24" spans="1:23" x14ac:dyDescent="0.35">
      <c r="A24" s="12" t="s">
        <v>51</v>
      </c>
      <c r="B24" s="23">
        <f t="shared" si="6"/>
        <v>0</v>
      </c>
      <c r="C24" s="23">
        <f t="shared" si="6"/>
        <v>0</v>
      </c>
      <c r="D24" s="7" t="str">
        <f t="shared" si="0"/>
        <v/>
      </c>
      <c r="E24" s="6"/>
      <c r="M24" s="12" t="s">
        <v>51</v>
      </c>
      <c r="N24" s="23">
        <v>0</v>
      </c>
      <c r="O24" s="23">
        <v>0</v>
      </c>
      <c r="P24" s="7" t="str">
        <f t="shared" si="2"/>
        <v/>
      </c>
      <c r="Q24" s="6"/>
      <c r="S24" s="12" t="s">
        <v>51</v>
      </c>
      <c r="T24" s="23">
        <v>0</v>
      </c>
      <c r="U24" s="23">
        <v>0</v>
      </c>
      <c r="V24" s="7" t="str">
        <f t="shared" si="3"/>
        <v/>
      </c>
      <c r="W24" s="6"/>
    </row>
    <row r="25" spans="1:23" x14ac:dyDescent="0.35">
      <c r="A25" s="12" t="s">
        <v>52</v>
      </c>
      <c r="B25" s="23">
        <f t="shared" si="6"/>
        <v>-2786141.226871307</v>
      </c>
      <c r="C25" s="23">
        <f t="shared" si="6"/>
        <v>-2999882.8803740381</v>
      </c>
      <c r="D25" s="7">
        <f t="shared" si="0"/>
        <v>7.6716015484524447E-2</v>
      </c>
      <c r="E25" s="6"/>
      <c r="M25" s="12" t="s">
        <v>52</v>
      </c>
      <c r="N25" s="23">
        <v>-2339356.5313432398</v>
      </c>
      <c r="O25" s="23">
        <v>-2535458.00213204</v>
      </c>
      <c r="P25" s="7">
        <f t="shared" si="2"/>
        <v>8.3827098674950695E-2</v>
      </c>
      <c r="Q25" s="6"/>
      <c r="S25" s="12" t="s">
        <v>52</v>
      </c>
      <c r="T25" s="23">
        <v>-446784.69552806701</v>
      </c>
      <c r="U25" s="23">
        <v>-464424.87824199803</v>
      </c>
      <c r="V25" s="7">
        <f t="shared" si="3"/>
        <v>3.9482513368282693E-2</v>
      </c>
      <c r="W25" s="6"/>
    </row>
    <row r="26" spans="1:23" x14ac:dyDescent="0.35">
      <c r="A26" s="12" t="s">
        <v>53</v>
      </c>
      <c r="B26" s="23">
        <f t="shared" si="6"/>
        <v>15137160.148299571</v>
      </c>
      <c r="C26" s="23">
        <f t="shared" si="6"/>
        <v>8373302.8306547198</v>
      </c>
      <c r="D26" s="7">
        <f t="shared" si="0"/>
        <v>-0.44683793072009398</v>
      </c>
      <c r="E26" s="6"/>
      <c r="M26" s="12" t="s">
        <v>53</v>
      </c>
      <c r="N26" s="23">
        <v>12972779.058926901</v>
      </c>
      <c r="O26" s="23">
        <v>5708368.4129861901</v>
      </c>
      <c r="P26" s="7">
        <f t="shared" si="2"/>
        <v>-0.55997335751601229</v>
      </c>
      <c r="Q26" s="6"/>
      <c r="S26" s="12" t="s">
        <v>53</v>
      </c>
      <c r="T26" s="23">
        <v>2164381.0893726698</v>
      </c>
      <c r="U26" s="23">
        <v>2664934.4176685298</v>
      </c>
      <c r="V26" s="7">
        <f t="shared" si="3"/>
        <v>0.23126857407580739</v>
      </c>
      <c r="W26" s="6"/>
    </row>
    <row r="27" spans="1:23" x14ac:dyDescent="0.35">
      <c r="A27" s="37" t="s">
        <v>62</v>
      </c>
      <c r="B27" s="39">
        <f>SUM(B10:B17)+B20</f>
        <v>5899097894.6144533</v>
      </c>
      <c r="C27" s="39">
        <f>SUM(C10:C17)+C20</f>
        <v>6562193501.2528858</v>
      </c>
      <c r="D27" s="40">
        <f t="shared" si="0"/>
        <v>0.11240627270210277</v>
      </c>
      <c r="E27" s="37"/>
      <c r="M27" s="37" t="s">
        <v>62</v>
      </c>
      <c r="N27" s="39">
        <f>SUM(N10:N17)+N20</f>
        <v>4513300988.7673826</v>
      </c>
      <c r="O27" s="39">
        <f>SUM(O10:O17)+O20</f>
        <v>4940227183.6619701</v>
      </c>
      <c r="P27" s="40">
        <f t="shared" si="2"/>
        <v>9.4592892421115557E-2</v>
      </c>
      <c r="Q27" s="37"/>
      <c r="S27" s="37" t="s">
        <v>62</v>
      </c>
      <c r="T27" s="39">
        <f>SUM(T10:T17)+T20</f>
        <v>1385796905.8470714</v>
      </c>
      <c r="U27" s="39">
        <f>SUM(U10:U17)+U20</f>
        <v>1621966317.5909166</v>
      </c>
      <c r="V27" s="40">
        <f t="shared" si="3"/>
        <v>0.17042137325273227</v>
      </c>
      <c r="W27" s="37"/>
    </row>
    <row r="28" spans="1:23" x14ac:dyDescent="0.35">
      <c r="A28" s="37" t="s">
        <v>63</v>
      </c>
      <c r="B28" s="39">
        <f>SUM(B10:B16)+B18+B20</f>
        <v>5586875114.7569056</v>
      </c>
      <c r="C28" s="39">
        <f>SUM(C10:C16)+C18+C20</f>
        <v>6167127756.1765938</v>
      </c>
      <c r="D28" s="40">
        <f t="shared" si="0"/>
        <v>0.10385996277007098</v>
      </c>
      <c r="E28" s="37"/>
      <c r="M28" s="37" t="s">
        <v>63</v>
      </c>
      <c r="N28" s="39">
        <f>SUM(N10:N16)+SUM(N18:N20)</f>
        <v>4670490270.5716658</v>
      </c>
      <c r="O28" s="39">
        <f>SUM(O10:O16)+SUM(O18:O20)</f>
        <v>5125494704.3003922</v>
      </c>
      <c r="P28" s="40">
        <f t="shared" si="2"/>
        <v>9.7421128697273582E-2</v>
      </c>
      <c r="Q28" s="37"/>
      <c r="S28" s="37" t="s">
        <v>63</v>
      </c>
      <c r="T28" s="39">
        <f>SUM(T10:T16)+SUM(T18:T20)</f>
        <v>1393228670.1752405</v>
      </c>
      <c r="U28" s="39">
        <f>SUM(U10:U16)+SUM(U18:U20)</f>
        <v>1631375311.2862015</v>
      </c>
      <c r="V28" s="40">
        <f t="shared" si="3"/>
        <v>0.1709314818227268</v>
      </c>
      <c r="W28" s="37"/>
    </row>
    <row r="29" spans="1:23" x14ac:dyDescent="0.35">
      <c r="A29" s="37" t="s">
        <v>56</v>
      </c>
      <c r="B29" s="39">
        <f>SUM(B21:B26)</f>
        <v>291169647.32736897</v>
      </c>
      <c r="C29" s="39">
        <f>SUM(C21:C26)</f>
        <v>435506517.8409161</v>
      </c>
      <c r="D29" s="40">
        <f t="shared" si="0"/>
        <v>0.49571399985681108</v>
      </c>
      <c r="E29" s="37"/>
      <c r="M29" s="37" t="s">
        <v>56</v>
      </c>
      <c r="N29" s="39">
        <f>SUM(N21:N26)</f>
        <v>254594709.56984085</v>
      </c>
      <c r="O29" s="39">
        <f>SUM(O21:O26)</f>
        <v>366570070.36900139</v>
      </c>
      <c r="P29" s="40">
        <f t="shared" si="2"/>
        <v>0.43981809751016554</v>
      </c>
      <c r="Q29" s="37"/>
      <c r="S29" s="37" t="s">
        <v>56</v>
      </c>
      <c r="T29" s="39">
        <f>SUM(T21:T26)</f>
        <v>36574937.757528082</v>
      </c>
      <c r="U29" s="39">
        <f>SUM(U21:U26)</f>
        <v>68936447.471914709</v>
      </c>
      <c r="V29" s="40">
        <f t="shared" si="3"/>
        <v>0.88480013086900688</v>
      </c>
      <c r="W29" s="37"/>
    </row>
    <row r="30" spans="1:23" x14ac:dyDescent="0.35">
      <c r="G30" s="173" t="s">
        <v>8</v>
      </c>
      <c r="H30" s="171" t="s">
        <v>66</v>
      </c>
      <c r="I30" s="172"/>
      <c r="J30" s="76" t="s">
        <v>3</v>
      </c>
      <c r="K30" s="173" t="s">
        <v>30</v>
      </c>
    </row>
    <row r="31" spans="1:23" x14ac:dyDescent="0.35">
      <c r="G31" s="174"/>
      <c r="H31" s="75">
        <v>2022</v>
      </c>
      <c r="I31" s="75">
        <v>2023</v>
      </c>
      <c r="J31" s="75" t="s">
        <v>310</v>
      </c>
      <c r="K31" s="174"/>
    </row>
    <row r="32" spans="1:23" x14ac:dyDescent="0.35">
      <c r="A32" s="170" t="s">
        <v>8</v>
      </c>
      <c r="B32" s="170" t="s">
        <v>66</v>
      </c>
      <c r="C32" s="170"/>
      <c r="D32" s="76" t="s">
        <v>3</v>
      </c>
      <c r="E32" s="173" t="s">
        <v>30</v>
      </c>
      <c r="G32" s="6" t="s">
        <v>33</v>
      </c>
      <c r="H32" s="23">
        <f>H9/$H$8</f>
        <v>2896.4919845430668</v>
      </c>
      <c r="I32" s="23">
        <f>I9/$I$8</f>
        <v>2934.4263345691866</v>
      </c>
      <c r="J32" s="7">
        <f t="shared" ref="J32:J44" si="7">IFERROR((I32-H32)/H32, "")</f>
        <v>1.3096652857509657E-2</v>
      </c>
      <c r="K32" s="6"/>
      <c r="M32" s="170" t="s">
        <v>8</v>
      </c>
      <c r="N32" s="170" t="s">
        <v>66</v>
      </c>
      <c r="O32" s="170"/>
      <c r="P32" s="76" t="s">
        <v>3</v>
      </c>
      <c r="Q32" s="173" t="s">
        <v>30</v>
      </c>
      <c r="S32" s="170" t="s">
        <v>8</v>
      </c>
      <c r="T32" s="170" t="s">
        <v>66</v>
      </c>
      <c r="U32" s="170"/>
      <c r="V32" s="76" t="s">
        <v>3</v>
      </c>
      <c r="W32" s="173" t="s">
        <v>30</v>
      </c>
    </row>
    <row r="33" spans="1:23" x14ac:dyDescent="0.35">
      <c r="A33" s="170"/>
      <c r="B33" s="75">
        <v>2022</v>
      </c>
      <c r="C33" s="75">
        <v>2023</v>
      </c>
      <c r="D33" s="75" t="s">
        <v>310</v>
      </c>
      <c r="E33" s="174"/>
      <c r="G33" s="6" t="s">
        <v>34</v>
      </c>
      <c r="H33" s="23">
        <f t="shared" ref="H33:H44" si="8">H10/$H$8</f>
        <v>1986.597885020388</v>
      </c>
      <c r="I33" s="23">
        <f t="shared" ref="I33:I44" si="9">I10/$I$8</f>
        <v>2061.2200334595327</v>
      </c>
      <c r="J33" s="7">
        <f t="shared" si="7"/>
        <v>3.7562784598645052E-2</v>
      </c>
      <c r="K33" s="6"/>
      <c r="M33" s="170"/>
      <c r="N33" s="75">
        <v>2022</v>
      </c>
      <c r="O33" s="75">
        <v>2023</v>
      </c>
      <c r="P33" s="75" t="s">
        <v>310</v>
      </c>
      <c r="Q33" s="174"/>
      <c r="S33" s="170"/>
      <c r="T33" s="75">
        <v>2022</v>
      </c>
      <c r="U33" s="75">
        <v>2023</v>
      </c>
      <c r="V33" s="75" t="s">
        <v>310</v>
      </c>
      <c r="W33" s="174"/>
    </row>
    <row r="34" spans="1:23" x14ac:dyDescent="0.35">
      <c r="A34" s="6" t="s">
        <v>33</v>
      </c>
      <c r="B34" s="23">
        <f t="shared" ref="B34:B53" si="10">B10/($B$8/12)</f>
        <v>2850.2312099542296</v>
      </c>
      <c r="C34" s="23">
        <f t="shared" ref="C34:C53" si="11">C10/($C$8/12)</f>
        <v>2923.7806230702231</v>
      </c>
      <c r="D34" s="7">
        <f t="shared" ref="D34:D57" si="12">IFERROR((C34-B34)/B34, "")</f>
        <v>2.5804718178345468E-2</v>
      </c>
      <c r="E34" s="6"/>
      <c r="G34" s="6" t="s">
        <v>69</v>
      </c>
      <c r="H34" s="23">
        <f t="shared" si="8"/>
        <v>1767.427052193822</v>
      </c>
      <c r="I34" s="23">
        <f t="shared" si="9"/>
        <v>1879.8984015231058</v>
      </c>
      <c r="J34" s="7">
        <f t="shared" si="7"/>
        <v>6.3635638704114303E-2</v>
      </c>
      <c r="K34" s="6"/>
      <c r="M34" s="6" t="s">
        <v>33</v>
      </c>
      <c r="N34" s="23">
        <f t="shared" ref="N34:N43" si="13">N10/($N$8/12)</f>
        <v>2485.6185678385186</v>
      </c>
      <c r="O34" s="23">
        <f t="shared" ref="O34:O43" si="14">O10/($O$8/12)</f>
        <v>2580.5415110419362</v>
      </c>
      <c r="P34" s="7">
        <f t="shared" ref="P34:P57" si="15">IFERROR((O34-N34)/N34, "")</f>
        <v>3.8188861489702394E-2</v>
      </c>
      <c r="Q34" s="9"/>
      <c r="S34" s="6" t="s">
        <v>33</v>
      </c>
      <c r="T34" s="23">
        <f t="shared" ref="T34:T43" si="16">T10/($T$8/12)</f>
        <v>4719.2219845010031</v>
      </c>
      <c r="U34" s="23">
        <f t="shared" ref="U34:U43" si="17">U10/($U$8/12)</f>
        <v>4526.6860241951945</v>
      </c>
      <c r="V34" s="7">
        <f t="shared" ref="V34:V57" si="18">IFERROR((U34-T34)/T34, "")</f>
        <v>-4.0798241942875429E-2</v>
      </c>
      <c r="W34" s="6"/>
    </row>
    <row r="35" spans="1:23" x14ac:dyDescent="0.35">
      <c r="A35" s="6" t="s">
        <v>34</v>
      </c>
      <c r="B35" s="23">
        <f t="shared" si="10"/>
        <v>2386.0622702827895</v>
      </c>
      <c r="C35" s="23">
        <f t="shared" si="11"/>
        <v>2531.1100117365372</v>
      </c>
      <c r="D35" s="7">
        <f t="shared" si="12"/>
        <v>6.0789587623191838E-2</v>
      </c>
      <c r="E35" s="6"/>
      <c r="G35" s="6" t="s">
        <v>70</v>
      </c>
      <c r="H35" s="23">
        <f t="shared" si="8"/>
        <v>610.38896036973733</v>
      </c>
      <c r="I35" s="23">
        <f t="shared" si="9"/>
        <v>683.32515433645131</v>
      </c>
      <c r="J35" s="7">
        <f t="shared" si="7"/>
        <v>0.11949133864173028</v>
      </c>
      <c r="K35" s="6"/>
      <c r="M35" s="6" t="s">
        <v>34</v>
      </c>
      <c r="N35" s="23">
        <f t="shared" si="13"/>
        <v>2274.5537265668813</v>
      </c>
      <c r="O35" s="23">
        <f t="shared" si="14"/>
        <v>2412.459071299289</v>
      </c>
      <c r="P35" s="7">
        <f t="shared" si="15"/>
        <v>6.0629627307399937E-2</v>
      </c>
      <c r="Q35" s="9"/>
      <c r="S35" s="6" t="s">
        <v>34</v>
      </c>
      <c r="T35" s="23">
        <f t="shared" si="16"/>
        <v>2957.6508972674746</v>
      </c>
      <c r="U35" s="23">
        <f t="shared" si="17"/>
        <v>3085.202557168097</v>
      </c>
      <c r="V35" s="7">
        <f t="shared" si="18"/>
        <v>4.3126002469887577E-2</v>
      </c>
      <c r="W35" s="6"/>
    </row>
    <row r="36" spans="1:23" x14ac:dyDescent="0.35">
      <c r="A36" s="6" t="s">
        <v>35</v>
      </c>
      <c r="B36" s="23">
        <f t="shared" si="10"/>
        <v>769.98970052071218</v>
      </c>
      <c r="C36" s="23">
        <f t="shared" si="11"/>
        <v>823.29773127862131</v>
      </c>
      <c r="D36" s="7">
        <f t="shared" si="12"/>
        <v>6.9232134821880245E-2</v>
      </c>
      <c r="E36" s="6"/>
      <c r="G36" s="6" t="s">
        <v>75</v>
      </c>
      <c r="H36" s="23">
        <f t="shared" si="8"/>
        <v>457.97557702114767</v>
      </c>
      <c r="I36" s="23">
        <f t="shared" si="9"/>
        <v>477.20364351656201</v>
      </c>
      <c r="J36" s="7">
        <f t="shared" si="7"/>
        <v>4.1984916795085897E-2</v>
      </c>
      <c r="K36" s="6"/>
      <c r="M36" s="6" t="s">
        <v>35</v>
      </c>
      <c r="N36" s="23">
        <f t="shared" si="13"/>
        <v>770.89269306673077</v>
      </c>
      <c r="O36" s="23">
        <f t="shared" si="14"/>
        <v>824.52250664407097</v>
      </c>
      <c r="P36" s="7">
        <f t="shared" si="15"/>
        <v>6.9568454935008503E-2</v>
      </c>
      <c r="Q36" s="9"/>
      <c r="S36" s="6" t="s">
        <v>35</v>
      </c>
      <c r="T36" s="23">
        <f t="shared" si="16"/>
        <v>765.36099448298398</v>
      </c>
      <c r="U36" s="23">
        <f t="shared" si="17"/>
        <v>817.57810615535686</v>
      </c>
      <c r="V36" s="7">
        <f t="shared" si="18"/>
        <v>6.8225467522873354E-2</v>
      </c>
      <c r="W36" s="6"/>
    </row>
    <row r="37" spans="1:23" x14ac:dyDescent="0.35">
      <c r="A37" s="6" t="s">
        <v>36</v>
      </c>
      <c r="B37" s="23">
        <f t="shared" si="10"/>
        <v>2213.2581931871014</v>
      </c>
      <c r="C37" s="23">
        <f t="shared" si="11"/>
        <v>2279.1951243358403</v>
      </c>
      <c r="D37" s="7">
        <f t="shared" si="12"/>
        <v>2.9791793542979946E-2</v>
      </c>
      <c r="E37" s="6"/>
      <c r="G37" s="6" t="s">
        <v>74</v>
      </c>
      <c r="H37" s="23">
        <f t="shared" si="8"/>
        <v>277.23763434665437</v>
      </c>
      <c r="I37" s="23">
        <f t="shared" si="9"/>
        <v>278.27468620796321</v>
      </c>
      <c r="J37" s="7">
        <f t="shared" si="7"/>
        <v>3.7406604761751898E-3</v>
      </c>
      <c r="K37" s="6"/>
      <c r="M37" s="6" t="s">
        <v>36</v>
      </c>
      <c r="N37" s="23">
        <f t="shared" si="13"/>
        <v>2257.9145590594135</v>
      </c>
      <c r="O37" s="23">
        <f t="shared" si="14"/>
        <v>2314.2749452213384</v>
      </c>
      <c r="P37" s="7">
        <f t="shared" si="15"/>
        <v>2.4961257252091563E-2</v>
      </c>
      <c r="Q37" s="9"/>
      <c r="S37" s="6" t="s">
        <v>36</v>
      </c>
      <c r="T37" s="23">
        <f t="shared" si="16"/>
        <v>1984.3513309460222</v>
      </c>
      <c r="U37" s="23">
        <f t="shared" si="17"/>
        <v>2115.3745328082987</v>
      </c>
      <c r="V37" s="7">
        <f t="shared" si="18"/>
        <v>6.6028227874250611E-2</v>
      </c>
      <c r="W37" s="6"/>
    </row>
    <row r="38" spans="1:23" x14ac:dyDescent="0.35">
      <c r="A38" s="6" t="s">
        <v>37</v>
      </c>
      <c r="B38" s="23">
        <f t="shared" si="10"/>
        <v>54.108370472098763</v>
      </c>
      <c r="C38" s="23">
        <f t="shared" si="11"/>
        <v>58.559232735542793</v>
      </c>
      <c r="D38" s="7">
        <f t="shared" si="12"/>
        <v>8.2258294319529329E-2</v>
      </c>
      <c r="E38" s="6"/>
      <c r="G38" s="6" t="s">
        <v>72</v>
      </c>
      <c r="H38" s="23">
        <f t="shared" si="8"/>
        <v>875.08184663837301</v>
      </c>
      <c r="I38" s="23">
        <f t="shared" si="9"/>
        <v>954.26040709098118</v>
      </c>
      <c r="J38" s="7">
        <f t="shared" si="7"/>
        <v>9.048131984084988E-2</v>
      </c>
      <c r="K38" s="6"/>
      <c r="M38" s="6" t="s">
        <v>37</v>
      </c>
      <c r="N38" s="23">
        <f t="shared" si="13"/>
        <v>44.126504227959764</v>
      </c>
      <c r="O38" s="23">
        <f t="shared" si="14"/>
        <v>46.934418251289166</v>
      </c>
      <c r="P38" s="7">
        <f t="shared" si="15"/>
        <v>6.3633276019862711E-2</v>
      </c>
      <c r="Q38" s="9"/>
      <c r="S38" s="6" t="s">
        <v>37</v>
      </c>
      <c r="T38" s="23">
        <f t="shared" si="16"/>
        <v>105.27504372512082</v>
      </c>
      <c r="U38" s="23">
        <f t="shared" si="17"/>
        <v>112.84639661315566</v>
      </c>
      <c r="V38" s="7">
        <f t="shared" si="18"/>
        <v>7.1919731591886818E-2</v>
      </c>
      <c r="W38" s="6"/>
    </row>
    <row r="39" spans="1:23" x14ac:dyDescent="0.35">
      <c r="A39" s="6" t="s">
        <v>38</v>
      </c>
      <c r="B39" s="23">
        <f t="shared" si="10"/>
        <v>590.46626676794676</v>
      </c>
      <c r="C39" s="23">
        <f t="shared" si="11"/>
        <v>618.03967806589719</v>
      </c>
      <c r="D39" s="7">
        <f t="shared" si="12"/>
        <v>4.6697691044875186E-2</v>
      </c>
      <c r="E39" s="6"/>
      <c r="G39" s="12" t="s">
        <v>77</v>
      </c>
      <c r="H39" s="23">
        <f t="shared" si="8"/>
        <v>618.69482585344929</v>
      </c>
      <c r="I39" s="23">
        <f t="shared" si="9"/>
        <v>693.90032065385503</v>
      </c>
      <c r="J39" s="7">
        <f t="shared" si="7"/>
        <v>0.12155507312779713</v>
      </c>
      <c r="K39" s="6"/>
      <c r="M39" s="6" t="s">
        <v>38</v>
      </c>
      <c r="N39" s="23">
        <f t="shared" si="13"/>
        <v>625.799588698506</v>
      </c>
      <c r="O39" s="23">
        <f t="shared" si="14"/>
        <v>642.63934821051544</v>
      </c>
      <c r="P39" s="7">
        <f t="shared" si="15"/>
        <v>2.6909189165546729E-2</v>
      </c>
      <c r="Q39" s="9"/>
      <c r="S39" s="6" t="s">
        <v>38</v>
      </c>
      <c r="T39" s="23">
        <f t="shared" si="16"/>
        <v>409.34897928412624</v>
      </c>
      <c r="U39" s="23">
        <f t="shared" si="17"/>
        <v>503.16074160759609</v>
      </c>
      <c r="V39" s="7">
        <f t="shared" si="18"/>
        <v>0.22917307009664184</v>
      </c>
      <c r="W39" s="6"/>
    </row>
    <row r="40" spans="1:23" x14ac:dyDescent="0.35">
      <c r="A40" s="6" t="s">
        <v>39</v>
      </c>
      <c r="B40" s="23">
        <f t="shared" si="10"/>
        <v>543.51319437060067</v>
      </c>
      <c r="C40" s="23">
        <f t="shared" si="11"/>
        <v>613.01060897221521</v>
      </c>
      <c r="D40" s="7">
        <f t="shared" si="12"/>
        <v>0.12786702387619855</v>
      </c>
      <c r="E40" s="6"/>
      <c r="G40" s="12" t="s">
        <v>80</v>
      </c>
      <c r="H40" s="23">
        <f t="shared" si="8"/>
        <v>264.02381485820121</v>
      </c>
      <c r="I40" s="23">
        <f t="shared" si="9"/>
        <v>377.29863068605113</v>
      </c>
      <c r="J40" s="7">
        <f t="shared" si="7"/>
        <v>0.42903256999254491</v>
      </c>
      <c r="K40" s="6"/>
      <c r="M40" s="6" t="s">
        <v>39</v>
      </c>
      <c r="N40" s="23">
        <f t="shared" si="13"/>
        <v>442.63501566014133</v>
      </c>
      <c r="O40" s="23">
        <f t="shared" si="14"/>
        <v>511.04604083721523</v>
      </c>
      <c r="P40" s="7">
        <f t="shared" si="15"/>
        <v>0.1545540292944208</v>
      </c>
      <c r="Q40" s="9"/>
      <c r="S40" s="6" t="s">
        <v>39</v>
      </c>
      <c r="T40" s="23">
        <f t="shared" si="16"/>
        <v>1060.6109676921731</v>
      </c>
      <c r="U40" s="23">
        <f t="shared" si="17"/>
        <v>1089.1788289083433</v>
      </c>
      <c r="V40" s="7">
        <f t="shared" si="18"/>
        <v>2.6935287382830169E-2</v>
      </c>
      <c r="W40" s="6"/>
    </row>
    <row r="41" spans="1:23" x14ac:dyDescent="0.35">
      <c r="A41" s="12" t="s">
        <v>60</v>
      </c>
      <c r="B41" s="23">
        <f t="shared" si="10"/>
        <v>3081.8307048545471</v>
      </c>
      <c r="C41" s="23">
        <f t="shared" si="11"/>
        <v>3408.9605037959168</v>
      </c>
      <c r="D41" s="7">
        <f t="shared" si="12"/>
        <v>0.10614788100659449</v>
      </c>
      <c r="E41" s="6"/>
      <c r="G41" s="6" t="s">
        <v>83</v>
      </c>
      <c r="H41" s="23">
        <f t="shared" si="8"/>
        <v>313.23303823478579</v>
      </c>
      <c r="I41" s="23">
        <f t="shared" si="9"/>
        <v>352.66062536215151</v>
      </c>
      <c r="J41" s="7">
        <f t="shared" si="7"/>
        <v>0.12587301566130618</v>
      </c>
      <c r="K41" s="6"/>
      <c r="M41" s="12" t="s">
        <v>60</v>
      </c>
      <c r="N41" s="23">
        <f t="shared" si="13"/>
        <v>2557.5579969621499</v>
      </c>
      <c r="O41" s="23">
        <f t="shared" si="14"/>
        <v>2821.9220965606801</v>
      </c>
      <c r="P41" s="7">
        <f t="shared" si="15"/>
        <v>0.10336582783754662</v>
      </c>
      <c r="Q41" s="9"/>
      <c r="S41" s="12" t="s">
        <v>60</v>
      </c>
      <c r="T41" s="23">
        <f t="shared" si="16"/>
        <v>5769.2330086029315</v>
      </c>
      <c r="U41" s="23">
        <f t="shared" si="17"/>
        <v>6150.3935184216343</v>
      </c>
      <c r="V41" s="7">
        <f t="shared" si="18"/>
        <v>6.6067796057175388E-2</v>
      </c>
      <c r="W41" s="6"/>
    </row>
    <row r="42" spans="1:23" x14ac:dyDescent="0.35">
      <c r="A42" s="12" t="s">
        <v>61</v>
      </c>
      <c r="B42" s="23">
        <f t="shared" si="10"/>
        <v>2382.9207118105714</v>
      </c>
      <c r="C42" s="23">
        <f t="shared" si="11"/>
        <v>2564.2912542049939</v>
      </c>
      <c r="D42" s="7">
        <f t="shared" si="12"/>
        <v>7.6112705511135123E-2</v>
      </c>
      <c r="E42" s="46"/>
      <c r="G42" s="12" t="s">
        <v>81</v>
      </c>
      <c r="H42" s="23">
        <f t="shared" si="8"/>
        <v>2176.9884969177883</v>
      </c>
      <c r="I42" s="23">
        <f t="shared" si="9"/>
        <v>2322.0301005092992</v>
      </c>
      <c r="J42" s="7">
        <f t="shared" si="7"/>
        <v>6.6624882858528148E-2</v>
      </c>
      <c r="K42" s="6"/>
      <c r="M42" s="12" t="s">
        <v>61</v>
      </c>
      <c r="N42" s="23">
        <f t="shared" si="13"/>
        <v>1922.3979148183455</v>
      </c>
      <c r="O42" s="23">
        <f t="shared" si="14"/>
        <v>2040.1659351958588</v>
      </c>
      <c r="P42" s="7">
        <f t="shared" si="15"/>
        <v>6.1261000893585348E-2</v>
      </c>
      <c r="Q42" s="9"/>
      <c r="S42" s="12" t="s">
        <v>61</v>
      </c>
      <c r="T42" s="23">
        <f t="shared" si="16"/>
        <v>4743.5433552070072</v>
      </c>
      <c r="U42" s="23">
        <f t="shared" si="17"/>
        <v>5011.9240421515351</v>
      </c>
      <c r="V42" s="7">
        <f>IFERROR((U42-T42)/T42, "")</f>
        <v>5.6578103507776596E-2</v>
      </c>
      <c r="W42" s="46"/>
    </row>
    <row r="43" spans="1:23" x14ac:dyDescent="0.35">
      <c r="A43" s="146" t="s">
        <v>334</v>
      </c>
      <c r="B43" s="147">
        <f t="shared" si="10"/>
        <v>1067.4138359084141</v>
      </c>
      <c r="C43" s="147">
        <f t="shared" si="11"/>
        <v>1260.8968454394917</v>
      </c>
      <c r="D43" s="148">
        <f t="shared" si="12"/>
        <v>0.18126335168441532</v>
      </c>
      <c r="E43" s="149"/>
      <c r="G43" s="63" t="s">
        <v>63</v>
      </c>
      <c r="H43" s="64">
        <f t="shared" si="8"/>
        <v>12244.141115997414</v>
      </c>
      <c r="I43" s="64">
        <f t="shared" si="9"/>
        <v>13014.49833791514</v>
      </c>
      <c r="J43" s="40">
        <f t="shared" si="7"/>
        <v>6.2916395247293103E-2</v>
      </c>
      <c r="K43" s="37"/>
      <c r="M43" s="146" t="s">
        <v>334</v>
      </c>
      <c r="N43" s="147">
        <f t="shared" si="13"/>
        <v>1055.6721863238197</v>
      </c>
      <c r="O43" s="147">
        <f t="shared" si="14"/>
        <v>1262.688291377073</v>
      </c>
      <c r="P43" s="148">
        <f t="shared" si="15"/>
        <v>0.19609885316212419</v>
      </c>
      <c r="Q43" s="151"/>
      <c r="S43" s="146" t="s">
        <v>334</v>
      </c>
      <c r="T43" s="147">
        <f t="shared" si="16"/>
        <v>1127.6010927852722</v>
      </c>
      <c r="U43" s="147">
        <f t="shared" si="17"/>
        <v>1252.5309038304374</v>
      </c>
      <c r="V43" s="148">
        <f>IFERROR((U43-T43)/T43, "")</f>
        <v>0.11079255939401213</v>
      </c>
      <c r="W43" s="149"/>
    </row>
    <row r="44" spans="1:23" x14ac:dyDescent="0.35">
      <c r="A44" s="12" t="s">
        <v>40</v>
      </c>
      <c r="B44" s="23">
        <f t="shared" si="10"/>
        <v>715.65750726146769</v>
      </c>
      <c r="C44" s="23">
        <f t="shared" si="11"/>
        <v>774.32658357447508</v>
      </c>
      <c r="D44" s="7">
        <f t="shared" si="12"/>
        <v>8.1979264826704965E-2</v>
      </c>
      <c r="E44" s="6"/>
      <c r="G44" s="63" t="s">
        <v>56</v>
      </c>
      <c r="H44" s="64">
        <f t="shared" si="8"/>
        <v>0</v>
      </c>
      <c r="I44" s="64">
        <f t="shared" si="9"/>
        <v>0</v>
      </c>
      <c r="J44" s="40" t="str">
        <f t="shared" si="7"/>
        <v/>
      </c>
      <c r="K44" s="37"/>
      <c r="M44" s="12" t="s">
        <v>40</v>
      </c>
      <c r="N44" s="23">
        <f t="shared" ref="N44:N52" si="19">N20/($N$8/12)</f>
        <v>614.86513094272516</v>
      </c>
      <c r="O44" s="23">
        <f t="shared" ref="O44:O52" si="20">O20/($O$8/12)</f>
        <v>669.89376461238169</v>
      </c>
      <c r="P44" s="7">
        <f t="shared" si="15"/>
        <v>8.9497079766558532E-2</v>
      </c>
      <c r="Q44" s="9"/>
      <c r="S44" s="12" t="s">
        <v>40</v>
      </c>
      <c r="T44" s="23">
        <f t="shared" ref="T44:T50" si="21">T20/($T$8/12)</f>
        <v>1232.3154607303272</v>
      </c>
      <c r="U44" s="23">
        <f t="shared" ref="U44:U50" si="22">U20/($U$8/12)</f>
        <v>1262.0213820485208</v>
      </c>
      <c r="V44" s="7">
        <f t="shared" si="18"/>
        <v>2.4105776698272071E-2</v>
      </c>
      <c r="W44" s="6"/>
    </row>
    <row r="45" spans="1:23" x14ac:dyDescent="0.35">
      <c r="A45" s="12" t="s">
        <v>48</v>
      </c>
      <c r="B45" s="23">
        <f t="shared" si="10"/>
        <v>374.91806124149019</v>
      </c>
      <c r="C45" s="23">
        <f t="shared" si="11"/>
        <v>808.87944510199475</v>
      </c>
      <c r="D45" s="7">
        <f t="shared" si="12"/>
        <v>1.1574832709405902</v>
      </c>
      <c r="E45" s="6"/>
      <c r="M45" s="12" t="s">
        <v>48</v>
      </c>
      <c r="N45" s="23">
        <f t="shared" si="19"/>
        <v>371.83987045454467</v>
      </c>
      <c r="O45" s="23">
        <f t="shared" si="20"/>
        <v>806.77028733637462</v>
      </c>
      <c r="P45" s="7">
        <f t="shared" si="15"/>
        <v>1.1696712790647279</v>
      </c>
      <c r="Q45" s="9"/>
      <c r="S45" s="12" t="s">
        <v>48</v>
      </c>
      <c r="T45" s="23">
        <f t="shared" si="21"/>
        <v>390.69675215498381</v>
      </c>
      <c r="U45" s="23">
        <f t="shared" si="22"/>
        <v>818.72908127649441</v>
      </c>
      <c r="V45" s="7">
        <f t="shared" si="18"/>
        <v>1.0955615237664333</v>
      </c>
      <c r="W45" s="6"/>
    </row>
    <row r="46" spans="1:23" x14ac:dyDescent="0.35">
      <c r="A46" s="12" t="s">
        <v>49</v>
      </c>
      <c r="B46" s="23">
        <f t="shared" si="10"/>
        <v>229.79720449081924</v>
      </c>
      <c r="C46" s="23">
        <f t="shared" si="11"/>
        <v>92.455627534176301</v>
      </c>
      <c r="D46" s="7">
        <f t="shared" si="12"/>
        <v>-0.597664263414179</v>
      </c>
      <c r="E46" s="6"/>
      <c r="M46" s="12" t="s">
        <v>49</v>
      </c>
      <c r="N46" s="23">
        <f t="shared" si="19"/>
        <v>259.5606137300606</v>
      </c>
      <c r="O46" s="23">
        <f t="shared" si="20"/>
        <v>116.70519668749137</v>
      </c>
      <c r="P46" s="7">
        <f t="shared" si="15"/>
        <v>-0.55037401472296121</v>
      </c>
      <c r="Q46" s="9"/>
      <c r="S46" s="12" t="s">
        <v>49</v>
      </c>
      <c r="T46" s="23">
        <f t="shared" si="21"/>
        <v>77.231081263668969</v>
      </c>
      <c r="U46" s="23">
        <f t="shared" si="22"/>
        <v>-20.788358971647433</v>
      </c>
      <c r="V46" s="7">
        <f t="shared" si="18"/>
        <v>-1.2691708911943811</v>
      </c>
      <c r="W46" s="6"/>
    </row>
    <row r="47" spans="1:23" x14ac:dyDescent="0.35">
      <c r="A47" s="12" t="s">
        <v>50</v>
      </c>
      <c r="B47" s="23">
        <f t="shared" si="10"/>
        <v>19.41960914336773</v>
      </c>
      <c r="C47" s="23">
        <f t="shared" si="11"/>
        <v>18.309835958320296</v>
      </c>
      <c r="D47" s="7">
        <f t="shared" si="12"/>
        <v>-5.7147040234146448E-2</v>
      </c>
      <c r="E47" s="6"/>
      <c r="M47" s="12" t="s">
        <v>50</v>
      </c>
      <c r="N47" s="23">
        <f t="shared" si="19"/>
        <v>21.243722691647999</v>
      </c>
      <c r="O47" s="23">
        <f t="shared" si="20"/>
        <v>19.859697322700146</v>
      </c>
      <c r="P47" s="7">
        <f t="shared" si="15"/>
        <v>-6.5149851042443918E-2</v>
      </c>
      <c r="Q47" s="9"/>
      <c r="S47" s="12" t="s">
        <v>50</v>
      </c>
      <c r="T47" s="23">
        <f t="shared" si="21"/>
        <v>10.069271278835675</v>
      </c>
      <c r="U47" s="23">
        <f t="shared" si="22"/>
        <v>11.072079348127652</v>
      </c>
      <c r="V47" s="7">
        <f t="shared" si="18"/>
        <v>9.9590927836034293E-2</v>
      </c>
      <c r="W47" s="6"/>
    </row>
    <row r="48" spans="1:23" x14ac:dyDescent="0.35">
      <c r="A48" s="12" t="s">
        <v>51</v>
      </c>
      <c r="B48" s="23">
        <f t="shared" si="10"/>
        <v>0</v>
      </c>
      <c r="C48" s="23">
        <f t="shared" si="11"/>
        <v>0</v>
      </c>
      <c r="D48" s="7" t="str">
        <f t="shared" si="12"/>
        <v/>
      </c>
      <c r="E48" s="6"/>
      <c r="M48" s="12" t="s">
        <v>51</v>
      </c>
      <c r="N48" s="23">
        <f t="shared" si="19"/>
        <v>0</v>
      </c>
      <c r="O48" s="23">
        <f t="shared" si="20"/>
        <v>0</v>
      </c>
      <c r="P48" s="7" t="str">
        <f t="shared" si="15"/>
        <v/>
      </c>
      <c r="Q48" s="9"/>
      <c r="S48" s="12" t="s">
        <v>51</v>
      </c>
      <c r="T48" s="23">
        <f t="shared" si="21"/>
        <v>0</v>
      </c>
      <c r="U48" s="23">
        <f t="shared" si="22"/>
        <v>0</v>
      </c>
      <c r="V48" s="7" t="str">
        <f t="shared" si="18"/>
        <v/>
      </c>
      <c r="W48" s="6"/>
    </row>
    <row r="49" spans="1:23" x14ac:dyDescent="0.35">
      <c r="A49" s="12" t="s">
        <v>52</v>
      </c>
      <c r="B49" s="23">
        <f t="shared" si="10"/>
        <v>-6.2367708928240262</v>
      </c>
      <c r="C49" s="23">
        <f t="shared" si="11"/>
        <v>-6.4138914927611879</v>
      </c>
      <c r="D49" s="7">
        <f t="shared" si="12"/>
        <v>2.8399407799468004E-2</v>
      </c>
      <c r="E49" s="6"/>
      <c r="M49" s="12" t="s">
        <v>52</v>
      </c>
      <c r="N49" s="23">
        <f t="shared" si="19"/>
        <v>-6.2582367330060702</v>
      </c>
      <c r="O49" s="23">
        <f t="shared" si="20"/>
        <v>-6.5817430563114323</v>
      </c>
      <c r="P49" s="7">
        <f t="shared" si="15"/>
        <v>5.1692886847693548E-2</v>
      </c>
      <c r="Q49" s="9"/>
      <c r="S49" s="12" t="s">
        <v>52</v>
      </c>
      <c r="T49" s="23">
        <f t="shared" si="21"/>
        <v>-6.1267377984273574</v>
      </c>
      <c r="U49" s="23">
        <f t="shared" si="22"/>
        <v>-5.63003508370549</v>
      </c>
      <c r="V49" s="7">
        <f t="shared" si="18"/>
        <v>-8.1071319038553219E-2</v>
      </c>
      <c r="W49" s="6"/>
    </row>
    <row r="50" spans="1:23" x14ac:dyDescent="0.35">
      <c r="A50" s="12" t="s">
        <v>53</v>
      </c>
      <c r="B50" s="23">
        <f t="shared" si="10"/>
        <v>33.884499070761308</v>
      </c>
      <c r="C50" s="23">
        <f t="shared" si="11"/>
        <v>17.90251750933465</v>
      </c>
      <c r="D50" s="7">
        <f t="shared" si="12"/>
        <v>-0.4716605527516089</v>
      </c>
      <c r="E50" s="6"/>
      <c r="M50" s="12" t="s">
        <v>53</v>
      </c>
      <c r="N50" s="23">
        <f t="shared" si="19"/>
        <v>34.70472386230562</v>
      </c>
      <c r="O50" s="23">
        <f t="shared" si="20"/>
        <v>14.818235653458387</v>
      </c>
      <c r="P50" s="7">
        <f t="shared" si="15"/>
        <v>-0.57301963524472388</v>
      </c>
      <c r="Q50" s="9"/>
      <c r="S50" s="12" t="s">
        <v>53</v>
      </c>
      <c r="T50" s="23">
        <f t="shared" si="21"/>
        <v>29.680057448673029</v>
      </c>
      <c r="U50" s="23">
        <f t="shared" si="22"/>
        <v>32.305922809393756</v>
      </c>
      <c r="V50" s="7">
        <f t="shared" si="18"/>
        <v>8.8472381337594996E-2</v>
      </c>
      <c r="W50" s="6"/>
    </row>
    <row r="51" spans="1:23" x14ac:dyDescent="0.35">
      <c r="A51" s="37" t="s">
        <v>62</v>
      </c>
      <c r="B51" s="53">
        <f t="shared" si="10"/>
        <v>13205.117417671492</v>
      </c>
      <c r="C51" s="53">
        <f t="shared" si="11"/>
        <v>14030.280097565268</v>
      </c>
      <c r="D51" s="40">
        <f t="shared" si="12"/>
        <v>6.2488098651021305E-2</v>
      </c>
      <c r="E51" s="38"/>
      <c r="M51" s="37" t="s">
        <v>62</v>
      </c>
      <c r="N51" s="53">
        <f t="shared" si="19"/>
        <v>12073.963783023026</v>
      </c>
      <c r="O51" s="53">
        <f t="shared" si="20"/>
        <v>12824.233702678717</v>
      </c>
      <c r="P51" s="40">
        <f t="shared" si="15"/>
        <v>6.2139487341400831E-2</v>
      </c>
      <c r="Q51" s="38"/>
      <c r="S51" s="37" t="s">
        <v>62</v>
      </c>
      <c r="T51" s="53">
        <f>T27/($T$8/12)</f>
        <v>19003.368667232164</v>
      </c>
      <c r="U51" s="53">
        <f>U27/($U$8/12)</f>
        <v>19662.4420879262</v>
      </c>
      <c r="V51" s="40">
        <f t="shared" si="18"/>
        <v>3.4681925727752035E-2</v>
      </c>
      <c r="W51" s="38"/>
    </row>
    <row r="52" spans="1:23" s="77" customFormat="1" x14ac:dyDescent="0.35">
      <c r="A52" s="37" t="s">
        <v>63</v>
      </c>
      <c r="B52" s="53">
        <f t="shared" si="10"/>
        <v>12506.207424627517</v>
      </c>
      <c r="C52" s="53">
        <f t="shared" si="11"/>
        <v>13185.610847974347</v>
      </c>
      <c r="D52" s="40">
        <f t="shared" si="12"/>
        <v>5.4325296253197666E-2</v>
      </c>
      <c r="E52" s="38"/>
      <c r="M52" s="37" t="s">
        <v>63</v>
      </c>
      <c r="N52" s="53">
        <f t="shared" si="19"/>
        <v>12494.475887203042</v>
      </c>
      <c r="O52" s="53">
        <f t="shared" si="20"/>
        <v>13305.165832690969</v>
      </c>
      <c r="P52" s="40">
        <f t="shared" si="15"/>
        <v>6.4883869704230157E-2</v>
      </c>
      <c r="Q52" s="38"/>
      <c r="S52" s="37" t="s">
        <v>63</v>
      </c>
      <c r="T52" s="53">
        <f t="shared" ref="T52" si="23">T28/($T$8/12)</f>
        <v>19105.280106621511</v>
      </c>
      <c r="U52" s="53">
        <f t="shared" ref="U52" si="24">U28/($U$8/12)</f>
        <v>19776.503515486533</v>
      </c>
      <c r="V52" s="40">
        <f t="shared" si="18"/>
        <v>3.5132874530972691E-2</v>
      </c>
      <c r="W52" s="38"/>
    </row>
    <row r="53" spans="1:23" s="77" customFormat="1" x14ac:dyDescent="0.35">
      <c r="A53" s="37" t="s">
        <v>56</v>
      </c>
      <c r="B53" s="53">
        <f t="shared" si="10"/>
        <v>651.78260305361459</v>
      </c>
      <c r="C53" s="53">
        <f t="shared" si="11"/>
        <v>931.13353461106476</v>
      </c>
      <c r="D53" s="40">
        <f t="shared" si="12"/>
        <v>0.42859525591613745</v>
      </c>
      <c r="E53" s="38"/>
      <c r="M53" s="37" t="s">
        <v>56</v>
      </c>
      <c r="N53" s="53">
        <f>N29/($N$8/12)</f>
        <v>681.09069400555279</v>
      </c>
      <c r="O53" s="53">
        <f>O29/($O$8/12)</f>
        <v>951.57167394371322</v>
      </c>
      <c r="P53" s="40">
        <f t="shared" si="15"/>
        <v>0.39712916696517842</v>
      </c>
      <c r="Q53" s="38"/>
      <c r="S53" s="37" t="s">
        <v>56</v>
      </c>
      <c r="T53" s="53">
        <f>T29/($T$8/12)</f>
        <v>501.55042434773418</v>
      </c>
      <c r="U53" s="53">
        <f>U29/($U$8/12)</f>
        <v>835.68868937866296</v>
      </c>
      <c r="V53" s="40">
        <f t="shared" si="18"/>
        <v>0.66621071144636201</v>
      </c>
      <c r="W53" s="38"/>
    </row>
    <row r="54" spans="1:23" x14ac:dyDescent="0.35">
      <c r="A54" s="37" t="s">
        <v>192</v>
      </c>
      <c r="B54" s="53">
        <f>B51+B53</f>
        <v>13856.900020725107</v>
      </c>
      <c r="C54" s="53">
        <f>C51+C53</f>
        <v>14961.413632176333</v>
      </c>
      <c r="D54" s="40">
        <f t="shared" si="12"/>
        <v>7.9708564671698401E-2</v>
      </c>
      <c r="E54" s="38"/>
      <c r="M54" s="37" t="s">
        <v>192</v>
      </c>
      <c r="N54" s="53">
        <f>N51+N53</f>
        <v>12755.054477028578</v>
      </c>
      <c r="O54" s="53">
        <f>O51+O53</f>
        <v>13775.805376622431</v>
      </c>
      <c r="P54" s="40">
        <f t="shared" si="15"/>
        <v>8.0027168949547894E-2</v>
      </c>
      <c r="Q54" s="38"/>
      <c r="S54" s="37" t="s">
        <v>192</v>
      </c>
      <c r="T54" s="53">
        <f>T51+T53</f>
        <v>19504.919091579897</v>
      </c>
      <c r="U54" s="53">
        <f>U51+U53</f>
        <v>20498.130777304861</v>
      </c>
      <c r="V54" s="40">
        <f t="shared" si="18"/>
        <v>5.0921087191472876E-2</v>
      </c>
      <c r="W54" s="38"/>
    </row>
    <row r="55" spans="1:23" x14ac:dyDescent="0.35">
      <c r="A55" s="37" t="s">
        <v>193</v>
      </c>
      <c r="B55" s="53">
        <f>B51/B9+B53</f>
        <v>13997.804257956061</v>
      </c>
      <c r="C55" s="53">
        <f>C51/C9+C53</f>
        <v>15081.711948618962</v>
      </c>
      <c r="D55" s="40">
        <f t="shared" si="12"/>
        <v>7.7434122572962186E-2</v>
      </c>
      <c r="E55" s="38"/>
      <c r="M55" s="37" t="s">
        <v>193</v>
      </c>
      <c r="N55" s="53">
        <f>N51/N9+N53</f>
        <v>13125.900000535212</v>
      </c>
      <c r="O55" s="53">
        <f>O51/O9+O53</f>
        <v>14132.482015459929</v>
      </c>
      <c r="P55" s="40">
        <f t="shared" si="15"/>
        <v>7.6686704521874594E-2</v>
      </c>
      <c r="Q55" s="82"/>
      <c r="S55" s="37" t="s">
        <v>193</v>
      </c>
      <c r="T55" s="53">
        <f>T51/T9+T53</f>
        <v>17966.707789268879</v>
      </c>
      <c r="U55" s="53">
        <f>U51/U9+U53</f>
        <v>19072.603907478049</v>
      </c>
      <c r="V55" s="40">
        <f t="shared" si="18"/>
        <v>6.1552518757481953E-2</v>
      </c>
      <c r="W55" s="38"/>
    </row>
    <row r="56" spans="1:23" x14ac:dyDescent="0.35">
      <c r="A56" s="37" t="s">
        <v>194</v>
      </c>
      <c r="B56" s="53">
        <f>B52+B53</f>
        <v>13157.990027681131</v>
      </c>
      <c r="C56" s="53">
        <f>C52+C53</f>
        <v>14116.744382585412</v>
      </c>
      <c r="D56" s="40">
        <f t="shared" si="12"/>
        <v>7.2864803278259074E-2</v>
      </c>
      <c r="E56" s="38"/>
      <c r="M56" s="37" t="s">
        <v>194</v>
      </c>
      <c r="N56" s="53">
        <f>N52+N53</f>
        <v>13175.566581208594</v>
      </c>
      <c r="O56" s="53">
        <f>O52+O53</f>
        <v>14256.737506634683</v>
      </c>
      <c r="P56" s="40">
        <f t="shared" si="15"/>
        <v>8.2058780452606075E-2</v>
      </c>
      <c r="Q56" s="38"/>
      <c r="S56" s="37" t="s">
        <v>194</v>
      </c>
      <c r="T56" s="53">
        <f>T52+T53</f>
        <v>19606.830530969244</v>
      </c>
      <c r="U56" s="53">
        <f>U52+U53</f>
        <v>20612.192204865194</v>
      </c>
      <c r="V56" s="40">
        <f t="shared" si="18"/>
        <v>5.1276093415912792E-2</v>
      </c>
      <c r="W56" s="38"/>
    </row>
    <row r="57" spans="1:23" x14ac:dyDescent="0.35">
      <c r="A57" s="37" t="s">
        <v>195</v>
      </c>
      <c r="B57" s="53">
        <f>B52/B9+B53</f>
        <v>13291.436597074073</v>
      </c>
      <c r="C57" s="53">
        <f>C52/C9+C53</f>
        <v>14229.800342640994</v>
      </c>
      <c r="D57" s="40">
        <f t="shared" si="12"/>
        <v>7.0599121375148358E-2</v>
      </c>
      <c r="E57" s="38"/>
      <c r="M57" s="37" t="s">
        <v>195</v>
      </c>
      <c r="N57" s="53">
        <f>N52/N9+N53</f>
        <v>13559.327915481099</v>
      </c>
      <c r="O57" s="53">
        <f>O52/O9+O53</f>
        <v>14626.79016930477</v>
      </c>
      <c r="P57" s="40">
        <f t="shared" si="15"/>
        <v>7.8725307071076625E-2</v>
      </c>
      <c r="Q57" s="82"/>
      <c r="S57" s="37" t="s">
        <v>195</v>
      </c>
      <c r="T57" s="53">
        <f>T52/T9+T53</f>
        <v>18060.370095009948</v>
      </c>
      <c r="U57" s="53">
        <f>U52/U9+U53</f>
        <v>19178.395882593413</v>
      </c>
      <c r="V57" s="40">
        <f t="shared" si="18"/>
        <v>6.190492120050041E-2</v>
      </c>
      <c r="W57" s="38"/>
    </row>
    <row r="58" spans="1:23" x14ac:dyDescent="0.35">
      <c r="A58" s="50"/>
      <c r="M58" s="50"/>
      <c r="S58" s="50"/>
    </row>
  </sheetData>
  <mergeCells count="24">
    <mergeCell ref="W6:W7"/>
    <mergeCell ref="W32:W33"/>
    <mergeCell ref="G6:G7"/>
    <mergeCell ref="H6:I6"/>
    <mergeCell ref="K6:K7"/>
    <mergeCell ref="G30:G31"/>
    <mergeCell ref="H30:I30"/>
    <mergeCell ref="K30:K31"/>
    <mergeCell ref="S6:S7"/>
    <mergeCell ref="T6:U6"/>
    <mergeCell ref="S32:S33"/>
    <mergeCell ref="T32:U32"/>
    <mergeCell ref="M6:M7"/>
    <mergeCell ref="N6:O6"/>
    <mergeCell ref="Q6:Q7"/>
    <mergeCell ref="M32:M33"/>
    <mergeCell ref="N32:O32"/>
    <mergeCell ref="Q32:Q33"/>
    <mergeCell ref="A6:A7"/>
    <mergeCell ref="B6:C6"/>
    <mergeCell ref="E6:E7"/>
    <mergeCell ref="A32:A33"/>
    <mergeCell ref="B32:C32"/>
    <mergeCell ref="E32:E3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CF240-FEF6-4DC8-BC35-3DC8BFCBE41F}">
  <sheetPr>
    <tabColor theme="7"/>
  </sheetPr>
  <dimension ref="A1:Q32"/>
  <sheetViews>
    <sheetView zoomScaleNormal="100" workbookViewId="0">
      <selection activeCell="H34" sqref="H34"/>
    </sheetView>
  </sheetViews>
  <sheetFormatPr defaultColWidth="9.08984375" defaultRowHeight="14.5" x14ac:dyDescent="0.35"/>
  <cols>
    <col min="1" max="1" width="41.54296875" style="77" customWidth="1"/>
    <col min="2" max="2" width="19.6328125" style="77" customWidth="1"/>
    <col min="3" max="3" width="20" style="77" bestFit="1" customWidth="1"/>
    <col min="4" max="4" width="16.453125" style="77" customWidth="1"/>
    <col min="5" max="5" width="17.6328125" style="77" customWidth="1"/>
    <col min="6" max="6" width="18.36328125" style="77" customWidth="1"/>
    <col min="7" max="7" width="40" style="77" bestFit="1" customWidth="1"/>
    <col min="8" max="8" width="19.6328125" style="77" customWidth="1"/>
    <col min="9" max="9" width="20" style="77" bestFit="1" customWidth="1"/>
    <col min="10" max="10" width="16.453125" style="77" customWidth="1"/>
    <col min="11" max="11" width="49.90625" style="77" customWidth="1"/>
    <col min="12" max="12" width="9.08984375" style="77"/>
    <col min="13" max="13" width="37.6328125" style="77" customWidth="1"/>
    <col min="14" max="14" width="19.6328125" style="77" customWidth="1"/>
    <col min="15" max="15" width="20" style="77" bestFit="1" customWidth="1"/>
    <col min="16" max="16" width="16.453125" style="77" customWidth="1"/>
    <col min="17" max="17" width="17.6328125" style="77" customWidth="1"/>
    <col min="18" max="16384" width="9.08984375" style="77"/>
  </cols>
  <sheetData>
    <row r="1" spans="1:17" ht="18.5" x14ac:dyDescent="0.45">
      <c r="A1" s="1" t="s">
        <v>308</v>
      </c>
      <c r="B1" s="1"/>
      <c r="C1" s="1"/>
      <c r="D1" s="1"/>
      <c r="H1" s="1"/>
      <c r="I1" s="1"/>
      <c r="J1" s="1"/>
      <c r="M1" s="1"/>
      <c r="N1" s="1"/>
      <c r="O1" s="1"/>
      <c r="P1" s="1"/>
    </row>
    <row r="2" spans="1:17" ht="15.5" x14ac:dyDescent="0.35">
      <c r="A2" s="2" t="s">
        <v>415</v>
      </c>
      <c r="B2" s="3"/>
      <c r="C2" s="3"/>
      <c r="D2" s="3"/>
      <c r="H2" s="3"/>
      <c r="I2" s="3"/>
      <c r="J2" s="3"/>
      <c r="M2" s="2"/>
      <c r="N2" s="3"/>
      <c r="O2" s="3"/>
      <c r="P2" s="3"/>
    </row>
    <row r="3" spans="1:17" ht="15.5" x14ac:dyDescent="0.35">
      <c r="A3" s="4"/>
      <c r="B3" s="5"/>
      <c r="C3" s="5"/>
      <c r="D3" s="5"/>
      <c r="H3" s="5"/>
      <c r="I3" s="5"/>
      <c r="J3" s="5"/>
      <c r="M3" s="4"/>
      <c r="N3" s="5"/>
      <c r="O3" s="5"/>
      <c r="P3" s="5"/>
    </row>
    <row r="4" spans="1:17" ht="15.5" x14ac:dyDescent="0.35">
      <c r="A4" s="4"/>
      <c r="B4" s="5"/>
      <c r="C4" s="5"/>
      <c r="D4" s="5"/>
      <c r="G4" s="4"/>
      <c r="H4" s="5"/>
      <c r="I4" s="5"/>
      <c r="J4" s="5"/>
      <c r="M4" s="4"/>
      <c r="N4" s="5"/>
      <c r="O4" s="5"/>
      <c r="P4" s="5"/>
    </row>
    <row r="5" spans="1:17" x14ac:dyDescent="0.35">
      <c r="A5" s="33" t="s">
        <v>107</v>
      </c>
      <c r="G5" s="33" t="s">
        <v>114</v>
      </c>
      <c r="M5" s="33" t="s">
        <v>319</v>
      </c>
    </row>
    <row r="6" spans="1:17" x14ac:dyDescent="0.35">
      <c r="A6" s="170" t="s">
        <v>8</v>
      </c>
      <c r="B6" s="170" t="s">
        <v>2</v>
      </c>
      <c r="C6" s="170"/>
      <c r="D6" s="126" t="s">
        <v>3</v>
      </c>
      <c r="E6" s="173" t="s">
        <v>30</v>
      </c>
      <c r="G6" s="170" t="s">
        <v>8</v>
      </c>
      <c r="H6" s="170" t="s">
        <v>2</v>
      </c>
      <c r="I6" s="170"/>
      <c r="J6" s="126" t="s">
        <v>3</v>
      </c>
      <c r="K6" s="173" t="s">
        <v>30</v>
      </c>
      <c r="M6" s="170" t="s">
        <v>8</v>
      </c>
      <c r="N6" s="170" t="s">
        <v>2</v>
      </c>
      <c r="O6" s="170"/>
      <c r="P6" s="126" t="s">
        <v>3</v>
      </c>
      <c r="Q6" s="173" t="s">
        <v>30</v>
      </c>
    </row>
    <row r="7" spans="1:17" x14ac:dyDescent="0.35">
      <c r="A7" s="170"/>
      <c r="B7" s="125">
        <v>2022</v>
      </c>
      <c r="C7" s="125">
        <v>2023</v>
      </c>
      <c r="D7" s="125" t="s">
        <v>310</v>
      </c>
      <c r="E7" s="174"/>
      <c r="G7" s="170"/>
      <c r="H7" s="125">
        <v>2022</v>
      </c>
      <c r="I7" s="125">
        <v>2023</v>
      </c>
      <c r="J7" s="125" t="s">
        <v>310</v>
      </c>
      <c r="K7" s="174"/>
      <c r="M7" s="170"/>
      <c r="N7" s="125">
        <v>2022</v>
      </c>
      <c r="O7" s="125">
        <v>2023</v>
      </c>
      <c r="P7" s="125" t="s">
        <v>310</v>
      </c>
      <c r="Q7" s="174"/>
    </row>
    <row r="8" spans="1:17" x14ac:dyDescent="0.35">
      <c r="A8" s="37" t="s">
        <v>67</v>
      </c>
      <c r="B8" s="60">
        <f t="shared" ref="B8:C17" si="0">H8+N8</f>
        <v>5360738</v>
      </c>
      <c r="C8" s="60">
        <f t="shared" si="0"/>
        <v>5612598</v>
      </c>
      <c r="D8" s="40">
        <f t="shared" ref="D8:D18" si="1">IFERROR((C8-B8)/B8, "")</f>
        <v>4.6982337133432001E-2</v>
      </c>
      <c r="E8" s="38"/>
      <c r="G8" s="37" t="s">
        <v>67</v>
      </c>
      <c r="H8" s="60">
        <v>4485653</v>
      </c>
      <c r="I8" s="60">
        <v>4622711</v>
      </c>
      <c r="J8" s="40">
        <f t="shared" ref="J8:J18" si="2">IFERROR((I8-H8)/H8, "")</f>
        <v>3.0554748662011976E-2</v>
      </c>
      <c r="K8" s="38"/>
      <c r="M8" s="37" t="s">
        <v>67</v>
      </c>
      <c r="N8" s="60">
        <v>875085</v>
      </c>
      <c r="O8" s="60">
        <v>989887</v>
      </c>
      <c r="P8" s="40">
        <f t="shared" ref="P8:P18" si="3">IFERROR((O8-N8)/N8, "")</f>
        <v>0.13118954158738866</v>
      </c>
      <c r="Q8" s="38"/>
    </row>
    <row r="9" spans="1:17" x14ac:dyDescent="0.35">
      <c r="A9" s="37" t="s">
        <v>130</v>
      </c>
      <c r="B9" s="81">
        <f>(H9*H8+N9*N8)/(H8+N8)</f>
        <v>0.98944222923696545</v>
      </c>
      <c r="C9" s="81">
        <f>(I9*I8+O9*O8)/(I8+O8)</f>
        <v>0.99149869970519766</v>
      </c>
      <c r="D9" s="40">
        <f t="shared" si="1"/>
        <v>2.0784138855869426E-3</v>
      </c>
      <c r="E9" s="38"/>
      <c r="G9" s="37" t="s">
        <v>130</v>
      </c>
      <c r="H9" s="81">
        <v>0.97020078698095802</v>
      </c>
      <c r="I9" s="81">
        <v>0.97293990858020896</v>
      </c>
      <c r="J9" s="40">
        <f t="shared" si="2"/>
        <v>2.8232522958205951E-3</v>
      </c>
      <c r="K9" s="38"/>
      <c r="M9" s="37" t="s">
        <v>130</v>
      </c>
      <c r="N9" s="81">
        <v>1.08807314301104</v>
      </c>
      <c r="O9" s="81">
        <v>1.07816710516985</v>
      </c>
      <c r="P9" s="40">
        <f t="shared" si="3"/>
        <v>-9.1042021437794281E-3</v>
      </c>
      <c r="Q9" s="38"/>
    </row>
    <row r="10" spans="1:17" x14ac:dyDescent="0.35">
      <c r="A10" s="6" t="s">
        <v>33</v>
      </c>
      <c r="B10" s="23">
        <f>H10+N10</f>
        <v>1415220.5</v>
      </c>
      <c r="C10" s="23">
        <f t="shared" si="0"/>
        <v>2230927.8000000003</v>
      </c>
      <c r="D10" s="7">
        <f t="shared" si="1"/>
        <v>0.57638177231039278</v>
      </c>
      <c r="E10" s="6"/>
      <c r="G10" s="6" t="s">
        <v>33</v>
      </c>
      <c r="H10" s="23">
        <v>1211515.3999999999</v>
      </c>
      <c r="I10" s="23">
        <v>2004095.6</v>
      </c>
      <c r="J10" s="7">
        <f t="shared" si="2"/>
        <v>0.65420563370469764</v>
      </c>
      <c r="K10" s="6"/>
      <c r="M10" s="6" t="s">
        <v>33</v>
      </c>
      <c r="N10" s="23">
        <v>203705.1</v>
      </c>
      <c r="O10" s="23">
        <v>226832.2</v>
      </c>
      <c r="P10" s="7">
        <f t="shared" si="3"/>
        <v>0.11353225815161233</v>
      </c>
      <c r="Q10" s="6"/>
    </row>
    <row r="11" spans="1:17" x14ac:dyDescent="0.35">
      <c r="A11" s="6" t="s">
        <v>34</v>
      </c>
      <c r="B11" s="23">
        <f t="shared" si="0"/>
        <v>126848872</v>
      </c>
      <c r="C11" s="23">
        <f t="shared" si="0"/>
        <v>164042744</v>
      </c>
      <c r="D11" s="7">
        <f t="shared" si="1"/>
        <v>0.29321405396494182</v>
      </c>
      <c r="E11" s="6"/>
      <c r="G11" s="6" t="s">
        <v>34</v>
      </c>
      <c r="H11" s="23">
        <v>96126019</v>
      </c>
      <c r="I11" s="23">
        <v>122346008</v>
      </c>
      <c r="J11" s="7">
        <f t="shared" si="2"/>
        <v>0.27276682497378779</v>
      </c>
      <c r="K11" s="6"/>
      <c r="M11" s="6" t="s">
        <v>34</v>
      </c>
      <c r="N11" s="23">
        <v>30722853</v>
      </c>
      <c r="O11" s="23">
        <v>41696736</v>
      </c>
      <c r="P11" s="7">
        <f t="shared" si="3"/>
        <v>0.35718958131915679</v>
      </c>
      <c r="Q11" s="6"/>
    </row>
    <row r="12" spans="1:17" x14ac:dyDescent="0.35">
      <c r="A12" s="6" t="s">
        <v>35</v>
      </c>
      <c r="B12" s="23">
        <f t="shared" si="0"/>
        <v>39901263.100000001</v>
      </c>
      <c r="C12" s="23">
        <f t="shared" si="0"/>
        <v>63036811</v>
      </c>
      <c r="D12" s="7">
        <f t="shared" si="1"/>
        <v>0.57981993808110799</v>
      </c>
      <c r="E12" s="6"/>
      <c r="G12" s="6" t="s">
        <v>35</v>
      </c>
      <c r="H12" s="23">
        <v>32798774.300000001</v>
      </c>
      <c r="I12" s="23">
        <v>53008199</v>
      </c>
      <c r="J12" s="7">
        <f t="shared" si="2"/>
        <v>0.61616402232445611</v>
      </c>
      <c r="K12" s="6"/>
      <c r="M12" s="6" t="s">
        <v>35</v>
      </c>
      <c r="N12" s="23">
        <v>7102488.7999999998</v>
      </c>
      <c r="O12" s="23">
        <v>10028612</v>
      </c>
      <c r="P12" s="7">
        <f t="shared" si="3"/>
        <v>0.41198561270522527</v>
      </c>
      <c r="Q12" s="6"/>
    </row>
    <row r="13" spans="1:17" x14ac:dyDescent="0.35">
      <c r="A13" s="6" t="s">
        <v>36</v>
      </c>
      <c r="B13" s="23">
        <f t="shared" si="0"/>
        <v>237825628.91000003</v>
      </c>
      <c r="C13" s="23">
        <f t="shared" si="0"/>
        <v>269251112.75999999</v>
      </c>
      <c r="D13" s="7">
        <f t="shared" si="1"/>
        <v>0.13213665824843571</v>
      </c>
      <c r="E13" s="6"/>
      <c r="G13" s="6" t="s">
        <v>36</v>
      </c>
      <c r="H13" s="23">
        <v>203652159.83000001</v>
      </c>
      <c r="I13" s="23">
        <v>232116264.62</v>
      </c>
      <c r="J13" s="7">
        <f t="shared" si="2"/>
        <v>0.13976824411663785</v>
      </c>
      <c r="K13" s="6"/>
      <c r="M13" s="6" t="s">
        <v>36</v>
      </c>
      <c r="N13" s="23">
        <v>34173469.079999998</v>
      </c>
      <c r="O13" s="23">
        <v>37134848.140000001</v>
      </c>
      <c r="P13" s="7">
        <f t="shared" si="3"/>
        <v>8.6657256044664996E-2</v>
      </c>
      <c r="Q13" s="6"/>
    </row>
    <row r="14" spans="1:17" x14ac:dyDescent="0.35">
      <c r="A14" s="6" t="s">
        <v>37</v>
      </c>
      <c r="B14" s="23">
        <f t="shared" si="0"/>
        <v>365187.19</v>
      </c>
      <c r="C14" s="23">
        <f t="shared" si="0"/>
        <v>363932.20999999996</v>
      </c>
      <c r="D14" s="7">
        <f t="shared" si="1"/>
        <v>-3.4365389432198857E-3</v>
      </c>
      <c r="E14" s="6"/>
      <c r="G14" s="6" t="s">
        <v>37</v>
      </c>
      <c r="H14" s="23">
        <v>321063.36</v>
      </c>
      <c r="I14" s="23">
        <v>291184.09999999998</v>
      </c>
      <c r="J14" s="7">
        <f t="shared" si="2"/>
        <v>-9.3063437696534454E-2</v>
      </c>
      <c r="K14" s="6"/>
      <c r="M14" s="6" t="s">
        <v>37</v>
      </c>
      <c r="N14" s="23">
        <v>44123.83</v>
      </c>
      <c r="O14" s="23">
        <v>72748.11</v>
      </c>
      <c r="P14" s="7">
        <f t="shared" si="3"/>
        <v>0.64872609653332447</v>
      </c>
      <c r="Q14" s="6"/>
    </row>
    <row r="15" spans="1:17" x14ac:dyDescent="0.35">
      <c r="A15" s="6" t="s">
        <v>38</v>
      </c>
      <c r="B15" s="23">
        <f t="shared" si="0"/>
        <v>40919251</v>
      </c>
      <c r="C15" s="23">
        <f t="shared" si="0"/>
        <v>51225313</v>
      </c>
      <c r="D15" s="7">
        <f t="shared" si="1"/>
        <v>0.25186340776374427</v>
      </c>
      <c r="E15" s="6"/>
      <c r="G15" s="6" t="s">
        <v>38</v>
      </c>
      <c r="H15" s="23">
        <v>38765004</v>
      </c>
      <c r="I15" s="23">
        <v>48286200</v>
      </c>
      <c r="J15" s="7">
        <f t="shared" si="2"/>
        <v>0.24561318244672437</v>
      </c>
      <c r="K15" s="6"/>
      <c r="M15" s="6" t="s">
        <v>38</v>
      </c>
      <c r="N15" s="23">
        <v>2154247</v>
      </c>
      <c r="O15" s="23">
        <v>2939113</v>
      </c>
      <c r="P15" s="7">
        <f t="shared" si="3"/>
        <v>0.36433426621924042</v>
      </c>
      <c r="Q15" s="6"/>
    </row>
    <row r="16" spans="1:17" x14ac:dyDescent="0.35">
      <c r="A16" s="6" t="s">
        <v>39</v>
      </c>
      <c r="B16" s="23">
        <f t="shared" si="0"/>
        <v>4388031.99</v>
      </c>
      <c r="C16" s="23">
        <f t="shared" si="0"/>
        <v>4195201.84</v>
      </c>
      <c r="D16" s="7">
        <f t="shared" si="1"/>
        <v>-4.3944563403239996E-2</v>
      </c>
      <c r="E16" s="6"/>
      <c r="G16" s="6" t="s">
        <v>39</v>
      </c>
      <c r="H16" s="23">
        <v>3296769.91</v>
      </c>
      <c r="I16" s="23">
        <v>3099411.39</v>
      </c>
      <c r="J16" s="7">
        <f t="shared" si="2"/>
        <v>-5.9864208115148691E-2</v>
      </c>
      <c r="K16" s="6"/>
      <c r="M16" s="6" t="s">
        <v>39</v>
      </c>
      <c r="N16" s="23">
        <v>1091262.08</v>
      </c>
      <c r="O16" s="23">
        <v>1095790.45</v>
      </c>
      <c r="P16" s="7">
        <f t="shared" si="3"/>
        <v>4.1496631130075361E-3</v>
      </c>
      <c r="Q16" s="6"/>
    </row>
    <row r="17" spans="1:17" x14ac:dyDescent="0.35">
      <c r="A17" s="12" t="s">
        <v>40</v>
      </c>
      <c r="B17" s="23">
        <f t="shared" si="0"/>
        <v>25180371.300000001</v>
      </c>
      <c r="C17" s="23">
        <f t="shared" si="0"/>
        <v>35396216.799999997</v>
      </c>
      <c r="D17" s="7">
        <f t="shared" si="1"/>
        <v>0.40570670615965049</v>
      </c>
      <c r="E17" s="6"/>
      <c r="G17" s="12" t="s">
        <v>40</v>
      </c>
      <c r="H17" s="23">
        <v>18443620</v>
      </c>
      <c r="I17" s="23">
        <v>25268891.800000001</v>
      </c>
      <c r="J17" s="7">
        <f t="shared" si="2"/>
        <v>0.3700613979251362</v>
      </c>
      <c r="K17" s="6"/>
      <c r="M17" s="12" t="s">
        <v>40</v>
      </c>
      <c r="N17" s="23">
        <v>6736751.2999999998</v>
      </c>
      <c r="O17" s="23">
        <v>10127325</v>
      </c>
      <c r="P17" s="7">
        <f t="shared" si="3"/>
        <v>0.50329506746078045</v>
      </c>
      <c r="Q17" s="6"/>
    </row>
    <row r="18" spans="1:17" x14ac:dyDescent="0.35">
      <c r="A18" s="37" t="s">
        <v>320</v>
      </c>
      <c r="B18" s="39">
        <f>SUM(B10:B16)+B17</f>
        <v>476843825.99000001</v>
      </c>
      <c r="C18" s="39">
        <f>SUM(C10:C16)+C17</f>
        <v>589742259.40999997</v>
      </c>
      <c r="D18" s="40">
        <f t="shared" si="1"/>
        <v>0.23676186471662017</v>
      </c>
      <c r="E18" s="37"/>
      <c r="G18" s="37" t="s">
        <v>320</v>
      </c>
      <c r="H18" s="39">
        <f>SUM(H10:H17)</f>
        <v>394614925.80000007</v>
      </c>
      <c r="I18" s="39">
        <f>SUM(I10:I17)</f>
        <v>486420254.51000005</v>
      </c>
      <c r="J18" s="40">
        <f t="shared" si="2"/>
        <v>0.23264535299541364</v>
      </c>
      <c r="K18" s="37"/>
      <c r="M18" s="37" t="s">
        <v>320</v>
      </c>
      <c r="N18" s="39">
        <f>SUM(N10:N17)</f>
        <v>82228900.189999983</v>
      </c>
      <c r="O18" s="39">
        <f>SUM(O10:O17)</f>
        <v>103322004.90000001</v>
      </c>
      <c r="P18" s="40">
        <f t="shared" si="3"/>
        <v>0.25651692605959475</v>
      </c>
      <c r="Q18" s="37"/>
    </row>
    <row r="21" spans="1:17" x14ac:dyDescent="0.35">
      <c r="A21" s="170" t="s">
        <v>8</v>
      </c>
      <c r="B21" s="170" t="s">
        <v>66</v>
      </c>
      <c r="C21" s="170"/>
      <c r="D21" s="126" t="s">
        <v>3</v>
      </c>
      <c r="E21" s="173" t="s">
        <v>30</v>
      </c>
      <c r="G21" s="170" t="s">
        <v>8</v>
      </c>
      <c r="H21" s="170" t="s">
        <v>66</v>
      </c>
      <c r="I21" s="170"/>
      <c r="J21" s="126" t="s">
        <v>3</v>
      </c>
      <c r="K21" s="173" t="s">
        <v>30</v>
      </c>
      <c r="M21" s="170" t="s">
        <v>8</v>
      </c>
      <c r="N21" s="170" t="s">
        <v>66</v>
      </c>
      <c r="O21" s="170"/>
      <c r="P21" s="126" t="s">
        <v>3</v>
      </c>
      <c r="Q21" s="173" t="s">
        <v>30</v>
      </c>
    </row>
    <row r="22" spans="1:17" x14ac:dyDescent="0.35">
      <c r="A22" s="170"/>
      <c r="B22" s="125">
        <v>2022</v>
      </c>
      <c r="C22" s="125">
        <v>2023</v>
      </c>
      <c r="D22" s="125" t="s">
        <v>310</v>
      </c>
      <c r="E22" s="174"/>
      <c r="G22" s="170"/>
      <c r="H22" s="125">
        <v>2022</v>
      </c>
      <c r="I22" s="125">
        <v>2023</v>
      </c>
      <c r="J22" s="125" t="s">
        <v>310</v>
      </c>
      <c r="K22" s="174"/>
      <c r="M22" s="170"/>
      <c r="N22" s="125">
        <v>2022</v>
      </c>
      <c r="O22" s="125">
        <v>2023</v>
      </c>
      <c r="P22" s="125" t="s">
        <v>310</v>
      </c>
      <c r="Q22" s="174"/>
    </row>
    <row r="23" spans="1:17" x14ac:dyDescent="0.35">
      <c r="A23" s="6" t="s">
        <v>33</v>
      </c>
      <c r="B23" s="23">
        <f t="shared" ref="B23:B30" si="4">B10/($B$8/12)</f>
        <v>3.1679679178501168</v>
      </c>
      <c r="C23" s="23">
        <f t="shared" ref="C23:C30" si="5">C10/($C$8/12)</f>
        <v>4.7698291593304925</v>
      </c>
      <c r="D23" s="7">
        <f t="shared" ref="D23:D31" si="6">IFERROR((C23-B23)/B23, "")</f>
        <v>0.50564313876241818</v>
      </c>
      <c r="E23" s="6"/>
      <c r="G23" s="6" t="s">
        <v>33</v>
      </c>
      <c r="H23" s="23">
        <f>H10/($H$8/12)</f>
        <v>3.2410408919281091</v>
      </c>
      <c r="I23" s="23">
        <f t="shared" ref="I23:I31" si="7">I10/($I$8/12)</f>
        <v>5.2023903722296287</v>
      </c>
      <c r="J23" s="7">
        <f t="shared" ref="J23:J31" si="8">IFERROR((I23-H23)/H23, "")</f>
        <v>0.60516036227321546</v>
      </c>
      <c r="K23" s="6"/>
      <c r="M23" s="6" t="s">
        <v>33</v>
      </c>
      <c r="N23" s="23">
        <f t="shared" ref="N23:N30" si="9">N10/($N$8/12)</f>
        <v>2.7933985841375408</v>
      </c>
      <c r="O23" s="23">
        <f t="shared" ref="O23:O30" si="10">O10/($O$8/12)</f>
        <v>2.7497950776199711</v>
      </c>
      <c r="P23" s="7">
        <f t="shared" ref="P23:P31" si="11">IFERROR((O23-N23)/N23, "")</f>
        <v>-1.5609482572653434E-2</v>
      </c>
      <c r="Q23" s="6"/>
    </row>
    <row r="24" spans="1:17" x14ac:dyDescent="0.35">
      <c r="A24" s="6" t="s">
        <v>34</v>
      </c>
      <c r="B24" s="23">
        <f t="shared" si="4"/>
        <v>283.95091571347081</v>
      </c>
      <c r="C24" s="23">
        <f t="shared" si="5"/>
        <v>350.73114589714066</v>
      </c>
      <c r="D24" s="7">
        <f t="shared" si="6"/>
        <v>0.23518230260280779</v>
      </c>
      <c r="E24" s="6"/>
      <c r="G24" s="6" t="s">
        <v>34</v>
      </c>
      <c r="H24" s="23">
        <f t="shared" ref="H24:H30" si="12">H11/($H$8/12)</f>
        <v>257.15592088821847</v>
      </c>
      <c r="I24" s="23">
        <f t="shared" si="7"/>
        <v>317.59547503618546</v>
      </c>
      <c r="J24" s="7">
        <f t="shared" si="8"/>
        <v>0.2350307702004617</v>
      </c>
      <c r="K24" s="6"/>
      <c r="M24" s="6" t="s">
        <v>34</v>
      </c>
      <c r="N24" s="23">
        <f t="shared" si="9"/>
        <v>421.3010576115463</v>
      </c>
      <c r="O24" s="23">
        <f t="shared" si="10"/>
        <v>505.47267718436552</v>
      </c>
      <c r="P24" s="7">
        <f t="shared" si="11"/>
        <v>0.19978971818871691</v>
      </c>
      <c r="Q24" s="6"/>
    </row>
    <row r="25" spans="1:17" x14ac:dyDescent="0.35">
      <c r="A25" s="6" t="s">
        <v>35</v>
      </c>
      <c r="B25" s="23">
        <f t="shared" si="4"/>
        <v>89.318888033699835</v>
      </c>
      <c r="C25" s="23">
        <f t="shared" si="5"/>
        <v>134.77568356044742</v>
      </c>
      <c r="D25" s="7">
        <f t="shared" si="6"/>
        <v>0.50892702011244062</v>
      </c>
      <c r="E25" s="6"/>
      <c r="G25" s="6" t="s">
        <v>35</v>
      </c>
      <c r="H25" s="23">
        <f t="shared" si="12"/>
        <v>87.743142770963331</v>
      </c>
      <c r="I25" s="23">
        <f t="shared" si="7"/>
        <v>137.60288886759307</v>
      </c>
      <c r="J25" s="7">
        <f t="shared" si="8"/>
        <v>0.56824664038737538</v>
      </c>
      <c r="K25" s="6"/>
      <c r="M25" s="6" t="s">
        <v>35</v>
      </c>
      <c r="N25" s="23">
        <f t="shared" si="9"/>
        <v>97.39609935034882</v>
      </c>
      <c r="O25" s="23">
        <f t="shared" si="10"/>
        <v>121.572809825768</v>
      </c>
      <c r="P25" s="7">
        <f t="shared" si="11"/>
        <v>0.24823078785169642</v>
      </c>
      <c r="Q25" s="6"/>
    </row>
    <row r="26" spans="1:17" x14ac:dyDescent="0.35">
      <c r="A26" s="6" t="s">
        <v>36</v>
      </c>
      <c r="B26" s="23">
        <f t="shared" si="4"/>
        <v>532.37213736616116</v>
      </c>
      <c r="C26" s="23">
        <f t="shared" si="5"/>
        <v>575.67161466401114</v>
      </c>
      <c r="D26" s="7">
        <f t="shared" si="6"/>
        <v>8.1333101901365973E-2</v>
      </c>
      <c r="E26" s="6"/>
      <c r="G26" s="6" t="s">
        <v>36</v>
      </c>
      <c r="H26" s="23">
        <f t="shared" si="12"/>
        <v>544.80939964816719</v>
      </c>
      <c r="I26" s="23">
        <f t="shared" si="7"/>
        <v>602.54581682480261</v>
      </c>
      <c r="J26" s="7">
        <f t="shared" si="8"/>
        <v>0.10597544244633272</v>
      </c>
      <c r="K26" s="6"/>
      <c r="M26" s="6" t="s">
        <v>36</v>
      </c>
      <c r="N26" s="23">
        <f t="shared" si="9"/>
        <v>468.61919580383619</v>
      </c>
      <c r="O26" s="23">
        <f t="shared" si="10"/>
        <v>450.17075452046549</v>
      </c>
      <c r="P26" s="7">
        <f t="shared" si="11"/>
        <v>-3.9367660242183522E-2</v>
      </c>
      <c r="Q26" s="6"/>
    </row>
    <row r="27" spans="1:17" x14ac:dyDescent="0.35">
      <c r="A27" s="6" t="s">
        <v>37</v>
      </c>
      <c r="B27" s="23">
        <f t="shared" si="4"/>
        <v>0.81747070645870024</v>
      </c>
      <c r="C27" s="23">
        <f t="shared" si="5"/>
        <v>0.77810427898096379</v>
      </c>
      <c r="D27" s="7">
        <f t="shared" si="6"/>
        <v>-4.8156376940126221E-2</v>
      </c>
      <c r="E27" s="6"/>
      <c r="G27" s="6" t="s">
        <v>37</v>
      </c>
      <c r="H27" s="23">
        <f t="shared" si="12"/>
        <v>0.85890734749210418</v>
      </c>
      <c r="I27" s="23">
        <f t="shared" si="7"/>
        <v>0.75587879060577212</v>
      </c>
      <c r="J27" s="7">
        <f t="shared" si="8"/>
        <v>-0.11995305103299188</v>
      </c>
      <c r="K27" s="6"/>
      <c r="M27" s="6" t="s">
        <v>37</v>
      </c>
      <c r="N27" s="23">
        <f t="shared" si="9"/>
        <v>0.60506803339104198</v>
      </c>
      <c r="O27" s="23">
        <f t="shared" si="10"/>
        <v>0.88189593357625673</v>
      </c>
      <c r="P27" s="7">
        <f t="shared" si="11"/>
        <v>0.45751532870404849</v>
      </c>
      <c r="Q27" s="6"/>
    </row>
    <row r="28" spans="1:17" x14ac:dyDescent="0.35">
      <c r="A28" s="6" t="s">
        <v>38</v>
      </c>
      <c r="B28" s="23">
        <f t="shared" si="4"/>
        <v>91.597651666617537</v>
      </c>
      <c r="C28" s="23">
        <f t="shared" si="5"/>
        <v>109.52214215235084</v>
      </c>
      <c r="D28" s="7">
        <f t="shared" si="6"/>
        <v>0.19568722734259597</v>
      </c>
      <c r="E28" s="6"/>
      <c r="G28" s="6" t="s">
        <v>38</v>
      </c>
      <c r="H28" s="23">
        <f t="shared" si="12"/>
        <v>103.70397531864369</v>
      </c>
      <c r="I28" s="23">
        <f t="shared" si="7"/>
        <v>125.34514919924693</v>
      </c>
      <c r="J28" s="7">
        <f t="shared" si="8"/>
        <v>0.20868220156563894</v>
      </c>
      <c r="K28" s="6"/>
      <c r="M28" s="6" t="s">
        <v>38</v>
      </c>
      <c r="N28" s="23">
        <f t="shared" si="9"/>
        <v>29.541089151339584</v>
      </c>
      <c r="O28" s="23">
        <f t="shared" si="10"/>
        <v>35.629678943152101</v>
      </c>
      <c r="P28" s="7">
        <f t="shared" si="11"/>
        <v>0.20610579930281347</v>
      </c>
      <c r="Q28" s="6"/>
    </row>
    <row r="29" spans="1:17" x14ac:dyDescent="0.35">
      <c r="A29" s="6" t="s">
        <v>39</v>
      </c>
      <c r="B29" s="23">
        <f t="shared" si="4"/>
        <v>9.8225997763740747</v>
      </c>
      <c r="C29" s="23">
        <f t="shared" si="5"/>
        <v>8.9695399670526914</v>
      </c>
      <c r="D29" s="7">
        <f t="shared" si="6"/>
        <v>-8.6846642308812741E-2</v>
      </c>
      <c r="E29" s="6"/>
      <c r="G29" s="6" t="s">
        <v>39</v>
      </c>
      <c r="H29" s="23">
        <f t="shared" si="12"/>
        <v>8.8195049683959059</v>
      </c>
      <c r="I29" s="23">
        <f t="shared" si="7"/>
        <v>8.0456980070785296</v>
      </c>
      <c r="J29" s="7">
        <f t="shared" si="8"/>
        <v>-8.7738139962533129E-2</v>
      </c>
      <c r="K29" s="6"/>
      <c r="M29" s="6" t="s">
        <v>39</v>
      </c>
      <c r="N29" s="23">
        <f t="shared" si="9"/>
        <v>14.964426267162619</v>
      </c>
      <c r="O29" s="23">
        <f t="shared" si="10"/>
        <v>13.283824719387162</v>
      </c>
      <c r="P29" s="7">
        <f t="shared" si="11"/>
        <v>-0.11230644715483051</v>
      </c>
      <c r="Q29" s="6"/>
    </row>
    <row r="30" spans="1:17" x14ac:dyDescent="0.35">
      <c r="A30" s="12" t="s">
        <v>40</v>
      </c>
      <c r="B30" s="23">
        <f t="shared" si="4"/>
        <v>56.366204727781884</v>
      </c>
      <c r="C30" s="23">
        <f t="shared" si="5"/>
        <v>75.678785760177362</v>
      </c>
      <c r="D30" s="7">
        <f t="shared" si="6"/>
        <v>0.34262695396407727</v>
      </c>
      <c r="E30" s="6"/>
      <c r="G30" s="12" t="s">
        <v>40</v>
      </c>
      <c r="H30" s="23">
        <f t="shared" si="12"/>
        <v>49.340294490010706</v>
      </c>
      <c r="I30" s="23">
        <f t="shared" si="7"/>
        <v>65.594994279330891</v>
      </c>
      <c r="J30" s="7">
        <f t="shared" si="8"/>
        <v>0.32944067232130253</v>
      </c>
      <c r="K30" s="6"/>
      <c r="M30" s="12" t="s">
        <v>40</v>
      </c>
      <c r="N30" s="23">
        <f t="shared" si="9"/>
        <v>92.380757983510165</v>
      </c>
      <c r="O30" s="23">
        <f t="shared" si="10"/>
        <v>122.76946762610278</v>
      </c>
      <c r="P30" s="7">
        <f t="shared" si="11"/>
        <v>0.32895064195096729</v>
      </c>
      <c r="Q30" s="6"/>
    </row>
    <row r="31" spans="1:17" x14ac:dyDescent="0.35">
      <c r="A31" s="37" t="s">
        <v>320</v>
      </c>
      <c r="B31" s="53">
        <f>SUM(B23:B30)</f>
        <v>1067.4138359084141</v>
      </c>
      <c r="C31" s="53">
        <f>SUM(C23:C30)</f>
        <v>1260.8968454394915</v>
      </c>
      <c r="D31" s="40">
        <f t="shared" si="6"/>
        <v>0.1812633516844151</v>
      </c>
      <c r="E31" s="38"/>
      <c r="G31" s="37" t="s">
        <v>320</v>
      </c>
      <c r="H31" s="53">
        <f>SUM(H23:H30)</f>
        <v>1055.6721863238195</v>
      </c>
      <c r="I31" s="53">
        <f t="shared" si="7"/>
        <v>1262.688291377073</v>
      </c>
      <c r="J31" s="40">
        <f t="shared" si="8"/>
        <v>0.19609885316212447</v>
      </c>
      <c r="K31" s="38"/>
      <c r="M31" s="37" t="s">
        <v>320</v>
      </c>
      <c r="N31" s="53">
        <f>SUM(N23:N30)</f>
        <v>1127.6010927852724</v>
      </c>
      <c r="O31" s="53">
        <f>SUM(O23:O30)</f>
        <v>1252.5309038304374</v>
      </c>
      <c r="P31" s="40">
        <f t="shared" si="11"/>
        <v>0.11079255939401191</v>
      </c>
      <c r="Q31" s="38"/>
    </row>
    <row r="32" spans="1:17" x14ac:dyDescent="0.35">
      <c r="A32" s="50"/>
      <c r="G32" s="50"/>
      <c r="M32" s="50"/>
    </row>
  </sheetData>
  <mergeCells count="18">
    <mergeCell ref="M21:M22"/>
    <mergeCell ref="N21:O21"/>
    <mergeCell ref="Q21:Q22"/>
    <mergeCell ref="A21:A22"/>
    <mergeCell ref="B21:C21"/>
    <mergeCell ref="E21:E22"/>
    <mergeCell ref="Q6:Q7"/>
    <mergeCell ref="A6:A7"/>
    <mergeCell ref="B6:C6"/>
    <mergeCell ref="E6:E7"/>
    <mergeCell ref="G21:G22"/>
    <mergeCell ref="H21:I21"/>
    <mergeCell ref="K21:K22"/>
    <mergeCell ref="G6:G7"/>
    <mergeCell ref="H6:I6"/>
    <mergeCell ref="K6:K7"/>
    <mergeCell ref="M6:M7"/>
    <mergeCell ref="N6:O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411C1-7FF9-4401-BA5E-D55AA7E07CBD}">
  <sheetPr>
    <tabColor theme="8"/>
  </sheetPr>
  <dimension ref="A1:F37"/>
  <sheetViews>
    <sheetView topLeftCell="A18" zoomScaleNormal="100" workbookViewId="0">
      <selection activeCell="B14" sqref="B14"/>
    </sheetView>
  </sheetViews>
  <sheetFormatPr defaultRowHeight="14.5" x14ac:dyDescent="0.35"/>
  <cols>
    <col min="1" max="1" width="32.6328125" style="19" customWidth="1"/>
    <col min="2" max="2" width="19.36328125" style="19" customWidth="1"/>
    <col min="3" max="3" width="19.6328125" style="19" customWidth="1"/>
    <col min="4" max="4" width="20" style="19" bestFit="1" customWidth="1"/>
    <col min="5" max="5" width="16.6328125" style="19" customWidth="1"/>
    <col min="6" max="6" width="61" style="19" customWidth="1"/>
  </cols>
  <sheetData>
    <row r="1" spans="1:6" ht="18.5" x14ac:dyDescent="0.45">
      <c r="A1" s="1" t="s">
        <v>308</v>
      </c>
      <c r="B1" s="27"/>
      <c r="C1" s="27"/>
      <c r="D1" s="27"/>
      <c r="E1" s="27"/>
    </row>
    <row r="2" spans="1:6" ht="15.5" x14ac:dyDescent="0.35">
      <c r="A2" s="28" t="s">
        <v>0</v>
      </c>
      <c r="B2" s="28"/>
      <c r="C2" s="29"/>
      <c r="D2" s="29"/>
      <c r="E2" s="29"/>
    </row>
    <row r="3" spans="1:6" ht="15.5" x14ac:dyDescent="0.35">
      <c r="A3" s="30" t="s">
        <v>315</v>
      </c>
      <c r="B3" s="30"/>
      <c r="C3" s="5"/>
      <c r="D3" s="5"/>
      <c r="E3" s="5"/>
    </row>
    <row r="5" spans="1:6" x14ac:dyDescent="0.35">
      <c r="A5" s="173" t="s">
        <v>26</v>
      </c>
      <c r="B5" s="173" t="s">
        <v>18</v>
      </c>
      <c r="C5" s="171" t="s">
        <v>2</v>
      </c>
      <c r="D5" s="172"/>
      <c r="E5" s="76" t="s">
        <v>3</v>
      </c>
      <c r="F5" s="173" t="s">
        <v>30</v>
      </c>
    </row>
    <row r="6" spans="1:6" x14ac:dyDescent="0.35">
      <c r="A6" s="174"/>
      <c r="B6" s="174"/>
      <c r="C6" s="75">
        <v>2022</v>
      </c>
      <c r="D6" s="75">
        <v>2023</v>
      </c>
      <c r="E6" s="75" t="s">
        <v>310</v>
      </c>
      <c r="F6" s="174"/>
    </row>
    <row r="7" spans="1:6" x14ac:dyDescent="0.35">
      <c r="A7" s="6" t="s">
        <v>27</v>
      </c>
      <c r="B7" s="12" t="s">
        <v>19</v>
      </c>
      <c r="C7" s="23">
        <f>TME_Maid_ServCat!H28+TME_Maid_ServCat!H29</f>
        <v>5638743984.3701324</v>
      </c>
      <c r="D7" s="23">
        <f>TME_Maid_ServCat!I28+TME_Maid_ServCat!I29</f>
        <v>6483994394.3073521</v>
      </c>
      <c r="E7" s="7">
        <f t="shared" ref="E7:E15" si="0">IFERROR((D7-C7)/C7, "")</f>
        <v>0.14990047646783472</v>
      </c>
      <c r="F7" s="41" t="s">
        <v>95</v>
      </c>
    </row>
    <row r="8" spans="1:6" x14ac:dyDescent="0.35">
      <c r="A8" s="6" t="s">
        <v>28</v>
      </c>
      <c r="B8" s="12" t="s">
        <v>19</v>
      </c>
      <c r="C8" s="9">
        <f>TME_Maid_ServCat!N28+TME_Maid_ServCat!N29</f>
        <v>692031845.19999993</v>
      </c>
      <c r="D8" s="9">
        <f>TME_Maid_ServCat!O28+TME_Maid_ServCat!O29</f>
        <v>709415917.85000002</v>
      </c>
      <c r="E8" s="7">
        <f t="shared" si="0"/>
        <v>2.5120336254144532E-2</v>
      </c>
      <c r="F8" s="41" t="s">
        <v>95</v>
      </c>
    </row>
    <row r="9" spans="1:6" s="19" customFormat="1" x14ac:dyDescent="0.35">
      <c r="A9" s="12" t="s">
        <v>57</v>
      </c>
      <c r="B9" s="12" t="s">
        <v>19</v>
      </c>
      <c r="C9" s="9">
        <f>TME_Maid_ServCat!B18-TME_Maid_ServCat!B17</f>
        <v>-492658400.913037</v>
      </c>
      <c r="D9" s="9">
        <f>TME_Maid_ServCat!C18-TME_Maid_ServCat!C17</f>
        <v>-519036214.45333803</v>
      </c>
      <c r="E9" s="7">
        <f t="shared" si="0"/>
        <v>5.3541791820489383E-2</v>
      </c>
      <c r="F9" s="41" t="s">
        <v>115</v>
      </c>
    </row>
    <row r="10" spans="1:6" s="19" customFormat="1" x14ac:dyDescent="0.35">
      <c r="A10" s="87" t="s">
        <v>99</v>
      </c>
      <c r="B10" s="87" t="s">
        <v>19</v>
      </c>
      <c r="C10" s="89">
        <f>TME_Maid_ServCat!T28+TME_Maid_ServCat!T29</f>
        <v>394254720.44079423</v>
      </c>
      <c r="D10" s="89">
        <f>TME_Maid_ServCat!U28+TME_Maid_ServCat!U29</f>
        <v>461320754.06883103</v>
      </c>
      <c r="E10" s="90">
        <f t="shared" si="0"/>
        <v>0.17010838463279274</v>
      </c>
      <c r="F10" s="91" t="s">
        <v>124</v>
      </c>
    </row>
    <row r="11" spans="1:6" s="19" customFormat="1" x14ac:dyDescent="0.35">
      <c r="A11" s="70" t="s">
        <v>123</v>
      </c>
      <c r="B11" s="12" t="s">
        <v>19</v>
      </c>
      <c r="C11" s="9">
        <f>THCE_NCPHI!C13</f>
        <v>967707977.41270232</v>
      </c>
      <c r="D11" s="9">
        <f>THCE_NCPHI!D13</f>
        <v>643087897.84394801</v>
      </c>
      <c r="E11" s="7">
        <f t="shared" si="0"/>
        <v>-0.33545251991894276</v>
      </c>
      <c r="F11" s="41" t="s">
        <v>126</v>
      </c>
    </row>
    <row r="12" spans="1:6" s="77" customFormat="1" x14ac:dyDescent="0.35">
      <c r="A12" s="70" t="s">
        <v>321</v>
      </c>
      <c r="B12" s="12" t="s">
        <v>19</v>
      </c>
      <c r="C12" s="115">
        <f>TME_Maid_ServCat!Z28+TME_Maid_ServCat!Z29</f>
        <v>1504.2619</v>
      </c>
      <c r="D12" s="115">
        <f>TME_Maid_ServCat!AA28+TME_Maid_ServCat!AA29</f>
        <v>21459193.700000003</v>
      </c>
      <c r="E12" s="69">
        <f t="shared" si="0"/>
        <v>14264.596768754167</v>
      </c>
      <c r="F12" s="70"/>
    </row>
    <row r="13" spans="1:6" s="77" customFormat="1" x14ac:dyDescent="0.35">
      <c r="A13" s="70" t="s">
        <v>333</v>
      </c>
      <c r="B13" s="12" t="s">
        <v>19</v>
      </c>
      <c r="C13" s="115">
        <f>TME_Maid_ServCat!AF28+TME_Maid_ServCat!AF29</f>
        <v>1170366828.71</v>
      </c>
      <c r="D13" s="115">
        <f>TME_Maid_ServCat!AG28+TME_Maid_ServCat!AG29</f>
        <v>1335249064.3099999</v>
      </c>
      <c r="E13" s="69">
        <f t="shared" si="0"/>
        <v>0.14088081749696901</v>
      </c>
      <c r="F13" s="70"/>
    </row>
    <row r="14" spans="1:6" s="77" customFormat="1" x14ac:dyDescent="0.35">
      <c r="A14" s="41" t="s">
        <v>131</v>
      </c>
      <c r="B14" s="80" t="s">
        <v>132</v>
      </c>
      <c r="C14" s="9">
        <v>1239217674.0145743</v>
      </c>
      <c r="D14" s="9">
        <v>1608313374.605706</v>
      </c>
      <c r="E14" s="7">
        <f t="shared" si="0"/>
        <v>0.29784573633089645</v>
      </c>
      <c r="F14" s="26"/>
    </row>
    <row r="15" spans="1:6" s="19" customFormat="1" x14ac:dyDescent="0.35">
      <c r="A15" s="47" t="s">
        <v>96</v>
      </c>
      <c r="B15" s="43"/>
      <c r="C15" s="48">
        <f>SUM(C7:C9)+SUM(C11:C14)</f>
        <v>9215411413.0562706</v>
      </c>
      <c r="D15" s="48">
        <f>SUM(D7:D9)+SUM(D11:D14)</f>
        <v>10282483628.16367</v>
      </c>
      <c r="E15" s="45">
        <f t="shared" si="0"/>
        <v>0.11579214071718875</v>
      </c>
      <c r="F15" s="41" t="s">
        <v>125</v>
      </c>
    </row>
    <row r="16" spans="1:6" x14ac:dyDescent="0.35">
      <c r="D16" s="10"/>
    </row>
    <row r="17" spans="1:6" x14ac:dyDescent="0.35">
      <c r="D17" s="10"/>
    </row>
    <row r="18" spans="1:6" x14ac:dyDescent="0.35">
      <c r="A18" s="173" t="s">
        <v>26</v>
      </c>
      <c r="B18" s="173" t="s">
        <v>18</v>
      </c>
      <c r="C18" s="170" t="s">
        <v>46</v>
      </c>
      <c r="D18" s="170"/>
      <c r="E18" s="76" t="s">
        <v>3</v>
      </c>
      <c r="F18" s="173" t="s">
        <v>30</v>
      </c>
    </row>
    <row r="19" spans="1:6" x14ac:dyDescent="0.35">
      <c r="A19" s="174"/>
      <c r="B19" s="174"/>
      <c r="C19" s="75">
        <v>2022</v>
      </c>
      <c r="D19" s="75">
        <v>2023</v>
      </c>
      <c r="E19" s="75" t="s">
        <v>310</v>
      </c>
      <c r="F19" s="174"/>
    </row>
    <row r="20" spans="1:6" x14ac:dyDescent="0.35">
      <c r="A20" s="6" t="s">
        <v>27</v>
      </c>
      <c r="B20" s="12" t="s">
        <v>19</v>
      </c>
      <c r="C20" s="31">
        <f>TME_Maid_ServCat!H8/12</f>
        <v>1101152.4166666667</v>
      </c>
      <c r="D20" s="31">
        <f>TME_Maid_ServCat!I8/12</f>
        <v>1186333.0833333333</v>
      </c>
      <c r="E20" s="7">
        <f>IFERROR((D20-C20)/C20, "")</f>
        <v>7.7355927642169281E-2</v>
      </c>
      <c r="F20" s="54" t="s">
        <v>47</v>
      </c>
    </row>
    <row r="21" spans="1:6" x14ac:dyDescent="0.35">
      <c r="A21" s="6" t="s">
        <v>28</v>
      </c>
      <c r="B21" s="12" t="s">
        <v>19</v>
      </c>
      <c r="C21" s="31">
        <f>TME_Maid_ServCat!N8/12</f>
        <v>72748.25</v>
      </c>
      <c r="D21" s="31">
        <f>TME_Maid_ServCat!O8/12</f>
        <v>72444.333333333328</v>
      </c>
      <c r="E21" s="7">
        <f>IFERROR((D21-C21)/C21, "")</f>
        <v>-4.1776491759825361E-3</v>
      </c>
      <c r="F21" s="54" t="s">
        <v>47</v>
      </c>
    </row>
    <row r="22" spans="1:6" s="19" customFormat="1" x14ac:dyDescent="0.35">
      <c r="A22" s="87" t="s">
        <v>99</v>
      </c>
      <c r="B22" s="87" t="s">
        <v>19</v>
      </c>
      <c r="C22" s="92">
        <f>TME_Maid_ServCat!T8/12</f>
        <v>125262.41666666667</v>
      </c>
      <c r="D22" s="92">
        <f>TME_Maid_ServCat!U8/12</f>
        <v>131315.83333333334</v>
      </c>
      <c r="E22" s="90">
        <f>IFERROR((D22-C22)/C22, "")</f>
        <v>4.832588120006736E-2</v>
      </c>
      <c r="F22" s="91" t="s">
        <v>124</v>
      </c>
    </row>
    <row r="23" spans="1:6" s="19" customFormat="1" x14ac:dyDescent="0.35">
      <c r="A23" s="42" t="s">
        <v>96</v>
      </c>
      <c r="B23" s="43"/>
      <c r="C23" s="44">
        <f>SUM(C20:C21)</f>
        <v>1173900.6666666667</v>
      </c>
      <c r="D23" s="44">
        <f>SUM(D20:D21)</f>
        <v>1258777.4166666665</v>
      </c>
      <c r="E23" s="45">
        <f>IFERROR((D23-C23)/C23, "")</f>
        <v>7.2303178974257129E-2</v>
      </c>
      <c r="F23" s="6"/>
    </row>
    <row r="24" spans="1:6" x14ac:dyDescent="0.35">
      <c r="D24" s="10"/>
    </row>
    <row r="26" spans="1:6" x14ac:dyDescent="0.35">
      <c r="A26" s="173" t="s">
        <v>26</v>
      </c>
      <c r="B26" s="173" t="s">
        <v>18</v>
      </c>
      <c r="C26" s="171" t="s">
        <v>332</v>
      </c>
      <c r="D26" s="172"/>
      <c r="E26" s="76" t="s">
        <v>3</v>
      </c>
      <c r="F26" s="173" t="s">
        <v>30</v>
      </c>
    </row>
    <row r="27" spans="1:6" x14ac:dyDescent="0.35">
      <c r="A27" s="174"/>
      <c r="B27" s="174"/>
      <c r="C27" s="75">
        <v>2022</v>
      </c>
      <c r="D27" s="75">
        <v>2023</v>
      </c>
      <c r="E27" s="75" t="s">
        <v>310</v>
      </c>
      <c r="F27" s="174"/>
    </row>
    <row r="28" spans="1:6" x14ac:dyDescent="0.35">
      <c r="A28" s="6" t="s">
        <v>27</v>
      </c>
      <c r="B28" s="20"/>
      <c r="C28" s="73">
        <f>C7/C20</f>
        <v>5120.7661165012496</v>
      </c>
      <c r="D28" s="73">
        <f>D7/D20</f>
        <v>5465.5766457163645</v>
      </c>
      <c r="E28" s="7">
        <f t="shared" ref="E28:E35" si="1">IFERROR((D28-C28)/C28, "")</f>
        <v>6.7335730898544888E-2</v>
      </c>
      <c r="F28" s="6" t="s">
        <v>58</v>
      </c>
    </row>
    <row r="29" spans="1:6" x14ac:dyDescent="0.35">
      <c r="A29" s="6" t="s">
        <v>28</v>
      </c>
      <c r="B29" s="20"/>
      <c r="C29" s="73">
        <f>C8/C21</f>
        <v>9512.6940538088529</v>
      </c>
      <c r="D29" s="73">
        <f>D8/D21</f>
        <v>9792.5660325399276</v>
      </c>
      <c r="E29" s="7">
        <f t="shared" si="1"/>
        <v>2.942089561043066E-2</v>
      </c>
      <c r="F29" s="6" t="s">
        <v>58</v>
      </c>
    </row>
    <row r="30" spans="1:6" s="19" customFormat="1" x14ac:dyDescent="0.35">
      <c r="A30" s="87" t="s">
        <v>99</v>
      </c>
      <c r="B30" s="88"/>
      <c r="C30" s="93">
        <f>C10/C22</f>
        <v>3147.4302582708237</v>
      </c>
      <c r="D30" s="93">
        <f>D10/D22</f>
        <v>3513.062685272766</v>
      </c>
      <c r="E30" s="90">
        <f t="shared" si="1"/>
        <v>0.1161685556148965</v>
      </c>
      <c r="F30" s="91" t="s">
        <v>124</v>
      </c>
    </row>
    <row r="31" spans="1:6" s="19" customFormat="1" x14ac:dyDescent="0.35">
      <c r="A31" s="70" t="s">
        <v>123</v>
      </c>
      <c r="B31" s="20"/>
      <c r="C31" s="73">
        <f>IFERROR(THCE_NCPHI!C35, "")</f>
        <v>806.96913947019914</v>
      </c>
      <c r="D31" s="73">
        <f>IFERROR(THCE_NCPHI!D35, "")</f>
        <v>498.31124725298764</v>
      </c>
      <c r="E31" s="69">
        <f t="shared" si="1"/>
        <v>-0.38249032970437408</v>
      </c>
      <c r="F31" s="6"/>
    </row>
    <row r="32" spans="1:6" s="77" customFormat="1" x14ac:dyDescent="0.35">
      <c r="A32" s="70" t="s">
        <v>321</v>
      </c>
      <c r="B32" s="114"/>
      <c r="C32" s="152">
        <f>C12/C23</f>
        <v>1.2814217954841152E-3</v>
      </c>
      <c r="D32" s="152">
        <f>D12/D23</f>
        <v>17.047647515654909</v>
      </c>
      <c r="E32" s="69">
        <f t="shared" si="1"/>
        <v>13302.697171167896</v>
      </c>
      <c r="F32" s="12"/>
    </row>
    <row r="33" spans="1:6" s="77" customFormat="1" x14ac:dyDescent="0.35">
      <c r="A33" s="70" t="s">
        <v>333</v>
      </c>
      <c r="B33" s="114"/>
      <c r="C33" s="152">
        <f>C13/C23</f>
        <v>996.98966185384222</v>
      </c>
      <c r="D33" s="152">
        <f>D13/D23</f>
        <v>1060.7507305348995</v>
      </c>
      <c r="E33" s="69">
        <f t="shared" si="1"/>
        <v>6.3953590614467773E-2</v>
      </c>
      <c r="F33" s="12"/>
    </row>
    <row r="34" spans="1:6" s="77" customFormat="1" x14ac:dyDescent="0.35">
      <c r="A34" s="70" t="str">
        <f>A14</f>
        <v>Medicaid CCO Other Spending</v>
      </c>
      <c r="B34" s="20"/>
      <c r="C34" s="73">
        <f>IFERROR(C14/C20, "")</f>
        <v>1125.3825131364188</v>
      </c>
      <c r="D34" s="73">
        <f>IFERROR(D14/D20, "")</f>
        <v>1355.7013600992241</v>
      </c>
      <c r="E34" s="69">
        <f t="shared" si="1"/>
        <v>0.20465827776274154</v>
      </c>
      <c r="F34" s="6"/>
    </row>
    <row r="35" spans="1:6" x14ac:dyDescent="0.35">
      <c r="A35" s="42" t="s">
        <v>96</v>
      </c>
      <c r="B35" s="43"/>
      <c r="C35" s="74">
        <f>C15/C23</f>
        <v>7850.2480446013915</v>
      </c>
      <c r="D35" s="74">
        <f>D15/D23</f>
        <v>8168.6273458833002</v>
      </c>
      <c r="E35" s="45">
        <f t="shared" si="1"/>
        <v>4.0556591266037501E-2</v>
      </c>
      <c r="F35" s="6" t="s">
        <v>103</v>
      </c>
    </row>
    <row r="36" spans="1:6" x14ac:dyDescent="0.35">
      <c r="C36" s="51"/>
    </row>
    <row r="37" spans="1:6" x14ac:dyDescent="0.35">
      <c r="A37" s="22"/>
    </row>
  </sheetData>
  <mergeCells count="12">
    <mergeCell ref="F18:F19"/>
    <mergeCell ref="F5:F6"/>
    <mergeCell ref="A26:A27"/>
    <mergeCell ref="B26:B27"/>
    <mergeCell ref="C26:D26"/>
    <mergeCell ref="F26:F27"/>
    <mergeCell ref="A5:A6"/>
    <mergeCell ref="B5:B6"/>
    <mergeCell ref="C5:D5"/>
    <mergeCell ref="A18:A19"/>
    <mergeCell ref="B18:B19"/>
    <mergeCell ref="C18:D1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E313-7037-4D05-A508-2F74136D8B1F}">
  <sheetPr>
    <tabColor theme="8"/>
  </sheetPr>
  <dimension ref="A1:AI67"/>
  <sheetViews>
    <sheetView topLeftCell="A43" zoomScaleNormal="100" workbookViewId="0">
      <selection activeCell="A60" sqref="A60"/>
    </sheetView>
  </sheetViews>
  <sheetFormatPr defaultRowHeight="14.5" x14ac:dyDescent="0.35"/>
  <cols>
    <col min="1" max="1" width="43" style="19" customWidth="1"/>
    <col min="2" max="2" width="19.6328125" style="19" customWidth="1"/>
    <col min="3" max="3" width="20" style="19" bestFit="1" customWidth="1"/>
    <col min="4" max="4" width="16.453125" style="19" customWidth="1"/>
    <col min="5" max="5" width="17.6328125" style="19" customWidth="1"/>
    <col min="6" max="6" width="9.36328125" style="19"/>
    <col min="7" max="7" width="42.54296875" style="19" customWidth="1"/>
    <col min="8" max="9" width="19.6328125" style="19" customWidth="1"/>
    <col min="10" max="10" width="16.453125" style="19" customWidth="1"/>
    <col min="11" max="11" width="16.6328125" style="19" customWidth="1"/>
    <col min="12" max="12" width="9.36328125" style="19"/>
    <col min="13" max="13" width="41.08984375" style="19" customWidth="1"/>
    <col min="14" max="15" width="19.6328125" style="19" customWidth="1"/>
    <col min="16" max="16" width="16.453125" style="19" customWidth="1"/>
    <col min="17" max="17" width="17.6328125" style="19" customWidth="1"/>
    <col min="19" max="19" width="41.54296875" style="19" customWidth="1"/>
    <col min="20" max="21" width="19.6328125" style="19" customWidth="1"/>
    <col min="22" max="22" width="16.453125" style="19" customWidth="1"/>
    <col min="23" max="23" width="17.6328125" style="19" customWidth="1"/>
    <col min="25" max="25" width="42.36328125" style="77" customWidth="1"/>
    <col min="26" max="27" width="19.6328125" style="77" customWidth="1"/>
    <col min="28" max="28" width="16.453125" style="77" customWidth="1"/>
    <col min="29" max="29" width="17.6328125" style="77" customWidth="1"/>
    <col min="31" max="31" width="42" style="77" customWidth="1"/>
    <col min="32" max="33" width="19.6328125" style="77" customWidth="1"/>
    <col min="34" max="34" width="16.453125" style="77" customWidth="1"/>
    <col min="35" max="35" width="17.6328125" style="77" customWidth="1"/>
  </cols>
  <sheetData>
    <row r="1" spans="1:35" s="19" customFormat="1" ht="18.5" x14ac:dyDescent="0.45">
      <c r="A1" s="1" t="s">
        <v>308</v>
      </c>
      <c r="B1" s="1"/>
      <c r="C1" s="1"/>
      <c r="D1" s="1"/>
      <c r="Y1" s="77"/>
      <c r="Z1" s="77"/>
      <c r="AA1" s="77"/>
      <c r="AB1" s="77"/>
      <c r="AC1" s="77"/>
      <c r="AE1" s="77"/>
      <c r="AF1" s="77"/>
      <c r="AG1" s="77"/>
      <c r="AH1" s="77"/>
      <c r="AI1" s="77"/>
    </row>
    <row r="2" spans="1:35" s="19" customFormat="1" ht="15.5" x14ac:dyDescent="0.35">
      <c r="A2" s="2" t="s">
        <v>133</v>
      </c>
      <c r="B2" s="3"/>
      <c r="C2" s="3"/>
      <c r="D2" s="3"/>
      <c r="G2" s="10"/>
      <c r="M2" s="10"/>
      <c r="S2" s="10"/>
      <c r="Y2" s="10"/>
      <c r="Z2" s="77"/>
      <c r="AA2" s="77"/>
      <c r="AB2" s="77"/>
      <c r="AC2" s="77"/>
      <c r="AE2" s="10"/>
      <c r="AF2" s="77"/>
      <c r="AG2" s="77"/>
      <c r="AH2" s="77"/>
      <c r="AI2" s="77"/>
    </row>
    <row r="3" spans="1:35" s="19" customFormat="1" ht="15.75" customHeight="1" x14ac:dyDescent="0.35">
      <c r="A3" s="4" t="s">
        <v>318</v>
      </c>
      <c r="B3" s="5"/>
      <c r="C3" s="5"/>
      <c r="D3" s="5"/>
      <c r="G3" s="10"/>
      <c r="M3" s="10"/>
      <c r="S3" s="10"/>
      <c r="Y3" s="10"/>
      <c r="Z3" s="77"/>
      <c r="AA3" s="77"/>
      <c r="AB3" s="77"/>
      <c r="AC3" s="77"/>
      <c r="AE3" s="10"/>
      <c r="AF3" s="77"/>
      <c r="AG3" s="77"/>
      <c r="AH3" s="77"/>
      <c r="AI3" s="77"/>
    </row>
    <row r="4" spans="1:35" s="19" customFormat="1" ht="15.75" customHeight="1" x14ac:dyDescent="0.35">
      <c r="A4" s="4"/>
      <c r="B4" s="5"/>
      <c r="C4" s="5"/>
      <c r="D4" s="5"/>
      <c r="G4" s="10"/>
      <c r="H4" s="11"/>
      <c r="I4" s="11"/>
      <c r="M4" s="10"/>
      <c r="S4" s="10"/>
      <c r="Y4" s="10"/>
      <c r="Z4" s="77"/>
      <c r="AA4" s="77"/>
      <c r="AB4" s="77"/>
      <c r="AC4" s="77"/>
      <c r="AE4" s="10"/>
      <c r="AF4" s="77"/>
      <c r="AG4" s="77"/>
      <c r="AH4" s="77"/>
      <c r="AI4" s="77"/>
    </row>
    <row r="5" spans="1:35" s="19" customFormat="1" x14ac:dyDescent="0.35">
      <c r="A5" s="33" t="s">
        <v>349</v>
      </c>
      <c r="G5" s="33" t="s">
        <v>27</v>
      </c>
      <c r="M5" s="33" t="s">
        <v>28</v>
      </c>
      <c r="S5" s="33" t="s">
        <v>112</v>
      </c>
      <c r="Y5" s="33" t="s">
        <v>321</v>
      </c>
      <c r="Z5" s="77"/>
      <c r="AA5" s="77"/>
      <c r="AB5" s="77"/>
      <c r="AC5" s="77"/>
      <c r="AE5" s="33" t="s">
        <v>333</v>
      </c>
      <c r="AF5" s="77"/>
      <c r="AG5" s="77"/>
      <c r="AH5" s="77"/>
      <c r="AI5" s="77"/>
    </row>
    <row r="6" spans="1:35" s="19" customFormat="1" x14ac:dyDescent="0.35">
      <c r="A6" s="170" t="s">
        <v>8</v>
      </c>
      <c r="B6" s="170" t="s">
        <v>2</v>
      </c>
      <c r="C6" s="170"/>
      <c r="D6" s="76" t="s">
        <v>3</v>
      </c>
      <c r="E6" s="173" t="s">
        <v>30</v>
      </c>
      <c r="G6" s="170" t="s">
        <v>8</v>
      </c>
      <c r="H6" s="170" t="s">
        <v>2</v>
      </c>
      <c r="I6" s="170"/>
      <c r="J6" s="76" t="s">
        <v>3</v>
      </c>
      <c r="K6" s="173" t="s">
        <v>30</v>
      </c>
      <c r="M6" s="170" t="s">
        <v>8</v>
      </c>
      <c r="N6" s="170" t="s">
        <v>2</v>
      </c>
      <c r="O6" s="170"/>
      <c r="P6" s="76" t="s">
        <v>3</v>
      </c>
      <c r="Q6" s="173" t="s">
        <v>30</v>
      </c>
      <c r="S6" s="170" t="s">
        <v>8</v>
      </c>
      <c r="T6" s="170" t="s">
        <v>2</v>
      </c>
      <c r="U6" s="170"/>
      <c r="V6" s="76" t="s">
        <v>3</v>
      </c>
      <c r="W6" s="173" t="s">
        <v>30</v>
      </c>
      <c r="Y6" s="170" t="s">
        <v>8</v>
      </c>
      <c r="Z6" s="170" t="s">
        <v>2</v>
      </c>
      <c r="AA6" s="170"/>
      <c r="AB6" s="126" t="s">
        <v>3</v>
      </c>
      <c r="AC6" s="173" t="s">
        <v>30</v>
      </c>
      <c r="AE6" s="170" t="s">
        <v>8</v>
      </c>
      <c r="AF6" s="170" t="s">
        <v>2</v>
      </c>
      <c r="AG6" s="170"/>
      <c r="AH6" s="145" t="s">
        <v>3</v>
      </c>
      <c r="AI6" s="173" t="s">
        <v>30</v>
      </c>
    </row>
    <row r="7" spans="1:35" s="19" customFormat="1" x14ac:dyDescent="0.35">
      <c r="A7" s="170"/>
      <c r="B7" s="75">
        <v>2022</v>
      </c>
      <c r="C7" s="75">
        <v>2023</v>
      </c>
      <c r="D7" s="75" t="s">
        <v>310</v>
      </c>
      <c r="E7" s="174"/>
      <c r="G7" s="170"/>
      <c r="H7" s="75">
        <v>2022</v>
      </c>
      <c r="I7" s="75">
        <v>2023</v>
      </c>
      <c r="J7" s="75" t="s">
        <v>310</v>
      </c>
      <c r="K7" s="174"/>
      <c r="M7" s="170"/>
      <c r="N7" s="75">
        <v>2022</v>
      </c>
      <c r="O7" s="75">
        <v>2023</v>
      </c>
      <c r="P7" s="75" t="s">
        <v>310</v>
      </c>
      <c r="Q7" s="174"/>
      <c r="S7" s="170"/>
      <c r="T7" s="75">
        <v>2022</v>
      </c>
      <c r="U7" s="75">
        <v>2023</v>
      </c>
      <c r="V7" s="75" t="s">
        <v>310</v>
      </c>
      <c r="W7" s="174"/>
      <c r="Y7" s="170"/>
      <c r="Z7" s="125">
        <v>2022</v>
      </c>
      <c r="AA7" s="125">
        <v>2023</v>
      </c>
      <c r="AB7" s="125" t="s">
        <v>310</v>
      </c>
      <c r="AC7" s="174"/>
      <c r="AE7" s="170"/>
      <c r="AF7" s="144">
        <v>2022</v>
      </c>
      <c r="AG7" s="144">
        <v>2023</v>
      </c>
      <c r="AH7" s="144" t="s">
        <v>310</v>
      </c>
      <c r="AI7" s="174"/>
    </row>
    <row r="8" spans="1:35" s="19" customFormat="1" x14ac:dyDescent="0.35">
      <c r="A8" s="37" t="s">
        <v>67</v>
      </c>
      <c r="B8" s="60">
        <f t="shared" ref="B8:B17" si="0">H8+N8+T8</f>
        <v>15589957</v>
      </c>
      <c r="C8" s="60">
        <f>I8+O8 + U8</f>
        <v>16681119</v>
      </c>
      <c r="D8" s="40">
        <f t="shared" ref="D8:D29" si="1">IFERROR((C8-B8)/B8, "")</f>
        <v>6.9991341220504974E-2</v>
      </c>
      <c r="E8" s="38"/>
      <c r="G8" s="37" t="s">
        <v>67</v>
      </c>
      <c r="H8" s="60">
        <v>13213829</v>
      </c>
      <c r="I8" s="60">
        <v>14235997</v>
      </c>
      <c r="J8" s="40">
        <f t="shared" ref="J8:J29" si="2">IFERROR((I8-H8)/H8, "")</f>
        <v>7.7355927642169434E-2</v>
      </c>
      <c r="K8" s="83" t="s">
        <v>113</v>
      </c>
      <c r="M8" s="37" t="s">
        <v>67</v>
      </c>
      <c r="N8" s="60">
        <v>872979</v>
      </c>
      <c r="O8" s="60">
        <v>869332</v>
      </c>
      <c r="P8" s="40">
        <f t="shared" ref="P8:P29" si="3">IFERROR((O8-N8)/N8, "")</f>
        <v>-4.1776491759824693E-3</v>
      </c>
      <c r="Q8" s="83" t="s">
        <v>113</v>
      </c>
      <c r="S8" s="37" t="s">
        <v>67</v>
      </c>
      <c r="T8" s="60">
        <v>1503149</v>
      </c>
      <c r="U8" s="60">
        <v>1575790</v>
      </c>
      <c r="V8" s="40">
        <f t="shared" ref="V8:V29" si="4">IFERROR((U8-T8)/T8, "")</f>
        <v>4.8325881200067325E-2</v>
      </c>
      <c r="W8" s="83"/>
      <c r="Y8" s="37" t="s">
        <v>67</v>
      </c>
      <c r="Z8" s="60">
        <v>12</v>
      </c>
      <c r="AA8" s="60">
        <v>900430</v>
      </c>
      <c r="AB8" s="40">
        <f t="shared" ref="AB8:AB29" si="5">IFERROR((AA8-Z8)/Z8, "")</f>
        <v>75034.833333333328</v>
      </c>
      <c r="AC8" s="83"/>
      <c r="AE8" s="37" t="s">
        <v>67</v>
      </c>
      <c r="AF8" s="127" t="s">
        <v>322</v>
      </c>
      <c r="AG8" s="127" t="s">
        <v>322</v>
      </c>
      <c r="AH8" s="40" t="str">
        <f t="shared" ref="AH8:AH29" si="6">IFERROR((AG8-AF8)/AF8, "")</f>
        <v/>
      </c>
      <c r="AI8" s="83"/>
    </row>
    <row r="9" spans="1:35" s="77" customFormat="1" x14ac:dyDescent="0.35">
      <c r="A9" s="37" t="s">
        <v>130</v>
      </c>
      <c r="B9" s="81">
        <f>(H8*H9+N8*N9+T8*T9)/(H8+N8+T8)</f>
        <v>1.0454483821981346</v>
      </c>
      <c r="C9" s="81">
        <f>(I8*I9+O8*O9+U8*U9)/(I8+O8+U8)</f>
        <v>1.0589611990366266</v>
      </c>
      <c r="D9" s="40">
        <f t="shared" si="1"/>
        <v>1.2925379261748152E-2</v>
      </c>
      <c r="E9" s="38"/>
      <c r="G9" s="37" t="s">
        <v>130</v>
      </c>
      <c r="H9" s="81">
        <v>1.03153986157584</v>
      </c>
      <c r="I9" s="81">
        <v>1.0512109552568201</v>
      </c>
      <c r="J9" s="40">
        <f t="shared" si="2"/>
        <v>1.9069639878898502E-2</v>
      </c>
      <c r="K9" s="83"/>
      <c r="M9" s="37" t="s">
        <v>130</v>
      </c>
      <c r="N9" s="81">
        <v>1.0620700000000001</v>
      </c>
      <c r="O9" s="81">
        <v>1.04156</v>
      </c>
      <c r="P9" s="40">
        <f t="shared" si="3"/>
        <v>-1.9311344826612207E-2</v>
      </c>
      <c r="Q9" s="83"/>
      <c r="S9" s="37" t="s">
        <v>130</v>
      </c>
      <c r="T9" s="81">
        <v>1.1580616293605381</v>
      </c>
      <c r="U9" s="81">
        <v>1.1385783221047414</v>
      </c>
      <c r="V9" s="40">
        <f t="shared" si="4"/>
        <v>-1.682406770229929E-2</v>
      </c>
      <c r="W9" s="83"/>
      <c r="Y9" s="37" t="s">
        <v>130</v>
      </c>
      <c r="Z9" s="127" t="s">
        <v>322</v>
      </c>
      <c r="AA9" s="127" t="s">
        <v>322</v>
      </c>
      <c r="AB9" s="40" t="str">
        <f t="shared" si="5"/>
        <v/>
      </c>
      <c r="AC9" s="83"/>
      <c r="AE9" s="37" t="s">
        <v>130</v>
      </c>
      <c r="AF9" s="127" t="s">
        <v>322</v>
      </c>
      <c r="AG9" s="127" t="s">
        <v>322</v>
      </c>
      <c r="AH9" s="40" t="str">
        <f t="shared" si="6"/>
        <v/>
      </c>
      <c r="AI9" s="83"/>
    </row>
    <row r="10" spans="1:35" s="19" customFormat="1" x14ac:dyDescent="0.35">
      <c r="A10" s="6" t="s">
        <v>33</v>
      </c>
      <c r="B10" s="23">
        <f t="shared" si="0"/>
        <v>1104203251.6972706</v>
      </c>
      <c r="C10" s="23">
        <f t="shared" ref="C10:C17" si="7">I10+O10+U10</f>
        <v>1236161773.3458793</v>
      </c>
      <c r="D10" s="7">
        <f t="shared" si="1"/>
        <v>0.11950564485820456</v>
      </c>
      <c r="E10" s="6"/>
      <c r="G10" s="6" t="s">
        <v>33</v>
      </c>
      <c r="H10" s="23">
        <v>859949422.91937196</v>
      </c>
      <c r="I10" s="23">
        <v>1014407607.84273</v>
      </c>
      <c r="J10" s="7">
        <f t="shared" si="2"/>
        <v>0.1796131037555681</v>
      </c>
      <c r="K10" s="6"/>
      <c r="M10" s="6" t="s">
        <v>33</v>
      </c>
      <c r="N10" s="23">
        <v>223866518.27000001</v>
      </c>
      <c r="O10" s="23">
        <v>192878517.25</v>
      </c>
      <c r="P10" s="7">
        <f t="shared" si="3"/>
        <v>-0.1384217758844408</v>
      </c>
      <c r="Q10" s="6"/>
      <c r="S10" s="6" t="s">
        <v>33</v>
      </c>
      <c r="T10" s="23">
        <v>20387310.507898599</v>
      </c>
      <c r="U10" s="23">
        <v>28875648.253149197</v>
      </c>
      <c r="V10" s="7">
        <f t="shared" si="4"/>
        <v>0.41635397380944311</v>
      </c>
      <c r="W10" s="6"/>
      <c r="Y10" s="6" t="s">
        <v>33</v>
      </c>
      <c r="Z10" s="23">
        <v>0</v>
      </c>
      <c r="AA10" s="23">
        <v>0</v>
      </c>
      <c r="AB10" s="7" t="str">
        <f t="shared" si="5"/>
        <v/>
      </c>
      <c r="AC10" s="6"/>
      <c r="AE10" s="6" t="s">
        <v>33</v>
      </c>
      <c r="AF10" s="23">
        <v>6957592</v>
      </c>
      <c r="AG10" s="23">
        <v>8347660</v>
      </c>
      <c r="AH10" s="7">
        <f t="shared" si="6"/>
        <v>0.19979153707202146</v>
      </c>
      <c r="AI10" s="6"/>
    </row>
    <row r="11" spans="1:35" s="19" customFormat="1" x14ac:dyDescent="0.35">
      <c r="A11" s="6" t="s">
        <v>34</v>
      </c>
      <c r="B11" s="23">
        <f t="shared" si="0"/>
        <v>946835789.56631327</v>
      </c>
      <c r="C11" s="23">
        <f t="shared" si="7"/>
        <v>1114411708.9176862</v>
      </c>
      <c r="D11" s="7">
        <f t="shared" si="1"/>
        <v>0.17698519764248571</v>
      </c>
      <c r="E11" s="6"/>
      <c r="G11" s="6" t="s">
        <v>34</v>
      </c>
      <c r="H11" s="23">
        <v>808677840.85651195</v>
      </c>
      <c r="I11" s="23">
        <v>962468168.889889</v>
      </c>
      <c r="J11" s="7">
        <f t="shared" si="2"/>
        <v>0.19017502429705491</v>
      </c>
      <c r="K11" s="6"/>
      <c r="M11" s="6" t="s">
        <v>34</v>
      </c>
      <c r="N11" s="23">
        <v>94755994.950000003</v>
      </c>
      <c r="O11" s="23">
        <v>103017176.84</v>
      </c>
      <c r="P11" s="7">
        <f t="shared" si="3"/>
        <v>8.7183738552470344E-2</v>
      </c>
      <c r="Q11" s="6"/>
      <c r="S11" s="6" t="s">
        <v>34</v>
      </c>
      <c r="T11" s="23">
        <v>43401953.759801298</v>
      </c>
      <c r="U11" s="23">
        <v>48926363.187797204</v>
      </c>
      <c r="V11" s="7">
        <f t="shared" si="4"/>
        <v>0.12728480977076634</v>
      </c>
      <c r="W11" s="6"/>
      <c r="Y11" s="6" t="s">
        <v>34</v>
      </c>
      <c r="Z11" s="23">
        <v>0</v>
      </c>
      <c r="AA11" s="23">
        <v>4642.2299999999996</v>
      </c>
      <c r="AB11" s="7" t="str">
        <f t="shared" si="5"/>
        <v/>
      </c>
      <c r="AC11" s="6"/>
      <c r="AE11" s="6" t="s">
        <v>34</v>
      </c>
      <c r="AF11" s="23">
        <v>841412.86</v>
      </c>
      <c r="AG11" s="23">
        <v>979955.29</v>
      </c>
      <c r="AH11" s="7">
        <f t="shared" si="6"/>
        <v>0.16465451930458971</v>
      </c>
      <c r="AI11" s="6"/>
    </row>
    <row r="12" spans="1:35" s="19" customFormat="1" x14ac:dyDescent="0.35">
      <c r="A12" s="6" t="s">
        <v>35</v>
      </c>
      <c r="B12" s="23">
        <f t="shared" si="0"/>
        <v>338752981.12001002</v>
      </c>
      <c r="C12" s="23">
        <f t="shared" si="7"/>
        <v>368943604.10561144</v>
      </c>
      <c r="D12" s="7">
        <f t="shared" si="1"/>
        <v>8.9122825977155887E-2</v>
      </c>
      <c r="E12" s="6"/>
      <c r="G12" s="6" t="s">
        <v>35</v>
      </c>
      <c r="H12" s="23">
        <v>285983794.99001002</v>
      </c>
      <c r="I12" s="23">
        <v>317067386.47987902</v>
      </c>
      <c r="J12" s="7">
        <f t="shared" si="2"/>
        <v>0.10869004480115668</v>
      </c>
      <c r="K12" s="6"/>
      <c r="M12" s="6" t="s">
        <v>35</v>
      </c>
      <c r="N12" s="23">
        <v>43268652.920000002</v>
      </c>
      <c r="O12" s="23">
        <v>40977571.969999999</v>
      </c>
      <c r="P12" s="7">
        <f t="shared" si="3"/>
        <v>-5.2950133535148727E-2</v>
      </c>
      <c r="Q12" s="6"/>
      <c r="S12" s="6" t="s">
        <v>35</v>
      </c>
      <c r="T12" s="23">
        <v>9500533.2099999897</v>
      </c>
      <c r="U12" s="23">
        <v>10898645.655732419</v>
      </c>
      <c r="V12" s="7">
        <f t="shared" si="4"/>
        <v>0.1471614713436101</v>
      </c>
      <c r="W12" s="6"/>
      <c r="Y12" s="6" t="s">
        <v>35</v>
      </c>
      <c r="Z12" s="23">
        <v>0</v>
      </c>
      <c r="AA12" s="23">
        <v>1657.13</v>
      </c>
      <c r="AB12" s="7" t="str">
        <f t="shared" si="5"/>
        <v/>
      </c>
      <c r="AC12" s="6"/>
      <c r="AE12" s="6" t="s">
        <v>35</v>
      </c>
      <c r="AF12" s="23">
        <v>1750937.28</v>
      </c>
      <c r="AG12" s="23">
        <v>2000346.3</v>
      </c>
      <c r="AH12" s="7">
        <f t="shared" si="6"/>
        <v>0.14244314907727593</v>
      </c>
      <c r="AI12" s="6"/>
    </row>
    <row r="13" spans="1:35" s="19" customFormat="1" x14ac:dyDescent="0.35">
      <c r="A13" s="6" t="s">
        <v>36</v>
      </c>
      <c r="B13" s="23">
        <f t="shared" si="0"/>
        <v>492605073.69563603</v>
      </c>
      <c r="C13" s="23">
        <f t="shared" si="7"/>
        <v>557488917.57859862</v>
      </c>
      <c r="D13" s="7">
        <f t="shared" si="1"/>
        <v>0.13171574420902557</v>
      </c>
      <c r="E13" s="6"/>
      <c r="G13" s="6" t="s">
        <v>36</v>
      </c>
      <c r="H13" s="52">
        <v>472002660.34149498</v>
      </c>
      <c r="I13" s="23">
        <v>535545786.32993501</v>
      </c>
      <c r="J13" s="7">
        <f t="shared" si="2"/>
        <v>0.13462450813829405</v>
      </c>
      <c r="K13" s="6"/>
      <c r="M13" s="6" t="s">
        <v>36</v>
      </c>
      <c r="N13" s="23">
        <v>1824709.39</v>
      </c>
      <c r="O13" s="23">
        <v>2010767.88</v>
      </c>
      <c r="P13" s="7">
        <f t="shared" si="3"/>
        <v>0.1019660944475109</v>
      </c>
      <c r="Q13" s="6"/>
      <c r="S13" s="6" t="s">
        <v>36</v>
      </c>
      <c r="T13" s="23">
        <v>18777703.964141101</v>
      </c>
      <c r="U13" s="23">
        <v>19932363.368663602</v>
      </c>
      <c r="V13" s="7">
        <f t="shared" si="4"/>
        <v>6.1490979234069286E-2</v>
      </c>
      <c r="W13" s="6"/>
      <c r="Y13" s="6" t="s">
        <v>36</v>
      </c>
      <c r="Z13" s="23">
        <v>0</v>
      </c>
      <c r="AA13" s="23">
        <v>4101.04</v>
      </c>
      <c r="AB13" s="7" t="str">
        <f t="shared" si="5"/>
        <v/>
      </c>
      <c r="AC13" s="6"/>
      <c r="AE13" s="6" t="s">
        <v>36</v>
      </c>
      <c r="AF13" s="23">
        <v>111088.2</v>
      </c>
      <c r="AG13" s="23">
        <v>102163.22</v>
      </c>
      <c r="AH13" s="7">
        <f t="shared" si="6"/>
        <v>-8.0341386393874378E-2</v>
      </c>
      <c r="AI13" s="6"/>
    </row>
    <row r="14" spans="1:35" s="19" customFormat="1" x14ac:dyDescent="0.35">
      <c r="A14" s="6" t="s">
        <v>37</v>
      </c>
      <c r="B14" s="23">
        <f t="shared" si="0"/>
        <v>538702192.73025024</v>
      </c>
      <c r="C14" s="23">
        <f t="shared" si="7"/>
        <v>711208757.42059839</v>
      </c>
      <c r="D14" s="7">
        <f t="shared" si="1"/>
        <v>0.32022621592841577</v>
      </c>
      <c r="E14" s="6"/>
      <c r="G14" s="6" t="s">
        <v>37</v>
      </c>
      <c r="H14" s="24">
        <v>456656767.81375402</v>
      </c>
      <c r="I14" s="24">
        <v>601019061.76378095</v>
      </c>
      <c r="J14" s="7">
        <f t="shared" si="2"/>
        <v>0.31612866407556367</v>
      </c>
      <c r="K14" s="6"/>
      <c r="M14" s="6" t="s">
        <v>37</v>
      </c>
      <c r="N14" s="24">
        <v>54796038.289999999</v>
      </c>
      <c r="O14" s="24">
        <v>73690790.030000001</v>
      </c>
      <c r="P14" s="7">
        <f t="shared" si="3"/>
        <v>0.34481966816656157</v>
      </c>
      <c r="Q14" s="6"/>
      <c r="S14" s="6" t="s">
        <v>37</v>
      </c>
      <c r="T14" s="24">
        <v>27249386.6264962</v>
      </c>
      <c r="U14" s="24">
        <v>36498905.626817502</v>
      </c>
      <c r="V14" s="7">
        <f t="shared" si="4"/>
        <v>0.33943953040496866</v>
      </c>
      <c r="W14" s="6"/>
      <c r="Y14" s="6" t="s">
        <v>37</v>
      </c>
      <c r="Z14" s="24">
        <v>0</v>
      </c>
      <c r="AA14" s="24">
        <v>5867.43</v>
      </c>
      <c r="AB14" s="7" t="str">
        <f t="shared" si="5"/>
        <v/>
      </c>
      <c r="AC14" s="6"/>
      <c r="AE14" s="6" t="s">
        <v>37</v>
      </c>
      <c r="AF14" s="24">
        <v>167590229.47</v>
      </c>
      <c r="AG14" s="24">
        <v>198129524.50999999</v>
      </c>
      <c r="AH14" s="7">
        <f t="shared" si="6"/>
        <v>0.18222598737754442</v>
      </c>
      <c r="AI14" s="6"/>
    </row>
    <row r="15" spans="1:35" s="19" customFormat="1" x14ac:dyDescent="0.35">
      <c r="A15" s="6" t="s">
        <v>38</v>
      </c>
      <c r="B15" s="23">
        <f t="shared" si="0"/>
        <v>371903491.12556243</v>
      </c>
      <c r="C15" s="23">
        <f t="shared" si="7"/>
        <v>416501136.67776889</v>
      </c>
      <c r="D15" s="7">
        <f t="shared" si="1"/>
        <v>0.11991725438562596</v>
      </c>
      <c r="E15" s="6"/>
      <c r="G15" s="6" t="s">
        <v>38</v>
      </c>
      <c r="H15" s="25">
        <v>252365565.50341901</v>
      </c>
      <c r="I15" s="25">
        <v>283763953.92905498</v>
      </c>
      <c r="J15" s="7">
        <f t="shared" si="2"/>
        <v>0.12441629412872725</v>
      </c>
      <c r="K15" s="6"/>
      <c r="M15" s="6" t="s">
        <v>38</v>
      </c>
      <c r="N15" s="25">
        <v>97687579.5</v>
      </c>
      <c r="O15" s="25">
        <v>105300305.55</v>
      </c>
      <c r="P15" s="7">
        <f t="shared" si="3"/>
        <v>7.792931393084622E-2</v>
      </c>
      <c r="Q15" s="6"/>
      <c r="S15" s="6" t="s">
        <v>38</v>
      </c>
      <c r="T15" s="25">
        <v>21850346.122143399</v>
      </c>
      <c r="U15" s="25">
        <v>27436877.198713899</v>
      </c>
      <c r="V15" s="7">
        <f t="shared" si="4"/>
        <v>0.25567242941332829</v>
      </c>
      <c r="W15" s="6"/>
      <c r="Y15" s="6" t="s">
        <v>38</v>
      </c>
      <c r="Z15" s="25">
        <v>0</v>
      </c>
      <c r="AA15" s="25">
        <v>1501258</v>
      </c>
      <c r="AB15" s="7" t="str">
        <f t="shared" si="5"/>
        <v/>
      </c>
      <c r="AC15" s="6"/>
      <c r="AE15" s="6" t="s">
        <v>38</v>
      </c>
      <c r="AF15" s="25">
        <v>45069760</v>
      </c>
      <c r="AG15" s="25">
        <v>53236316</v>
      </c>
      <c r="AH15" s="7">
        <f t="shared" si="6"/>
        <v>0.18119812486243547</v>
      </c>
      <c r="AI15" s="6"/>
    </row>
    <row r="16" spans="1:35" s="19" customFormat="1" x14ac:dyDescent="0.35">
      <c r="A16" s="6" t="s">
        <v>39</v>
      </c>
      <c r="B16" s="23">
        <f t="shared" si="0"/>
        <v>109967350.49894835</v>
      </c>
      <c r="C16" s="23">
        <f t="shared" si="7"/>
        <v>134440712.14173618</v>
      </c>
      <c r="D16" s="7">
        <f t="shared" si="1"/>
        <v>0.22255116206534298</v>
      </c>
      <c r="E16" s="6"/>
      <c r="G16" s="6" t="s">
        <v>39</v>
      </c>
      <c r="H16" s="25">
        <v>37433450.187403202</v>
      </c>
      <c r="I16" s="25">
        <v>47967612.828348197</v>
      </c>
      <c r="J16" s="7">
        <f t="shared" si="2"/>
        <v>0.28141041203009026</v>
      </c>
      <c r="K16" s="6"/>
      <c r="M16" s="6" t="s">
        <v>39</v>
      </c>
      <c r="N16" s="25">
        <v>9008408.7599999998</v>
      </c>
      <c r="O16" s="25">
        <v>11390586.289999999</v>
      </c>
      <c r="P16" s="7">
        <f t="shared" si="3"/>
        <v>0.26443932479813442</v>
      </c>
      <c r="Q16" s="6"/>
      <c r="S16" s="6" t="s">
        <v>39</v>
      </c>
      <c r="T16" s="25">
        <v>63525491.551545151</v>
      </c>
      <c r="U16" s="25">
        <v>75082513.023387983</v>
      </c>
      <c r="V16" s="7">
        <f t="shared" si="4"/>
        <v>0.18192730492239265</v>
      </c>
      <c r="W16" s="6"/>
      <c r="Y16" s="6" t="s">
        <v>39</v>
      </c>
      <c r="Z16" s="25">
        <v>0</v>
      </c>
      <c r="AA16" s="25">
        <v>0</v>
      </c>
      <c r="AB16" s="7" t="str">
        <f t="shared" si="5"/>
        <v/>
      </c>
      <c r="AC16" s="6"/>
      <c r="AE16" s="6" t="s">
        <v>39</v>
      </c>
      <c r="AF16" s="25">
        <v>517597181</v>
      </c>
      <c r="AG16" s="25">
        <v>580039199</v>
      </c>
      <c r="AH16" s="7">
        <f t="shared" si="6"/>
        <v>0.12063824976666555</v>
      </c>
      <c r="AI16" s="6"/>
    </row>
    <row r="17" spans="1:35" s="19" customFormat="1" x14ac:dyDescent="0.35">
      <c r="A17" s="12" t="s">
        <v>60</v>
      </c>
      <c r="B17" s="23">
        <f t="shared" si="0"/>
        <v>994634877.15157902</v>
      </c>
      <c r="C17" s="23">
        <f t="shared" si="7"/>
        <v>1114091450.178072</v>
      </c>
      <c r="D17" s="7">
        <f t="shared" si="1"/>
        <v>0.12010092926621573</v>
      </c>
      <c r="E17" s="6"/>
      <c r="G17" s="12" t="s">
        <v>60</v>
      </c>
      <c r="H17" s="25">
        <v>847872421.07160997</v>
      </c>
      <c r="I17" s="25">
        <v>953766169.94116795</v>
      </c>
      <c r="J17" s="7">
        <f t="shared" si="2"/>
        <v>0.12489349368826133</v>
      </c>
      <c r="K17" s="6"/>
      <c r="M17" s="12" t="s">
        <v>60</v>
      </c>
      <c r="N17" s="25">
        <v>124655774.93000001</v>
      </c>
      <c r="O17" s="25">
        <v>136821813.13999999</v>
      </c>
      <c r="P17" s="7">
        <f t="shared" si="3"/>
        <v>9.7597068542005158E-2</v>
      </c>
      <c r="Q17" s="6"/>
      <c r="S17" s="12" t="s">
        <v>60</v>
      </c>
      <c r="T17" s="25">
        <v>22106681.149969</v>
      </c>
      <c r="U17" s="25">
        <v>23503467.096904002</v>
      </c>
      <c r="V17" s="7">
        <f t="shared" si="4"/>
        <v>6.3183882621700563E-2</v>
      </c>
      <c r="W17" s="6"/>
      <c r="Y17" s="12" t="s">
        <v>60</v>
      </c>
      <c r="Z17" s="25">
        <v>1286.01</v>
      </c>
      <c r="AA17" s="25">
        <v>15301.26</v>
      </c>
      <c r="AB17" s="7">
        <f t="shared" si="5"/>
        <v>10.898243404017077</v>
      </c>
      <c r="AC17" s="6"/>
      <c r="AE17" s="12" t="s">
        <v>60</v>
      </c>
      <c r="AF17" s="25">
        <v>112369248.5</v>
      </c>
      <c r="AG17" s="25">
        <v>99218931.290000007</v>
      </c>
      <c r="AH17" s="7">
        <f t="shared" si="6"/>
        <v>-0.11702772231319135</v>
      </c>
      <c r="AI17" s="6"/>
    </row>
    <row r="18" spans="1:35" s="19" customFormat="1" x14ac:dyDescent="0.35">
      <c r="A18" s="12" t="s">
        <v>61</v>
      </c>
      <c r="B18" s="23">
        <f>H18+N18+T18-492658400.913037</f>
        <v>501976476.23854202</v>
      </c>
      <c r="C18" s="23">
        <f>I18+O18+U18-519036214.453338</f>
        <v>595055235.72473395</v>
      </c>
      <c r="D18" s="7">
        <f t="shared" si="1"/>
        <v>0.1854245445596546</v>
      </c>
      <c r="E18" s="46" t="s">
        <v>64</v>
      </c>
      <c r="G18" s="12" t="s">
        <v>61</v>
      </c>
      <c r="H18" s="25">
        <v>847872421.07160997</v>
      </c>
      <c r="I18" s="25">
        <v>953766169.94116795</v>
      </c>
      <c r="J18" s="7">
        <f t="shared" si="2"/>
        <v>0.12489349368826133</v>
      </c>
      <c r="K18" s="46" t="s">
        <v>65</v>
      </c>
      <c r="M18" s="12" t="s">
        <v>61</v>
      </c>
      <c r="N18" s="25">
        <v>124655774.93000001</v>
      </c>
      <c r="O18" s="25">
        <v>136821813.13999999</v>
      </c>
      <c r="P18" s="7">
        <f t="shared" si="3"/>
        <v>9.7597068542005158E-2</v>
      </c>
      <c r="Q18" s="46" t="s">
        <v>65</v>
      </c>
      <c r="S18" s="12" t="s">
        <v>61</v>
      </c>
      <c r="T18" s="25">
        <v>22106681.149969</v>
      </c>
      <c r="U18" s="25">
        <v>23503467.096904002</v>
      </c>
      <c r="V18" s="7">
        <f t="shared" si="4"/>
        <v>6.3183882621700563E-2</v>
      </c>
      <c r="W18" s="46" t="s">
        <v>65</v>
      </c>
      <c r="Y18" s="12" t="s">
        <v>61</v>
      </c>
      <c r="Z18" s="25">
        <v>1286.01</v>
      </c>
      <c r="AA18" s="25">
        <v>15301.26</v>
      </c>
      <c r="AB18" s="7">
        <f t="shared" si="5"/>
        <v>10.898243404017077</v>
      </c>
      <c r="AC18" s="46"/>
      <c r="AE18" s="12" t="s">
        <v>61</v>
      </c>
      <c r="AF18" s="25">
        <v>112369248.5</v>
      </c>
      <c r="AG18" s="25">
        <v>99218931.290000007</v>
      </c>
      <c r="AH18" s="7">
        <f t="shared" si="6"/>
        <v>-0.11702772231319135</v>
      </c>
      <c r="AI18" s="46"/>
    </row>
    <row r="19" spans="1:35" s="77" customFormat="1" x14ac:dyDescent="0.35">
      <c r="A19" s="146" t="s">
        <v>334</v>
      </c>
      <c r="B19" s="147">
        <f>TME_Maid_MedPharm!B18</f>
        <v>257780980.05999997</v>
      </c>
      <c r="C19" s="147">
        <f>TME_Maid_MedPharm!C18</f>
        <v>308505576.36000001</v>
      </c>
      <c r="D19" s="148">
        <f t="shared" si="1"/>
        <v>0.19677400670985737</v>
      </c>
      <c r="E19" s="149"/>
      <c r="G19" s="146" t="s">
        <v>334</v>
      </c>
      <c r="H19" s="150">
        <f>TME_Maid_MedPharm!H18</f>
        <v>232097500.61999995</v>
      </c>
      <c r="I19" s="150">
        <f>TME_Maid_MedPharm!I18</f>
        <v>281062616.85000002</v>
      </c>
      <c r="J19" s="148">
        <f t="shared" si="2"/>
        <v>0.2109678738426739</v>
      </c>
      <c r="K19" s="149"/>
      <c r="M19" s="146" t="s">
        <v>334</v>
      </c>
      <c r="N19" s="150">
        <f>TME_Maid_MedPharm!N18</f>
        <v>7612617.3199999994</v>
      </c>
      <c r="O19" s="150">
        <f>TME_Maid_MedPharm!O18</f>
        <v>7247885.7400000002</v>
      </c>
      <c r="P19" s="148">
        <f t="shared" si="3"/>
        <v>-4.7911456029947813E-2</v>
      </c>
      <c r="Q19" s="149"/>
      <c r="S19" s="146" t="s">
        <v>334</v>
      </c>
      <c r="T19" s="150">
        <f>TME_Maid_MedPharm!T18</f>
        <v>18070862.120000001</v>
      </c>
      <c r="U19" s="150">
        <f>TME_Maid_MedPharm!U18</f>
        <v>20195073.77</v>
      </c>
      <c r="V19" s="148">
        <f t="shared" si="4"/>
        <v>0.11754899328510833</v>
      </c>
      <c r="W19" s="149"/>
      <c r="Y19" s="146" t="s">
        <v>334</v>
      </c>
      <c r="Z19" s="150" t="s">
        <v>322</v>
      </c>
      <c r="AA19" s="150" t="s">
        <v>322</v>
      </c>
      <c r="AB19" s="150"/>
      <c r="AC19" s="149"/>
      <c r="AE19" s="146" t="s">
        <v>334</v>
      </c>
      <c r="AF19" s="150" t="s">
        <v>322</v>
      </c>
      <c r="AG19" s="150" t="s">
        <v>322</v>
      </c>
      <c r="AH19" s="150"/>
      <c r="AI19" s="149"/>
    </row>
    <row r="20" spans="1:35" s="19" customFormat="1" x14ac:dyDescent="0.35">
      <c r="A20" s="12" t="s">
        <v>40</v>
      </c>
      <c r="B20" s="23">
        <f t="shared" ref="B20:C26" si="8">H20+N20+T20</f>
        <v>377325441.41251582</v>
      </c>
      <c r="C20" s="23">
        <f t="shared" si="8"/>
        <v>434866926.27065015</v>
      </c>
      <c r="D20" s="7">
        <f t="shared" si="1"/>
        <v>0.15249829071352328</v>
      </c>
      <c r="E20" s="6"/>
      <c r="G20" s="12" t="s">
        <v>40</v>
      </c>
      <c r="H20" s="25">
        <v>266835097.649937</v>
      </c>
      <c r="I20" s="25">
        <v>309339270.63492101</v>
      </c>
      <c r="J20" s="7">
        <f t="shared" si="2"/>
        <v>0.15929003852688658</v>
      </c>
      <c r="K20" s="6"/>
      <c r="M20" s="12" t="s">
        <v>40</v>
      </c>
      <c r="N20" s="25">
        <v>31100395.16</v>
      </c>
      <c r="O20" s="25">
        <v>28642608.629999999</v>
      </c>
      <c r="P20" s="7">
        <f t="shared" si="3"/>
        <v>-7.9027501655705684E-2</v>
      </c>
      <c r="Q20" s="6"/>
      <c r="S20" s="12" t="s">
        <v>40</v>
      </c>
      <c r="T20" s="25">
        <v>79389948.602578804</v>
      </c>
      <c r="U20" s="25">
        <v>96885047.005729109</v>
      </c>
      <c r="V20" s="7">
        <f t="shared" si="4"/>
        <v>0.22036918666781977</v>
      </c>
      <c r="W20" s="6"/>
      <c r="Y20" s="12" t="s">
        <v>40</v>
      </c>
      <c r="Z20" s="25">
        <v>0</v>
      </c>
      <c r="AA20" s="25">
        <v>272674.59999999998</v>
      </c>
      <c r="AB20" s="7" t="str">
        <f t="shared" si="5"/>
        <v/>
      </c>
      <c r="AC20" s="6"/>
      <c r="AE20" s="12" t="s">
        <v>40</v>
      </c>
      <c r="AF20" s="25">
        <v>130662079.40000001</v>
      </c>
      <c r="AG20" s="25">
        <v>182127568.69999999</v>
      </c>
      <c r="AH20" s="7">
        <f t="shared" si="6"/>
        <v>0.39388236844484187</v>
      </c>
      <c r="AI20" s="6"/>
    </row>
    <row r="21" spans="1:35" s="19" customFormat="1" x14ac:dyDescent="0.35">
      <c r="A21" s="12" t="s">
        <v>48</v>
      </c>
      <c r="B21" s="23">
        <f t="shared" si="8"/>
        <v>1018708161.0407726</v>
      </c>
      <c r="C21" s="23">
        <f t="shared" si="8"/>
        <v>1111080313.620739</v>
      </c>
      <c r="D21" s="7">
        <f t="shared" si="1"/>
        <v>9.0675775568140701E-2</v>
      </c>
      <c r="E21" s="6"/>
      <c r="G21" s="12" t="s">
        <v>48</v>
      </c>
      <c r="H21" s="25">
        <v>943586459.703987</v>
      </c>
      <c r="I21" s="25">
        <v>1028719665.72664</v>
      </c>
      <c r="J21" s="7">
        <f t="shared" si="2"/>
        <v>9.0223005159866504E-2</v>
      </c>
      <c r="K21" s="6"/>
      <c r="M21" s="12" t="s">
        <v>48</v>
      </c>
      <c r="N21" s="25">
        <v>13882648.57</v>
      </c>
      <c r="O21" s="25">
        <v>15848267.35</v>
      </c>
      <c r="P21" s="7">
        <f t="shared" si="3"/>
        <v>0.14158816814304759</v>
      </c>
      <c r="Q21" s="6"/>
      <c r="S21" s="12" t="s">
        <v>48</v>
      </c>
      <c r="T21" s="25">
        <v>61239052.766785495</v>
      </c>
      <c r="U21" s="25">
        <v>66512380.544099003</v>
      </c>
      <c r="V21" s="7">
        <f t="shared" si="4"/>
        <v>8.6110537950280425E-2</v>
      </c>
      <c r="W21" s="6"/>
      <c r="Y21" s="12" t="s">
        <v>48</v>
      </c>
      <c r="Z21" s="25">
        <v>218.25190000000001</v>
      </c>
      <c r="AA21" s="25">
        <v>18985050</v>
      </c>
      <c r="AB21" s="7">
        <f t="shared" si="5"/>
        <v>86985.87159195407</v>
      </c>
      <c r="AC21" s="6"/>
      <c r="AE21" s="12" t="s">
        <v>48</v>
      </c>
      <c r="AF21" s="25">
        <v>187417300</v>
      </c>
      <c r="AG21" s="25">
        <v>211067400</v>
      </c>
      <c r="AH21" s="7">
        <f t="shared" si="6"/>
        <v>0.12618952465967656</v>
      </c>
      <c r="AI21" s="6"/>
    </row>
    <row r="22" spans="1:35" s="19" customFormat="1" x14ac:dyDescent="0.35">
      <c r="A22" s="12" t="s">
        <v>49</v>
      </c>
      <c r="B22" s="23">
        <f t="shared" si="8"/>
        <v>306563319.07086957</v>
      </c>
      <c r="C22" s="23">
        <f t="shared" si="8"/>
        <v>296341653.5398829</v>
      </c>
      <c r="D22" s="7">
        <f t="shared" si="1"/>
        <v>-3.3342754645162488E-2</v>
      </c>
      <c r="E22" s="6"/>
      <c r="G22" s="12" t="s">
        <v>49</v>
      </c>
      <c r="H22" s="25">
        <v>288450493.73776698</v>
      </c>
      <c r="I22" s="25">
        <v>279234308.61260802</v>
      </c>
      <c r="J22" s="7">
        <f t="shared" si="2"/>
        <v>-3.1950665106288516E-2</v>
      </c>
      <c r="K22" s="6"/>
      <c r="M22" s="12" t="s">
        <v>49</v>
      </c>
      <c r="N22" s="25">
        <v>0</v>
      </c>
      <c r="O22" s="25">
        <v>0</v>
      </c>
      <c r="P22" s="7" t="str">
        <f t="shared" si="3"/>
        <v/>
      </c>
      <c r="Q22" s="6"/>
      <c r="S22" s="12" t="s">
        <v>49</v>
      </c>
      <c r="T22" s="25">
        <v>18112825.333102599</v>
      </c>
      <c r="U22" s="25">
        <v>17107344.927274901</v>
      </c>
      <c r="V22" s="7">
        <f t="shared" si="4"/>
        <v>-5.5512068787529442E-2</v>
      </c>
      <c r="W22" s="6"/>
      <c r="Y22" s="12" t="s">
        <v>49</v>
      </c>
      <c r="Z22" s="25">
        <v>0</v>
      </c>
      <c r="AA22" s="25">
        <v>96623.61</v>
      </c>
      <c r="AB22" s="7" t="str">
        <f t="shared" si="5"/>
        <v/>
      </c>
      <c r="AC22" s="6"/>
      <c r="AE22" s="12" t="s">
        <v>49</v>
      </c>
      <c r="AF22" s="25">
        <v>0</v>
      </c>
      <c r="AG22" s="25">
        <v>0</v>
      </c>
      <c r="AH22" s="7" t="str">
        <f t="shared" si="6"/>
        <v/>
      </c>
      <c r="AI22" s="6"/>
    </row>
    <row r="23" spans="1:35" s="19" customFormat="1" x14ac:dyDescent="0.35">
      <c r="A23" s="12" t="s">
        <v>50</v>
      </c>
      <c r="B23" s="23">
        <f t="shared" si="8"/>
        <v>103120313.66225602</v>
      </c>
      <c r="C23" s="23">
        <f t="shared" si="8"/>
        <v>134639870.5233942</v>
      </c>
      <c r="D23" s="7">
        <f t="shared" si="1"/>
        <v>0.30565807784848636</v>
      </c>
      <c r="E23" s="6"/>
      <c r="G23" s="12" t="s">
        <v>50</v>
      </c>
      <c r="H23" s="25">
        <v>95028619.0370166</v>
      </c>
      <c r="I23" s="25">
        <v>125738587.592886</v>
      </c>
      <c r="J23" s="7">
        <f t="shared" si="2"/>
        <v>0.32316547232899295</v>
      </c>
      <c r="K23" s="6"/>
      <c r="M23" s="12" t="s">
        <v>50</v>
      </c>
      <c r="N23" s="25">
        <v>0</v>
      </c>
      <c r="O23" s="25">
        <v>0</v>
      </c>
      <c r="P23" s="7" t="str">
        <f t="shared" si="3"/>
        <v/>
      </c>
      <c r="Q23" s="6"/>
      <c r="S23" s="12" t="s">
        <v>50</v>
      </c>
      <c r="T23" s="25">
        <v>8091694.6252394104</v>
      </c>
      <c r="U23" s="25">
        <v>8901282.9305082001</v>
      </c>
      <c r="V23" s="7">
        <f t="shared" si="4"/>
        <v>0.10005176205532301</v>
      </c>
      <c r="W23" s="6"/>
      <c r="Y23" s="12" t="s">
        <v>50</v>
      </c>
      <c r="Z23" s="25">
        <v>0</v>
      </c>
      <c r="AA23" s="25">
        <v>773431.6</v>
      </c>
      <c r="AB23" s="7" t="str">
        <f t="shared" si="5"/>
        <v/>
      </c>
      <c r="AC23" s="6"/>
      <c r="AE23" s="12" t="s">
        <v>50</v>
      </c>
      <c r="AF23" s="25">
        <v>0</v>
      </c>
      <c r="AG23" s="25">
        <v>0</v>
      </c>
      <c r="AH23" s="7" t="str">
        <f t="shared" si="6"/>
        <v/>
      </c>
      <c r="AI23" s="6"/>
    </row>
    <row r="24" spans="1:35" s="19" customFormat="1" x14ac:dyDescent="0.35">
      <c r="A24" s="12" t="s">
        <v>51</v>
      </c>
      <c r="B24" s="23">
        <f t="shared" si="8"/>
        <v>27981257.712808512</v>
      </c>
      <c r="C24" s="23">
        <f t="shared" si="8"/>
        <v>26565016.441593751</v>
      </c>
      <c r="D24" s="7">
        <f t="shared" si="1"/>
        <v>-5.0613924711699849E-2</v>
      </c>
      <c r="E24" s="6"/>
      <c r="G24" s="12" t="s">
        <v>51</v>
      </c>
      <c r="H24" s="25">
        <v>26571007.728859801</v>
      </c>
      <c r="I24" s="25">
        <v>25060297.086285401</v>
      </c>
      <c r="J24" s="7">
        <f t="shared" si="2"/>
        <v>-5.6855602090452831E-2</v>
      </c>
      <c r="K24" s="6"/>
      <c r="M24" s="12" t="s">
        <v>51</v>
      </c>
      <c r="N24" s="25">
        <v>0</v>
      </c>
      <c r="O24" s="25">
        <v>0</v>
      </c>
      <c r="P24" s="7" t="str">
        <f t="shared" si="3"/>
        <v/>
      </c>
      <c r="Q24" s="6"/>
      <c r="S24" s="12" t="s">
        <v>51</v>
      </c>
      <c r="T24" s="25">
        <v>1410249.9839487099</v>
      </c>
      <c r="U24" s="25">
        <v>1504719.3553083499</v>
      </c>
      <c r="V24" s="7">
        <f t="shared" si="4"/>
        <v>6.6987677670539744E-2</v>
      </c>
      <c r="W24" s="6"/>
      <c r="Y24" s="12" t="s">
        <v>51</v>
      </c>
      <c r="Z24" s="25">
        <v>0</v>
      </c>
      <c r="AA24" s="25">
        <v>0</v>
      </c>
      <c r="AB24" s="7" t="str">
        <f t="shared" si="5"/>
        <v/>
      </c>
      <c r="AC24" s="6"/>
      <c r="AE24" s="12" t="s">
        <v>51</v>
      </c>
      <c r="AF24" s="25">
        <v>0</v>
      </c>
      <c r="AG24" s="25">
        <v>0</v>
      </c>
      <c r="AH24" s="7" t="str">
        <f t="shared" si="6"/>
        <v/>
      </c>
      <c r="AI24" s="6"/>
    </row>
    <row r="25" spans="1:35" s="19" customFormat="1" x14ac:dyDescent="0.35">
      <c r="A25" s="12" t="s">
        <v>52</v>
      </c>
      <c r="B25" s="23">
        <f t="shared" si="8"/>
        <v>-12591131.519746255</v>
      </c>
      <c r="C25" s="23">
        <f t="shared" si="8"/>
        <v>-9954733.184865417</v>
      </c>
      <c r="D25" s="7">
        <f t="shared" si="1"/>
        <v>-0.20938533846193744</v>
      </c>
      <c r="E25" s="6"/>
      <c r="G25" s="12" t="s">
        <v>52</v>
      </c>
      <c r="H25" s="25">
        <v>-8884479.0582270492</v>
      </c>
      <c r="I25" s="25">
        <v>-7973720.8884066697</v>
      </c>
      <c r="J25" s="7">
        <f t="shared" si="2"/>
        <v>-0.10251115049643965</v>
      </c>
      <c r="K25" s="6"/>
      <c r="M25" s="12" t="s">
        <v>52</v>
      </c>
      <c r="N25" s="25">
        <v>-2814875.54</v>
      </c>
      <c r="O25" s="25">
        <v>-1162487.08</v>
      </c>
      <c r="P25" s="7">
        <f t="shared" si="3"/>
        <v>-0.58702007833710468</v>
      </c>
      <c r="Q25" s="46"/>
      <c r="S25" s="12" t="s">
        <v>52</v>
      </c>
      <c r="T25" s="25">
        <v>-891776.92151920497</v>
      </c>
      <c r="U25" s="25">
        <v>-818525.21645874705</v>
      </c>
      <c r="V25" s="7">
        <f t="shared" si="4"/>
        <v>-8.2141288132539333E-2</v>
      </c>
      <c r="W25" s="46"/>
      <c r="Y25" s="12" t="s">
        <v>52</v>
      </c>
      <c r="Z25" s="25">
        <v>0</v>
      </c>
      <c r="AA25" s="25">
        <v>-201413.2</v>
      </c>
      <c r="AB25" s="7" t="str">
        <f t="shared" si="5"/>
        <v/>
      </c>
      <c r="AC25" s="46"/>
      <c r="AE25" s="12" t="s">
        <v>52</v>
      </c>
      <c r="AF25" s="25">
        <v>0</v>
      </c>
      <c r="AG25" s="25">
        <v>0</v>
      </c>
      <c r="AH25" s="7" t="str">
        <f t="shared" si="6"/>
        <v/>
      </c>
      <c r="AI25" s="46"/>
    </row>
    <row r="26" spans="1:35" s="19" customFormat="1" x14ac:dyDescent="0.35">
      <c r="A26" s="12" t="s">
        <v>53</v>
      </c>
      <c r="B26" s="23">
        <f t="shared" si="8"/>
        <v>6318181.0458804108</v>
      </c>
      <c r="C26" s="23">
        <f t="shared" si="8"/>
        <v>7943958.6488374528</v>
      </c>
      <c r="D26" s="7">
        <f t="shared" si="1"/>
        <v>0.25731734990675581</v>
      </c>
      <c r="E26" s="6"/>
      <c r="G26" s="12" t="s">
        <v>53</v>
      </c>
      <c r="H26" s="25">
        <v>6214861.8872167096</v>
      </c>
      <c r="I26" s="25">
        <v>7870237.5376330502</v>
      </c>
      <c r="J26" s="7">
        <f t="shared" si="2"/>
        <v>0.26635759256714414</v>
      </c>
      <c r="K26" s="6"/>
      <c r="M26" s="12" t="s">
        <v>53</v>
      </c>
      <c r="N26" s="25">
        <v>0</v>
      </c>
      <c r="O26" s="25">
        <v>0</v>
      </c>
      <c r="P26" s="7" t="str">
        <f t="shared" si="3"/>
        <v/>
      </c>
      <c r="Q26" s="6"/>
      <c r="S26" s="12" t="s">
        <v>53</v>
      </c>
      <c r="T26" s="25">
        <v>103319.158663701</v>
      </c>
      <c r="U26" s="25">
        <v>73721.111204402594</v>
      </c>
      <c r="V26" s="7">
        <f t="shared" si="4"/>
        <v>-0.28647201392375504</v>
      </c>
      <c r="W26" s="6"/>
      <c r="Y26" s="12" t="s">
        <v>53</v>
      </c>
      <c r="Z26" s="25">
        <v>0</v>
      </c>
      <c r="AA26" s="25">
        <v>0</v>
      </c>
      <c r="AB26" s="7" t="str">
        <f t="shared" si="5"/>
        <v/>
      </c>
      <c r="AC26" s="6"/>
      <c r="AE26" s="12" t="s">
        <v>53</v>
      </c>
      <c r="AF26" s="25">
        <v>0</v>
      </c>
      <c r="AG26" s="25">
        <v>0</v>
      </c>
      <c r="AH26" s="7" t="str">
        <f t="shared" si="6"/>
        <v/>
      </c>
      <c r="AI26" s="6"/>
    </row>
    <row r="27" spans="1:35" s="19" customFormat="1" x14ac:dyDescent="0.35">
      <c r="A27" s="37" t="s">
        <v>62</v>
      </c>
      <c r="B27" s="39">
        <f>SUM(B10:B16) + B17 +B20</f>
        <v>5274930448.9980869</v>
      </c>
      <c r="C27" s="39">
        <f>SUM(C10:C16) + C17 +C20</f>
        <v>6088114986.6366005</v>
      </c>
      <c r="D27" s="40">
        <f t="shared" si="1"/>
        <v>0.15416023879385343</v>
      </c>
      <c r="E27" s="38"/>
      <c r="G27" s="37" t="s">
        <v>62</v>
      </c>
      <c r="H27" s="39">
        <f>SUM(H10:H16) + H17 +H20</f>
        <v>4287777021.3335123</v>
      </c>
      <c r="I27" s="39">
        <f>SUM(I10:I16) + I17 +I20</f>
        <v>5025345018.6397066</v>
      </c>
      <c r="J27" s="40">
        <f t="shared" si="2"/>
        <v>0.1720164070184807</v>
      </c>
      <c r="K27" s="38"/>
      <c r="M27" s="37" t="s">
        <v>62</v>
      </c>
      <c r="N27" s="39">
        <f>SUM(N10:N16) + N17 +N20</f>
        <v>680964072.16999996</v>
      </c>
      <c r="O27" s="39">
        <f>SUM(O10:O16) + O17 +O20</f>
        <v>694730137.58000004</v>
      </c>
      <c r="P27" s="40">
        <f t="shared" si="3"/>
        <v>2.0215553173212702E-2</v>
      </c>
      <c r="Q27" s="38"/>
      <c r="S27" s="37" t="s">
        <v>62</v>
      </c>
      <c r="T27" s="39">
        <f>SUM(T10:T16) + T17 +T20</f>
        <v>306189355.49457353</v>
      </c>
      <c r="U27" s="39">
        <f>SUM(U10:U16) + U17 +U20</f>
        <v>368039830.41689491</v>
      </c>
      <c r="V27" s="40">
        <f t="shared" si="4"/>
        <v>0.20200073520654291</v>
      </c>
      <c r="W27" s="38"/>
      <c r="Y27" s="37" t="s">
        <v>62</v>
      </c>
      <c r="Z27" s="39">
        <f>SUM(Z10:Z16) + Z17 +Z20</f>
        <v>1286.01</v>
      </c>
      <c r="AA27" s="39">
        <f>SUM(AA10:AA16) + AA17 +AA20</f>
        <v>1805501.69</v>
      </c>
      <c r="AB27" s="40">
        <f t="shared" si="5"/>
        <v>1402.9561823002932</v>
      </c>
      <c r="AC27" s="38"/>
      <c r="AE27" s="37" t="s">
        <v>62</v>
      </c>
      <c r="AF27" s="39">
        <f>SUM(AF10:AF16) + AF17 +AF20</f>
        <v>982949528.70999992</v>
      </c>
      <c r="AG27" s="39">
        <f>SUM(AG10:AG16) + AG17 +AG20</f>
        <v>1124181664.3099999</v>
      </c>
      <c r="AH27" s="40">
        <f t="shared" si="6"/>
        <v>0.14368198109352551</v>
      </c>
      <c r="AI27" s="38"/>
    </row>
    <row r="28" spans="1:35" s="19" customFormat="1" x14ac:dyDescent="0.35">
      <c r="A28" s="37" t="s">
        <v>63</v>
      </c>
      <c r="B28" s="39">
        <f>SUM(B10:B16) + B18 +B20</f>
        <v>4782272048.0850496</v>
      </c>
      <c r="C28" s="39">
        <f>SUM(C10:C16) + C18 +C20</f>
        <v>5569078772.1832628</v>
      </c>
      <c r="D28" s="40">
        <f t="shared" si="1"/>
        <v>0.16452571417664785</v>
      </c>
      <c r="E28" s="38"/>
      <c r="G28" s="37" t="s">
        <v>63</v>
      </c>
      <c r="H28" s="39">
        <f>SUM(H10:H16) + H18 +H20</f>
        <v>4287777021.3335123</v>
      </c>
      <c r="I28" s="39">
        <f>SUM(I10:I16) + I18 +I20</f>
        <v>5025345018.6397066</v>
      </c>
      <c r="J28" s="40">
        <f t="shared" si="2"/>
        <v>0.1720164070184807</v>
      </c>
      <c r="K28" s="38"/>
      <c r="M28" s="37" t="s">
        <v>63</v>
      </c>
      <c r="N28" s="39">
        <f>SUM(N10:N16) + N18 +N20</f>
        <v>680964072.16999996</v>
      </c>
      <c r="O28" s="39">
        <f>SUM(O10:O16) + O18 +O20</f>
        <v>694730137.58000004</v>
      </c>
      <c r="P28" s="40">
        <f t="shared" si="3"/>
        <v>2.0215553173212702E-2</v>
      </c>
      <c r="Q28" s="38"/>
      <c r="S28" s="37" t="s">
        <v>63</v>
      </c>
      <c r="T28" s="39">
        <f>SUM(T10:T16) + T18 +T20</f>
        <v>306189355.49457353</v>
      </c>
      <c r="U28" s="39">
        <f>SUM(U10:U16) + U18 +U20</f>
        <v>368039830.41689491</v>
      </c>
      <c r="V28" s="40">
        <f t="shared" si="4"/>
        <v>0.20200073520654291</v>
      </c>
      <c r="W28" s="38"/>
      <c r="Y28" s="37" t="s">
        <v>63</v>
      </c>
      <c r="Z28" s="39">
        <f>SUM(Z10:Z16) + Z18 +Z20</f>
        <v>1286.01</v>
      </c>
      <c r="AA28" s="39">
        <f>SUM(AA10:AA16) + AA18 +AA20</f>
        <v>1805501.69</v>
      </c>
      <c r="AB28" s="40">
        <f t="shared" si="5"/>
        <v>1402.9561823002932</v>
      </c>
      <c r="AC28" s="38"/>
      <c r="AE28" s="37" t="s">
        <v>63</v>
      </c>
      <c r="AF28" s="39">
        <f>SUM(AF10:AF16) + AF18 +AF20</f>
        <v>982949528.70999992</v>
      </c>
      <c r="AG28" s="39">
        <f>SUM(AG10:AG16) + AG18 +AG20</f>
        <v>1124181664.3099999</v>
      </c>
      <c r="AH28" s="40">
        <f t="shared" si="6"/>
        <v>0.14368198109352551</v>
      </c>
      <c r="AI28" s="38"/>
    </row>
    <row r="29" spans="1:35" x14ac:dyDescent="0.35">
      <c r="A29" s="37" t="s">
        <v>56</v>
      </c>
      <c r="B29" s="39">
        <f>SUM(B21:B26)</f>
        <v>1450100101.0128407</v>
      </c>
      <c r="C29" s="39">
        <f t="shared" ref="C29" si="9">SUM(C21:C26)</f>
        <v>1566616079.5895817</v>
      </c>
      <c r="D29" s="40">
        <f t="shared" si="1"/>
        <v>8.0350300296758076E-2</v>
      </c>
      <c r="E29" s="38"/>
      <c r="G29" s="37" t="s">
        <v>56</v>
      </c>
      <c r="H29" s="39">
        <f>SUM(H21:H26)</f>
        <v>1350966963.0366201</v>
      </c>
      <c r="I29" s="39">
        <f t="shared" ref="I29" si="10">SUM(I21:I26)</f>
        <v>1458649375.6676455</v>
      </c>
      <c r="J29" s="40">
        <f t="shared" si="2"/>
        <v>7.9707657979276883E-2</v>
      </c>
      <c r="K29" s="38"/>
      <c r="M29" s="37" t="s">
        <v>56</v>
      </c>
      <c r="N29" s="39">
        <f>SUM(N21:N26)</f>
        <v>11067773.030000001</v>
      </c>
      <c r="O29" s="39">
        <f t="shared" ref="O29" si="11">SUM(O21:O26)</f>
        <v>14685780.27</v>
      </c>
      <c r="P29" s="40">
        <f t="shared" si="3"/>
        <v>0.32689568445188816</v>
      </c>
      <c r="Q29" s="38"/>
      <c r="S29" s="37" t="s">
        <v>56</v>
      </c>
      <c r="T29" s="39">
        <f>SUM(T21:T26)</f>
        <v>88065364.946220711</v>
      </c>
      <c r="U29" s="39">
        <f t="shared" ref="U29" si="12">SUM(U21:U26)</f>
        <v>93280923.651936099</v>
      </c>
      <c r="V29" s="40">
        <f t="shared" si="4"/>
        <v>5.9223722162514147E-2</v>
      </c>
      <c r="W29" s="38"/>
      <c r="Y29" s="37" t="s">
        <v>56</v>
      </c>
      <c r="Z29" s="39">
        <f>SUM(Z21:Z26)</f>
        <v>218.25190000000001</v>
      </c>
      <c r="AA29" s="39">
        <f t="shared" ref="AA29" si="13">SUM(AA21:AA26)</f>
        <v>19653692.010000002</v>
      </c>
      <c r="AB29" s="40">
        <f t="shared" si="5"/>
        <v>90049.496742525502</v>
      </c>
      <c r="AC29" s="38"/>
      <c r="AE29" s="37" t="s">
        <v>56</v>
      </c>
      <c r="AF29" s="39">
        <f>SUM(AF21:AF26)</f>
        <v>187417300</v>
      </c>
      <c r="AG29" s="39">
        <f t="shared" ref="AG29" si="14">SUM(AG21:AG26)</f>
        <v>211067400</v>
      </c>
      <c r="AH29" s="40">
        <f t="shared" si="6"/>
        <v>0.12618952465967656</v>
      </c>
      <c r="AI29" s="38"/>
    </row>
    <row r="32" spans="1:35" x14ac:dyDescent="0.35">
      <c r="A32" s="170" t="s">
        <v>8</v>
      </c>
      <c r="B32" s="170" t="s">
        <v>66</v>
      </c>
      <c r="C32" s="170"/>
      <c r="D32" s="76" t="s">
        <v>3</v>
      </c>
      <c r="E32" s="173" t="s">
        <v>30</v>
      </c>
      <c r="G32" s="170" t="s">
        <v>8</v>
      </c>
      <c r="H32" s="170" t="s">
        <v>66</v>
      </c>
      <c r="I32" s="170"/>
      <c r="J32" s="76" t="s">
        <v>3</v>
      </c>
      <c r="K32" s="173" t="s">
        <v>30</v>
      </c>
      <c r="M32" s="170" t="s">
        <v>8</v>
      </c>
      <c r="N32" s="170" t="s">
        <v>66</v>
      </c>
      <c r="O32" s="170"/>
      <c r="P32" s="76" t="s">
        <v>3</v>
      </c>
      <c r="Q32" s="173" t="s">
        <v>30</v>
      </c>
      <c r="S32" s="170" t="s">
        <v>8</v>
      </c>
      <c r="T32" s="170" t="s">
        <v>66</v>
      </c>
      <c r="U32" s="170"/>
      <c r="V32" s="76" t="s">
        <v>3</v>
      </c>
      <c r="W32" s="173" t="s">
        <v>30</v>
      </c>
      <c r="Y32" s="173" t="s">
        <v>8</v>
      </c>
      <c r="Z32" s="171" t="s">
        <v>66</v>
      </c>
      <c r="AA32" s="177"/>
      <c r="AB32" s="126" t="s">
        <v>3</v>
      </c>
      <c r="AC32" s="173" t="s">
        <v>30</v>
      </c>
    </row>
    <row r="33" spans="1:29" x14ac:dyDescent="0.35">
      <c r="A33" s="170"/>
      <c r="B33" s="75">
        <v>2022</v>
      </c>
      <c r="C33" s="75">
        <v>2023</v>
      </c>
      <c r="D33" s="75" t="s">
        <v>310</v>
      </c>
      <c r="E33" s="174"/>
      <c r="G33" s="170"/>
      <c r="H33" s="75">
        <v>2022</v>
      </c>
      <c r="I33" s="75">
        <v>2023</v>
      </c>
      <c r="J33" s="75" t="s">
        <v>310</v>
      </c>
      <c r="K33" s="174"/>
      <c r="M33" s="170"/>
      <c r="N33" s="75">
        <v>2022</v>
      </c>
      <c r="O33" s="75">
        <v>2023</v>
      </c>
      <c r="P33" s="75" t="s">
        <v>310</v>
      </c>
      <c r="Q33" s="174"/>
      <c r="S33" s="170"/>
      <c r="T33" s="75">
        <v>2022</v>
      </c>
      <c r="U33" s="75">
        <v>2023</v>
      </c>
      <c r="V33" s="75" t="s">
        <v>310</v>
      </c>
      <c r="W33" s="174"/>
      <c r="Y33" s="174"/>
      <c r="Z33" s="125">
        <v>2022</v>
      </c>
      <c r="AA33" s="125">
        <v>2023</v>
      </c>
      <c r="AB33" s="125" t="s">
        <v>310</v>
      </c>
      <c r="AC33" s="174"/>
    </row>
    <row r="34" spans="1:29" x14ac:dyDescent="0.35">
      <c r="A34" s="6" t="s">
        <v>33</v>
      </c>
      <c r="B34" s="23">
        <f t="shared" ref="B34:B43" si="15">B10/($B$8/12)</f>
        <v>849.93428913031948</v>
      </c>
      <c r="C34" s="23">
        <f t="shared" ref="C34:C43" si="16">C10/($C$8/12)</f>
        <v>889.26535924541702</v>
      </c>
      <c r="D34" s="7">
        <f t="shared" ref="D34:D57" si="17">IFERROR((C34-B34)/B34, "")</f>
        <v>4.6275424604109536E-2</v>
      </c>
      <c r="E34" s="6"/>
      <c r="G34" s="6" t="s">
        <v>33</v>
      </c>
      <c r="H34" s="23">
        <f t="shared" ref="H34:H43" si="18">H10/($H$8/12)</f>
        <v>780.95403497596817</v>
      </c>
      <c r="I34" s="23">
        <f t="shared" ref="I34:I43" si="19">I10/($I$8/12)</f>
        <v>855.07824243800849</v>
      </c>
      <c r="J34" s="7">
        <f t="shared" ref="J34:J57" si="20">IFERROR((I34-H34)/H34, "")</f>
        <v>9.4914942675622768E-2</v>
      </c>
      <c r="K34" s="6"/>
      <c r="M34" s="6" t="s">
        <v>33</v>
      </c>
      <c r="N34" s="23">
        <f t="shared" ref="N34:N43" si="21">N10/($N$8/12)</f>
        <v>3077.2770241208555</v>
      </c>
      <c r="O34" s="23">
        <f t="shared" ref="O34:O43" si="22">O10/($O$8/12)</f>
        <v>2662.4376038153437</v>
      </c>
      <c r="P34" s="7">
        <f t="shared" ref="P34:P57" si="23">IFERROR((O34-N34)/N34, "")</f>
        <v>-0.13480730433231858</v>
      </c>
      <c r="Q34" s="6"/>
      <c r="S34" s="6" t="s">
        <v>33</v>
      </c>
      <c r="T34" s="23">
        <f t="shared" ref="T34:T43" si="24">T10/($T$8/12)</f>
        <v>162.75680328083456</v>
      </c>
      <c r="U34" s="23">
        <f t="shared" ref="U34:U43" si="25">U10/($U$8/12)</f>
        <v>219.89464271114193</v>
      </c>
      <c r="V34" s="7">
        <f t="shared" ref="V34:V57" si="26">IFERROR((U34-T34)/T34, "")</f>
        <v>0.35106267927686458</v>
      </c>
      <c r="W34" s="6"/>
      <c r="Y34" s="6" t="s">
        <v>33</v>
      </c>
      <c r="Z34" s="23">
        <f t="shared" ref="Z34:Z42" si="27">Z10/($Z$8/12)</f>
        <v>0</v>
      </c>
      <c r="AA34" s="23">
        <f t="shared" ref="AA34:AA42" si="28">AA10/($AA$8/12)</f>
        <v>0</v>
      </c>
      <c r="AB34" s="7" t="str">
        <f t="shared" ref="AB34:AB55" si="29">IFERROR((AA34-Z34)/Z34, "")</f>
        <v/>
      </c>
      <c r="AC34" s="6"/>
    </row>
    <row r="35" spans="1:29" x14ac:dyDescent="0.35">
      <c r="A35" s="6" t="s">
        <v>34</v>
      </c>
      <c r="B35" s="23">
        <f t="shared" si="15"/>
        <v>728.80441394391016</v>
      </c>
      <c r="C35" s="23">
        <f t="shared" si="16"/>
        <v>801.6812605324759</v>
      </c>
      <c r="D35" s="7">
        <f t="shared" si="17"/>
        <v>9.9995067530113016E-2</v>
      </c>
      <c r="E35" s="6"/>
      <c r="G35" s="6" t="s">
        <v>34</v>
      </c>
      <c r="H35" s="23">
        <f t="shared" si="18"/>
        <v>734.39228631444701</v>
      </c>
      <c r="I35" s="23">
        <f t="shared" si="19"/>
        <v>811.29674491211745</v>
      </c>
      <c r="J35" s="7">
        <f t="shared" si="20"/>
        <v>0.10471849994996002</v>
      </c>
      <c r="K35" s="6"/>
      <c r="M35" s="6" t="s">
        <v>34</v>
      </c>
      <c r="N35" s="23">
        <f t="shared" si="21"/>
        <v>1302.5192351706055</v>
      </c>
      <c r="O35" s="23">
        <f t="shared" si="22"/>
        <v>1422.0184257337819</v>
      </c>
      <c r="P35" s="7">
        <f t="shared" si="23"/>
        <v>9.1744664751552976E-2</v>
      </c>
      <c r="Q35" s="6"/>
      <c r="S35" s="6" t="s">
        <v>34</v>
      </c>
      <c r="T35" s="23">
        <f t="shared" si="24"/>
        <v>346.48823577543914</v>
      </c>
      <c r="U35" s="23">
        <f t="shared" si="25"/>
        <v>372.58540684581476</v>
      </c>
      <c r="V35" s="7">
        <f t="shared" si="26"/>
        <v>7.5319068227440014E-2</v>
      </c>
      <c r="W35" s="6"/>
      <c r="Y35" s="6" t="s">
        <v>34</v>
      </c>
      <c r="Z35" s="23">
        <f t="shared" si="27"/>
        <v>0</v>
      </c>
      <c r="AA35" s="23">
        <f t="shared" si="28"/>
        <v>6.186684139799873E-2</v>
      </c>
      <c r="AB35" s="7" t="str">
        <f t="shared" si="29"/>
        <v/>
      </c>
      <c r="AC35" s="6"/>
    </row>
    <row r="36" spans="1:29" x14ac:dyDescent="0.35">
      <c r="A36" s="6" t="s">
        <v>35</v>
      </c>
      <c r="B36" s="23">
        <f t="shared" si="15"/>
        <v>260.74708053653518</v>
      </c>
      <c r="C36" s="23">
        <f t="shared" si="16"/>
        <v>265.40924798074622</v>
      </c>
      <c r="D36" s="7">
        <f t="shared" si="17"/>
        <v>1.7880036986867763E-2</v>
      </c>
      <c r="E36" s="6"/>
      <c r="G36" s="6" t="s">
        <v>35</v>
      </c>
      <c r="H36" s="23">
        <f t="shared" si="18"/>
        <v>259.71317926697253</v>
      </c>
      <c r="I36" s="23">
        <f t="shared" si="19"/>
        <v>267.26674905582996</v>
      </c>
      <c r="J36" s="7">
        <f t="shared" si="20"/>
        <v>2.9084276008545289E-2</v>
      </c>
      <c r="K36" s="6"/>
      <c r="M36" s="6" t="s">
        <v>35</v>
      </c>
      <c r="N36" s="23">
        <f t="shared" si="21"/>
        <v>594.77242297924693</v>
      </c>
      <c r="O36" s="23">
        <f t="shared" si="22"/>
        <v>565.64219842361729</v>
      </c>
      <c r="P36" s="7">
        <f t="shared" si="23"/>
        <v>-4.8977093473357061E-2</v>
      </c>
      <c r="Q36" s="6"/>
      <c r="S36" s="6" t="s">
        <v>35</v>
      </c>
      <c r="T36" s="23">
        <f t="shared" si="24"/>
        <v>75.845041655883662</v>
      </c>
      <c r="U36" s="23">
        <f t="shared" si="25"/>
        <v>82.995670659662153</v>
      </c>
      <c r="V36" s="7">
        <f t="shared" si="26"/>
        <v>9.4279452521386836E-2</v>
      </c>
      <c r="W36" s="6"/>
      <c r="Y36" s="6" t="s">
        <v>35</v>
      </c>
      <c r="Z36" s="23">
        <f t="shared" si="27"/>
        <v>0</v>
      </c>
      <c r="AA36" s="23">
        <f t="shared" si="28"/>
        <v>2.208451517608254E-2</v>
      </c>
      <c r="AB36" s="7" t="str">
        <f t="shared" si="29"/>
        <v/>
      </c>
      <c r="AC36" s="6"/>
    </row>
    <row r="37" spans="1:29" x14ac:dyDescent="0.35">
      <c r="A37" s="6" t="s">
        <v>36</v>
      </c>
      <c r="B37" s="23">
        <f t="shared" si="15"/>
        <v>379.17108330366995</v>
      </c>
      <c r="C37" s="23">
        <f t="shared" si="16"/>
        <v>401.04425913772229</v>
      </c>
      <c r="D37" s="7">
        <f t="shared" si="17"/>
        <v>5.768682475328582E-2</v>
      </c>
      <c r="E37" s="6"/>
      <c r="G37" s="6" t="s">
        <v>36</v>
      </c>
      <c r="H37" s="23">
        <f t="shared" si="18"/>
        <v>428.64425777705611</v>
      </c>
      <c r="I37" s="23">
        <f t="shared" si="19"/>
        <v>451.42953008203222</v>
      </c>
      <c r="J37" s="7">
        <f t="shared" si="20"/>
        <v>5.3156602221012476E-2</v>
      </c>
      <c r="K37" s="6"/>
      <c r="M37" s="6" t="s">
        <v>36</v>
      </c>
      <c r="N37" s="23">
        <f t="shared" si="21"/>
        <v>25.082519373318256</v>
      </c>
      <c r="O37" s="23">
        <f t="shared" si="22"/>
        <v>27.75604091417318</v>
      </c>
      <c r="P37" s="7">
        <f t="shared" si="23"/>
        <v>0.10658903521864338</v>
      </c>
      <c r="Q37" s="6"/>
      <c r="S37" s="6" t="s">
        <v>36</v>
      </c>
      <c r="T37" s="23">
        <f t="shared" si="24"/>
        <v>149.90692710416147</v>
      </c>
      <c r="U37" s="23">
        <f t="shared" si="25"/>
        <v>151.78948998531735</v>
      </c>
      <c r="V37" s="7">
        <f t="shared" si="26"/>
        <v>1.2558211401717249E-2</v>
      </c>
      <c r="W37" s="6"/>
      <c r="Y37" s="6" t="s">
        <v>36</v>
      </c>
      <c r="Z37" s="23">
        <f t="shared" si="27"/>
        <v>0</v>
      </c>
      <c r="AA37" s="23">
        <f t="shared" si="28"/>
        <v>5.4654420665681956E-2</v>
      </c>
      <c r="AB37" s="7" t="str">
        <f t="shared" si="29"/>
        <v/>
      </c>
      <c r="AC37" s="6"/>
    </row>
    <row r="38" spans="1:29" x14ac:dyDescent="0.35">
      <c r="A38" s="6" t="s">
        <v>37</v>
      </c>
      <c r="B38" s="23">
        <f t="shared" si="15"/>
        <v>414.65324841903049</v>
      </c>
      <c r="C38" s="23">
        <f t="shared" si="16"/>
        <v>511.62665340659584</v>
      </c>
      <c r="D38" s="7">
        <f t="shared" si="17"/>
        <v>0.2338662614058874</v>
      </c>
      <c r="E38" s="6"/>
      <c r="G38" s="6" t="s">
        <v>37</v>
      </c>
      <c r="H38" s="23">
        <f t="shared" si="18"/>
        <v>414.70804668087106</v>
      </c>
      <c r="I38" s="23">
        <f t="shared" si="19"/>
        <v>506.6191529237729</v>
      </c>
      <c r="J38" s="7">
        <f t="shared" si="20"/>
        <v>0.22162846122354093</v>
      </c>
      <c r="K38" s="6"/>
      <c r="M38" s="6" t="s">
        <v>37</v>
      </c>
      <c r="N38" s="23">
        <f t="shared" si="21"/>
        <v>753.22826720917681</v>
      </c>
      <c r="O38" s="23">
        <f t="shared" si="22"/>
        <v>1017.2057169872961</v>
      </c>
      <c r="P38" s="7">
        <f t="shared" si="23"/>
        <v>0.35046142221427135</v>
      </c>
      <c r="Q38" s="6"/>
      <c r="S38" s="6" t="s">
        <v>37</v>
      </c>
      <c r="T38" s="23">
        <f t="shared" si="24"/>
        <v>217.53840738207217</v>
      </c>
      <c r="U38" s="23">
        <f t="shared" si="25"/>
        <v>277.94748508482093</v>
      </c>
      <c r="V38" s="7">
        <f t="shared" si="26"/>
        <v>0.27769384923669904</v>
      </c>
      <c r="W38" s="6"/>
      <c r="Y38" s="6" t="s">
        <v>37</v>
      </c>
      <c r="Z38" s="23">
        <f t="shared" si="27"/>
        <v>0</v>
      </c>
      <c r="AA38" s="23">
        <f t="shared" si="28"/>
        <v>7.8195040147485101E-2</v>
      </c>
      <c r="AB38" s="7" t="str">
        <f t="shared" si="29"/>
        <v/>
      </c>
      <c r="AC38" s="6"/>
    </row>
    <row r="39" spans="1:29" x14ac:dyDescent="0.35">
      <c r="A39" s="6" t="s">
        <v>38</v>
      </c>
      <c r="B39" s="23">
        <f t="shared" si="15"/>
        <v>286.26390011895154</v>
      </c>
      <c r="C39" s="23">
        <f t="shared" si="16"/>
        <v>299.62100504967481</v>
      </c>
      <c r="D39" s="7">
        <f t="shared" si="17"/>
        <v>4.6660109518430283E-2</v>
      </c>
      <c r="E39" s="6"/>
      <c r="G39" s="6" t="s">
        <v>38</v>
      </c>
      <c r="H39" s="23">
        <f t="shared" si="18"/>
        <v>229.18313730569903</v>
      </c>
      <c r="I39" s="23">
        <f t="shared" si="19"/>
        <v>239.19416723315268</v>
      </c>
      <c r="J39" s="7">
        <f t="shared" si="20"/>
        <v>4.3681354767826135E-2</v>
      </c>
      <c r="K39" s="6"/>
      <c r="M39" s="6" t="s">
        <v>38</v>
      </c>
      <c r="N39" s="23">
        <f t="shared" si="21"/>
        <v>1342.8168993755864</v>
      </c>
      <c r="O39" s="23">
        <f t="shared" si="22"/>
        <v>1453.5340544233964</v>
      </c>
      <c r="P39" s="7">
        <f t="shared" si="23"/>
        <v>8.2451416197765831E-2</v>
      </c>
      <c r="Q39" s="6"/>
      <c r="S39" s="6" t="s">
        <v>38</v>
      </c>
      <c r="T39" s="23">
        <f t="shared" si="24"/>
        <v>174.43656847439661</v>
      </c>
      <c r="U39" s="23">
        <f t="shared" si="25"/>
        <v>208.93807321062246</v>
      </c>
      <c r="V39" s="7">
        <f t="shared" si="26"/>
        <v>0.19778825643024447</v>
      </c>
      <c r="W39" s="6"/>
      <c r="Y39" s="6" t="s">
        <v>38</v>
      </c>
      <c r="Z39" s="23">
        <f t="shared" si="27"/>
        <v>0</v>
      </c>
      <c r="AA39" s="23">
        <f t="shared" si="28"/>
        <v>20.007214330930779</v>
      </c>
      <c r="AB39" s="7" t="str">
        <f t="shared" si="29"/>
        <v/>
      </c>
      <c r="AC39" s="6"/>
    </row>
    <row r="40" spans="1:29" x14ac:dyDescent="0.35">
      <c r="A40" s="6" t="s">
        <v>39</v>
      </c>
      <c r="B40" s="23">
        <f t="shared" si="15"/>
        <v>84.644762393339519</v>
      </c>
      <c r="C40" s="23">
        <f t="shared" si="16"/>
        <v>96.71344864219445</v>
      </c>
      <c r="D40" s="7">
        <f t="shared" si="17"/>
        <v>0.14258042562364834</v>
      </c>
      <c r="E40" s="6"/>
      <c r="G40" s="6" t="s">
        <v>39</v>
      </c>
      <c r="H40" s="23">
        <f t="shared" si="18"/>
        <v>33.994794563244191</v>
      </c>
      <c r="I40" s="23">
        <f t="shared" si="19"/>
        <v>40.433511888220991</v>
      </c>
      <c r="J40" s="7">
        <f t="shared" si="20"/>
        <v>0.18940303677959158</v>
      </c>
      <c r="K40" s="6"/>
      <c r="M40" s="6" t="s">
        <v>39</v>
      </c>
      <c r="N40" s="23">
        <f t="shared" si="21"/>
        <v>123.82990326227778</v>
      </c>
      <c r="O40" s="23">
        <f t="shared" si="22"/>
        <v>157.23226049426455</v>
      </c>
      <c r="P40" s="7">
        <f t="shared" si="23"/>
        <v>0.2697438692271199</v>
      </c>
      <c r="Q40" s="6"/>
      <c r="S40" s="6" t="s">
        <v>39</v>
      </c>
      <c r="T40" s="23">
        <f t="shared" si="24"/>
        <v>507.13927802136834</v>
      </c>
      <c r="U40" s="23">
        <f t="shared" si="25"/>
        <v>571.77044928617124</v>
      </c>
      <c r="V40" s="7">
        <f t="shared" si="26"/>
        <v>0.12744264557256332</v>
      </c>
      <c r="W40" s="6"/>
      <c r="Y40" s="6" t="s">
        <v>39</v>
      </c>
      <c r="Z40" s="23">
        <f t="shared" si="27"/>
        <v>0</v>
      </c>
      <c r="AA40" s="23">
        <f t="shared" si="28"/>
        <v>0</v>
      </c>
      <c r="AB40" s="7" t="str">
        <f t="shared" si="29"/>
        <v/>
      </c>
      <c r="AC40" s="6"/>
    </row>
    <row r="41" spans="1:29" x14ac:dyDescent="0.35">
      <c r="A41" s="12" t="s">
        <v>60</v>
      </c>
      <c r="B41" s="23">
        <f t="shared" si="15"/>
        <v>765.5966290233481</v>
      </c>
      <c r="C41" s="23">
        <f t="shared" si="16"/>
        <v>801.45087401731644</v>
      </c>
      <c r="D41" s="7">
        <f t="shared" si="17"/>
        <v>4.6831769674465097E-2</v>
      </c>
      <c r="E41" s="6"/>
      <c r="G41" s="12" t="s">
        <v>60</v>
      </c>
      <c r="H41" s="23">
        <f t="shared" si="18"/>
        <v>769.98643261232746</v>
      </c>
      <c r="I41" s="23">
        <f t="shared" si="19"/>
        <v>803.96153773381775</v>
      </c>
      <c r="J41" s="7">
        <f t="shared" si="20"/>
        <v>4.4124290614086785E-2</v>
      </c>
      <c r="K41" s="6"/>
      <c r="M41" s="12" t="s">
        <v>60</v>
      </c>
      <c r="N41" s="23">
        <f t="shared" si="21"/>
        <v>1713.5226610949405</v>
      </c>
      <c r="O41" s="23">
        <f t="shared" si="22"/>
        <v>1888.6475566066817</v>
      </c>
      <c r="P41" s="7">
        <f t="shared" si="23"/>
        <v>0.10220168048424667</v>
      </c>
      <c r="Q41" s="6"/>
      <c r="S41" s="12" t="s">
        <v>60</v>
      </c>
      <c r="T41" s="23">
        <f t="shared" si="24"/>
        <v>176.48295265447936</v>
      </c>
      <c r="U41" s="23">
        <f t="shared" si="25"/>
        <v>178.98425879263607</v>
      </c>
      <c r="V41" s="7">
        <f t="shared" si="26"/>
        <v>1.4173075079119947E-2</v>
      </c>
      <c r="W41" s="6"/>
      <c r="Y41" s="12" t="s">
        <v>60</v>
      </c>
      <c r="Z41" s="23">
        <f t="shared" si="27"/>
        <v>1286.01</v>
      </c>
      <c r="AA41" s="23">
        <f t="shared" si="28"/>
        <v>0.20391937185566897</v>
      </c>
      <c r="AB41" s="7">
        <f t="shared" si="29"/>
        <v>-0.99984143251463398</v>
      </c>
      <c r="AC41" s="6"/>
    </row>
    <row r="42" spans="1:29" x14ac:dyDescent="0.35">
      <c r="A42" s="12" t="s">
        <v>61</v>
      </c>
      <c r="B42" s="23">
        <f t="shared" si="15"/>
        <v>386.38449835766096</v>
      </c>
      <c r="C42" s="23">
        <f t="shared" si="16"/>
        <v>428.06857433825678</v>
      </c>
      <c r="D42" s="7">
        <f t="shared" si="17"/>
        <v>0.10788237146618265</v>
      </c>
      <c r="E42" s="46" t="s">
        <v>64</v>
      </c>
      <c r="G42" s="12" t="s">
        <v>61</v>
      </c>
      <c r="H42" s="23">
        <f t="shared" si="18"/>
        <v>769.98643261232746</v>
      </c>
      <c r="I42" s="23">
        <f t="shared" si="19"/>
        <v>803.96153773381775</v>
      </c>
      <c r="J42" s="7">
        <f t="shared" si="20"/>
        <v>4.4124290614086785E-2</v>
      </c>
      <c r="K42" s="46" t="s">
        <v>65</v>
      </c>
      <c r="M42" s="12" t="s">
        <v>61</v>
      </c>
      <c r="N42" s="23">
        <f t="shared" si="21"/>
        <v>1713.5226610949405</v>
      </c>
      <c r="O42" s="23">
        <f t="shared" si="22"/>
        <v>1888.6475566066817</v>
      </c>
      <c r="P42" s="7">
        <f t="shared" si="23"/>
        <v>0.10220168048424667</v>
      </c>
      <c r="Q42" s="46" t="s">
        <v>65</v>
      </c>
      <c r="S42" s="12" t="s">
        <v>61</v>
      </c>
      <c r="T42" s="23">
        <f t="shared" si="24"/>
        <v>176.48295265447936</v>
      </c>
      <c r="U42" s="23">
        <f t="shared" si="25"/>
        <v>178.98425879263607</v>
      </c>
      <c r="V42" s="7">
        <f t="shared" si="26"/>
        <v>1.4173075079119947E-2</v>
      </c>
      <c r="W42" s="46" t="s">
        <v>65</v>
      </c>
      <c r="Y42" s="12" t="s">
        <v>61</v>
      </c>
      <c r="Z42" s="23">
        <f t="shared" si="27"/>
        <v>1286.01</v>
      </c>
      <c r="AA42" s="23">
        <f t="shared" si="28"/>
        <v>0.20391937185566897</v>
      </c>
      <c r="AB42" s="7">
        <f t="shared" si="29"/>
        <v>-0.99984143251463398</v>
      </c>
      <c r="AC42" s="46" t="s">
        <v>65</v>
      </c>
    </row>
    <row r="43" spans="1:29" s="77" customFormat="1" x14ac:dyDescent="0.35">
      <c r="A43" s="146" t="s">
        <v>334</v>
      </c>
      <c r="B43" s="147">
        <f t="shared" si="15"/>
        <v>198.42080133511593</v>
      </c>
      <c r="C43" s="147">
        <f t="shared" si="16"/>
        <v>221.93156923825075</v>
      </c>
      <c r="D43" s="148">
        <f>IFERROR((C43-B43)/B43, "")</f>
        <v>0.1184894312740282</v>
      </c>
      <c r="E43" s="149"/>
      <c r="G43" s="146" t="s">
        <v>334</v>
      </c>
      <c r="H43" s="147">
        <f t="shared" si="18"/>
        <v>210.77690709029147</v>
      </c>
      <c r="I43" s="147">
        <f t="shared" si="19"/>
        <v>236.91711948239384</v>
      </c>
      <c r="J43" s="148">
        <f t="shared" si="20"/>
        <v>0.12401838869807766</v>
      </c>
      <c r="K43" s="149"/>
      <c r="M43" s="146" t="s">
        <v>334</v>
      </c>
      <c r="N43" s="147">
        <f t="shared" si="21"/>
        <v>104.64330509668616</v>
      </c>
      <c r="O43" s="147">
        <f t="shared" si="22"/>
        <v>100.04765599333743</v>
      </c>
      <c r="P43" s="148">
        <f t="shared" si="23"/>
        <v>-4.3917277833517787E-2</v>
      </c>
      <c r="Q43" s="149"/>
      <c r="S43" s="146" t="s">
        <v>334</v>
      </c>
      <c r="T43" s="147">
        <f t="shared" si="24"/>
        <v>144.26403865485059</v>
      </c>
      <c r="U43" s="147">
        <f t="shared" si="25"/>
        <v>153.79008956777233</v>
      </c>
      <c r="V43" s="148">
        <f t="shared" si="26"/>
        <v>6.6032054847103352E-2</v>
      </c>
      <c r="W43" s="149"/>
      <c r="Y43" s="146" t="s">
        <v>334</v>
      </c>
      <c r="Z43" s="150" t="s">
        <v>335</v>
      </c>
      <c r="AA43" s="150" t="s">
        <v>335</v>
      </c>
      <c r="AB43" s="150" t="s">
        <v>335</v>
      </c>
      <c r="AC43" s="149"/>
    </row>
    <row r="44" spans="1:29" x14ac:dyDescent="0.35">
      <c r="A44" s="12" t="s">
        <v>40</v>
      </c>
      <c r="B44" s="23">
        <f t="shared" ref="B44:B53" si="30">B20/($B$8/12)</f>
        <v>290.43731788036297</v>
      </c>
      <c r="C44" s="23">
        <f t="shared" ref="C44:C53" si="31">C20/($C$8/12)</f>
        <v>312.83291697923875</v>
      </c>
      <c r="D44" s="7">
        <f t="shared" si="17"/>
        <v>7.7109922589565366E-2</v>
      </c>
      <c r="E44" s="6"/>
      <c r="G44" s="12" t="s">
        <v>40</v>
      </c>
      <c r="H44" s="23">
        <f t="shared" ref="H44:H53" si="32">H20/($H$8/12)</f>
        <v>242.32349092751571</v>
      </c>
      <c r="I44" s="23">
        <f t="shared" ref="I44:I53" si="33">I20/($I$8/12)</f>
        <v>260.75246065442781</v>
      </c>
      <c r="J44" s="7">
        <f t="shared" si="20"/>
        <v>7.6051106957784012E-2</v>
      </c>
      <c r="K44" s="6"/>
      <c r="M44" s="12" t="s">
        <v>40</v>
      </c>
      <c r="N44" s="23">
        <f t="shared" ref="N44:N53" si="34">N20/($N$8/12)</f>
        <v>427.50712436381633</v>
      </c>
      <c r="O44" s="23">
        <f t="shared" ref="O44:O53" si="35">O20/($O$8/12)</f>
        <v>395.37403841110188</v>
      </c>
      <c r="P44" s="7">
        <f t="shared" si="23"/>
        <v>-7.5163860720525943E-2</v>
      </c>
      <c r="Q44" s="6"/>
      <c r="S44" s="12" t="s">
        <v>40</v>
      </c>
      <c r="T44" s="23">
        <f t="shared" ref="T44:T50" si="36">T20/($T$8/12)</f>
        <v>633.78905433256818</v>
      </c>
      <c r="U44" s="23">
        <f t="shared" ref="U44:U50" si="37">U20/($U$8/12)</f>
        <v>737.80171473911446</v>
      </c>
      <c r="V44" s="7">
        <f t="shared" si="26"/>
        <v>0.16411242777942911</v>
      </c>
      <c r="W44" s="6"/>
      <c r="Y44" s="12" t="s">
        <v>40</v>
      </c>
      <c r="Z44" s="23">
        <f t="shared" ref="Z44:Z50" si="38">Z20/($Z$8/12)</f>
        <v>0</v>
      </c>
      <c r="AA44" s="23">
        <f t="shared" ref="AA44:AA50" si="39">AA20/($AA$8/12)</f>
        <v>3.6339251246626612</v>
      </c>
      <c r="AB44" s="7" t="str">
        <f t="shared" si="29"/>
        <v/>
      </c>
      <c r="AC44" s="6"/>
    </row>
    <row r="45" spans="1:29" x14ac:dyDescent="0.35">
      <c r="A45" s="12" t="s">
        <v>48</v>
      </c>
      <c r="B45" s="23">
        <f t="shared" si="30"/>
        <v>784.12646888565962</v>
      </c>
      <c r="C45" s="23">
        <f t="shared" si="31"/>
        <v>799.28473404265435</v>
      </c>
      <c r="D45" s="7">
        <f t="shared" si="17"/>
        <v>1.9331403489715751E-2</v>
      </c>
      <c r="E45" s="6"/>
      <c r="G45" s="12" t="s">
        <v>48</v>
      </c>
      <c r="H45" s="23">
        <f t="shared" si="32"/>
        <v>856.90813135600922</v>
      </c>
      <c r="I45" s="23">
        <f t="shared" si="33"/>
        <v>867.14235671162908</v>
      </c>
      <c r="J45" s="7">
        <f t="shared" si="20"/>
        <v>1.1943200188128413E-2</v>
      </c>
      <c r="K45" s="6"/>
      <c r="M45" s="12" t="s">
        <v>48</v>
      </c>
      <c r="N45" s="23">
        <f t="shared" si="34"/>
        <v>190.83137491279859</v>
      </c>
      <c r="O45" s="23">
        <f t="shared" si="35"/>
        <v>218.76476213920574</v>
      </c>
      <c r="P45" s="7">
        <f t="shared" si="23"/>
        <v>0.14637733045297954</v>
      </c>
      <c r="Q45" s="6"/>
      <c r="S45" s="12" t="s">
        <v>48</v>
      </c>
      <c r="T45" s="23">
        <f t="shared" si="36"/>
        <v>488.88608727506448</v>
      </c>
      <c r="U45" s="23">
        <f t="shared" si="37"/>
        <v>506.5069371738544</v>
      </c>
      <c r="V45" s="7">
        <f t="shared" si="26"/>
        <v>3.6042854066484824E-2</v>
      </c>
      <c r="W45" s="6"/>
      <c r="Y45" s="12" t="s">
        <v>48</v>
      </c>
      <c r="Z45" s="23">
        <f t="shared" si="38"/>
        <v>218.25190000000001</v>
      </c>
      <c r="AA45" s="23">
        <f>AA21/($AA$8/12)</f>
        <v>253.01311595571008</v>
      </c>
      <c r="AB45" s="7">
        <f t="shared" si="29"/>
        <v>0.15927108059865719</v>
      </c>
      <c r="AC45" s="6"/>
    </row>
    <row r="46" spans="1:29" x14ac:dyDescent="0.35">
      <c r="A46" s="12" t="s">
        <v>49</v>
      </c>
      <c r="B46" s="23">
        <f t="shared" si="30"/>
        <v>235.96985090147683</v>
      </c>
      <c r="C46" s="23">
        <f t="shared" si="31"/>
        <v>213.18113266133975</v>
      </c>
      <c r="D46" s="7">
        <f t="shared" si="17"/>
        <v>-9.6574702882920124E-2</v>
      </c>
      <c r="E46" s="6"/>
      <c r="G46" s="12" t="s">
        <v>49</v>
      </c>
      <c r="H46" s="23">
        <f t="shared" si="32"/>
        <v>261.95328582299675</v>
      </c>
      <c r="I46" s="23">
        <f t="shared" si="33"/>
        <v>235.3759770637277</v>
      </c>
      <c r="J46" s="7">
        <f t="shared" si="20"/>
        <v>-0.10145819960138799</v>
      </c>
      <c r="K46" s="6"/>
      <c r="M46" s="12" t="s">
        <v>49</v>
      </c>
      <c r="N46" s="23">
        <f t="shared" si="34"/>
        <v>0</v>
      </c>
      <c r="O46" s="23">
        <f t="shared" si="35"/>
        <v>0</v>
      </c>
      <c r="P46" s="7" t="str">
        <f t="shared" si="23"/>
        <v/>
      </c>
      <c r="Q46" s="6"/>
      <c r="S46" s="12" t="s">
        <v>49</v>
      </c>
      <c r="T46" s="23">
        <f t="shared" si="36"/>
        <v>144.59904107791789</v>
      </c>
      <c r="U46" s="23">
        <f t="shared" si="37"/>
        <v>130.27633068321211</v>
      </c>
      <c r="V46" s="7">
        <f t="shared" si="26"/>
        <v>-9.9051212843022374E-2</v>
      </c>
      <c r="W46" s="6"/>
      <c r="Y46" s="12" t="s">
        <v>49</v>
      </c>
      <c r="Z46" s="23">
        <f t="shared" si="38"/>
        <v>0</v>
      </c>
      <c r="AA46" s="23">
        <f t="shared" si="39"/>
        <v>1.2876995657630244</v>
      </c>
      <c r="AB46" s="7" t="str">
        <f t="shared" si="29"/>
        <v/>
      </c>
      <c r="AC46" s="6"/>
    </row>
    <row r="47" spans="1:29" x14ac:dyDescent="0.35">
      <c r="A47" s="12" t="s">
        <v>50</v>
      </c>
      <c r="B47" s="23">
        <f t="shared" si="30"/>
        <v>79.374418027392394</v>
      </c>
      <c r="C47" s="23">
        <f t="shared" si="31"/>
        <v>96.856718442014014</v>
      </c>
      <c r="D47" s="7">
        <f t="shared" si="17"/>
        <v>0.22025106890973883</v>
      </c>
      <c r="E47" s="6"/>
      <c r="G47" s="12" t="s">
        <v>50</v>
      </c>
      <c r="H47" s="23">
        <f t="shared" si="32"/>
        <v>86.299242138232543</v>
      </c>
      <c r="I47" s="23">
        <f t="shared" si="33"/>
        <v>105.98927852503988</v>
      </c>
      <c r="J47" s="7">
        <f t="shared" si="20"/>
        <v>0.22816001507021574</v>
      </c>
      <c r="K47" s="6"/>
      <c r="M47" s="12" t="s">
        <v>50</v>
      </c>
      <c r="N47" s="23">
        <f t="shared" si="34"/>
        <v>0</v>
      </c>
      <c r="O47" s="23">
        <f t="shared" si="35"/>
        <v>0</v>
      </c>
      <c r="P47" s="7" t="str">
        <f t="shared" si="23"/>
        <v/>
      </c>
      <c r="Q47" s="6"/>
      <c r="S47" s="12" t="s">
        <v>50</v>
      </c>
      <c r="T47" s="23">
        <f t="shared" si="36"/>
        <v>64.597944384005132</v>
      </c>
      <c r="U47" s="23">
        <f t="shared" si="37"/>
        <v>67.785298273309508</v>
      </c>
      <c r="V47" s="7">
        <f t="shared" si="26"/>
        <v>4.9341413565066709E-2</v>
      </c>
      <c r="W47" s="6"/>
      <c r="Y47" s="12" t="s">
        <v>50</v>
      </c>
      <c r="Z47" s="23">
        <f t="shared" si="38"/>
        <v>0</v>
      </c>
      <c r="AA47" s="23">
        <f t="shared" si="39"/>
        <v>10.307496640493987</v>
      </c>
      <c r="AB47" s="7" t="str">
        <f t="shared" si="29"/>
        <v/>
      </c>
      <c r="AC47" s="6"/>
    </row>
    <row r="48" spans="1:29" x14ac:dyDescent="0.35">
      <c r="A48" s="12" t="s">
        <v>51</v>
      </c>
      <c r="B48" s="23">
        <f t="shared" si="30"/>
        <v>21.53791011442188</v>
      </c>
      <c r="C48" s="23">
        <f t="shared" si="31"/>
        <v>19.110240583927553</v>
      </c>
      <c r="D48" s="7">
        <f t="shared" si="17"/>
        <v>-0.11271611394035623</v>
      </c>
      <c r="E48" s="6"/>
      <c r="G48" s="12" t="s">
        <v>51</v>
      </c>
      <c r="H48" s="23">
        <f t="shared" si="32"/>
        <v>24.130181550428539</v>
      </c>
      <c r="I48" s="23">
        <f t="shared" si="33"/>
        <v>21.124166086535762</v>
      </c>
      <c r="J48" s="7">
        <f t="shared" si="20"/>
        <v>-0.12457492114639275</v>
      </c>
      <c r="K48" s="6"/>
      <c r="M48" s="12" t="s">
        <v>51</v>
      </c>
      <c r="N48" s="23">
        <f t="shared" si="34"/>
        <v>0</v>
      </c>
      <c r="O48" s="23">
        <f t="shared" si="35"/>
        <v>0</v>
      </c>
      <c r="P48" s="7" t="str">
        <f t="shared" si="23"/>
        <v/>
      </c>
      <c r="Q48" s="6"/>
      <c r="S48" s="12" t="s">
        <v>51</v>
      </c>
      <c r="T48" s="23">
        <f t="shared" si="36"/>
        <v>11.258364811062988</v>
      </c>
      <c r="U48" s="23">
        <f t="shared" si="37"/>
        <v>11.458780842434715</v>
      </c>
      <c r="V48" s="7">
        <f t="shared" si="26"/>
        <v>1.7801522222373637E-2</v>
      </c>
      <c r="W48" s="6"/>
      <c r="Y48" s="12" t="s">
        <v>51</v>
      </c>
      <c r="Z48" s="23">
        <f t="shared" si="38"/>
        <v>0</v>
      </c>
      <c r="AA48" s="23">
        <f t="shared" si="39"/>
        <v>0</v>
      </c>
      <c r="AB48" s="7" t="str">
        <f t="shared" si="29"/>
        <v/>
      </c>
      <c r="AC48" s="6"/>
    </row>
    <row r="49" spans="1:29" x14ac:dyDescent="0.35">
      <c r="A49" s="12" t="s">
        <v>52</v>
      </c>
      <c r="B49" s="23">
        <f t="shared" si="30"/>
        <v>-9.6917251431132918</v>
      </c>
      <c r="C49" s="23">
        <f t="shared" si="31"/>
        <v>-7.1611981317551301</v>
      </c>
      <c r="D49" s="7">
        <f t="shared" si="17"/>
        <v>-0.26110181355651563</v>
      </c>
      <c r="E49" s="6"/>
      <c r="G49" s="12" t="s">
        <v>52</v>
      </c>
      <c r="H49" s="23">
        <f t="shared" si="32"/>
        <v>-8.0683463285868608</v>
      </c>
      <c r="I49" s="23">
        <f t="shared" si="33"/>
        <v>-6.7213171413902408</v>
      </c>
      <c r="J49" s="7">
        <f t="shared" si="20"/>
        <v>-0.16695232608248076</v>
      </c>
      <c r="K49" s="6"/>
      <c r="M49" s="12" t="s">
        <v>52</v>
      </c>
      <c r="N49" s="23">
        <f t="shared" si="34"/>
        <v>-38.693378053767617</v>
      </c>
      <c r="O49" s="23">
        <f t="shared" si="35"/>
        <v>-16.046625408934677</v>
      </c>
      <c r="P49" s="7">
        <f t="shared" si="23"/>
        <v>-0.58528755523395815</v>
      </c>
      <c r="Q49" s="6"/>
      <c r="S49" s="12" t="s">
        <v>52</v>
      </c>
      <c r="T49" s="23">
        <f t="shared" si="36"/>
        <v>-7.119269652064073</v>
      </c>
      <c r="U49" s="23">
        <f t="shared" si="37"/>
        <v>-6.2332560794934375</v>
      </c>
      <c r="V49" s="7">
        <f t="shared" si="26"/>
        <v>-0.12445287450430476</v>
      </c>
      <c r="W49" s="6"/>
      <c r="Y49" s="12" t="s">
        <v>52</v>
      </c>
      <c r="Z49" s="23">
        <f t="shared" si="38"/>
        <v>0</v>
      </c>
      <c r="AA49" s="23">
        <f t="shared" si="39"/>
        <v>-2.6842268693846276</v>
      </c>
      <c r="AB49" s="7" t="str">
        <f t="shared" si="29"/>
        <v/>
      </c>
      <c r="AC49" s="6"/>
    </row>
    <row r="50" spans="1:29" x14ac:dyDescent="0.35">
      <c r="A50" s="12" t="s">
        <v>53</v>
      </c>
      <c r="B50" s="23">
        <f t="shared" si="30"/>
        <v>4.8632701520963098</v>
      </c>
      <c r="C50" s="23">
        <f t="shared" si="31"/>
        <v>5.7146947867256044</v>
      </c>
      <c r="D50" s="7">
        <f t="shared" si="17"/>
        <v>0.17507245289721127</v>
      </c>
      <c r="E50" s="6"/>
      <c r="G50" s="12" t="s">
        <v>53</v>
      </c>
      <c r="H50" s="23">
        <f t="shared" si="32"/>
        <v>5.6439615380674679</v>
      </c>
      <c r="I50" s="23">
        <f t="shared" si="33"/>
        <v>6.6340875494422065</v>
      </c>
      <c r="J50" s="7">
        <f t="shared" si="20"/>
        <v>0.17543103451299646</v>
      </c>
      <c r="K50" s="6"/>
      <c r="M50" s="12" t="s">
        <v>53</v>
      </c>
      <c r="N50" s="23">
        <f t="shared" si="34"/>
        <v>0</v>
      </c>
      <c r="O50" s="23">
        <f t="shared" si="35"/>
        <v>0</v>
      </c>
      <c r="P50" s="7" t="str">
        <f t="shared" si="23"/>
        <v/>
      </c>
      <c r="Q50" s="6"/>
      <c r="S50" s="12" t="s">
        <v>53</v>
      </c>
      <c r="T50" s="23">
        <f t="shared" si="36"/>
        <v>0.82482169363410551</v>
      </c>
      <c r="U50" s="23">
        <f t="shared" si="37"/>
        <v>0.56140306414739971</v>
      </c>
      <c r="V50" s="7">
        <f t="shared" si="26"/>
        <v>-0.31936433233963829</v>
      </c>
      <c r="W50" s="6"/>
      <c r="Y50" s="12" t="s">
        <v>53</v>
      </c>
      <c r="Z50" s="23">
        <f t="shared" si="38"/>
        <v>0</v>
      </c>
      <c r="AA50" s="23">
        <f t="shared" si="39"/>
        <v>0</v>
      </c>
      <c r="AB50" s="7" t="str">
        <f t="shared" si="29"/>
        <v/>
      </c>
      <c r="AC50" s="6"/>
    </row>
    <row r="51" spans="1:29" x14ac:dyDescent="0.35">
      <c r="A51" s="37" t="s">
        <v>62</v>
      </c>
      <c r="B51" s="53">
        <f>B27/($B$8/12)</f>
        <v>4060.2527247494681</v>
      </c>
      <c r="C51" s="53">
        <f t="shared" si="31"/>
        <v>4379.6450249913814</v>
      </c>
      <c r="D51" s="40">
        <f t="shared" si="17"/>
        <v>7.8663157663817818E-2</v>
      </c>
      <c r="E51" s="38"/>
      <c r="G51" s="37" t="s">
        <v>62</v>
      </c>
      <c r="H51" s="53">
        <f t="shared" si="32"/>
        <v>3893.8996604241015</v>
      </c>
      <c r="I51" s="53">
        <f t="shared" si="33"/>
        <v>4236.0320969213808</v>
      </c>
      <c r="J51" s="40">
        <f t="shared" si="20"/>
        <v>8.7863701259322163E-2</v>
      </c>
      <c r="K51" s="38"/>
      <c r="M51" s="37" t="s">
        <v>62</v>
      </c>
      <c r="N51" s="53">
        <f t="shared" si="34"/>
        <v>9360.556056949823</v>
      </c>
      <c r="O51" s="53">
        <f t="shared" si="35"/>
        <v>9589.8478958096566</v>
      </c>
      <c r="P51" s="40">
        <f t="shared" si="23"/>
        <v>2.4495536105421219E-2</v>
      </c>
      <c r="Q51" s="38"/>
      <c r="S51" s="37" t="s">
        <v>62</v>
      </c>
      <c r="T51" s="53">
        <f>T27/($T$8/12)</f>
        <v>2444.3832686812034</v>
      </c>
      <c r="U51" s="53">
        <f>U27/($U$8/12)</f>
        <v>2802.7071913153013</v>
      </c>
      <c r="V51" s="40">
        <f t="shared" si="26"/>
        <v>0.14659072790472064</v>
      </c>
      <c r="W51" s="38"/>
      <c r="Y51" s="37" t="s">
        <v>62</v>
      </c>
      <c r="Z51" s="53">
        <f>Z27/($Z$8/12)</f>
        <v>1286.01</v>
      </c>
      <c r="AA51" s="53">
        <f>AA27/($U$8/12)</f>
        <v>13.749306874647001</v>
      </c>
      <c r="AB51" s="40">
        <f t="shared" si="29"/>
        <v>-0.98930855368570469</v>
      </c>
      <c r="AC51" s="38"/>
    </row>
    <row r="52" spans="1:29" x14ac:dyDescent="0.35">
      <c r="A52" s="37" t="s">
        <v>63</v>
      </c>
      <c r="B52" s="53">
        <f>B28/($B$8/12)</f>
        <v>3681.0405940837809</v>
      </c>
      <c r="C52" s="53">
        <f t="shared" si="31"/>
        <v>4006.2627253123219</v>
      </c>
      <c r="D52" s="40">
        <f t="shared" si="17"/>
        <v>8.8350596228480197E-2</v>
      </c>
      <c r="E52" s="38"/>
      <c r="G52" s="37" t="s">
        <v>63</v>
      </c>
      <c r="H52" s="53">
        <f t="shared" si="32"/>
        <v>3893.8996604241015</v>
      </c>
      <c r="I52" s="53">
        <f t="shared" si="33"/>
        <v>4236.0320969213808</v>
      </c>
      <c r="J52" s="40">
        <f t="shared" si="20"/>
        <v>8.7863701259322163E-2</v>
      </c>
      <c r="K52" s="38"/>
      <c r="M52" s="37" t="s">
        <v>63</v>
      </c>
      <c r="N52" s="53">
        <f t="shared" si="34"/>
        <v>9360.556056949823</v>
      </c>
      <c r="O52" s="53">
        <f t="shared" si="35"/>
        <v>9589.8478958096566</v>
      </c>
      <c r="P52" s="40">
        <f t="shared" si="23"/>
        <v>2.4495536105421219E-2</v>
      </c>
      <c r="Q52" s="38"/>
      <c r="S52" s="37" t="s">
        <v>63</v>
      </c>
      <c r="T52" s="53">
        <f>T28/($T$8/12)</f>
        <v>2444.3832686812034</v>
      </c>
      <c r="U52" s="53">
        <f>U28/($U$8/12)</f>
        <v>2802.7071913153013</v>
      </c>
      <c r="V52" s="40">
        <f t="shared" si="26"/>
        <v>0.14659072790472064</v>
      </c>
      <c r="W52" s="38"/>
      <c r="Y52" s="37" t="s">
        <v>63</v>
      </c>
      <c r="Z52" s="53">
        <f>Z28/($Z$8/12)</f>
        <v>1286.01</v>
      </c>
      <c r="AA52" s="53">
        <f>AA28/($U$8/12)</f>
        <v>13.749306874647001</v>
      </c>
      <c r="AB52" s="40">
        <f t="shared" si="29"/>
        <v>-0.98930855368570469</v>
      </c>
      <c r="AC52" s="38"/>
    </row>
    <row r="53" spans="1:29" x14ac:dyDescent="0.35">
      <c r="A53" s="37" t="s">
        <v>56</v>
      </c>
      <c r="B53" s="53">
        <f t="shared" si="30"/>
        <v>1116.1801929379337</v>
      </c>
      <c r="C53" s="53">
        <f t="shared" si="31"/>
        <v>1126.9863223849061</v>
      </c>
      <c r="D53" s="40">
        <f t="shared" si="17"/>
        <v>9.6813485092664148E-3</v>
      </c>
      <c r="E53" s="38"/>
      <c r="G53" s="37" t="s">
        <v>56</v>
      </c>
      <c r="H53" s="53">
        <f t="shared" si="32"/>
        <v>1226.8664560771476</v>
      </c>
      <c r="I53" s="53">
        <f t="shared" si="33"/>
        <v>1229.5445487949842</v>
      </c>
      <c r="J53" s="40">
        <f t="shared" si="20"/>
        <v>2.1828722307720596E-3</v>
      </c>
      <c r="K53" s="38"/>
      <c r="M53" s="37" t="s">
        <v>56</v>
      </c>
      <c r="N53" s="53">
        <f t="shared" si="34"/>
        <v>152.13799685903098</v>
      </c>
      <c r="O53" s="53">
        <f t="shared" si="35"/>
        <v>202.71813673027106</v>
      </c>
      <c r="P53" s="40">
        <f t="shared" si="23"/>
        <v>0.33246224424860121</v>
      </c>
      <c r="Q53" s="38"/>
      <c r="S53" s="37" t="s">
        <v>56</v>
      </c>
      <c r="T53" s="53">
        <f>T29/($T$8/12)</f>
        <v>703.04698958962047</v>
      </c>
      <c r="U53" s="53">
        <f>U29/($U$8/12)</f>
        <v>710.35549395746455</v>
      </c>
      <c r="V53" s="40">
        <f t="shared" si="26"/>
        <v>1.0395470681284288E-2</v>
      </c>
      <c r="W53" s="38"/>
      <c r="Y53" s="37" t="s">
        <v>56</v>
      </c>
      <c r="Z53" s="53">
        <f>Z29/($Z$8/12)</f>
        <v>218.25190000000001</v>
      </c>
      <c r="AA53" s="53">
        <f>AA29/($U$8/12)</f>
        <v>149.66734407503537</v>
      </c>
      <c r="AB53" s="40">
        <f t="shared" si="29"/>
        <v>-0.31424494322828178</v>
      </c>
      <c r="AC53" s="38"/>
    </row>
    <row r="54" spans="1:29" x14ac:dyDescent="0.35">
      <c r="A54" s="37" t="s">
        <v>192</v>
      </c>
      <c r="B54" s="53">
        <f>B51+B53</f>
        <v>5176.4329176874016</v>
      </c>
      <c r="C54" s="53">
        <f>C51+C53</f>
        <v>5506.6313473762875</v>
      </c>
      <c r="D54" s="40">
        <f t="shared" si="17"/>
        <v>6.3788797216057375E-2</v>
      </c>
      <c r="E54" s="38"/>
      <c r="G54" s="37" t="s">
        <v>192</v>
      </c>
      <c r="H54" s="53">
        <f>H51+H53</f>
        <v>5120.7661165012487</v>
      </c>
      <c r="I54" s="53">
        <f>I51+I53</f>
        <v>5465.5766457163645</v>
      </c>
      <c r="J54" s="40">
        <f t="shared" si="20"/>
        <v>6.7335730898545082E-2</v>
      </c>
      <c r="K54" s="38"/>
      <c r="M54" s="37" t="s">
        <v>192</v>
      </c>
      <c r="N54" s="53">
        <f>N51+N53</f>
        <v>9512.6940538088547</v>
      </c>
      <c r="O54" s="53">
        <f>O51+O53</f>
        <v>9792.5660325399276</v>
      </c>
      <c r="P54" s="40">
        <f t="shared" si="23"/>
        <v>2.9420895610430462E-2</v>
      </c>
      <c r="Q54" s="38"/>
      <c r="S54" s="37" t="s">
        <v>192</v>
      </c>
      <c r="T54" s="53">
        <f>T51+T53</f>
        <v>3147.4302582708237</v>
      </c>
      <c r="U54" s="53">
        <f>U51+U53</f>
        <v>3513.062685272766</v>
      </c>
      <c r="V54" s="40">
        <f t="shared" si="26"/>
        <v>0.1161685556148965</v>
      </c>
      <c r="W54" s="38"/>
      <c r="Y54" s="37" t="s">
        <v>192</v>
      </c>
      <c r="Z54" s="53">
        <f>Z51+Z53</f>
        <v>1504.2619</v>
      </c>
      <c r="AA54" s="53">
        <f>AA51+AA53</f>
        <v>163.41665094968238</v>
      </c>
      <c r="AB54" s="40">
        <f t="shared" si="29"/>
        <v>-0.89136422922784764</v>
      </c>
      <c r="AC54" s="38"/>
    </row>
    <row r="55" spans="1:29" x14ac:dyDescent="0.35">
      <c r="A55" s="37" t="s">
        <v>193</v>
      </c>
      <c r="B55" s="53">
        <f>B51/B9+B53</f>
        <v>4999.9230863101329</v>
      </c>
      <c r="C55" s="53">
        <f>C51/C9+C53</f>
        <v>5262.7799935559515</v>
      </c>
      <c r="D55" s="40">
        <f t="shared" si="17"/>
        <v>5.2572190153389528E-2</v>
      </c>
      <c r="E55" s="38"/>
      <c r="G55" s="37" t="s">
        <v>193</v>
      </c>
      <c r="H55" s="53">
        <f>H51/H9+H53</f>
        <v>5001.7081325544441</v>
      </c>
      <c r="I55" s="53">
        <f>I51/I9+I53</f>
        <v>5259.2134518235689</v>
      </c>
      <c r="J55" s="40">
        <f t="shared" si="20"/>
        <v>5.1483475733641648E-2</v>
      </c>
      <c r="K55" s="38"/>
      <c r="M55" s="37" t="s">
        <v>193</v>
      </c>
      <c r="N55" s="53">
        <f>N51/N9+N53</f>
        <v>8965.6399853812782</v>
      </c>
      <c r="O55" s="53">
        <f>O51/O9+O53</f>
        <v>9409.9149336595474</v>
      </c>
      <c r="P55" s="40">
        <f t="shared" si="23"/>
        <v>4.9553065816012209E-2</v>
      </c>
      <c r="Q55" s="38"/>
      <c r="S55" s="37" t="s">
        <v>193</v>
      </c>
      <c r="T55" s="53">
        <f>T51/T9+T53</f>
        <v>2813.801034718419</v>
      </c>
      <c r="U55" s="53">
        <f>U51/U9+U53</f>
        <v>3171.9403817975049</v>
      </c>
      <c r="V55" s="40">
        <f t="shared" si="26"/>
        <v>0.1272795562515405</v>
      </c>
      <c r="W55" s="38"/>
      <c r="Y55" s="37" t="s">
        <v>194</v>
      </c>
      <c r="Z55" s="53">
        <f>Z52+Z53</f>
        <v>1504.2619</v>
      </c>
      <c r="AA55" s="53">
        <f>AA52+AA53</f>
        <v>163.41665094968238</v>
      </c>
      <c r="AB55" s="40">
        <f t="shared" si="29"/>
        <v>-0.89136422922784764</v>
      </c>
      <c r="AC55" s="38"/>
    </row>
    <row r="56" spans="1:29" x14ac:dyDescent="0.35">
      <c r="A56" s="37" t="s">
        <v>194</v>
      </c>
      <c r="B56" s="53">
        <f>B52+B53</f>
        <v>4797.2207870217144</v>
      </c>
      <c r="C56" s="53">
        <f>C52+C53</f>
        <v>5133.249047697228</v>
      </c>
      <c r="D56" s="40">
        <f t="shared" si="17"/>
        <v>7.0046444721618056E-2</v>
      </c>
      <c r="E56" s="38"/>
      <c r="G56" s="37" t="s">
        <v>194</v>
      </c>
      <c r="H56" s="53">
        <f>H52+H53</f>
        <v>5120.7661165012487</v>
      </c>
      <c r="I56" s="53">
        <f>I52+I53</f>
        <v>5465.5766457163645</v>
      </c>
      <c r="J56" s="40">
        <f t="shared" si="20"/>
        <v>6.7335730898545082E-2</v>
      </c>
      <c r="K56" s="38"/>
      <c r="M56" s="37" t="s">
        <v>194</v>
      </c>
      <c r="N56" s="53">
        <f>N52+N53</f>
        <v>9512.6940538088547</v>
      </c>
      <c r="O56" s="53">
        <f>O52+O53</f>
        <v>9792.5660325399276</v>
      </c>
      <c r="P56" s="40">
        <f t="shared" si="23"/>
        <v>2.9420895610430462E-2</v>
      </c>
      <c r="Q56" s="38"/>
      <c r="S56" s="37" t="s">
        <v>194</v>
      </c>
      <c r="T56" s="53">
        <f>T52+T53</f>
        <v>3147.4302582708237</v>
      </c>
      <c r="U56" s="53">
        <f>U52+U53</f>
        <v>3513.062685272766</v>
      </c>
      <c r="V56" s="40">
        <f t="shared" si="26"/>
        <v>0.1161685556148965</v>
      </c>
      <c r="W56" s="38"/>
    </row>
    <row r="57" spans="1:29" x14ac:dyDescent="0.35">
      <c r="A57" s="37" t="s">
        <v>195</v>
      </c>
      <c r="B57" s="53">
        <f>B52/B9+B53</f>
        <v>4637.1963012073002</v>
      </c>
      <c r="C57" s="53">
        <f>C52/C9+C53</f>
        <v>4910.1869995739826</v>
      </c>
      <c r="D57" s="40">
        <f t="shared" si="17"/>
        <v>5.8869774026087472E-2</v>
      </c>
      <c r="E57" s="38"/>
      <c r="G57" s="37" t="s">
        <v>195</v>
      </c>
      <c r="H57" s="53">
        <f>H52/H9+H53</f>
        <v>5001.7081325544441</v>
      </c>
      <c r="I57" s="53">
        <f>I52/I9+I53</f>
        <v>5259.2134518235689</v>
      </c>
      <c r="J57" s="40">
        <f t="shared" si="20"/>
        <v>5.1483475733641648E-2</v>
      </c>
      <c r="K57" s="38"/>
      <c r="M57" s="37" t="s">
        <v>195</v>
      </c>
      <c r="N57" s="53">
        <f>N52/N9+N53</f>
        <v>8965.6399853812782</v>
      </c>
      <c r="O57" s="53">
        <f>O52/O9+O53</f>
        <v>9409.9149336595474</v>
      </c>
      <c r="P57" s="40">
        <f t="shared" si="23"/>
        <v>4.9553065816012209E-2</v>
      </c>
      <c r="Q57" s="38"/>
      <c r="S57" s="37" t="s">
        <v>195</v>
      </c>
      <c r="T57" s="53">
        <f>T52/T9+T53</f>
        <v>2813.801034718419</v>
      </c>
      <c r="U57" s="53">
        <f>U52/U9+U53</f>
        <v>3171.9403817975049</v>
      </c>
      <c r="V57" s="40">
        <f t="shared" si="26"/>
        <v>0.1272795562515405</v>
      </c>
      <c r="W57" s="38"/>
    </row>
    <row r="60" spans="1:29" x14ac:dyDescent="0.35">
      <c r="A60" s="84" t="s">
        <v>417</v>
      </c>
      <c r="H60" s="49"/>
      <c r="I60" s="49"/>
    </row>
    <row r="61" spans="1:29" x14ac:dyDescent="0.35">
      <c r="H61" s="49"/>
      <c r="I61" s="49"/>
    </row>
    <row r="62" spans="1:29" x14ac:dyDescent="0.35">
      <c r="H62" s="49"/>
      <c r="I62" s="49"/>
    </row>
    <row r="63" spans="1:29" x14ac:dyDescent="0.35">
      <c r="H63" s="49"/>
      <c r="I63" s="49"/>
    </row>
    <row r="64" spans="1:29" x14ac:dyDescent="0.35">
      <c r="H64" s="49"/>
      <c r="I64" s="49"/>
    </row>
    <row r="65" spans="8:9" x14ac:dyDescent="0.35">
      <c r="H65" s="49"/>
      <c r="I65" s="49"/>
    </row>
    <row r="66" spans="8:9" x14ac:dyDescent="0.35">
      <c r="H66" s="49"/>
      <c r="I66" s="49"/>
    </row>
    <row r="67" spans="8:9" x14ac:dyDescent="0.35">
      <c r="H67" s="49"/>
      <c r="I67" s="49"/>
    </row>
  </sheetData>
  <mergeCells count="33">
    <mergeCell ref="Q6:Q7"/>
    <mergeCell ref="A6:A7"/>
    <mergeCell ref="B6:C6"/>
    <mergeCell ref="E6:E7"/>
    <mergeCell ref="G6:G7"/>
    <mergeCell ref="H6:I6"/>
    <mergeCell ref="K6:K7"/>
    <mergeCell ref="M6:M7"/>
    <mergeCell ref="N6:O6"/>
    <mergeCell ref="A32:A33"/>
    <mergeCell ref="B32:C32"/>
    <mergeCell ref="E32:E33"/>
    <mergeCell ref="G32:G33"/>
    <mergeCell ref="Q32:Q33"/>
    <mergeCell ref="H32:I32"/>
    <mergeCell ref="K32:K33"/>
    <mergeCell ref="M32:M33"/>
    <mergeCell ref="N32:O32"/>
    <mergeCell ref="AI6:AI7"/>
    <mergeCell ref="S6:S7"/>
    <mergeCell ref="T6:U6"/>
    <mergeCell ref="W6:W7"/>
    <mergeCell ref="S32:S33"/>
    <mergeCell ref="T32:U32"/>
    <mergeCell ref="W32:W33"/>
    <mergeCell ref="Y6:Y7"/>
    <mergeCell ref="Z6:AA6"/>
    <mergeCell ref="AC6:AC7"/>
    <mergeCell ref="AC32:AC33"/>
    <mergeCell ref="Z32:AA32"/>
    <mergeCell ref="Y32:Y33"/>
    <mergeCell ref="AE6:AE7"/>
    <mergeCell ref="AF6:AG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A966-45F8-4B58-98A7-EE2D5F002986}">
  <sheetPr>
    <tabColor theme="8"/>
  </sheetPr>
  <dimension ref="A1:W41"/>
  <sheetViews>
    <sheetView zoomScaleNormal="100" workbookViewId="0">
      <selection activeCell="A40" sqref="A40"/>
    </sheetView>
  </sheetViews>
  <sheetFormatPr defaultColWidth="9.08984375" defaultRowHeight="14.5" x14ac:dyDescent="0.35"/>
  <cols>
    <col min="1" max="1" width="43" style="77" customWidth="1"/>
    <col min="2" max="2" width="19.6328125" style="77" customWidth="1"/>
    <col min="3" max="3" width="20" style="77" bestFit="1" customWidth="1"/>
    <col min="4" max="4" width="16.453125" style="77" customWidth="1"/>
    <col min="5" max="5" width="17.6328125" style="77" customWidth="1"/>
    <col min="6" max="6" width="9.08984375" style="77"/>
    <col min="7" max="7" width="39.54296875" style="77" customWidth="1"/>
    <col min="8" max="9" width="19.6328125" style="77" customWidth="1"/>
    <col min="10" max="10" width="16.453125" style="77" customWidth="1"/>
    <col min="11" max="11" width="16.6328125" style="77" customWidth="1"/>
    <col min="12" max="12" width="9.08984375" style="77"/>
    <col min="13" max="13" width="38.453125" style="77" customWidth="1"/>
    <col min="14" max="15" width="19.6328125" style="77" customWidth="1"/>
    <col min="16" max="16" width="16.453125" style="77" customWidth="1"/>
    <col min="17" max="17" width="17.6328125" style="77" customWidth="1"/>
    <col min="18" max="18" width="9.08984375" style="77"/>
    <col min="19" max="19" width="38.6328125" style="77" customWidth="1"/>
    <col min="20" max="21" width="19.6328125" style="77" customWidth="1"/>
    <col min="22" max="22" width="16.453125" style="77" customWidth="1"/>
    <col min="23" max="23" width="17.6328125" style="77" customWidth="1"/>
    <col min="24" max="16384" width="9.08984375" style="77"/>
  </cols>
  <sheetData>
    <row r="1" spans="1:23" ht="18.5" x14ac:dyDescent="0.45">
      <c r="A1" s="1" t="s">
        <v>308</v>
      </c>
      <c r="B1" s="1"/>
      <c r="C1" s="1"/>
      <c r="D1" s="1"/>
    </row>
    <row r="2" spans="1:23" ht="15.5" x14ac:dyDescent="0.35">
      <c r="A2" s="2" t="s">
        <v>415</v>
      </c>
      <c r="B2" s="3"/>
      <c r="C2" s="3"/>
      <c r="D2" s="3"/>
      <c r="G2" s="10"/>
      <c r="M2" s="10"/>
      <c r="S2" s="10"/>
    </row>
    <row r="3" spans="1:23" ht="15.75" customHeight="1" x14ac:dyDescent="0.35">
      <c r="A3" s="4"/>
      <c r="B3" s="5"/>
      <c r="C3" s="5"/>
      <c r="D3" s="5"/>
      <c r="G3" s="10"/>
      <c r="M3" s="10"/>
      <c r="S3" s="10"/>
    </row>
    <row r="4" spans="1:23" ht="15.75" customHeight="1" x14ac:dyDescent="0.35">
      <c r="A4" s="4"/>
      <c r="B4" s="5"/>
      <c r="C4" s="5"/>
      <c r="D4" s="5"/>
      <c r="G4" s="10"/>
      <c r="H4" s="78"/>
      <c r="I4" s="78"/>
      <c r="M4" s="10"/>
      <c r="S4" s="10"/>
    </row>
    <row r="5" spans="1:23" x14ac:dyDescent="0.35">
      <c r="A5" s="33" t="s">
        <v>59</v>
      </c>
      <c r="G5" s="33" t="s">
        <v>27</v>
      </c>
      <c r="M5" s="33" t="s">
        <v>28</v>
      </c>
      <c r="S5" s="33" t="s">
        <v>112</v>
      </c>
    </row>
    <row r="6" spans="1:23" x14ac:dyDescent="0.35">
      <c r="A6" s="170" t="s">
        <v>8</v>
      </c>
      <c r="B6" s="170" t="s">
        <v>2</v>
      </c>
      <c r="C6" s="170"/>
      <c r="D6" s="126" t="s">
        <v>3</v>
      </c>
      <c r="E6" s="173" t="s">
        <v>30</v>
      </c>
      <c r="G6" s="170" t="s">
        <v>8</v>
      </c>
      <c r="H6" s="170" t="s">
        <v>2</v>
      </c>
      <c r="I6" s="170"/>
      <c r="J6" s="126" t="s">
        <v>3</v>
      </c>
      <c r="K6" s="173" t="s">
        <v>30</v>
      </c>
      <c r="M6" s="170" t="s">
        <v>8</v>
      </c>
      <c r="N6" s="170" t="s">
        <v>2</v>
      </c>
      <c r="O6" s="170"/>
      <c r="P6" s="126" t="s">
        <v>3</v>
      </c>
      <c r="Q6" s="173" t="s">
        <v>30</v>
      </c>
      <c r="S6" s="170" t="s">
        <v>8</v>
      </c>
      <c r="T6" s="170" t="s">
        <v>2</v>
      </c>
      <c r="U6" s="170"/>
      <c r="V6" s="126" t="s">
        <v>3</v>
      </c>
      <c r="W6" s="173" t="s">
        <v>30</v>
      </c>
    </row>
    <row r="7" spans="1:23" x14ac:dyDescent="0.35">
      <c r="A7" s="170"/>
      <c r="B7" s="125">
        <v>2022</v>
      </c>
      <c r="C7" s="125">
        <v>2023</v>
      </c>
      <c r="D7" s="125" t="s">
        <v>310</v>
      </c>
      <c r="E7" s="174"/>
      <c r="G7" s="170"/>
      <c r="H7" s="125">
        <v>2022</v>
      </c>
      <c r="I7" s="125">
        <v>2023</v>
      </c>
      <c r="J7" s="125" t="s">
        <v>310</v>
      </c>
      <c r="K7" s="174"/>
      <c r="M7" s="170"/>
      <c r="N7" s="125">
        <v>2022</v>
      </c>
      <c r="O7" s="125">
        <v>2023</v>
      </c>
      <c r="P7" s="125" t="s">
        <v>310</v>
      </c>
      <c r="Q7" s="174"/>
      <c r="S7" s="170"/>
      <c r="T7" s="125">
        <v>2022</v>
      </c>
      <c r="U7" s="125">
        <v>2023</v>
      </c>
      <c r="V7" s="125" t="s">
        <v>310</v>
      </c>
      <c r="W7" s="174"/>
    </row>
    <row r="8" spans="1:23" x14ac:dyDescent="0.35">
      <c r="A8" s="37" t="s">
        <v>67</v>
      </c>
      <c r="B8" s="60">
        <f>H8+N8+T8</f>
        <v>15589957</v>
      </c>
      <c r="C8" s="60">
        <f>I8+O8 + U8</f>
        <v>16681119</v>
      </c>
      <c r="D8" s="40">
        <f t="shared" ref="D8:D18" si="0">IFERROR((C8-B8)/B8, "")</f>
        <v>6.9991341220504974E-2</v>
      </c>
      <c r="E8" s="38"/>
      <c r="G8" s="37" t="s">
        <v>67</v>
      </c>
      <c r="H8" s="60">
        <v>13213829</v>
      </c>
      <c r="I8" s="60">
        <v>14235997</v>
      </c>
      <c r="J8" s="40">
        <f t="shared" ref="J8:J18" si="1">IFERROR((I8-H8)/H8, "")</f>
        <v>7.7355927642169434E-2</v>
      </c>
      <c r="K8" s="83" t="s">
        <v>113</v>
      </c>
      <c r="M8" s="37" t="s">
        <v>67</v>
      </c>
      <c r="N8" s="60">
        <v>872979</v>
      </c>
      <c r="O8" s="60">
        <v>869332</v>
      </c>
      <c r="P8" s="40">
        <f t="shared" ref="P8:P18" si="2">IFERROR((O8-N8)/N8, "")</f>
        <v>-4.1776491759824693E-3</v>
      </c>
      <c r="Q8" s="83" t="s">
        <v>113</v>
      </c>
      <c r="S8" s="37" t="s">
        <v>67</v>
      </c>
      <c r="T8" s="60">
        <v>1503149</v>
      </c>
      <c r="U8" s="60">
        <v>1575790</v>
      </c>
      <c r="V8" s="40">
        <f t="shared" ref="V8:V18" si="3">IFERROR((U8-T8)/T8, "")</f>
        <v>4.8325881200067325E-2</v>
      </c>
      <c r="W8" s="83"/>
    </row>
    <row r="9" spans="1:23" x14ac:dyDescent="0.35">
      <c r="A9" s="37" t="s">
        <v>130</v>
      </c>
      <c r="B9" s="81">
        <f>(H8*H9+N8*N9+T8*T9)/(H8+N8+T8)</f>
        <v>1.0454483821981346</v>
      </c>
      <c r="C9" s="81">
        <f>(I8*I9+O8*O9+U8*U9)/(I8+O8+U8)</f>
        <v>1.0589611990366266</v>
      </c>
      <c r="D9" s="40">
        <f t="shared" si="0"/>
        <v>1.2925379261748152E-2</v>
      </c>
      <c r="E9" s="38"/>
      <c r="G9" s="37" t="s">
        <v>130</v>
      </c>
      <c r="H9" s="81">
        <v>1.03153986157584</v>
      </c>
      <c r="I9" s="81">
        <v>1.0512109552568201</v>
      </c>
      <c r="J9" s="40">
        <f t="shared" si="1"/>
        <v>1.9069639878898502E-2</v>
      </c>
      <c r="K9" s="83"/>
      <c r="M9" s="37" t="s">
        <v>130</v>
      </c>
      <c r="N9" s="81">
        <v>1.0620700000000001</v>
      </c>
      <c r="O9" s="81">
        <v>1.04156</v>
      </c>
      <c r="P9" s="40">
        <f t="shared" si="2"/>
        <v>-1.9311344826612207E-2</v>
      </c>
      <c r="Q9" s="83"/>
      <c r="S9" s="37" t="s">
        <v>130</v>
      </c>
      <c r="T9" s="81">
        <v>1.1580616293605381</v>
      </c>
      <c r="U9" s="81">
        <v>1.1385783221047414</v>
      </c>
      <c r="V9" s="40">
        <f t="shared" si="3"/>
        <v>-1.682406770229929E-2</v>
      </c>
      <c r="W9" s="83"/>
    </row>
    <row r="10" spans="1:23" x14ac:dyDescent="0.35">
      <c r="A10" s="6" t="s">
        <v>33</v>
      </c>
      <c r="B10" s="23">
        <f>H10+N10+T10</f>
        <v>9720274.5999999996</v>
      </c>
      <c r="C10" s="23">
        <f t="shared" ref="B10:C16" si="4">I10+O10+U10</f>
        <v>12713847.9</v>
      </c>
      <c r="D10" s="7">
        <f t="shared" si="0"/>
        <v>0.30797209165263717</v>
      </c>
      <c r="E10" s="6"/>
      <c r="G10" s="6" t="s">
        <v>33</v>
      </c>
      <c r="H10" s="23">
        <v>9536133.0999999996</v>
      </c>
      <c r="I10" s="23">
        <v>12428630.800000001</v>
      </c>
      <c r="J10" s="7">
        <f t="shared" si="1"/>
        <v>0.30331977014876199</v>
      </c>
      <c r="K10" s="6"/>
      <c r="M10" s="6" t="s">
        <v>33</v>
      </c>
      <c r="N10" s="23">
        <v>0</v>
      </c>
      <c r="O10" s="23">
        <v>0</v>
      </c>
      <c r="P10" s="7" t="str">
        <f t="shared" si="2"/>
        <v/>
      </c>
      <c r="Q10" s="6"/>
      <c r="S10" s="6" t="s">
        <v>33</v>
      </c>
      <c r="T10" s="23">
        <v>184141.5</v>
      </c>
      <c r="U10" s="23">
        <v>285217.09999999998</v>
      </c>
      <c r="V10" s="7">
        <f t="shared" si="3"/>
        <v>0.54890179562999097</v>
      </c>
      <c r="W10" s="6"/>
    </row>
    <row r="11" spans="1:23" x14ac:dyDescent="0.35">
      <c r="A11" s="6" t="s">
        <v>34</v>
      </c>
      <c r="B11" s="23">
        <f t="shared" si="4"/>
        <v>106072788</v>
      </c>
      <c r="C11" s="23">
        <f t="shared" si="4"/>
        <v>126984858</v>
      </c>
      <c r="D11" s="7">
        <f t="shared" si="0"/>
        <v>0.19714830159833266</v>
      </c>
      <c r="E11" s="6"/>
      <c r="G11" s="6" t="s">
        <v>34</v>
      </c>
      <c r="H11" s="23">
        <v>95394618</v>
      </c>
      <c r="I11" s="23">
        <v>116147959</v>
      </c>
      <c r="J11" s="7">
        <f t="shared" si="1"/>
        <v>0.21755253530131019</v>
      </c>
      <c r="K11" s="6"/>
      <c r="M11" s="6" t="s">
        <v>34</v>
      </c>
      <c r="N11" s="23">
        <v>4559004</v>
      </c>
      <c r="O11" s="23">
        <v>4479685</v>
      </c>
      <c r="P11" s="7">
        <f t="shared" si="2"/>
        <v>-1.7398317702726297E-2</v>
      </c>
      <c r="Q11" s="6"/>
      <c r="S11" s="6" t="s">
        <v>34</v>
      </c>
      <c r="T11" s="23">
        <v>6119166</v>
      </c>
      <c r="U11" s="23">
        <v>6357214</v>
      </c>
      <c r="V11" s="7">
        <f t="shared" si="3"/>
        <v>3.8902033381673251E-2</v>
      </c>
      <c r="W11" s="6"/>
    </row>
    <row r="12" spans="1:23" x14ac:dyDescent="0.35">
      <c r="A12" s="6" t="s">
        <v>35</v>
      </c>
      <c r="B12" s="23">
        <f t="shared" si="4"/>
        <v>31437741.5</v>
      </c>
      <c r="C12" s="23">
        <f t="shared" si="4"/>
        <v>41193952.700000003</v>
      </c>
      <c r="D12" s="7">
        <f t="shared" si="0"/>
        <v>0.31033435401204007</v>
      </c>
      <c r="E12" s="6"/>
      <c r="G12" s="6" t="s">
        <v>35</v>
      </c>
      <c r="H12" s="23">
        <v>30628569.699999999</v>
      </c>
      <c r="I12" s="23">
        <v>40216768.5</v>
      </c>
      <c r="J12" s="7">
        <f t="shared" si="1"/>
        <v>0.31304755311509047</v>
      </c>
      <c r="K12" s="6"/>
      <c r="M12" s="6" t="s">
        <v>35</v>
      </c>
      <c r="N12" s="23">
        <v>0</v>
      </c>
      <c r="O12" s="23">
        <v>0</v>
      </c>
      <c r="P12" s="7" t="str">
        <f t="shared" si="2"/>
        <v/>
      </c>
      <c r="Q12" s="6"/>
      <c r="S12" s="6" t="s">
        <v>35</v>
      </c>
      <c r="T12" s="23">
        <v>809171.8</v>
      </c>
      <c r="U12" s="23">
        <v>977184.2</v>
      </c>
      <c r="V12" s="7">
        <f t="shared" si="3"/>
        <v>0.20763501644520965</v>
      </c>
      <c r="W12" s="6"/>
    </row>
    <row r="13" spans="1:23" x14ac:dyDescent="0.35">
      <c r="A13" s="6" t="s">
        <v>36</v>
      </c>
      <c r="B13" s="23">
        <f t="shared" si="4"/>
        <v>69413874.799999997</v>
      </c>
      <c r="C13" s="23">
        <f t="shared" si="4"/>
        <v>79402348.559999987</v>
      </c>
      <c r="D13" s="7">
        <f t="shared" si="0"/>
        <v>0.14389736617901627</v>
      </c>
      <c r="E13" s="6"/>
      <c r="G13" s="6" t="s">
        <v>36</v>
      </c>
      <c r="H13" s="52">
        <v>65456166.259999998</v>
      </c>
      <c r="I13" s="52">
        <v>75051409.849999994</v>
      </c>
      <c r="J13" s="7">
        <f t="shared" si="1"/>
        <v>0.14659036937614861</v>
      </c>
      <c r="K13" s="6"/>
      <c r="M13" s="6" t="s">
        <v>36</v>
      </c>
      <c r="N13" s="23">
        <v>47420.72</v>
      </c>
      <c r="O13" s="23">
        <v>1114.52</v>
      </c>
      <c r="P13" s="7">
        <f t="shared" si="2"/>
        <v>-0.97649719363181331</v>
      </c>
      <c r="Q13" s="6"/>
      <c r="S13" s="6" t="s">
        <v>36</v>
      </c>
      <c r="T13" s="23">
        <v>3910287.8200000003</v>
      </c>
      <c r="U13" s="23">
        <v>4349824.1899999995</v>
      </c>
      <c r="V13" s="7">
        <f t="shared" si="3"/>
        <v>0.11240511958017432</v>
      </c>
      <c r="W13" s="6"/>
    </row>
    <row r="14" spans="1:23" x14ac:dyDescent="0.35">
      <c r="A14" s="6" t="s">
        <v>37</v>
      </c>
      <c r="B14" s="23">
        <f t="shared" si="4"/>
        <v>2173889.9</v>
      </c>
      <c r="C14" s="23">
        <f t="shared" si="4"/>
        <v>2507676.7199999997</v>
      </c>
      <c r="D14" s="7">
        <f t="shared" si="0"/>
        <v>0.15354357182486558</v>
      </c>
      <c r="E14" s="6"/>
      <c r="G14" s="6" t="s">
        <v>37</v>
      </c>
      <c r="H14" s="24">
        <v>1952224.42</v>
      </c>
      <c r="I14" s="24">
        <v>2306723.17</v>
      </c>
      <c r="J14" s="7">
        <f t="shared" si="1"/>
        <v>0.18158708925483066</v>
      </c>
      <c r="K14" s="6"/>
      <c r="M14" s="6" t="s">
        <v>37</v>
      </c>
      <c r="N14" s="24">
        <v>93352.8</v>
      </c>
      <c r="O14" s="24">
        <v>85118.32</v>
      </c>
      <c r="P14" s="7">
        <f t="shared" si="2"/>
        <v>-8.8208173723766145E-2</v>
      </c>
      <c r="Q14" s="6"/>
      <c r="S14" s="6" t="s">
        <v>37</v>
      </c>
      <c r="T14" s="24">
        <v>128312.68000000001</v>
      </c>
      <c r="U14" s="24">
        <v>115835.23000000001</v>
      </c>
      <c r="V14" s="7">
        <f t="shared" si="3"/>
        <v>-9.7242532850221788E-2</v>
      </c>
      <c r="W14" s="6"/>
    </row>
    <row r="15" spans="1:23" x14ac:dyDescent="0.35">
      <c r="A15" s="6" t="s">
        <v>38</v>
      </c>
      <c r="B15" s="23">
        <f t="shared" si="4"/>
        <v>20350005</v>
      </c>
      <c r="C15" s="23">
        <f t="shared" si="4"/>
        <v>21006484</v>
      </c>
      <c r="D15" s="7">
        <f t="shared" si="0"/>
        <v>3.2259402393267224E-2</v>
      </c>
      <c r="E15" s="6"/>
      <c r="G15" s="6" t="s">
        <v>38</v>
      </c>
      <c r="H15" s="25">
        <v>15017932</v>
      </c>
      <c r="I15" s="25">
        <v>16132104</v>
      </c>
      <c r="J15" s="7">
        <f t="shared" si="1"/>
        <v>7.4189442328011612E-2</v>
      </c>
      <c r="K15" s="6"/>
      <c r="M15" s="6" t="s">
        <v>38</v>
      </c>
      <c r="N15" s="25">
        <v>2470896</v>
      </c>
      <c r="O15" s="25">
        <v>1844519</v>
      </c>
      <c r="P15" s="7">
        <f t="shared" si="2"/>
        <v>-0.25350196851668383</v>
      </c>
      <c r="Q15" s="6"/>
      <c r="S15" s="6" t="s">
        <v>38</v>
      </c>
      <c r="T15" s="25">
        <v>2861177</v>
      </c>
      <c r="U15" s="25">
        <v>3029861</v>
      </c>
      <c r="V15" s="7">
        <f t="shared" si="3"/>
        <v>5.8956156854329526E-2</v>
      </c>
      <c r="W15" s="6"/>
    </row>
    <row r="16" spans="1:23" x14ac:dyDescent="0.35">
      <c r="A16" s="6" t="s">
        <v>39</v>
      </c>
      <c r="B16" s="23">
        <f t="shared" si="4"/>
        <v>4606404.26</v>
      </c>
      <c r="C16" s="23">
        <f t="shared" si="4"/>
        <v>6392168.3800000008</v>
      </c>
      <c r="D16" s="7">
        <f t="shared" si="0"/>
        <v>0.38766986551892452</v>
      </c>
      <c r="E16" s="6"/>
      <c r="G16" s="6" t="s">
        <v>39</v>
      </c>
      <c r="H16" s="25">
        <v>4575724.04</v>
      </c>
      <c r="I16" s="25">
        <v>6350390.7300000004</v>
      </c>
      <c r="J16" s="7">
        <f t="shared" si="1"/>
        <v>0.3878439072125513</v>
      </c>
      <c r="K16" s="6"/>
      <c r="M16" s="6" t="s">
        <v>39</v>
      </c>
      <c r="N16" s="25">
        <v>0</v>
      </c>
      <c r="O16" s="25">
        <v>0</v>
      </c>
      <c r="P16" s="7" t="str">
        <f t="shared" si="2"/>
        <v/>
      </c>
      <c r="Q16" s="6"/>
      <c r="S16" s="6" t="s">
        <v>39</v>
      </c>
      <c r="T16" s="25">
        <v>30680.22</v>
      </c>
      <c r="U16" s="25">
        <v>41777.65</v>
      </c>
      <c r="V16" s="7">
        <f t="shared" si="3"/>
        <v>0.36171285603558251</v>
      </c>
      <c r="W16" s="6"/>
    </row>
    <row r="17" spans="1:23" x14ac:dyDescent="0.35">
      <c r="A17" s="12" t="s">
        <v>40</v>
      </c>
      <c r="B17" s="23">
        <f t="shared" ref="B17:C17" si="5">H17+N17+T17</f>
        <v>14006002</v>
      </c>
      <c r="C17" s="23">
        <f t="shared" si="5"/>
        <v>18304240.100000001</v>
      </c>
      <c r="D17" s="7">
        <f t="shared" si="0"/>
        <v>0.30688544097023557</v>
      </c>
      <c r="E17" s="6"/>
      <c r="G17" s="12" t="s">
        <v>40</v>
      </c>
      <c r="H17" s="25">
        <v>9536133.0999999996</v>
      </c>
      <c r="I17" s="25">
        <v>12428630.800000001</v>
      </c>
      <c r="J17" s="7">
        <f t="shared" si="1"/>
        <v>0.30331977014876199</v>
      </c>
      <c r="K17" s="6"/>
      <c r="M17" s="12" t="s">
        <v>40</v>
      </c>
      <c r="N17" s="25">
        <v>441943.8</v>
      </c>
      <c r="O17" s="25">
        <v>837448.9</v>
      </c>
      <c r="P17" s="7">
        <f t="shared" si="2"/>
        <v>0.89492170723969888</v>
      </c>
      <c r="Q17" s="6"/>
      <c r="S17" s="12" t="s">
        <v>40</v>
      </c>
      <c r="T17" s="25">
        <v>4027925.0999999996</v>
      </c>
      <c r="U17" s="25">
        <v>5038160.3999999994</v>
      </c>
      <c r="V17" s="7">
        <f t="shared" si="3"/>
        <v>0.25080786631310498</v>
      </c>
      <c r="W17" s="6"/>
    </row>
    <row r="18" spans="1:23" x14ac:dyDescent="0.35">
      <c r="A18" s="37" t="s">
        <v>62</v>
      </c>
      <c r="B18" s="39">
        <f>SUM(B10:B17)</f>
        <v>257780980.05999997</v>
      </c>
      <c r="C18" s="39">
        <f>SUM(C10:C17)</f>
        <v>308505576.36000001</v>
      </c>
      <c r="D18" s="40">
        <f t="shared" si="0"/>
        <v>0.19677400670985737</v>
      </c>
      <c r="E18" s="38"/>
      <c r="G18" s="37" t="s">
        <v>62</v>
      </c>
      <c r="H18" s="39">
        <f>SUM(H10:H17)</f>
        <v>232097500.61999995</v>
      </c>
      <c r="I18" s="39">
        <f>SUM(I10:I17)</f>
        <v>281062616.85000002</v>
      </c>
      <c r="J18" s="40">
        <f t="shared" si="1"/>
        <v>0.2109678738426739</v>
      </c>
      <c r="K18" s="38"/>
      <c r="M18" s="37" t="s">
        <v>62</v>
      </c>
      <c r="N18" s="39">
        <f>SUM(N10:N17)</f>
        <v>7612617.3199999994</v>
      </c>
      <c r="O18" s="39">
        <f>SUM(O10:O17)</f>
        <v>7247885.7400000002</v>
      </c>
      <c r="P18" s="40">
        <f t="shared" si="2"/>
        <v>-4.7911456029947813E-2</v>
      </c>
      <c r="Q18" s="38"/>
      <c r="S18" s="37" t="s">
        <v>62</v>
      </c>
      <c r="T18" s="39">
        <f>SUM(T10:T17)</f>
        <v>18070862.120000001</v>
      </c>
      <c r="U18" s="39">
        <f>SUM(U10:U17)</f>
        <v>20195073.77</v>
      </c>
      <c r="V18" s="40">
        <f t="shared" si="3"/>
        <v>0.11754899328510833</v>
      </c>
      <c r="W18" s="38"/>
    </row>
    <row r="21" spans="1:23" x14ac:dyDescent="0.35">
      <c r="A21" s="170" t="s">
        <v>8</v>
      </c>
      <c r="B21" s="170" t="s">
        <v>66</v>
      </c>
      <c r="C21" s="170"/>
      <c r="D21" s="126" t="s">
        <v>3</v>
      </c>
      <c r="E21" s="173" t="s">
        <v>30</v>
      </c>
      <c r="G21" s="170" t="s">
        <v>8</v>
      </c>
      <c r="H21" s="170" t="s">
        <v>66</v>
      </c>
      <c r="I21" s="170"/>
      <c r="J21" s="126" t="s">
        <v>3</v>
      </c>
      <c r="K21" s="173" t="s">
        <v>30</v>
      </c>
      <c r="M21" s="170" t="s">
        <v>8</v>
      </c>
      <c r="N21" s="170" t="s">
        <v>66</v>
      </c>
      <c r="O21" s="170"/>
      <c r="P21" s="126" t="s">
        <v>3</v>
      </c>
      <c r="Q21" s="173" t="s">
        <v>30</v>
      </c>
      <c r="S21" s="170" t="s">
        <v>8</v>
      </c>
      <c r="T21" s="170" t="s">
        <v>66</v>
      </c>
      <c r="U21" s="170"/>
      <c r="V21" s="126" t="s">
        <v>3</v>
      </c>
      <c r="W21" s="173" t="s">
        <v>30</v>
      </c>
    </row>
    <row r="22" spans="1:23" x14ac:dyDescent="0.35">
      <c r="A22" s="170"/>
      <c r="B22" s="125">
        <v>2022</v>
      </c>
      <c r="C22" s="125">
        <v>2023</v>
      </c>
      <c r="D22" s="125" t="s">
        <v>310</v>
      </c>
      <c r="E22" s="174"/>
      <c r="G22" s="170"/>
      <c r="H22" s="125">
        <v>2022</v>
      </c>
      <c r="I22" s="125">
        <v>2023</v>
      </c>
      <c r="J22" s="125" t="s">
        <v>310</v>
      </c>
      <c r="K22" s="174"/>
      <c r="M22" s="170"/>
      <c r="N22" s="125">
        <v>2022</v>
      </c>
      <c r="O22" s="125">
        <v>2023</v>
      </c>
      <c r="P22" s="125" t="s">
        <v>310</v>
      </c>
      <c r="Q22" s="174"/>
      <c r="S22" s="170"/>
      <c r="T22" s="125">
        <v>2022</v>
      </c>
      <c r="U22" s="125">
        <v>2023</v>
      </c>
      <c r="V22" s="125" t="s">
        <v>310</v>
      </c>
      <c r="W22" s="174"/>
    </row>
    <row r="23" spans="1:23" x14ac:dyDescent="0.35">
      <c r="A23" s="6" t="s">
        <v>33</v>
      </c>
      <c r="B23" s="23">
        <f t="shared" ref="B23:B30" si="6">B10/($B$8/12)</f>
        <v>7.4819510534891149</v>
      </c>
      <c r="C23" s="23">
        <f t="shared" ref="C23:C30" si="7">C10/($C$8/12)</f>
        <v>9.1460395912288615</v>
      </c>
      <c r="D23" s="7">
        <f t="shared" ref="D23:D31" si="8">IFERROR((C23-B23)/B23, "")</f>
        <v>0.22241371613407168</v>
      </c>
      <c r="E23" s="6"/>
      <c r="G23" s="6" t="s">
        <v>33</v>
      </c>
      <c r="H23" s="23">
        <f t="shared" ref="H23:H30" si="9">H10/($H$8/12)</f>
        <v>8.6601391012400715</v>
      </c>
      <c r="I23" s="23">
        <f t="shared" ref="I23:I30" si="10">I10/($I$8/12)</f>
        <v>10.47651032800864</v>
      </c>
      <c r="J23" s="7">
        <f t="shared" ref="J23:J31" si="11">IFERROR((I23-H23)/H23, "")</f>
        <v>0.20973926694878109</v>
      </c>
      <c r="K23" s="6"/>
      <c r="M23" s="6" t="s">
        <v>33</v>
      </c>
      <c r="N23" s="23">
        <f t="shared" ref="N23:N30" si="12">N10/($N$8/12)</f>
        <v>0</v>
      </c>
      <c r="O23" s="23">
        <f t="shared" ref="O23:O30" si="13">O10/($O$8/12)</f>
        <v>0</v>
      </c>
      <c r="P23" s="7" t="str">
        <f t="shared" ref="P23:P31" si="14">IFERROR((O23-N23)/N23, "")</f>
        <v/>
      </c>
      <c r="Q23" s="6"/>
      <c r="S23" s="6" t="s">
        <v>33</v>
      </c>
      <c r="T23" s="23">
        <f t="shared" ref="T23:T30" si="15">T10/($T$8/12)</f>
        <v>1.4700458836748718</v>
      </c>
      <c r="U23" s="23">
        <f t="shared" ref="U23:U30" si="16">U10/($U$8/12)</f>
        <v>2.1719932224471532</v>
      </c>
      <c r="V23" s="7">
        <f t="shared" ref="V23:V31" si="17">IFERROR((U23-T23)/T23, "")</f>
        <v>0.47750029204362593</v>
      </c>
      <c r="W23" s="6"/>
    </row>
    <row r="24" spans="1:23" x14ac:dyDescent="0.35">
      <c r="A24" s="6" t="s">
        <v>34</v>
      </c>
      <c r="B24" s="23">
        <f t="shared" si="6"/>
        <v>81.647015190612777</v>
      </c>
      <c r="C24" s="23">
        <f t="shared" si="7"/>
        <v>91.349884621049696</v>
      </c>
      <c r="D24" s="7">
        <f t="shared" si="8"/>
        <v>0.11883924241179719</v>
      </c>
      <c r="E24" s="6"/>
      <c r="G24" s="6" t="s">
        <v>34</v>
      </c>
      <c r="H24" s="23">
        <f t="shared" si="9"/>
        <v>86.631620251783175</v>
      </c>
      <c r="I24" s="23">
        <f t="shared" si="10"/>
        <v>97.905015574251678</v>
      </c>
      <c r="J24" s="7">
        <f t="shared" si="11"/>
        <v>0.13013026063351801</v>
      </c>
      <c r="K24" s="6"/>
      <c r="M24" s="6" t="s">
        <v>34</v>
      </c>
      <c r="N24" s="23">
        <f t="shared" si="12"/>
        <v>62.668229132659548</v>
      </c>
      <c r="O24" s="23">
        <f t="shared" si="13"/>
        <v>61.836237478891846</v>
      </c>
      <c r="P24" s="7">
        <f t="shared" si="14"/>
        <v>-1.3276131546760259E-2</v>
      </c>
      <c r="Q24" s="6"/>
      <c r="S24" s="6" t="s">
        <v>34</v>
      </c>
      <c r="T24" s="23">
        <f t="shared" si="15"/>
        <v>48.850773941904627</v>
      </c>
      <c r="U24" s="23">
        <f t="shared" si="16"/>
        <v>48.411633529848515</v>
      </c>
      <c r="V24" s="7">
        <f t="shared" si="17"/>
        <v>-8.989425890741384E-3</v>
      </c>
      <c r="W24" s="6"/>
    </row>
    <row r="25" spans="1:23" x14ac:dyDescent="0.35">
      <c r="A25" s="6" t="s">
        <v>35</v>
      </c>
      <c r="B25" s="23">
        <f t="shared" si="6"/>
        <v>24.198456608956651</v>
      </c>
      <c r="C25" s="23">
        <f t="shared" si="7"/>
        <v>29.633949161324253</v>
      </c>
      <c r="D25" s="7">
        <f t="shared" si="8"/>
        <v>0.22462145583101967</v>
      </c>
      <c r="E25" s="6"/>
      <c r="G25" s="6" t="s">
        <v>35</v>
      </c>
      <c r="H25" s="23">
        <f t="shared" si="9"/>
        <v>27.815013831342903</v>
      </c>
      <c r="I25" s="23">
        <f t="shared" si="10"/>
        <v>33.900064884812778</v>
      </c>
      <c r="J25" s="7">
        <f t="shared" si="11"/>
        <v>0.218768579097848</v>
      </c>
      <c r="K25" s="6"/>
      <c r="M25" s="6" t="s">
        <v>35</v>
      </c>
      <c r="N25" s="23">
        <f t="shared" si="12"/>
        <v>0</v>
      </c>
      <c r="O25" s="23">
        <f t="shared" si="13"/>
        <v>0</v>
      </c>
      <c r="P25" s="7" t="str">
        <f t="shared" si="14"/>
        <v/>
      </c>
      <c r="Q25" s="6"/>
      <c r="S25" s="6" t="s">
        <v>35</v>
      </c>
      <c r="T25" s="23">
        <f t="shared" si="15"/>
        <v>6.4598130990340943</v>
      </c>
      <c r="U25" s="23">
        <f t="shared" si="16"/>
        <v>7.4414804003071469</v>
      </c>
      <c r="V25" s="7">
        <f t="shared" si="17"/>
        <v>0.15196527921525108</v>
      </c>
      <c r="W25" s="6"/>
    </row>
    <row r="26" spans="1:23" x14ac:dyDescent="0.35">
      <c r="A26" s="6" t="s">
        <v>36</v>
      </c>
      <c r="B26" s="23">
        <f t="shared" si="6"/>
        <v>53.429685380145692</v>
      </c>
      <c r="C26" s="23">
        <f t="shared" si="7"/>
        <v>57.120159787841565</v>
      </c>
      <c r="D26" s="7">
        <f t="shared" si="8"/>
        <v>6.9071610312480755E-2</v>
      </c>
      <c r="E26" s="6"/>
      <c r="G26" s="6" t="s">
        <v>36</v>
      </c>
      <c r="H26" s="23">
        <f t="shared" si="9"/>
        <v>59.443329796382251</v>
      </c>
      <c r="I26" s="23">
        <f t="shared" si="10"/>
        <v>63.263354031333385</v>
      </c>
      <c r="J26" s="7">
        <f t="shared" si="11"/>
        <v>6.4263294940513624E-2</v>
      </c>
      <c r="K26" s="6"/>
      <c r="M26" s="6" t="s">
        <v>36</v>
      </c>
      <c r="N26" s="23">
        <f t="shared" si="12"/>
        <v>0.65184688291470927</v>
      </c>
      <c r="O26" s="23">
        <f t="shared" si="13"/>
        <v>1.5384502123469515E-2</v>
      </c>
      <c r="P26" s="7">
        <f t="shared" si="14"/>
        <v>-0.9763985952426768</v>
      </c>
      <c r="Q26" s="6"/>
      <c r="S26" s="6" t="s">
        <v>36</v>
      </c>
      <c r="T26" s="23">
        <f t="shared" si="15"/>
        <v>31.216768158046875</v>
      </c>
      <c r="U26" s="23">
        <f t="shared" si="16"/>
        <v>33.12490260758095</v>
      </c>
      <c r="V26" s="7">
        <f t="shared" si="17"/>
        <v>6.1125304191433624E-2</v>
      </c>
      <c r="W26" s="6"/>
    </row>
    <row r="27" spans="1:23" x14ac:dyDescent="0.35">
      <c r="A27" s="6" t="s">
        <v>37</v>
      </c>
      <c r="B27" s="23">
        <f t="shared" si="6"/>
        <v>1.6733002406613438</v>
      </c>
      <c r="C27" s="23">
        <f t="shared" si="7"/>
        <v>1.8039629499675649</v>
      </c>
      <c r="D27" s="7">
        <f t="shared" si="8"/>
        <v>7.8086828729899013E-2</v>
      </c>
      <c r="E27" s="6"/>
      <c r="G27" s="6" t="s">
        <v>37</v>
      </c>
      <c r="H27" s="23">
        <f t="shared" si="9"/>
        <v>1.7728920996328921</v>
      </c>
      <c r="I27" s="23">
        <f t="shared" si="10"/>
        <v>1.9444144333551068</v>
      </c>
      <c r="J27" s="7">
        <f t="shared" si="11"/>
        <v>9.674719276922232E-2</v>
      </c>
      <c r="K27" s="6"/>
      <c r="M27" s="6" t="s">
        <v>37</v>
      </c>
      <c r="N27" s="23">
        <f t="shared" si="12"/>
        <v>1.2832308680964835</v>
      </c>
      <c r="O27" s="23">
        <f t="shared" si="13"/>
        <v>1.1749479370367135</v>
      </c>
      <c r="P27" s="7">
        <f t="shared" si="14"/>
        <v>-8.4383047315869569E-2</v>
      </c>
      <c r="Q27" s="6"/>
      <c r="S27" s="6" t="s">
        <v>37</v>
      </c>
      <c r="T27" s="23">
        <f t="shared" si="15"/>
        <v>1.0243509858304134</v>
      </c>
      <c r="U27" s="23">
        <f t="shared" si="16"/>
        <v>0.88211167731740903</v>
      </c>
      <c r="V27" s="7">
        <f t="shared" si="17"/>
        <v>-0.13885797981411113</v>
      </c>
      <c r="W27" s="6"/>
    </row>
    <row r="28" spans="1:23" x14ac:dyDescent="0.35">
      <c r="A28" s="6" t="s">
        <v>38</v>
      </c>
      <c r="B28" s="23">
        <f t="shared" si="6"/>
        <v>15.663934159664457</v>
      </c>
      <c r="C28" s="23">
        <f t="shared" si="7"/>
        <v>15.111564637839944</v>
      </c>
      <c r="D28" s="7">
        <f t="shared" si="8"/>
        <v>-3.5263779596756528E-2</v>
      </c>
      <c r="E28" s="6"/>
      <c r="G28" s="6" t="s">
        <v>38</v>
      </c>
      <c r="H28" s="23">
        <f t="shared" si="9"/>
        <v>13.638377188020216</v>
      </c>
      <c r="I28" s="23">
        <f t="shared" si="10"/>
        <v>13.59829227275055</v>
      </c>
      <c r="J28" s="7">
        <f t="shared" si="11"/>
        <v>-2.9391264603589795E-3</v>
      </c>
      <c r="K28" s="6"/>
      <c r="M28" s="6" t="s">
        <v>38</v>
      </c>
      <c r="N28" s="23">
        <f t="shared" si="12"/>
        <v>33.965023213616824</v>
      </c>
      <c r="O28" s="23">
        <f t="shared" si="13"/>
        <v>25.461190891397074</v>
      </c>
      <c r="P28" s="7">
        <f t="shared" si="14"/>
        <v>-0.25037027852848642</v>
      </c>
      <c r="Q28" s="6"/>
      <c r="S28" s="6" t="s">
        <v>38</v>
      </c>
      <c r="T28" s="23">
        <f t="shared" si="15"/>
        <v>22.841464152921631</v>
      </c>
      <c r="U28" s="23">
        <f t="shared" si="16"/>
        <v>23.073082073118879</v>
      </c>
      <c r="V28" s="7">
        <f t="shared" si="17"/>
        <v>1.0140239638167946E-2</v>
      </c>
      <c r="W28" s="6"/>
    </row>
    <row r="29" spans="1:23" x14ac:dyDescent="0.35">
      <c r="A29" s="6" t="s">
        <v>39</v>
      </c>
      <c r="B29" s="23">
        <f t="shared" si="6"/>
        <v>3.5456705313555386</v>
      </c>
      <c r="C29" s="23">
        <f t="shared" si="7"/>
        <v>4.5983737997432916</v>
      </c>
      <c r="D29" s="7">
        <f t="shared" si="8"/>
        <v>0.29689821969592195</v>
      </c>
      <c r="E29" s="6"/>
      <c r="G29" s="6" t="s">
        <v>39</v>
      </c>
      <c r="H29" s="23">
        <f t="shared" si="9"/>
        <v>4.1553957206499339</v>
      </c>
      <c r="I29" s="23">
        <f t="shared" si="10"/>
        <v>5.3529576298730612</v>
      </c>
      <c r="J29" s="7">
        <f t="shared" si="11"/>
        <v>0.288194431945899</v>
      </c>
      <c r="K29" s="6"/>
      <c r="M29" s="6" t="s">
        <v>39</v>
      </c>
      <c r="N29" s="23">
        <f t="shared" si="12"/>
        <v>0</v>
      </c>
      <c r="O29" s="23">
        <f t="shared" si="13"/>
        <v>0</v>
      </c>
      <c r="P29" s="7" t="str">
        <f t="shared" si="14"/>
        <v/>
      </c>
      <c r="Q29" s="6"/>
      <c r="S29" s="6" t="s">
        <v>39</v>
      </c>
      <c r="T29" s="23">
        <f t="shared" si="15"/>
        <v>0.24492757537675905</v>
      </c>
      <c r="U29" s="23">
        <f t="shared" si="16"/>
        <v>0.31814632660443332</v>
      </c>
      <c r="V29" s="7">
        <f t="shared" si="17"/>
        <v>0.29894041581494352</v>
      </c>
      <c r="W29" s="6"/>
    </row>
    <row r="30" spans="1:23" x14ac:dyDescent="0.35">
      <c r="A30" s="12" t="s">
        <v>40</v>
      </c>
      <c r="B30" s="23">
        <f t="shared" si="6"/>
        <v>10.780788170230361</v>
      </c>
      <c r="C30" s="23">
        <f t="shared" si="7"/>
        <v>13.167634689255561</v>
      </c>
      <c r="D30" s="7">
        <f t="shared" si="8"/>
        <v>0.22139814653033837</v>
      </c>
      <c r="E30" s="6"/>
      <c r="G30" s="12" t="s">
        <v>40</v>
      </c>
      <c r="H30" s="23">
        <f t="shared" si="9"/>
        <v>8.6601391012400715</v>
      </c>
      <c r="I30" s="23">
        <f t="shared" si="10"/>
        <v>10.47651032800864</v>
      </c>
      <c r="J30" s="7">
        <f t="shared" si="11"/>
        <v>0.20973926694878109</v>
      </c>
      <c r="K30" s="6"/>
      <c r="M30" s="12" t="s">
        <v>40</v>
      </c>
      <c r="N30" s="23">
        <f t="shared" si="12"/>
        <v>6.0749749993986111</v>
      </c>
      <c r="O30" s="23">
        <f t="shared" si="13"/>
        <v>11.559895183888321</v>
      </c>
      <c r="P30" s="7">
        <f t="shared" si="14"/>
        <v>0.90287123568947791</v>
      </c>
      <c r="Q30" s="6"/>
      <c r="S30" s="12" t="s">
        <v>40</v>
      </c>
      <c r="T30" s="23">
        <f t="shared" si="15"/>
        <v>32.155894858061309</v>
      </c>
      <c r="U30" s="23">
        <f t="shared" si="16"/>
        <v>38.366739730547842</v>
      </c>
      <c r="V30" s="7">
        <f t="shared" si="17"/>
        <v>0.19314794067780414</v>
      </c>
      <c r="W30" s="6"/>
    </row>
    <row r="31" spans="1:23" x14ac:dyDescent="0.35">
      <c r="A31" s="37" t="s">
        <v>62</v>
      </c>
      <c r="B31" s="53">
        <f>SUM(B23:B30)</f>
        <v>198.42080133511593</v>
      </c>
      <c r="C31" s="53">
        <f>SUM(C23:C30)</f>
        <v>221.93156923825072</v>
      </c>
      <c r="D31" s="40">
        <f t="shared" si="8"/>
        <v>0.11848943127402804</v>
      </c>
      <c r="E31" s="38"/>
      <c r="G31" s="37" t="s">
        <v>62</v>
      </c>
      <c r="H31" s="53">
        <f>SUM(H23:H30)</f>
        <v>210.7769070902915</v>
      </c>
      <c r="I31" s="53">
        <f>SUM(I23:I30)</f>
        <v>236.91711948239384</v>
      </c>
      <c r="J31" s="40">
        <f t="shared" si="11"/>
        <v>0.12401838869807752</v>
      </c>
      <c r="K31" s="38"/>
      <c r="M31" s="37" t="s">
        <v>62</v>
      </c>
      <c r="N31" s="53">
        <f>SUM(N23:N30)</f>
        <v>104.64330509668618</v>
      </c>
      <c r="O31" s="53">
        <f>SUM(O23:O30)</f>
        <v>100.04765599333741</v>
      </c>
      <c r="P31" s="40">
        <f t="shared" si="14"/>
        <v>-4.3917277833518051E-2</v>
      </c>
      <c r="Q31" s="38"/>
      <c r="S31" s="37" t="s">
        <v>62</v>
      </c>
      <c r="T31" s="39">
        <f>SUM(T23:T30)</f>
        <v>144.26403865485059</v>
      </c>
      <c r="U31" s="39">
        <f>SUM(U23:U30)</f>
        <v>153.79008956777233</v>
      </c>
      <c r="V31" s="40">
        <f t="shared" si="17"/>
        <v>6.6032054847103352E-2</v>
      </c>
      <c r="W31" s="38"/>
    </row>
    <row r="34" spans="1:9" x14ac:dyDescent="0.35">
      <c r="A34" s="84"/>
      <c r="H34" s="49"/>
      <c r="I34" s="49"/>
    </row>
    <row r="35" spans="1:9" x14ac:dyDescent="0.35">
      <c r="H35" s="49"/>
      <c r="I35" s="49"/>
    </row>
    <row r="36" spans="1:9" x14ac:dyDescent="0.35">
      <c r="H36" s="49"/>
      <c r="I36" s="49"/>
    </row>
    <row r="37" spans="1:9" x14ac:dyDescent="0.35">
      <c r="H37" s="49"/>
      <c r="I37" s="49"/>
    </row>
    <row r="38" spans="1:9" x14ac:dyDescent="0.35">
      <c r="H38" s="49"/>
      <c r="I38" s="49"/>
    </row>
    <row r="39" spans="1:9" x14ac:dyDescent="0.35">
      <c r="H39" s="49"/>
      <c r="I39" s="49"/>
    </row>
    <row r="40" spans="1:9" x14ac:dyDescent="0.35">
      <c r="H40" s="49"/>
      <c r="I40" s="49"/>
    </row>
    <row r="41" spans="1:9" x14ac:dyDescent="0.35">
      <c r="H41" s="49"/>
      <c r="I41" s="49"/>
    </row>
  </sheetData>
  <mergeCells count="24">
    <mergeCell ref="W21:W22"/>
    <mergeCell ref="A21:A22"/>
    <mergeCell ref="B21:C21"/>
    <mergeCell ref="E21:E22"/>
    <mergeCell ref="G21:G22"/>
    <mergeCell ref="H21:I21"/>
    <mergeCell ref="K21:K22"/>
    <mergeCell ref="M21:M22"/>
    <mergeCell ref="N21:O21"/>
    <mergeCell ref="Q21:Q22"/>
    <mergeCell ref="S21:S22"/>
    <mergeCell ref="T21:U21"/>
    <mergeCell ref="W6:W7"/>
    <mergeCell ref="A6:A7"/>
    <mergeCell ref="B6:C6"/>
    <mergeCell ref="E6:E7"/>
    <mergeCell ref="G6:G7"/>
    <mergeCell ref="H6:I6"/>
    <mergeCell ref="K6:K7"/>
    <mergeCell ref="M6:M7"/>
    <mergeCell ref="N6:O6"/>
    <mergeCell ref="Q6:Q7"/>
    <mergeCell ref="S6:S7"/>
    <mergeCell ref="T6:U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EE33-8BBF-42C0-8BE2-53D7A04F205F}">
  <sheetPr>
    <tabColor rgb="FF0082AC"/>
  </sheetPr>
  <dimension ref="A1:G52"/>
  <sheetViews>
    <sheetView zoomScaleNormal="100" workbookViewId="0">
      <selection activeCell="N14" sqref="N14"/>
    </sheetView>
  </sheetViews>
  <sheetFormatPr defaultRowHeight="14.5" x14ac:dyDescent="0.35"/>
  <cols>
    <col min="1" max="1" width="31.90625" style="77" customWidth="1"/>
    <col min="2" max="2" width="47.08984375" style="77" customWidth="1"/>
    <col min="3" max="3" width="20.90625" style="78" customWidth="1"/>
    <col min="4" max="4" width="23" style="78" bestFit="1" customWidth="1"/>
    <col min="5" max="5" width="23" style="121" bestFit="1" customWidth="1"/>
    <col min="6" max="6" width="18.6328125" style="121" bestFit="1" customWidth="1"/>
    <col min="7" max="7" width="15" style="121" bestFit="1" customWidth="1"/>
  </cols>
  <sheetData>
    <row r="1" spans="1:7" ht="18.5" x14ac:dyDescent="0.45">
      <c r="A1" s="27" t="s">
        <v>308</v>
      </c>
      <c r="B1" s="27"/>
      <c r="C1" s="128"/>
      <c r="D1" s="128"/>
      <c r="F1" s="142"/>
    </row>
    <row r="2" spans="1:7" ht="15.5" x14ac:dyDescent="0.35">
      <c r="A2" s="102" t="s">
        <v>136</v>
      </c>
      <c r="B2" s="29"/>
      <c r="C2" s="129"/>
      <c r="D2" s="129"/>
    </row>
    <row r="3" spans="1:7" ht="15.5" x14ac:dyDescent="0.35">
      <c r="A3" s="103" t="s">
        <v>137</v>
      </c>
      <c r="B3" s="5"/>
      <c r="C3" s="154" t="s">
        <v>138</v>
      </c>
      <c r="D3" s="130"/>
    </row>
    <row r="4" spans="1:7" ht="15" thickBot="1" x14ac:dyDescent="0.4"/>
    <row r="5" spans="1:7" s="33" customFormat="1" x14ac:dyDescent="0.35">
      <c r="A5" s="131" t="s">
        <v>13</v>
      </c>
      <c r="B5" s="132" t="s">
        <v>41</v>
      </c>
      <c r="C5" s="133" t="s">
        <v>327</v>
      </c>
      <c r="D5" s="133" t="s">
        <v>328</v>
      </c>
      <c r="E5" s="134" t="s">
        <v>323</v>
      </c>
      <c r="F5" s="134" t="s">
        <v>142</v>
      </c>
      <c r="G5" s="134" t="s">
        <v>143</v>
      </c>
    </row>
    <row r="6" spans="1:7" x14ac:dyDescent="0.35">
      <c r="A6" s="135" t="s">
        <v>204</v>
      </c>
      <c r="B6" s="15" t="s">
        <v>4</v>
      </c>
      <c r="C6" s="136">
        <v>461078</v>
      </c>
      <c r="D6" s="136">
        <v>455683</v>
      </c>
      <c r="E6" s="137">
        <v>2.69618742508782E-2</v>
      </c>
      <c r="F6" s="137">
        <v>4.0000000000000001E-3</v>
      </c>
      <c r="G6" s="137">
        <v>5.0999999999999997E-2</v>
      </c>
    </row>
    <row r="7" spans="1:7" x14ac:dyDescent="0.35">
      <c r="A7" s="135" t="s">
        <v>205</v>
      </c>
      <c r="B7" s="15" t="s">
        <v>4</v>
      </c>
      <c r="C7" s="136">
        <v>102801</v>
      </c>
      <c r="D7" s="136">
        <v>91683</v>
      </c>
      <c r="E7" s="137">
        <v>9.1702471820434894E-2</v>
      </c>
      <c r="F7" s="137">
        <v>2.5999999999999999E-2</v>
      </c>
      <c r="G7" s="137">
        <v>0.16200000000000001</v>
      </c>
    </row>
    <row r="8" spans="1:7" x14ac:dyDescent="0.35">
      <c r="A8" s="135" t="s">
        <v>206</v>
      </c>
      <c r="B8" s="15" t="s">
        <v>4</v>
      </c>
      <c r="C8" s="136">
        <v>4243506</v>
      </c>
      <c r="D8" s="136">
        <v>4185220</v>
      </c>
      <c r="E8" s="137">
        <v>3.0582767800054901E-2</v>
      </c>
      <c r="F8" s="137">
        <v>2.4E-2</v>
      </c>
      <c r="G8" s="137">
        <v>3.6999999999999998E-2</v>
      </c>
    </row>
    <row r="9" spans="1:7" x14ac:dyDescent="0.35">
      <c r="A9" s="135" t="s">
        <v>207</v>
      </c>
      <c r="B9" s="15" t="s">
        <v>4</v>
      </c>
      <c r="C9" s="136">
        <v>2039962</v>
      </c>
      <c r="D9" s="136">
        <v>2076250</v>
      </c>
      <c r="E9" s="137">
        <v>5.9487672191889503E-2</v>
      </c>
      <c r="F9" s="137">
        <v>4.9000000000000002E-2</v>
      </c>
      <c r="G9" s="137">
        <v>7.0000000000000007E-2</v>
      </c>
    </row>
    <row r="10" spans="1:7" x14ac:dyDescent="0.35">
      <c r="A10" s="135" t="s">
        <v>208</v>
      </c>
      <c r="B10" s="15" t="s">
        <v>4</v>
      </c>
      <c r="C10" s="136">
        <v>1674257</v>
      </c>
      <c r="D10" s="136">
        <v>1419002</v>
      </c>
      <c r="E10" s="137">
        <v>7.3371137704468001E-2</v>
      </c>
      <c r="F10" s="137">
        <v>6.3E-2</v>
      </c>
      <c r="G10" s="137">
        <v>8.4000000000000005E-2</v>
      </c>
    </row>
    <row r="11" spans="1:7" x14ac:dyDescent="0.35">
      <c r="A11" s="135" t="s">
        <v>209</v>
      </c>
      <c r="B11" s="15" t="s">
        <v>4</v>
      </c>
      <c r="C11" s="136">
        <v>3779378</v>
      </c>
      <c r="D11" s="136">
        <v>3901963</v>
      </c>
      <c r="E11" s="137">
        <v>7.1469033059884002E-2</v>
      </c>
      <c r="F11" s="137">
        <v>5.3999999999999999E-2</v>
      </c>
      <c r="G11" s="137">
        <v>0.09</v>
      </c>
    </row>
    <row r="12" spans="1:7" x14ac:dyDescent="0.35">
      <c r="A12" s="135" t="s">
        <v>336</v>
      </c>
      <c r="B12" s="15" t="s">
        <v>4</v>
      </c>
      <c r="C12" s="136">
        <v>2235380</v>
      </c>
      <c r="D12" s="136">
        <v>2297669</v>
      </c>
      <c r="E12" s="137">
        <v>4.5629918748406301E-2</v>
      </c>
      <c r="F12" s="137">
        <v>3.5999999999999997E-2</v>
      </c>
      <c r="G12" s="137">
        <v>5.6000000000000001E-2</v>
      </c>
    </row>
    <row r="13" spans="1:7" x14ac:dyDescent="0.35">
      <c r="A13" s="135" t="s">
        <v>210</v>
      </c>
      <c r="B13" s="15" t="s">
        <v>4</v>
      </c>
      <c r="C13" s="136">
        <v>675822</v>
      </c>
      <c r="D13" s="136">
        <v>667673</v>
      </c>
      <c r="E13" s="137">
        <v>5.5228892867709101E-2</v>
      </c>
      <c r="F13" s="137">
        <v>3.5000000000000003E-2</v>
      </c>
      <c r="G13" s="137">
        <v>7.5999999999999998E-2</v>
      </c>
    </row>
    <row r="14" spans="1:7" x14ac:dyDescent="0.35">
      <c r="A14" s="135" t="s">
        <v>86</v>
      </c>
      <c r="B14" s="15" t="s">
        <v>44</v>
      </c>
      <c r="C14" s="136">
        <v>288184</v>
      </c>
      <c r="D14" s="136">
        <v>294870</v>
      </c>
      <c r="E14" s="137">
        <v>-3.4172920332349699E-2</v>
      </c>
      <c r="F14" s="137">
        <v>-8.2000000000000003E-2</v>
      </c>
      <c r="G14" s="137">
        <v>1.7999999999999999E-2</v>
      </c>
    </row>
    <row r="15" spans="1:7" x14ac:dyDescent="0.35">
      <c r="A15" s="135" t="s">
        <v>90</v>
      </c>
      <c r="B15" s="15" t="s">
        <v>44</v>
      </c>
      <c r="C15" s="136">
        <v>637956</v>
      </c>
      <c r="D15" s="136">
        <v>684735</v>
      </c>
      <c r="E15" s="137">
        <v>8.9677782959531202E-2</v>
      </c>
      <c r="F15" s="137">
        <v>6.7000000000000004E-2</v>
      </c>
      <c r="G15" s="137">
        <v>0.108</v>
      </c>
    </row>
    <row r="16" spans="1:7" x14ac:dyDescent="0.35">
      <c r="A16" s="135" t="s">
        <v>215</v>
      </c>
      <c r="B16" s="15" t="s">
        <v>44</v>
      </c>
      <c r="C16" s="136">
        <v>276180</v>
      </c>
      <c r="D16" s="136">
        <v>285582</v>
      </c>
      <c r="E16" s="137">
        <v>3.7984402444816802E-2</v>
      </c>
      <c r="F16" s="137">
        <v>3.5000000000000003E-2</v>
      </c>
      <c r="G16" s="137">
        <v>4.1000000000000002E-2</v>
      </c>
    </row>
    <row r="17" spans="1:7" x14ac:dyDescent="0.35">
      <c r="A17" s="135" t="s">
        <v>337</v>
      </c>
      <c r="B17" s="15" t="s">
        <v>44</v>
      </c>
      <c r="C17" s="136">
        <v>348100</v>
      </c>
      <c r="D17" s="136">
        <v>367265</v>
      </c>
      <c r="E17" s="137">
        <v>0.17379167448025901</v>
      </c>
      <c r="F17" s="137">
        <v>0.13600000000000001</v>
      </c>
      <c r="G17" s="137">
        <v>0.21199999999999999</v>
      </c>
    </row>
    <row r="18" spans="1:7" x14ac:dyDescent="0.35">
      <c r="A18" s="135" t="s">
        <v>338</v>
      </c>
      <c r="B18" s="15" t="s">
        <v>44</v>
      </c>
      <c r="C18" s="136">
        <v>720719</v>
      </c>
      <c r="D18" s="136">
        <v>779128</v>
      </c>
      <c r="E18" s="137">
        <v>-2.5885167130379701E-2</v>
      </c>
      <c r="F18" s="137">
        <v>-4.4999999999999998E-2</v>
      </c>
      <c r="G18" s="137">
        <v>-6.0000000000000001E-3</v>
      </c>
    </row>
    <row r="19" spans="1:7" x14ac:dyDescent="0.35">
      <c r="A19" s="135" t="s">
        <v>216</v>
      </c>
      <c r="B19" s="15" t="s">
        <v>44</v>
      </c>
      <c r="C19" s="136">
        <v>4440570</v>
      </c>
      <c r="D19" s="136">
        <v>4718648</v>
      </c>
      <c r="E19" s="137">
        <v>5.0200585405311901E-2</v>
      </c>
      <c r="F19" s="137">
        <v>3.6999999999999998E-2</v>
      </c>
      <c r="G19" s="137">
        <v>6.3E-2</v>
      </c>
    </row>
    <row r="20" spans="1:7" x14ac:dyDescent="0.35">
      <c r="A20" s="135" t="s">
        <v>339</v>
      </c>
      <c r="B20" s="15" t="s">
        <v>44</v>
      </c>
      <c r="C20" s="136">
        <v>917456</v>
      </c>
      <c r="D20" s="136">
        <v>975312</v>
      </c>
      <c r="E20" s="137">
        <v>6.7348071982130803E-2</v>
      </c>
      <c r="F20" s="137">
        <v>5.5E-2</v>
      </c>
      <c r="G20" s="137">
        <v>0.08</v>
      </c>
    </row>
    <row r="21" spans="1:7" x14ac:dyDescent="0.35">
      <c r="A21" s="135" t="s">
        <v>340</v>
      </c>
      <c r="B21" s="15" t="s">
        <v>44</v>
      </c>
      <c r="C21" s="136">
        <v>647601</v>
      </c>
      <c r="D21" s="136">
        <v>676777</v>
      </c>
      <c r="E21" s="137">
        <v>0.137620906969913</v>
      </c>
      <c r="F21" s="137">
        <v>0.10100000000000001</v>
      </c>
      <c r="G21" s="137">
        <v>0.17499999999999999</v>
      </c>
    </row>
    <row r="22" spans="1:7" x14ac:dyDescent="0.35">
      <c r="A22" s="135" t="s">
        <v>341</v>
      </c>
      <c r="B22" s="15" t="s">
        <v>44</v>
      </c>
      <c r="C22" s="136">
        <v>872979</v>
      </c>
      <c r="D22" s="136">
        <v>869332</v>
      </c>
      <c r="E22" s="137">
        <v>4.9553062360063301E-2</v>
      </c>
      <c r="F22" s="137">
        <v>4.7E-2</v>
      </c>
      <c r="G22" s="137">
        <v>5.1999999999999998E-2</v>
      </c>
    </row>
    <row r="23" spans="1:7" x14ac:dyDescent="0.35">
      <c r="A23" s="135" t="s">
        <v>342</v>
      </c>
      <c r="B23" s="15" t="s">
        <v>44</v>
      </c>
      <c r="C23" s="136">
        <v>798180</v>
      </c>
      <c r="D23" s="136">
        <v>854743</v>
      </c>
      <c r="E23" s="137">
        <v>6.4612179191810407E-2</v>
      </c>
      <c r="F23" s="137">
        <v>5.6000000000000001E-2</v>
      </c>
      <c r="G23" s="137">
        <v>7.2999999999999995E-2</v>
      </c>
    </row>
    <row r="24" spans="1:7" x14ac:dyDescent="0.35">
      <c r="A24" s="135" t="s">
        <v>343</v>
      </c>
      <c r="B24" s="15" t="s">
        <v>44</v>
      </c>
      <c r="C24" s="136">
        <v>182529</v>
      </c>
      <c r="D24" s="136">
        <v>197723</v>
      </c>
      <c r="E24" s="137">
        <v>-6.4973478267206801E-4</v>
      </c>
      <c r="F24" s="137">
        <v>-0.03</v>
      </c>
      <c r="G24" s="137">
        <v>2.9000000000000001E-2</v>
      </c>
    </row>
    <row r="25" spans="1:7" x14ac:dyDescent="0.35">
      <c r="A25" s="135" t="s">
        <v>344</v>
      </c>
      <c r="B25" s="15" t="s">
        <v>44</v>
      </c>
      <c r="C25" s="136">
        <v>962001</v>
      </c>
      <c r="D25" s="136">
        <v>1031568</v>
      </c>
      <c r="E25" s="137">
        <v>5.9200951719256802E-2</v>
      </c>
      <c r="F25" s="137">
        <v>4.7E-2</v>
      </c>
      <c r="G25" s="137">
        <v>7.1999999999999995E-2</v>
      </c>
    </row>
    <row r="26" spans="1:7" x14ac:dyDescent="0.35">
      <c r="A26" s="135" t="s">
        <v>345</v>
      </c>
      <c r="B26" s="15" t="s">
        <v>44</v>
      </c>
      <c r="C26" s="136">
        <v>1510062</v>
      </c>
      <c r="D26" s="136">
        <v>1642855</v>
      </c>
      <c r="E26" s="137">
        <v>5.4670907439229803E-2</v>
      </c>
      <c r="F26" s="137">
        <v>4.2000000000000003E-2</v>
      </c>
      <c r="G26" s="137">
        <v>6.7000000000000004E-2</v>
      </c>
    </row>
    <row r="27" spans="1:7" x14ac:dyDescent="0.35">
      <c r="A27" s="135" t="s">
        <v>217</v>
      </c>
      <c r="B27" s="15" t="s">
        <v>44</v>
      </c>
      <c r="C27" s="136">
        <v>344821</v>
      </c>
      <c r="D27" s="136">
        <v>533361</v>
      </c>
      <c r="E27" s="137">
        <v>6.5467262651150698E-3</v>
      </c>
      <c r="F27" s="137">
        <v>-1.9E-2</v>
      </c>
      <c r="G27" s="137">
        <v>3.3000000000000002E-2</v>
      </c>
    </row>
    <row r="28" spans="1:7" x14ac:dyDescent="0.35">
      <c r="A28" s="135" t="s">
        <v>346</v>
      </c>
      <c r="B28" s="15" t="s">
        <v>44</v>
      </c>
      <c r="C28" s="136">
        <v>377135</v>
      </c>
      <c r="D28" s="136">
        <v>383145</v>
      </c>
      <c r="E28" s="137">
        <v>8.5724675817633197E-2</v>
      </c>
      <c r="F28" s="137">
        <v>6.7000000000000004E-2</v>
      </c>
      <c r="G28" s="137">
        <v>0.104</v>
      </c>
    </row>
    <row r="29" spans="1:7" x14ac:dyDescent="0.35">
      <c r="A29" s="135" t="s">
        <v>218</v>
      </c>
      <c r="B29" s="15" t="s">
        <v>44</v>
      </c>
      <c r="C29" s="136">
        <v>388472</v>
      </c>
      <c r="D29" s="136">
        <v>410592</v>
      </c>
      <c r="E29" s="137">
        <v>0.112014559642013</v>
      </c>
      <c r="F29" s="137">
        <v>9.5000000000000001E-2</v>
      </c>
      <c r="G29" s="137">
        <v>0.13</v>
      </c>
    </row>
    <row r="30" spans="1:7" x14ac:dyDescent="0.35">
      <c r="A30" s="135" t="s">
        <v>151</v>
      </c>
      <c r="B30" s="15" t="s">
        <v>44</v>
      </c>
      <c r="C30" s="136">
        <v>373863</v>
      </c>
      <c r="D30" s="136">
        <v>399693</v>
      </c>
      <c r="E30" s="137">
        <v>8.3677768102957906E-2</v>
      </c>
      <c r="F30" s="137">
        <v>5.8000000000000003E-2</v>
      </c>
      <c r="G30" s="137">
        <v>0.11</v>
      </c>
    </row>
    <row r="31" spans="1:7" x14ac:dyDescent="0.35">
      <c r="A31" s="135" t="s">
        <v>204</v>
      </c>
      <c r="B31" s="15" t="s">
        <v>43</v>
      </c>
      <c r="C31" s="136">
        <v>187913</v>
      </c>
      <c r="D31" s="136">
        <v>189298</v>
      </c>
      <c r="E31" s="137">
        <v>7.7859900967197707E-2</v>
      </c>
      <c r="F31" s="137">
        <v>6.4000000000000001E-2</v>
      </c>
      <c r="G31" s="137">
        <v>9.1999999999999998E-2</v>
      </c>
    </row>
    <row r="32" spans="1:7" x14ac:dyDescent="0.35">
      <c r="A32" s="135" t="s">
        <v>200</v>
      </c>
      <c r="B32" s="15" t="s">
        <v>43</v>
      </c>
      <c r="C32" s="136">
        <v>177645</v>
      </c>
      <c r="D32" s="136">
        <v>220937</v>
      </c>
      <c r="E32" s="137">
        <v>2.9516975196791001E-2</v>
      </c>
      <c r="F32" s="137">
        <v>1.6E-2</v>
      </c>
      <c r="G32" s="137">
        <v>4.2999999999999997E-2</v>
      </c>
    </row>
    <row r="33" spans="1:7" x14ac:dyDescent="0.35">
      <c r="A33" s="135" t="s">
        <v>205</v>
      </c>
      <c r="B33" s="15" t="s">
        <v>43</v>
      </c>
      <c r="C33" s="136">
        <v>189777</v>
      </c>
      <c r="D33" s="136">
        <v>163237</v>
      </c>
      <c r="E33" s="137">
        <v>4.9731573619455502E-2</v>
      </c>
      <c r="F33" s="137">
        <v>3.4000000000000002E-2</v>
      </c>
      <c r="G33" s="137">
        <v>6.6000000000000003E-2</v>
      </c>
    </row>
    <row r="34" spans="1:7" x14ac:dyDescent="0.35">
      <c r="A34" s="135" t="s">
        <v>211</v>
      </c>
      <c r="B34" s="15" t="s">
        <v>43</v>
      </c>
      <c r="C34" s="136">
        <v>158349</v>
      </c>
      <c r="D34" s="136">
        <v>127986</v>
      </c>
      <c r="E34" s="137">
        <v>6.2544067193634603E-2</v>
      </c>
      <c r="F34" s="137">
        <v>4.4999999999999998E-2</v>
      </c>
      <c r="G34" s="137">
        <v>0.08</v>
      </c>
    </row>
    <row r="35" spans="1:7" x14ac:dyDescent="0.35">
      <c r="A35" s="135" t="s">
        <v>206</v>
      </c>
      <c r="B35" s="15" t="s">
        <v>43</v>
      </c>
      <c r="C35" s="136">
        <v>810675</v>
      </c>
      <c r="D35" s="136">
        <v>786856</v>
      </c>
      <c r="E35" s="137">
        <v>2.32822248052869E-2</v>
      </c>
      <c r="F35" s="137">
        <v>1.6E-2</v>
      </c>
      <c r="G35" s="137">
        <v>3.1E-2</v>
      </c>
    </row>
    <row r="36" spans="1:7" x14ac:dyDescent="0.35">
      <c r="A36" s="135" t="s">
        <v>207</v>
      </c>
      <c r="B36" s="15" t="s">
        <v>43</v>
      </c>
      <c r="C36" s="136">
        <v>72608</v>
      </c>
      <c r="D36" s="136">
        <v>70397</v>
      </c>
      <c r="E36" s="137">
        <v>0.15399225413458001</v>
      </c>
      <c r="F36" s="137">
        <v>0.121</v>
      </c>
      <c r="G36" s="137">
        <v>0.188</v>
      </c>
    </row>
    <row r="37" spans="1:7" x14ac:dyDescent="0.35">
      <c r="A37" s="135" t="s">
        <v>212</v>
      </c>
      <c r="B37" s="15" t="s">
        <v>43</v>
      </c>
      <c r="C37" s="136">
        <v>203507</v>
      </c>
      <c r="D37" s="136">
        <v>241239</v>
      </c>
      <c r="E37" s="137">
        <v>7.4350068485333098E-2</v>
      </c>
      <c r="F37" s="137">
        <v>6.0999999999999999E-2</v>
      </c>
      <c r="G37" s="137">
        <v>8.7999999999999995E-2</v>
      </c>
    </row>
    <row r="38" spans="1:7" x14ac:dyDescent="0.35">
      <c r="A38" s="135" t="s">
        <v>213</v>
      </c>
      <c r="B38" s="15" t="s">
        <v>43</v>
      </c>
      <c r="C38" s="136">
        <v>701571</v>
      </c>
      <c r="D38" s="136">
        <v>707475</v>
      </c>
      <c r="E38" s="137">
        <v>5.41564083543788E-2</v>
      </c>
      <c r="F38" s="137">
        <v>4.5999999999999999E-2</v>
      </c>
      <c r="G38" s="137">
        <v>6.2E-2</v>
      </c>
    </row>
    <row r="39" spans="1:7" x14ac:dyDescent="0.35">
      <c r="A39" s="135" t="s">
        <v>214</v>
      </c>
      <c r="B39" s="15" t="s">
        <v>43</v>
      </c>
      <c r="C39" s="136">
        <v>729828</v>
      </c>
      <c r="D39" s="136">
        <v>753967</v>
      </c>
      <c r="E39" s="137">
        <v>8.4195963668630094E-2</v>
      </c>
      <c r="F39" s="137">
        <v>7.6999999999999999E-2</v>
      </c>
      <c r="G39" s="137">
        <v>9.0999999999999998E-2</v>
      </c>
    </row>
    <row r="40" spans="1:7" ht="15" thickBot="1" x14ac:dyDescent="0.4">
      <c r="A40" s="138" t="s">
        <v>210</v>
      </c>
      <c r="B40" s="139" t="s">
        <v>43</v>
      </c>
      <c r="C40" s="140">
        <v>1159884</v>
      </c>
      <c r="D40" s="140">
        <v>1259182</v>
      </c>
      <c r="E40" s="141">
        <v>0.122928319040704</v>
      </c>
      <c r="F40" s="141">
        <v>0.11600000000000001</v>
      </c>
      <c r="G40" s="141">
        <v>0.13</v>
      </c>
    </row>
    <row r="44" spans="1:7" x14ac:dyDescent="0.35">
      <c r="A44" s="107" t="s">
        <v>144</v>
      </c>
      <c r="B44" s="104" t="s">
        <v>139</v>
      </c>
      <c r="C44" s="107" t="s">
        <v>347</v>
      </c>
      <c r="D44" s="105" t="s">
        <v>201</v>
      </c>
      <c r="E44" s="105" t="s">
        <v>329</v>
      </c>
      <c r="F44" s="42" t="s">
        <v>323</v>
      </c>
    </row>
    <row r="45" spans="1:7" x14ac:dyDescent="0.35">
      <c r="A45" s="6" t="s">
        <v>146</v>
      </c>
      <c r="B45" s="6" t="s">
        <v>348</v>
      </c>
      <c r="C45" s="6">
        <v>39</v>
      </c>
      <c r="D45" s="108">
        <v>33802998</v>
      </c>
      <c r="E45" s="108">
        <v>34842150</v>
      </c>
      <c r="F45" s="65">
        <v>4.9748308116732198E-2</v>
      </c>
    </row>
    <row r="46" spans="1:7" x14ac:dyDescent="0.35">
      <c r="A46" s="6" t="s">
        <v>146</v>
      </c>
      <c r="B46" s="6" t="s">
        <v>12</v>
      </c>
      <c r="C46" s="6">
        <v>13</v>
      </c>
      <c r="D46" s="108">
        <v>4485653</v>
      </c>
      <c r="E46" s="108">
        <v>4622711</v>
      </c>
      <c r="F46" s="65">
        <v>6.8849884655511798E-2</v>
      </c>
    </row>
    <row r="47" spans="1:7" x14ac:dyDescent="0.35">
      <c r="A47" s="6" t="s">
        <v>146</v>
      </c>
      <c r="B47" s="6" t="s">
        <v>44</v>
      </c>
      <c r="C47" s="6">
        <v>17</v>
      </c>
      <c r="D47" s="108">
        <v>14086808</v>
      </c>
      <c r="E47" s="108">
        <v>15105329</v>
      </c>
      <c r="F47" s="65">
        <v>4.5827322426008399E-2</v>
      </c>
    </row>
    <row r="48" spans="1:7" x14ac:dyDescent="0.35">
      <c r="A48" s="6" t="s">
        <v>146</v>
      </c>
      <c r="B48" s="6" t="s">
        <v>4</v>
      </c>
      <c r="C48" s="6">
        <v>9</v>
      </c>
      <c r="D48" s="108">
        <v>15230537</v>
      </c>
      <c r="E48" s="108">
        <v>15114110</v>
      </c>
      <c r="F48" s="65">
        <v>5.27838034669708E-2</v>
      </c>
    </row>
    <row r="49" spans="1:6" x14ac:dyDescent="0.35">
      <c r="A49" s="6" t="s">
        <v>149</v>
      </c>
      <c r="B49" s="6" t="s">
        <v>348</v>
      </c>
      <c r="C49" s="6">
        <v>35</v>
      </c>
      <c r="D49" s="108">
        <v>33690749</v>
      </c>
      <c r="E49" s="108">
        <v>34721046</v>
      </c>
      <c r="F49" s="65">
        <v>4.9748501511578599E-2</v>
      </c>
    </row>
    <row r="50" spans="1:6" x14ac:dyDescent="0.35">
      <c r="A50" s="6" t="s">
        <v>149</v>
      </c>
      <c r="B50" s="6" t="s">
        <v>12</v>
      </c>
      <c r="C50" s="6">
        <v>10</v>
      </c>
      <c r="D50" s="108">
        <v>4391757</v>
      </c>
      <c r="E50" s="108">
        <v>4520574</v>
      </c>
      <c r="F50" s="65">
        <v>6.9709107782045199E-2</v>
      </c>
    </row>
    <row r="51" spans="1:6" x14ac:dyDescent="0.35">
      <c r="A51" s="6" t="s">
        <v>149</v>
      </c>
      <c r="B51" s="6" t="s">
        <v>44</v>
      </c>
      <c r="C51" s="6">
        <v>17</v>
      </c>
      <c r="D51" s="108">
        <v>14086808</v>
      </c>
      <c r="E51" s="108">
        <v>15105329</v>
      </c>
      <c r="F51" s="65">
        <v>4.5827322426008399E-2</v>
      </c>
    </row>
    <row r="52" spans="1:6" x14ac:dyDescent="0.35">
      <c r="A52" s="6" t="s">
        <v>149</v>
      </c>
      <c r="B52" s="6" t="s">
        <v>4</v>
      </c>
      <c r="C52" s="6">
        <v>8</v>
      </c>
      <c r="D52" s="108">
        <v>15212184</v>
      </c>
      <c r="E52" s="108">
        <v>15095143</v>
      </c>
      <c r="F52" s="65">
        <v>5.2765936832814102E-2</v>
      </c>
    </row>
  </sheetData>
  <autoFilter ref="A5:G40" xr:uid="{E94DEE33-8BBF-42C0-8BE2-53D7A04F205F}"/>
  <conditionalFormatting sqref="B6">
    <cfRule type="expression" dxfId="1" priority="31">
      <formula>AND(E6&gt;=0.0345, F6&gt;=0.0345)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54AFE-5D13-4013-9300-4C377CEE9AA0}">
  <sheetPr>
    <tabColor rgb="FF0082AC"/>
  </sheetPr>
  <dimension ref="A1:S88"/>
  <sheetViews>
    <sheetView workbookViewId="0">
      <selection sqref="A1:XFD3"/>
    </sheetView>
  </sheetViews>
  <sheetFormatPr defaultColWidth="9.08984375" defaultRowHeight="14.5" x14ac:dyDescent="0.35"/>
  <cols>
    <col min="1" max="1" width="22" style="77" bestFit="1" customWidth="1"/>
    <col min="2" max="2" width="40.90625" style="77" customWidth="1"/>
    <col min="3" max="3" width="40.08984375" style="77" bestFit="1" customWidth="1"/>
    <col min="4" max="5" width="23" style="77" bestFit="1" customWidth="1"/>
    <col min="6" max="6" width="28" style="77" bestFit="1" customWidth="1"/>
    <col min="7" max="7" width="12.54296875" style="77" bestFit="1" customWidth="1"/>
    <col min="8" max="8" width="12.6328125" style="77" bestFit="1" customWidth="1"/>
    <col min="9" max="9" width="9.08984375" style="77"/>
    <col min="10" max="10" width="10.453125" style="77" bestFit="1" customWidth="1"/>
    <col min="11" max="11" width="37.90625" style="77" customWidth="1"/>
    <col min="12" max="12" width="42" style="77" customWidth="1"/>
    <col min="13" max="13" width="31.90625" style="77" bestFit="1" customWidth="1"/>
    <col min="14" max="15" width="23" style="77" bestFit="1" customWidth="1"/>
    <col min="16" max="16" width="28" style="77" bestFit="1" customWidth="1"/>
    <col min="17" max="16384" width="9.08984375" style="77"/>
  </cols>
  <sheetData>
    <row r="1" spans="1:16" ht="18.5" x14ac:dyDescent="0.45">
      <c r="A1" s="27" t="s">
        <v>199</v>
      </c>
    </row>
    <row r="2" spans="1:16" ht="15.5" x14ac:dyDescent="0.35">
      <c r="A2" s="102" t="s">
        <v>152</v>
      </c>
    </row>
    <row r="3" spans="1:16" ht="15.5" x14ac:dyDescent="0.35">
      <c r="A3" s="103" t="s">
        <v>153</v>
      </c>
      <c r="J3" s="22"/>
    </row>
    <row r="4" spans="1:16" x14ac:dyDescent="0.35">
      <c r="B4" s="22"/>
    </row>
    <row r="5" spans="1:16" x14ac:dyDescent="0.35">
      <c r="A5" s="104" t="s">
        <v>139</v>
      </c>
      <c r="B5" s="107" t="s">
        <v>154</v>
      </c>
      <c r="C5" s="107" t="s">
        <v>155</v>
      </c>
      <c r="D5" s="105" t="s">
        <v>140</v>
      </c>
      <c r="E5" s="105" t="s">
        <v>201</v>
      </c>
      <c r="F5" s="106" t="s">
        <v>141</v>
      </c>
      <c r="G5" s="106" t="s">
        <v>142</v>
      </c>
      <c r="H5" s="106" t="s">
        <v>143</v>
      </c>
      <c r="J5" s="107" t="s">
        <v>144</v>
      </c>
      <c r="K5" s="104" t="s">
        <v>139</v>
      </c>
      <c r="L5" s="104" t="s">
        <v>154</v>
      </c>
      <c r="M5" s="107" t="s">
        <v>191</v>
      </c>
      <c r="N5" s="105" t="s">
        <v>140</v>
      </c>
      <c r="O5" s="105" t="s">
        <v>201</v>
      </c>
      <c r="P5" s="106" t="s">
        <v>141</v>
      </c>
    </row>
    <row r="6" spans="1:16" x14ac:dyDescent="0.35">
      <c r="A6" s="6" t="s">
        <v>25</v>
      </c>
      <c r="B6" s="6" t="s">
        <v>156</v>
      </c>
      <c r="C6" s="6" t="s">
        <v>206</v>
      </c>
      <c r="D6" s="108">
        <v>4246510</v>
      </c>
      <c r="E6" s="108">
        <v>4212069</v>
      </c>
      <c r="F6" s="65">
        <v>3.6089213277594101E-3</v>
      </c>
      <c r="G6" s="65">
        <v>-5.0000000000000001E-3</v>
      </c>
      <c r="H6" s="65">
        <v>1.2E-2</v>
      </c>
      <c r="J6" s="6" t="s">
        <v>146</v>
      </c>
      <c r="K6" s="6" t="s">
        <v>219</v>
      </c>
      <c r="L6" s="6" t="s">
        <v>146</v>
      </c>
      <c r="M6" s="6"/>
      <c r="N6" s="108">
        <v>33492030</v>
      </c>
      <c r="O6" s="108">
        <v>34655824</v>
      </c>
      <c r="P6" s="65">
        <v>2.3218325966462498E-2</v>
      </c>
    </row>
    <row r="7" spans="1:16" x14ac:dyDescent="0.35">
      <c r="A7" s="6" t="s">
        <v>25</v>
      </c>
      <c r="B7" s="6" t="s">
        <v>156</v>
      </c>
      <c r="C7" s="6" t="s">
        <v>158</v>
      </c>
      <c r="D7" s="108">
        <v>355983</v>
      </c>
      <c r="E7" s="108">
        <v>378885</v>
      </c>
      <c r="F7" s="65">
        <v>-3.1547527004827901E-3</v>
      </c>
      <c r="G7" s="65">
        <v>-8.9999999999999993E-3</v>
      </c>
      <c r="H7" s="65">
        <v>3.1E-2</v>
      </c>
      <c r="J7" s="6" t="s">
        <v>146</v>
      </c>
      <c r="K7" s="6" t="s">
        <v>12</v>
      </c>
      <c r="L7" s="6" t="s">
        <v>146</v>
      </c>
      <c r="M7" s="6"/>
      <c r="N7" s="108">
        <v>4285611</v>
      </c>
      <c r="O7" s="108">
        <v>4469885</v>
      </c>
      <c r="P7" s="65">
        <v>5.3289501061796397E-2</v>
      </c>
    </row>
    <row r="8" spans="1:16" x14ac:dyDescent="0.35">
      <c r="A8" s="6" t="s">
        <v>25</v>
      </c>
      <c r="B8" s="6" t="s">
        <v>156</v>
      </c>
      <c r="C8" s="6" t="s">
        <v>157</v>
      </c>
      <c r="D8" s="108">
        <v>320224</v>
      </c>
      <c r="E8" s="108">
        <v>310048</v>
      </c>
      <c r="F8" s="65">
        <v>6.5255610810051295E-2</v>
      </c>
      <c r="G8" s="65">
        <v>3.5999999999999997E-2</v>
      </c>
      <c r="H8" s="65">
        <v>9.5000000000000001E-2</v>
      </c>
      <c r="J8" s="6" t="s">
        <v>146</v>
      </c>
      <c r="K8" s="6" t="s">
        <v>44</v>
      </c>
      <c r="L8" s="6" t="s">
        <v>146</v>
      </c>
      <c r="M8" s="6"/>
      <c r="N8" s="108">
        <v>13248647</v>
      </c>
      <c r="O8" s="108">
        <v>14273823</v>
      </c>
      <c r="P8" s="65">
        <v>1.3228827221033501E-2</v>
      </c>
    </row>
    <row r="9" spans="1:16" x14ac:dyDescent="0.35">
      <c r="A9" s="6" t="s">
        <v>25</v>
      </c>
      <c r="B9" s="6" t="s">
        <v>156</v>
      </c>
      <c r="C9" s="6" t="s">
        <v>160</v>
      </c>
      <c r="D9" s="108">
        <v>286283</v>
      </c>
      <c r="E9" s="108">
        <v>290782</v>
      </c>
      <c r="F9" s="65">
        <v>4.1477387419155999E-2</v>
      </c>
      <c r="G9" s="65">
        <v>1.6E-2</v>
      </c>
      <c r="H9" s="65">
        <v>6.7000000000000004E-2</v>
      </c>
      <c r="J9" s="6" t="s">
        <v>146</v>
      </c>
      <c r="K9" s="6" t="s">
        <v>25</v>
      </c>
      <c r="L9" s="6" t="s">
        <v>146</v>
      </c>
      <c r="M9" s="6"/>
      <c r="N9" s="108">
        <v>15957772</v>
      </c>
      <c r="O9" s="108">
        <v>15912116</v>
      </c>
      <c r="P9" s="65">
        <v>2.2294085094762502E-2</v>
      </c>
    </row>
    <row r="10" spans="1:16" x14ac:dyDescent="0.35">
      <c r="A10" s="6" t="s">
        <v>25</v>
      </c>
      <c r="B10" s="6" t="s">
        <v>156</v>
      </c>
      <c r="C10" s="6" t="s">
        <v>159</v>
      </c>
      <c r="D10" s="108">
        <v>284119</v>
      </c>
      <c r="E10" s="108">
        <v>314211</v>
      </c>
      <c r="F10" s="65">
        <v>4.8937980426207901E-2</v>
      </c>
      <c r="G10" s="65">
        <v>2.3E-2</v>
      </c>
      <c r="H10" s="65">
        <v>7.5999999999999998E-2</v>
      </c>
      <c r="J10" s="6" t="s">
        <v>149</v>
      </c>
      <c r="K10" s="6" t="s">
        <v>219</v>
      </c>
      <c r="L10" s="6" t="s">
        <v>146</v>
      </c>
      <c r="M10" s="6">
        <v>83</v>
      </c>
      <c r="N10" s="108">
        <v>20311778</v>
      </c>
      <c r="O10" s="108">
        <v>21241289</v>
      </c>
      <c r="P10" s="65">
        <v>1.7406962062644402E-2</v>
      </c>
    </row>
    <row r="11" spans="1:16" x14ac:dyDescent="0.35">
      <c r="A11" s="6" t="s">
        <v>25</v>
      </c>
      <c r="B11" s="6" t="s">
        <v>156</v>
      </c>
      <c r="C11" s="6" t="s">
        <v>209</v>
      </c>
      <c r="D11" s="108">
        <v>1209574</v>
      </c>
      <c r="E11" s="108">
        <v>1226236</v>
      </c>
      <c r="F11" s="65">
        <v>5.0421558486288702E-2</v>
      </c>
      <c r="G11" s="65">
        <v>3.1E-2</v>
      </c>
      <c r="H11" s="65">
        <v>7.0000000000000007E-2</v>
      </c>
      <c r="J11" s="6" t="s">
        <v>149</v>
      </c>
      <c r="K11" s="6" t="s">
        <v>12</v>
      </c>
      <c r="L11" s="6" t="s">
        <v>146</v>
      </c>
      <c r="M11" s="6">
        <v>13</v>
      </c>
      <c r="N11" s="108">
        <v>2759657</v>
      </c>
      <c r="O11" s="108">
        <v>2828283</v>
      </c>
      <c r="P11" s="65">
        <v>4.40338993577973E-2</v>
      </c>
    </row>
    <row r="12" spans="1:16" x14ac:dyDescent="0.35">
      <c r="A12" s="6" t="s">
        <v>25</v>
      </c>
      <c r="B12" s="6" t="s">
        <v>156</v>
      </c>
      <c r="C12" s="6" t="s">
        <v>161</v>
      </c>
      <c r="D12" s="108">
        <v>247156</v>
      </c>
      <c r="E12" s="108">
        <v>243129</v>
      </c>
      <c r="F12" s="65">
        <v>2.0620116951137E-2</v>
      </c>
      <c r="G12" s="65">
        <v>-5.0000000000000001E-3</v>
      </c>
      <c r="H12" s="65">
        <v>4.7E-2</v>
      </c>
      <c r="J12" s="6" t="s">
        <v>149</v>
      </c>
      <c r="K12" s="6" t="s">
        <v>44</v>
      </c>
      <c r="L12" s="6" t="s">
        <v>146</v>
      </c>
      <c r="M12" s="6">
        <v>49</v>
      </c>
      <c r="N12" s="108">
        <v>8953794</v>
      </c>
      <c r="O12" s="108">
        <v>9749149</v>
      </c>
      <c r="P12" s="65">
        <v>9.0892183136851695E-3</v>
      </c>
    </row>
    <row r="13" spans="1:16" x14ac:dyDescent="0.35">
      <c r="A13" s="6" t="s">
        <v>25</v>
      </c>
      <c r="B13" s="6" t="s">
        <v>162</v>
      </c>
      <c r="C13" s="6" t="s">
        <v>220</v>
      </c>
      <c r="D13" s="108">
        <v>193082</v>
      </c>
      <c r="E13" s="108">
        <v>196603</v>
      </c>
      <c r="F13" s="65">
        <v>-3.1326288374594898E-2</v>
      </c>
      <c r="G13" s="65">
        <v>-7.3999999999999996E-2</v>
      </c>
      <c r="H13" s="65">
        <v>1.4E-2</v>
      </c>
      <c r="J13" s="6" t="s">
        <v>149</v>
      </c>
      <c r="K13" s="6" t="s">
        <v>25</v>
      </c>
      <c r="L13" s="6" t="s">
        <v>146</v>
      </c>
      <c r="M13" s="6">
        <v>21</v>
      </c>
      <c r="N13" s="108">
        <v>8598327</v>
      </c>
      <c r="O13" s="108">
        <v>8663857</v>
      </c>
      <c r="P13" s="65">
        <v>2.9879662511766301E-2</v>
      </c>
    </row>
    <row r="14" spans="1:16" x14ac:dyDescent="0.35">
      <c r="A14" s="6" t="s">
        <v>25</v>
      </c>
      <c r="B14" s="6" t="s">
        <v>162</v>
      </c>
      <c r="C14" s="6" t="s">
        <v>164</v>
      </c>
      <c r="D14" s="108">
        <v>141777</v>
      </c>
      <c r="E14" s="108">
        <v>136656</v>
      </c>
      <c r="F14" s="65">
        <v>8.3382530667416202E-2</v>
      </c>
      <c r="G14" s="65">
        <v>0.05</v>
      </c>
      <c r="H14" s="65">
        <v>0.11799999999999999</v>
      </c>
      <c r="J14" s="6" t="s">
        <v>149</v>
      </c>
      <c r="K14" s="6" t="s">
        <v>12</v>
      </c>
      <c r="L14" s="6" t="s">
        <v>12</v>
      </c>
      <c r="M14" s="6">
        <v>13</v>
      </c>
      <c r="N14" s="108">
        <v>2759657</v>
      </c>
      <c r="O14" s="108">
        <v>2828283</v>
      </c>
      <c r="P14" s="65">
        <v>4.40338993577973E-2</v>
      </c>
    </row>
    <row r="15" spans="1:16" x14ac:dyDescent="0.35">
      <c r="A15" s="6" t="s">
        <v>25</v>
      </c>
      <c r="B15" s="6" t="s">
        <v>162</v>
      </c>
      <c r="C15" s="6" t="s">
        <v>221</v>
      </c>
      <c r="D15" s="108">
        <v>253809</v>
      </c>
      <c r="E15" s="108">
        <v>239065</v>
      </c>
      <c r="F15" s="65">
        <v>3.05527562698493E-2</v>
      </c>
      <c r="G15" s="65">
        <v>7.0000000000000001E-3</v>
      </c>
      <c r="H15" s="65">
        <v>5.5E-2</v>
      </c>
      <c r="J15" s="6" t="s">
        <v>149</v>
      </c>
      <c r="K15" s="6" t="s">
        <v>44</v>
      </c>
      <c r="L15" s="6" t="s">
        <v>156</v>
      </c>
      <c r="M15" s="6">
        <v>5</v>
      </c>
      <c r="N15" s="108">
        <v>2730177</v>
      </c>
      <c r="O15" s="108">
        <v>3024139</v>
      </c>
      <c r="P15" s="65">
        <v>4.2741860826056698E-3</v>
      </c>
    </row>
    <row r="16" spans="1:16" x14ac:dyDescent="0.35">
      <c r="A16" s="6" t="s">
        <v>25</v>
      </c>
      <c r="B16" s="6" t="s">
        <v>162</v>
      </c>
      <c r="C16" s="6" t="s">
        <v>163</v>
      </c>
      <c r="D16" s="108">
        <v>180699</v>
      </c>
      <c r="E16" s="108">
        <v>184752</v>
      </c>
      <c r="F16" s="65">
        <v>6.6891913308391197E-3</v>
      </c>
      <c r="G16" s="65">
        <v>-2.9000000000000001E-2</v>
      </c>
      <c r="H16" s="65">
        <v>4.3999999999999997E-2</v>
      </c>
      <c r="J16" s="6" t="s">
        <v>149</v>
      </c>
      <c r="K16" s="6" t="s">
        <v>44</v>
      </c>
      <c r="L16" s="6" t="s">
        <v>162</v>
      </c>
      <c r="M16" s="6">
        <v>9</v>
      </c>
      <c r="N16" s="108">
        <v>1384063</v>
      </c>
      <c r="O16" s="108">
        <v>1495703</v>
      </c>
      <c r="P16" s="65">
        <v>-1.82545472901152E-3</v>
      </c>
    </row>
    <row r="17" spans="1:18" x14ac:dyDescent="0.35">
      <c r="A17" s="6" t="s">
        <v>25</v>
      </c>
      <c r="B17" s="6" t="s">
        <v>162</v>
      </c>
      <c r="C17" s="6" t="s">
        <v>222</v>
      </c>
      <c r="D17" s="108">
        <v>106328</v>
      </c>
      <c r="E17" s="108">
        <v>136861</v>
      </c>
      <c r="F17" s="65">
        <v>2.2516038053353501E-2</v>
      </c>
      <c r="G17" s="65">
        <v>-1.9E-2</v>
      </c>
      <c r="H17" s="65">
        <v>6.6000000000000003E-2</v>
      </c>
      <c r="J17" s="6" t="s">
        <v>149</v>
      </c>
      <c r="K17" s="6" t="s">
        <v>44</v>
      </c>
      <c r="L17" s="6" t="s">
        <v>165</v>
      </c>
      <c r="M17" s="6">
        <v>12</v>
      </c>
      <c r="N17" s="108">
        <v>910161</v>
      </c>
      <c r="O17" s="108">
        <v>1014573</v>
      </c>
      <c r="P17" s="65">
        <v>-2.5951199044924598E-4</v>
      </c>
    </row>
    <row r="18" spans="1:18" x14ac:dyDescent="0.35">
      <c r="A18" s="6" t="s">
        <v>25</v>
      </c>
      <c r="B18" s="6" t="s">
        <v>162</v>
      </c>
      <c r="C18" s="6" t="s">
        <v>168</v>
      </c>
      <c r="D18" s="108">
        <v>123345</v>
      </c>
      <c r="E18" s="108">
        <v>131796</v>
      </c>
      <c r="F18" s="65">
        <v>2.7224324263089801E-2</v>
      </c>
      <c r="G18" s="65">
        <v>-1.2E-2</v>
      </c>
      <c r="H18" s="65">
        <v>6.8000000000000005E-2</v>
      </c>
      <c r="J18" s="6" t="s">
        <v>149</v>
      </c>
      <c r="K18" s="6" t="s">
        <v>44</v>
      </c>
      <c r="L18" s="6" t="s">
        <v>167</v>
      </c>
      <c r="M18" s="6">
        <v>9</v>
      </c>
      <c r="N18" s="108">
        <v>891569</v>
      </c>
      <c r="O18" s="108">
        <v>914928</v>
      </c>
      <c r="P18" s="65">
        <v>7.5951874241996606E-2</v>
      </c>
    </row>
    <row r="19" spans="1:18" x14ac:dyDescent="0.35">
      <c r="A19" s="6" t="s">
        <v>25</v>
      </c>
      <c r="B19" s="6" t="s">
        <v>165</v>
      </c>
      <c r="C19" s="6" t="s">
        <v>172</v>
      </c>
      <c r="D19" s="108">
        <v>68939</v>
      </c>
      <c r="E19" s="108">
        <v>69353</v>
      </c>
      <c r="F19" s="65">
        <v>-2.4943439791518002E-2</v>
      </c>
      <c r="G19" s="65">
        <v>-6.6000000000000003E-2</v>
      </c>
      <c r="H19" s="65">
        <v>1.7999999999999999E-2</v>
      </c>
      <c r="J19" s="6" t="s">
        <v>149</v>
      </c>
      <c r="K19" s="6" t="s">
        <v>44</v>
      </c>
      <c r="L19" s="6" t="s">
        <v>169</v>
      </c>
      <c r="M19" s="6">
        <v>15</v>
      </c>
      <c r="N19" s="108">
        <v>3037824</v>
      </c>
      <c r="O19" s="108">
        <v>3299806</v>
      </c>
      <c r="P19" s="65">
        <v>1.4754337785601901E-2</v>
      </c>
    </row>
    <row r="20" spans="1:18" x14ac:dyDescent="0.35">
      <c r="A20" s="6" t="s">
        <v>25</v>
      </c>
      <c r="B20" s="6" t="s">
        <v>165</v>
      </c>
      <c r="C20" s="6" t="s">
        <v>171</v>
      </c>
      <c r="D20" s="108">
        <v>97026</v>
      </c>
      <c r="E20" s="108">
        <v>101295</v>
      </c>
      <c r="F20" s="65">
        <v>4.23923963509363E-2</v>
      </c>
      <c r="G20" s="65">
        <v>2E-3</v>
      </c>
      <c r="H20" s="65">
        <v>8.4000000000000005E-2</v>
      </c>
      <c r="J20" s="6" t="s">
        <v>149</v>
      </c>
      <c r="K20" s="6" t="s">
        <v>25</v>
      </c>
      <c r="L20" s="6" t="s">
        <v>156</v>
      </c>
      <c r="M20" s="6">
        <v>7</v>
      </c>
      <c r="N20" s="108">
        <v>6949849</v>
      </c>
      <c r="O20" s="108">
        <v>6975360</v>
      </c>
      <c r="P20" s="65">
        <v>3.2106006682464001E-2</v>
      </c>
    </row>
    <row r="21" spans="1:18" x14ac:dyDescent="0.35">
      <c r="A21" s="6" t="s">
        <v>25</v>
      </c>
      <c r="B21" s="6" t="s">
        <v>165</v>
      </c>
      <c r="C21" s="6" t="s">
        <v>166</v>
      </c>
      <c r="D21" s="108">
        <v>116664</v>
      </c>
      <c r="E21" s="108">
        <v>115220</v>
      </c>
      <c r="F21" s="65">
        <v>9.7610331415295001E-2</v>
      </c>
      <c r="G21" s="65">
        <v>6.2E-2</v>
      </c>
      <c r="H21" s="65">
        <v>0.13400000000000001</v>
      </c>
      <c r="J21" s="6" t="s">
        <v>149</v>
      </c>
      <c r="K21" s="6" t="s">
        <v>25</v>
      </c>
      <c r="L21" s="6" t="s">
        <v>162</v>
      </c>
      <c r="M21" s="6">
        <v>6</v>
      </c>
      <c r="N21" s="108">
        <v>999040</v>
      </c>
      <c r="O21" s="108">
        <v>1025733</v>
      </c>
      <c r="P21" s="65">
        <v>1.7579486877995799E-2</v>
      </c>
    </row>
    <row r="22" spans="1:18" x14ac:dyDescent="0.35">
      <c r="A22" s="6" t="s">
        <v>25</v>
      </c>
      <c r="B22" s="6" t="s">
        <v>165</v>
      </c>
      <c r="C22" s="6" t="s">
        <v>170</v>
      </c>
      <c r="D22" s="108">
        <v>88257</v>
      </c>
      <c r="E22" s="108">
        <v>87611</v>
      </c>
      <c r="F22" s="65">
        <v>3.7780940873852101E-2</v>
      </c>
      <c r="G22" s="65">
        <v>-3.0000000000000001E-3</v>
      </c>
      <c r="H22" s="65">
        <v>0.08</v>
      </c>
      <c r="J22" s="6" t="s">
        <v>149</v>
      </c>
      <c r="K22" s="6" t="s">
        <v>25</v>
      </c>
      <c r="L22" s="6" t="s">
        <v>165</v>
      </c>
      <c r="M22" s="6">
        <v>4</v>
      </c>
      <c r="N22" s="108">
        <v>370886</v>
      </c>
      <c r="O22" s="108">
        <v>373479</v>
      </c>
      <c r="P22" s="65">
        <v>4.5052852220788503E-2</v>
      </c>
    </row>
    <row r="23" spans="1:18" x14ac:dyDescent="0.35">
      <c r="A23" s="6" t="s">
        <v>25</v>
      </c>
      <c r="B23" s="6" t="s">
        <v>167</v>
      </c>
      <c r="C23" s="6" t="s">
        <v>223</v>
      </c>
      <c r="D23" s="108">
        <v>62064</v>
      </c>
      <c r="E23" s="108">
        <v>66267</v>
      </c>
      <c r="F23" s="65">
        <v>-0.12695410718387101</v>
      </c>
      <c r="G23" s="65">
        <v>-0.22700000000000001</v>
      </c>
      <c r="H23" s="65">
        <v>0</v>
      </c>
      <c r="J23" s="6" t="s">
        <v>149</v>
      </c>
      <c r="K23" s="6" t="s">
        <v>25</v>
      </c>
      <c r="L23" s="6" t="s">
        <v>167</v>
      </c>
      <c r="M23" s="6">
        <v>4</v>
      </c>
      <c r="N23" s="108">
        <v>278552</v>
      </c>
      <c r="O23" s="108">
        <v>289285</v>
      </c>
      <c r="P23" s="65">
        <v>-3.5046535250208698E-2</v>
      </c>
    </row>
    <row r="24" spans="1:18" x14ac:dyDescent="0.35">
      <c r="A24" s="6" t="s">
        <v>25</v>
      </c>
      <c r="B24" s="6" t="s">
        <v>167</v>
      </c>
      <c r="C24" s="6" t="s">
        <v>173</v>
      </c>
      <c r="D24" s="108">
        <v>75201</v>
      </c>
      <c r="E24" s="108">
        <v>73600</v>
      </c>
      <c r="F24" s="65">
        <v>-0.14219672467774999</v>
      </c>
      <c r="G24" s="65">
        <v>-0.33</v>
      </c>
      <c r="H24" s="65">
        <v>8.5999999999999993E-2</v>
      </c>
    </row>
    <row r="25" spans="1:18" x14ac:dyDescent="0.35">
      <c r="A25" s="6" t="s">
        <v>25</v>
      </c>
      <c r="B25" s="6" t="s">
        <v>167</v>
      </c>
      <c r="C25" s="6" t="s">
        <v>224</v>
      </c>
      <c r="D25" s="108">
        <v>74742</v>
      </c>
      <c r="E25" s="108">
        <v>75812</v>
      </c>
      <c r="F25" s="65">
        <v>0.28021344332852499</v>
      </c>
      <c r="G25" s="65">
        <v>0.157</v>
      </c>
      <c r="H25" s="65">
        <v>0.41399999999999998</v>
      </c>
    </row>
    <row r="26" spans="1:18" x14ac:dyDescent="0.35">
      <c r="A26" s="6" t="s">
        <v>25</v>
      </c>
      <c r="B26" s="6" t="s">
        <v>167</v>
      </c>
      <c r="C26" s="6" t="s">
        <v>174</v>
      </c>
      <c r="D26" s="108">
        <v>66545</v>
      </c>
      <c r="E26" s="108">
        <v>73606</v>
      </c>
      <c r="F26" s="65">
        <v>-0.124488678343689</v>
      </c>
      <c r="G26" s="65">
        <v>-0.22600000000000001</v>
      </c>
      <c r="H26" s="65">
        <v>2E-3</v>
      </c>
    </row>
    <row r="27" spans="1:18" x14ac:dyDescent="0.35">
      <c r="A27" s="6" t="s">
        <v>44</v>
      </c>
      <c r="B27" s="6" t="s">
        <v>156</v>
      </c>
      <c r="C27" s="6" t="s">
        <v>206</v>
      </c>
      <c r="D27" s="108">
        <v>698996</v>
      </c>
      <c r="E27" s="108">
        <v>794366</v>
      </c>
      <c r="F27" s="65">
        <v>-3.5000000000000003E-2</v>
      </c>
      <c r="G27" s="65">
        <v>-4.5999999999999999E-2</v>
      </c>
      <c r="H27" s="65">
        <v>-2.4E-2</v>
      </c>
      <c r="N27" s="78"/>
      <c r="O27" s="78"/>
    </row>
    <row r="28" spans="1:18" x14ac:dyDescent="0.35">
      <c r="A28" s="6" t="s">
        <v>44</v>
      </c>
      <c r="B28" s="6" t="s">
        <v>156</v>
      </c>
      <c r="C28" s="6" t="s">
        <v>158</v>
      </c>
      <c r="D28" s="108">
        <v>324039</v>
      </c>
      <c r="E28" s="108">
        <v>349724</v>
      </c>
      <c r="F28" s="65">
        <v>4.2999999999999997E-2</v>
      </c>
      <c r="G28" s="65">
        <v>2.1000000000000001E-2</v>
      </c>
      <c r="H28" s="65">
        <v>6.6000000000000003E-2</v>
      </c>
      <c r="N28" s="78"/>
      <c r="O28" s="78"/>
    </row>
    <row r="29" spans="1:18" x14ac:dyDescent="0.35">
      <c r="A29" s="6" t="s">
        <v>44</v>
      </c>
      <c r="B29" s="6" t="s">
        <v>156</v>
      </c>
      <c r="C29" s="6" t="s">
        <v>220</v>
      </c>
      <c r="D29" s="108">
        <v>501544</v>
      </c>
      <c r="E29" s="108">
        <v>573989</v>
      </c>
      <c r="F29" s="65">
        <v>2.5000000000000001E-2</v>
      </c>
      <c r="G29" s="65">
        <v>1.2E-2</v>
      </c>
      <c r="H29" s="65">
        <v>3.7999999999999999E-2</v>
      </c>
      <c r="N29" s="78"/>
      <c r="O29" s="78"/>
    </row>
    <row r="30" spans="1:18" x14ac:dyDescent="0.35">
      <c r="A30" s="6" t="s">
        <v>44</v>
      </c>
      <c r="B30" s="6" t="s">
        <v>156</v>
      </c>
      <c r="C30" s="6" t="s">
        <v>209</v>
      </c>
      <c r="D30" s="108">
        <v>624763</v>
      </c>
      <c r="E30" s="108">
        <v>664275</v>
      </c>
      <c r="F30" s="65">
        <v>3.1E-2</v>
      </c>
      <c r="G30" s="65">
        <v>-1.9E-2</v>
      </c>
      <c r="H30" s="65">
        <v>8.5000000000000006E-2</v>
      </c>
    </row>
    <row r="31" spans="1:18" x14ac:dyDescent="0.35">
      <c r="A31" s="6" t="s">
        <v>44</v>
      </c>
      <c r="B31" s="6" t="s">
        <v>156</v>
      </c>
      <c r="C31" s="6" t="s">
        <v>221</v>
      </c>
      <c r="D31" s="108">
        <v>580835</v>
      </c>
      <c r="E31" s="108">
        <v>641785</v>
      </c>
      <c r="F31" s="65">
        <v>-1.2999999999999999E-2</v>
      </c>
      <c r="G31" s="65">
        <v>-2.7E-2</v>
      </c>
      <c r="H31" s="65">
        <v>1E-3</v>
      </c>
      <c r="N31" s="78"/>
      <c r="O31" s="78"/>
      <c r="P31" s="121"/>
      <c r="Q31" s="51"/>
      <c r="R31" s="51"/>
    </row>
    <row r="32" spans="1:18" x14ac:dyDescent="0.35">
      <c r="A32" s="6" t="s">
        <v>44</v>
      </c>
      <c r="B32" s="6" t="s">
        <v>162</v>
      </c>
      <c r="C32" s="122" t="s">
        <v>172</v>
      </c>
      <c r="D32" s="108">
        <v>128581</v>
      </c>
      <c r="E32" s="108">
        <v>138359</v>
      </c>
      <c r="F32" s="65">
        <v>0.108</v>
      </c>
      <c r="G32" s="65">
        <v>0.05</v>
      </c>
      <c r="H32" s="65">
        <v>0.16600000000000001</v>
      </c>
      <c r="N32" s="78"/>
      <c r="O32" s="78"/>
      <c r="P32" s="121"/>
      <c r="Q32" s="51"/>
      <c r="R32" s="51"/>
    </row>
    <row r="33" spans="1:19" x14ac:dyDescent="0.35">
      <c r="A33" s="6" t="s">
        <v>44</v>
      </c>
      <c r="B33" s="6" t="s">
        <v>162</v>
      </c>
      <c r="C33" s="6" t="s">
        <v>176</v>
      </c>
      <c r="D33" s="108">
        <v>148239</v>
      </c>
      <c r="E33" s="108">
        <v>157105</v>
      </c>
      <c r="F33" s="65">
        <v>-1.4999999999999999E-2</v>
      </c>
      <c r="G33" s="65">
        <v>-3.7999999999999999E-2</v>
      </c>
      <c r="H33" s="65">
        <v>8.9999999999999993E-3</v>
      </c>
      <c r="N33" s="78"/>
      <c r="O33" s="78"/>
      <c r="P33" s="121"/>
      <c r="Q33" s="51"/>
      <c r="R33" s="51"/>
    </row>
    <row r="34" spans="1:19" x14ac:dyDescent="0.35">
      <c r="A34" s="6" t="s">
        <v>44</v>
      </c>
      <c r="B34" s="6" t="s">
        <v>162</v>
      </c>
      <c r="C34" s="6" t="s">
        <v>175</v>
      </c>
      <c r="D34" s="108">
        <v>173542</v>
      </c>
      <c r="E34" s="108">
        <v>224836</v>
      </c>
      <c r="F34" s="65">
        <v>-0.08</v>
      </c>
      <c r="G34" s="65">
        <v>-9.9000000000000005E-2</v>
      </c>
      <c r="H34" s="65">
        <v>-6.2E-2</v>
      </c>
      <c r="N34" s="78"/>
      <c r="O34" s="78"/>
      <c r="P34" s="121"/>
      <c r="Q34" s="51"/>
      <c r="R34" s="51"/>
    </row>
    <row r="35" spans="1:19" x14ac:dyDescent="0.35">
      <c r="A35" s="6" t="s">
        <v>44</v>
      </c>
      <c r="B35" s="6" t="s">
        <v>162</v>
      </c>
      <c r="C35" s="6" t="s">
        <v>160</v>
      </c>
      <c r="D35" s="108">
        <v>218144</v>
      </c>
      <c r="E35" s="108">
        <v>226088</v>
      </c>
      <c r="F35" s="65">
        <v>-1.9E-2</v>
      </c>
      <c r="G35" s="65">
        <v>-0.06</v>
      </c>
      <c r="H35" s="65">
        <v>2.4E-2</v>
      </c>
      <c r="N35" s="78"/>
      <c r="O35" s="78"/>
      <c r="P35" s="121"/>
      <c r="Q35" s="51"/>
      <c r="R35" s="51"/>
    </row>
    <row r="36" spans="1:19" x14ac:dyDescent="0.35">
      <c r="A36" s="6" t="s">
        <v>44</v>
      </c>
      <c r="B36" s="6" t="s">
        <v>162</v>
      </c>
      <c r="C36" s="6" t="s">
        <v>161</v>
      </c>
      <c r="D36" s="108">
        <v>174956</v>
      </c>
      <c r="E36" s="108">
        <v>162950</v>
      </c>
      <c r="F36" s="65">
        <v>1.0999999999999999E-2</v>
      </c>
      <c r="G36" s="65">
        <v>-1.7999999999999999E-2</v>
      </c>
      <c r="H36" s="65">
        <v>4.1000000000000002E-2</v>
      </c>
      <c r="N36" s="78"/>
      <c r="O36" s="78"/>
      <c r="P36" s="121"/>
      <c r="Q36" s="51"/>
      <c r="R36" s="51"/>
    </row>
    <row r="37" spans="1:19" x14ac:dyDescent="0.35">
      <c r="A37" s="6" t="s">
        <v>44</v>
      </c>
      <c r="B37" s="6" t="s">
        <v>162</v>
      </c>
      <c r="C37" s="6" t="s">
        <v>164</v>
      </c>
      <c r="D37" s="108">
        <v>148747</v>
      </c>
      <c r="E37" s="108">
        <v>159844</v>
      </c>
      <c r="F37" s="65">
        <v>6.0000000000000001E-3</v>
      </c>
      <c r="G37" s="65">
        <v>-1.7000000000000001E-2</v>
      </c>
      <c r="H37" s="65">
        <v>2.9000000000000001E-2</v>
      </c>
      <c r="N37" s="78"/>
      <c r="O37" s="78"/>
      <c r="P37" s="121"/>
      <c r="Q37" s="51"/>
      <c r="R37" s="51"/>
    </row>
    <row r="38" spans="1:19" x14ac:dyDescent="0.35">
      <c r="A38" s="6" t="s">
        <v>44</v>
      </c>
      <c r="B38" s="6" t="s">
        <v>162</v>
      </c>
      <c r="C38" s="6" t="s">
        <v>177</v>
      </c>
      <c r="D38" s="108">
        <v>123677</v>
      </c>
      <c r="E38" s="108">
        <v>133643</v>
      </c>
      <c r="F38" s="65">
        <v>6.8000000000000005E-2</v>
      </c>
      <c r="G38" s="65">
        <v>6.3E-2</v>
      </c>
      <c r="H38" s="65">
        <v>7.3999999999999996E-2</v>
      </c>
      <c r="N38" s="78"/>
      <c r="O38" s="78"/>
      <c r="P38" s="121"/>
      <c r="Q38" s="51"/>
      <c r="R38" s="51"/>
    </row>
    <row r="39" spans="1:19" x14ac:dyDescent="0.35">
      <c r="A39" s="6" t="s">
        <v>44</v>
      </c>
      <c r="B39" s="6" t="s">
        <v>162</v>
      </c>
      <c r="C39" s="6" t="s">
        <v>171</v>
      </c>
      <c r="D39" s="108">
        <v>152385</v>
      </c>
      <c r="E39" s="108">
        <v>164977</v>
      </c>
      <c r="F39" s="65">
        <v>2.1999999999999999E-2</v>
      </c>
      <c r="G39" s="65">
        <v>4.0000000000000001E-3</v>
      </c>
      <c r="H39" s="65">
        <v>3.9E-2</v>
      </c>
      <c r="N39" s="78"/>
      <c r="O39" s="78"/>
      <c r="P39" s="121"/>
      <c r="Q39" s="51"/>
      <c r="R39" s="51"/>
    </row>
    <row r="40" spans="1:19" x14ac:dyDescent="0.35">
      <c r="A40" s="6" t="s">
        <v>44</v>
      </c>
      <c r="B40" s="6" t="s">
        <v>162</v>
      </c>
      <c r="C40" s="6" t="s">
        <v>178</v>
      </c>
      <c r="D40" s="108">
        <v>115792</v>
      </c>
      <c r="E40" s="108">
        <v>127901</v>
      </c>
      <c r="F40" s="65">
        <v>-5.0000000000000001E-3</v>
      </c>
      <c r="G40" s="65">
        <v>-1.6E-2</v>
      </c>
      <c r="H40" s="65">
        <v>6.0000000000000001E-3</v>
      </c>
      <c r="N40" s="78"/>
      <c r="O40" s="78"/>
      <c r="P40" s="121"/>
      <c r="Q40" s="51"/>
      <c r="R40" s="51"/>
    </row>
    <row r="41" spans="1:19" x14ac:dyDescent="0.35">
      <c r="A41" s="6" t="s">
        <v>44</v>
      </c>
      <c r="B41" s="6" t="s">
        <v>165</v>
      </c>
      <c r="C41" s="6" t="s">
        <v>181</v>
      </c>
      <c r="D41" s="108">
        <v>75538</v>
      </c>
      <c r="E41" s="108">
        <v>77291</v>
      </c>
      <c r="F41" s="65">
        <v>1.4E-2</v>
      </c>
      <c r="G41" s="65">
        <v>-1.4999999999999999E-2</v>
      </c>
      <c r="H41" s="65">
        <v>4.2999999999999997E-2</v>
      </c>
      <c r="N41" s="78"/>
      <c r="O41" s="78"/>
      <c r="P41" s="121"/>
      <c r="Q41" s="51"/>
      <c r="R41" s="51"/>
    </row>
    <row r="42" spans="1:19" x14ac:dyDescent="0.35">
      <c r="A42" s="6" t="s">
        <v>44</v>
      </c>
      <c r="B42" s="6" t="s">
        <v>165</v>
      </c>
      <c r="C42" s="6" t="s">
        <v>225</v>
      </c>
      <c r="D42" s="108">
        <v>67687</v>
      </c>
      <c r="E42" s="108">
        <v>71869</v>
      </c>
      <c r="F42" s="65">
        <v>-3.4000000000000002E-2</v>
      </c>
      <c r="G42" s="65">
        <v>-0.06</v>
      </c>
      <c r="H42" s="65">
        <v>-8.0000000000000002E-3</v>
      </c>
      <c r="N42" s="78"/>
      <c r="O42" s="78"/>
      <c r="P42" s="121"/>
      <c r="Q42" s="51"/>
      <c r="R42" s="51"/>
    </row>
    <row r="43" spans="1:19" x14ac:dyDescent="0.35">
      <c r="A43" s="6" t="s">
        <v>44</v>
      </c>
      <c r="B43" s="6" t="s">
        <v>165</v>
      </c>
      <c r="C43" s="6" t="s">
        <v>183</v>
      </c>
      <c r="D43" s="108">
        <v>61490</v>
      </c>
      <c r="E43" s="108">
        <v>75775</v>
      </c>
      <c r="F43" s="65">
        <v>-8.7999999999999995E-2</v>
      </c>
      <c r="G43" s="65">
        <v>-0.124</v>
      </c>
      <c r="H43" s="65">
        <v>-0.05</v>
      </c>
      <c r="N43" s="78"/>
      <c r="O43" s="78"/>
      <c r="P43" s="121"/>
      <c r="Q43" s="51"/>
      <c r="R43" s="51"/>
    </row>
    <row r="44" spans="1:19" x14ac:dyDescent="0.35">
      <c r="A44" s="6" t="s">
        <v>44</v>
      </c>
      <c r="B44" s="6" t="s">
        <v>165</v>
      </c>
      <c r="C44" s="6" t="s">
        <v>179</v>
      </c>
      <c r="D44" s="108">
        <v>91107</v>
      </c>
      <c r="E44" s="108">
        <v>94654</v>
      </c>
      <c r="F44" s="65">
        <v>0.19900000000000001</v>
      </c>
      <c r="G44" s="65">
        <v>0.156</v>
      </c>
      <c r="H44" s="65">
        <v>0.24299999999999999</v>
      </c>
      <c r="N44" s="78"/>
      <c r="O44" s="78"/>
      <c r="P44" s="121"/>
      <c r="Q44" s="51"/>
      <c r="R44" s="51"/>
    </row>
    <row r="45" spans="1:19" x14ac:dyDescent="0.35">
      <c r="A45" s="6" t="s">
        <v>44</v>
      </c>
      <c r="B45" s="6" t="s">
        <v>165</v>
      </c>
      <c r="C45" s="6" t="s">
        <v>180</v>
      </c>
      <c r="D45" s="108">
        <v>91201</v>
      </c>
      <c r="E45" s="108">
        <v>115205</v>
      </c>
      <c r="F45" s="65">
        <v>-1.4E-2</v>
      </c>
      <c r="G45" s="65">
        <v>-3.2000000000000001E-2</v>
      </c>
      <c r="H45" s="65">
        <v>4.0000000000000001E-3</v>
      </c>
      <c r="N45" s="78"/>
      <c r="O45" s="78"/>
      <c r="P45" s="121"/>
      <c r="Q45" s="51"/>
      <c r="R45" s="51"/>
    </row>
    <row r="46" spans="1:19" x14ac:dyDescent="0.35">
      <c r="A46" s="6" t="s">
        <v>44</v>
      </c>
      <c r="B46" s="6" t="s">
        <v>165</v>
      </c>
      <c r="C46" s="6" t="s">
        <v>226</v>
      </c>
      <c r="D46" s="108">
        <v>71813</v>
      </c>
      <c r="E46" s="108">
        <v>79957</v>
      </c>
      <c r="F46" s="65">
        <v>1.2999999999999999E-2</v>
      </c>
      <c r="G46" s="65">
        <v>-8.0000000000000002E-3</v>
      </c>
      <c r="H46" s="65">
        <v>3.4000000000000002E-2</v>
      </c>
      <c r="O46" s="78"/>
      <c r="P46" s="78"/>
      <c r="Q46" s="121"/>
      <c r="R46" s="51"/>
      <c r="S46" s="51"/>
    </row>
    <row r="47" spans="1:19" x14ac:dyDescent="0.35">
      <c r="A47" s="6" t="s">
        <v>44</v>
      </c>
      <c r="B47" s="6" t="s">
        <v>165</v>
      </c>
      <c r="C47" s="6" t="s">
        <v>182</v>
      </c>
      <c r="D47" s="108">
        <v>69181</v>
      </c>
      <c r="E47" s="108">
        <v>69657</v>
      </c>
      <c r="F47" s="65">
        <v>8.0000000000000002E-3</v>
      </c>
      <c r="G47" s="65">
        <v>-3.5000000000000003E-2</v>
      </c>
      <c r="H47" s="65">
        <v>5.2999999999999999E-2</v>
      </c>
      <c r="O47" s="78"/>
      <c r="P47" s="78"/>
      <c r="Q47" s="121"/>
      <c r="R47" s="51"/>
      <c r="S47" s="51"/>
    </row>
    <row r="48" spans="1:19" x14ac:dyDescent="0.35">
      <c r="A48" s="6" t="s">
        <v>44</v>
      </c>
      <c r="B48" s="6" t="s">
        <v>165</v>
      </c>
      <c r="C48" s="6" t="s">
        <v>157</v>
      </c>
      <c r="D48" s="108">
        <v>91580</v>
      </c>
      <c r="E48" s="108">
        <v>94434</v>
      </c>
      <c r="F48" s="65">
        <v>-0.03</v>
      </c>
      <c r="G48" s="65">
        <v>-6.2E-2</v>
      </c>
      <c r="H48" s="65">
        <v>2E-3</v>
      </c>
      <c r="O48" s="78"/>
      <c r="P48" s="78"/>
      <c r="Q48" s="121"/>
      <c r="R48" s="51"/>
      <c r="S48" s="51"/>
    </row>
    <row r="49" spans="1:8" x14ac:dyDescent="0.35">
      <c r="A49" s="6" t="s">
        <v>44</v>
      </c>
      <c r="B49" s="6" t="s">
        <v>165</v>
      </c>
      <c r="C49" s="6" t="s">
        <v>227</v>
      </c>
      <c r="D49" s="108">
        <v>64197</v>
      </c>
      <c r="E49" s="108">
        <v>72350</v>
      </c>
      <c r="F49" s="65">
        <v>-0.06</v>
      </c>
      <c r="G49" s="65">
        <v>-9.0999999999999998E-2</v>
      </c>
      <c r="H49" s="65">
        <v>-2.7E-2</v>
      </c>
    </row>
    <row r="50" spans="1:8" x14ac:dyDescent="0.35">
      <c r="A50" s="6" t="s">
        <v>44</v>
      </c>
      <c r="B50" s="6" t="s">
        <v>165</v>
      </c>
      <c r="C50" s="6" t="s">
        <v>159</v>
      </c>
      <c r="D50" s="108">
        <v>96816</v>
      </c>
      <c r="E50" s="108">
        <v>113108</v>
      </c>
      <c r="F50" s="65">
        <v>2.5999999999999999E-2</v>
      </c>
      <c r="G50" s="65">
        <v>-3.2000000000000001E-2</v>
      </c>
      <c r="H50" s="65">
        <v>8.5000000000000006E-2</v>
      </c>
    </row>
    <row r="51" spans="1:8" x14ac:dyDescent="0.35">
      <c r="A51" s="6" t="s">
        <v>44</v>
      </c>
      <c r="B51" s="6" t="s">
        <v>165</v>
      </c>
      <c r="C51" s="6" t="s">
        <v>228</v>
      </c>
      <c r="D51" s="108">
        <v>60184</v>
      </c>
      <c r="E51" s="108">
        <v>67334</v>
      </c>
      <c r="F51" s="65">
        <v>-4.7E-2</v>
      </c>
      <c r="G51" s="65">
        <v>-9.8000000000000004E-2</v>
      </c>
      <c r="H51" s="65">
        <v>7.0000000000000001E-3</v>
      </c>
    </row>
    <row r="52" spans="1:8" x14ac:dyDescent="0.35">
      <c r="A52" s="6" t="s">
        <v>44</v>
      </c>
      <c r="B52" s="6" t="s">
        <v>165</v>
      </c>
      <c r="C52" s="6" t="s">
        <v>166</v>
      </c>
      <c r="D52" s="108">
        <v>69367</v>
      </c>
      <c r="E52" s="108">
        <v>82939</v>
      </c>
      <c r="F52" s="65">
        <v>-2.4E-2</v>
      </c>
      <c r="G52" s="65">
        <v>-5.0999999999999997E-2</v>
      </c>
      <c r="H52" s="65">
        <v>4.0000000000000001E-3</v>
      </c>
    </row>
    <row r="53" spans="1:8" x14ac:dyDescent="0.35">
      <c r="A53" s="6" t="s">
        <v>44</v>
      </c>
      <c r="B53" s="6" t="s">
        <v>167</v>
      </c>
      <c r="C53" s="6" t="s">
        <v>223</v>
      </c>
      <c r="D53" s="108">
        <v>142673</v>
      </c>
      <c r="E53" s="108">
        <v>150929</v>
      </c>
      <c r="F53" s="65">
        <v>-0.03</v>
      </c>
      <c r="G53" s="65">
        <v>-5.0999999999999997E-2</v>
      </c>
      <c r="H53" s="65">
        <v>-8.0000000000000002E-3</v>
      </c>
    </row>
    <row r="54" spans="1:8" x14ac:dyDescent="0.35">
      <c r="A54" s="6" t="s">
        <v>44</v>
      </c>
      <c r="B54" s="6" t="s">
        <v>167</v>
      </c>
      <c r="C54" s="6" t="s">
        <v>229</v>
      </c>
      <c r="D54" s="108">
        <v>124168</v>
      </c>
      <c r="E54" s="108">
        <v>111121</v>
      </c>
      <c r="F54" s="65">
        <v>-1.2E-2</v>
      </c>
      <c r="G54" s="65">
        <v>-7.0999999999999994E-2</v>
      </c>
      <c r="H54" s="65">
        <v>5.0999999999999997E-2</v>
      </c>
    </row>
    <row r="55" spans="1:8" x14ac:dyDescent="0.35">
      <c r="A55" s="6" t="s">
        <v>44</v>
      </c>
      <c r="B55" s="6" t="s">
        <v>167</v>
      </c>
      <c r="C55" s="6" t="s">
        <v>230</v>
      </c>
      <c r="D55" s="108">
        <v>116214</v>
      </c>
      <c r="E55" s="108">
        <v>122097</v>
      </c>
      <c r="F55" s="65">
        <v>9.8000000000000004E-2</v>
      </c>
      <c r="G55" s="65">
        <v>6.7000000000000004E-2</v>
      </c>
      <c r="H55" s="65">
        <v>0.129</v>
      </c>
    </row>
    <row r="56" spans="1:8" x14ac:dyDescent="0.35">
      <c r="A56" s="6" t="s">
        <v>44</v>
      </c>
      <c r="B56" s="6" t="s">
        <v>167</v>
      </c>
      <c r="C56" s="6" t="s">
        <v>173</v>
      </c>
      <c r="D56" s="108">
        <v>133677</v>
      </c>
      <c r="E56" s="108">
        <v>149132</v>
      </c>
      <c r="F56" s="65">
        <v>0.22900000000000001</v>
      </c>
      <c r="G56" s="65">
        <v>0.17299999999999999</v>
      </c>
      <c r="H56" s="65">
        <v>0.28699999999999998</v>
      </c>
    </row>
    <row r="57" spans="1:8" x14ac:dyDescent="0.35">
      <c r="A57" s="6" t="s">
        <v>44</v>
      </c>
      <c r="B57" s="6" t="s">
        <v>167</v>
      </c>
      <c r="C57" s="6" t="s">
        <v>231</v>
      </c>
      <c r="D57" s="108">
        <v>62974</v>
      </c>
      <c r="E57" s="108">
        <v>61845</v>
      </c>
      <c r="F57" s="65">
        <v>0.104</v>
      </c>
      <c r="G57" s="65">
        <v>-0.33800000000000002</v>
      </c>
      <c r="H57" s="65">
        <v>0.54900000000000004</v>
      </c>
    </row>
    <row r="58" spans="1:8" x14ac:dyDescent="0.35">
      <c r="A58" s="6" t="s">
        <v>44</v>
      </c>
      <c r="B58" s="6" t="s">
        <v>167</v>
      </c>
      <c r="C58" s="6" t="s">
        <v>224</v>
      </c>
      <c r="D58" s="108">
        <v>112126</v>
      </c>
      <c r="E58" s="108">
        <v>116056</v>
      </c>
      <c r="F58" s="65">
        <v>7.0000000000000001E-3</v>
      </c>
      <c r="G58" s="65">
        <v>-3.7999999999999999E-2</v>
      </c>
      <c r="H58" s="65">
        <v>5.5E-2</v>
      </c>
    </row>
    <row r="59" spans="1:8" x14ac:dyDescent="0.35">
      <c r="A59" s="6" t="s">
        <v>44</v>
      </c>
      <c r="B59" s="6" t="s">
        <v>167</v>
      </c>
      <c r="C59" s="6" t="s">
        <v>232</v>
      </c>
      <c r="D59" s="108">
        <v>65731</v>
      </c>
      <c r="E59" s="108">
        <v>64297</v>
      </c>
      <c r="F59" s="65">
        <v>0.14899999999999999</v>
      </c>
      <c r="G59" s="65">
        <v>0.14199999999999999</v>
      </c>
      <c r="H59" s="65">
        <v>0.157</v>
      </c>
    </row>
    <row r="60" spans="1:8" x14ac:dyDescent="0.35">
      <c r="A60" s="6" t="s">
        <v>44</v>
      </c>
      <c r="B60" s="6" t="s">
        <v>167</v>
      </c>
      <c r="C60" s="6" t="s">
        <v>174</v>
      </c>
      <c r="D60" s="108">
        <v>73629</v>
      </c>
      <c r="E60" s="108">
        <v>77564</v>
      </c>
      <c r="F60" s="65">
        <v>0.18099999999999999</v>
      </c>
      <c r="G60" s="65">
        <v>0.14199999999999999</v>
      </c>
      <c r="H60" s="65">
        <v>0.222</v>
      </c>
    </row>
    <row r="61" spans="1:8" x14ac:dyDescent="0.35">
      <c r="A61" s="6" t="s">
        <v>44</v>
      </c>
      <c r="B61" s="6" t="s">
        <v>169</v>
      </c>
      <c r="C61" s="6" t="s">
        <v>188</v>
      </c>
      <c r="D61" s="108">
        <v>103558</v>
      </c>
      <c r="E61" s="108">
        <v>120566</v>
      </c>
      <c r="F61" s="65">
        <v>6.6000000000000003E-2</v>
      </c>
      <c r="G61" s="65">
        <v>4.4999999999999998E-2</v>
      </c>
      <c r="H61" s="65">
        <v>8.6999999999999994E-2</v>
      </c>
    </row>
    <row r="62" spans="1:8" x14ac:dyDescent="0.35">
      <c r="A62" s="6" t="s">
        <v>44</v>
      </c>
      <c r="B62" s="6" t="s">
        <v>169</v>
      </c>
      <c r="C62" s="6" t="s">
        <v>233</v>
      </c>
      <c r="D62" s="108">
        <v>79703</v>
      </c>
      <c r="E62" s="108">
        <v>86317</v>
      </c>
      <c r="F62" s="65">
        <v>-5.5E-2</v>
      </c>
      <c r="G62" s="65">
        <v>-7.3999999999999996E-2</v>
      </c>
      <c r="H62" s="65">
        <v>-3.5999999999999997E-2</v>
      </c>
    </row>
    <row r="63" spans="1:8" x14ac:dyDescent="0.35">
      <c r="A63" s="6" t="s">
        <v>44</v>
      </c>
      <c r="B63" s="6" t="s">
        <v>169</v>
      </c>
      <c r="C63" s="6" t="s">
        <v>234</v>
      </c>
      <c r="D63" s="108">
        <v>100847</v>
      </c>
      <c r="E63" s="108">
        <v>103184</v>
      </c>
      <c r="F63" s="65">
        <v>0.13800000000000001</v>
      </c>
      <c r="G63" s="65">
        <v>9.7000000000000003E-2</v>
      </c>
      <c r="H63" s="65">
        <v>0.18099999999999999</v>
      </c>
    </row>
    <row r="64" spans="1:8" x14ac:dyDescent="0.35">
      <c r="A64" s="6" t="s">
        <v>44</v>
      </c>
      <c r="B64" s="6" t="s">
        <v>169</v>
      </c>
      <c r="C64" s="6" t="s">
        <v>235</v>
      </c>
      <c r="D64" s="108">
        <v>166746</v>
      </c>
      <c r="E64" s="108">
        <v>177087</v>
      </c>
      <c r="F64" s="65">
        <v>1.2E-2</v>
      </c>
      <c r="G64" s="65">
        <v>-7.0000000000000001E-3</v>
      </c>
      <c r="H64" s="65">
        <v>3.1E-2</v>
      </c>
    </row>
    <row r="65" spans="1:8" x14ac:dyDescent="0.35">
      <c r="A65" s="6" t="s">
        <v>44</v>
      </c>
      <c r="B65" s="6" t="s">
        <v>169</v>
      </c>
      <c r="C65" s="6" t="s">
        <v>236</v>
      </c>
      <c r="D65" s="108">
        <v>287250</v>
      </c>
      <c r="E65" s="108">
        <v>299638</v>
      </c>
      <c r="F65" s="65">
        <v>-5.7000000000000002E-2</v>
      </c>
      <c r="G65" s="65">
        <v>-7.1999999999999995E-2</v>
      </c>
      <c r="H65" s="65">
        <v>-4.2999999999999997E-2</v>
      </c>
    </row>
    <row r="66" spans="1:8" x14ac:dyDescent="0.35">
      <c r="A66" s="6" t="s">
        <v>44</v>
      </c>
      <c r="B66" s="6" t="s">
        <v>169</v>
      </c>
      <c r="C66" s="6" t="s">
        <v>237</v>
      </c>
      <c r="D66" s="108">
        <v>211021</v>
      </c>
      <c r="E66" s="108">
        <v>231276</v>
      </c>
      <c r="F66" s="65">
        <v>3.0000000000000001E-3</v>
      </c>
      <c r="G66" s="65">
        <v>-6.0000000000000001E-3</v>
      </c>
      <c r="H66" s="65">
        <v>1.2E-2</v>
      </c>
    </row>
    <row r="67" spans="1:8" x14ac:dyDescent="0.35">
      <c r="A67" s="6" t="s">
        <v>44</v>
      </c>
      <c r="B67" s="6" t="s">
        <v>169</v>
      </c>
      <c r="C67" s="6" t="s">
        <v>238</v>
      </c>
      <c r="D67" s="108">
        <v>492204</v>
      </c>
      <c r="E67" s="108">
        <v>508093</v>
      </c>
      <c r="F67" s="65">
        <v>6.8000000000000005E-2</v>
      </c>
      <c r="G67" s="65">
        <v>0.05</v>
      </c>
      <c r="H67" s="65">
        <v>8.5999999999999993E-2</v>
      </c>
    </row>
    <row r="68" spans="1:8" x14ac:dyDescent="0.35">
      <c r="A68" s="6" t="s">
        <v>44</v>
      </c>
      <c r="B68" s="6" t="s">
        <v>169</v>
      </c>
      <c r="C68" s="6" t="s">
        <v>185</v>
      </c>
      <c r="D68" s="108">
        <v>153746</v>
      </c>
      <c r="E68" s="108">
        <v>182495</v>
      </c>
      <c r="F68" s="65">
        <v>4.8000000000000001E-2</v>
      </c>
      <c r="G68" s="65">
        <v>2.5000000000000001E-2</v>
      </c>
      <c r="H68" s="65">
        <v>7.1999999999999995E-2</v>
      </c>
    </row>
    <row r="69" spans="1:8" x14ac:dyDescent="0.35">
      <c r="A69" s="6" t="s">
        <v>44</v>
      </c>
      <c r="B69" s="6" t="s">
        <v>169</v>
      </c>
      <c r="C69" s="6" t="s">
        <v>187</v>
      </c>
      <c r="D69" s="108">
        <v>126460</v>
      </c>
      <c r="E69" s="108">
        <v>146961</v>
      </c>
      <c r="F69" s="65">
        <v>-5.5E-2</v>
      </c>
      <c r="G69" s="65">
        <v>-8.8999999999999996E-2</v>
      </c>
      <c r="H69" s="65">
        <v>-0.02</v>
      </c>
    </row>
    <row r="70" spans="1:8" x14ac:dyDescent="0.35">
      <c r="A70" s="6" t="s">
        <v>44</v>
      </c>
      <c r="B70" s="6" t="s">
        <v>169</v>
      </c>
      <c r="C70" s="6" t="s">
        <v>190</v>
      </c>
      <c r="D70" s="108">
        <v>70565</v>
      </c>
      <c r="E70" s="108">
        <v>76795</v>
      </c>
      <c r="F70" s="65">
        <v>2.5000000000000001E-2</v>
      </c>
      <c r="G70" s="65">
        <v>-1.4E-2</v>
      </c>
      <c r="H70" s="65">
        <v>6.6000000000000003E-2</v>
      </c>
    </row>
    <row r="71" spans="1:8" x14ac:dyDescent="0.35">
      <c r="A71" s="6" t="s">
        <v>44</v>
      </c>
      <c r="B71" s="6" t="s">
        <v>169</v>
      </c>
      <c r="C71" s="6" t="s">
        <v>186</v>
      </c>
      <c r="D71" s="108">
        <v>130280</v>
      </c>
      <c r="E71" s="108">
        <v>131655</v>
      </c>
      <c r="F71" s="65">
        <v>-1.6E-2</v>
      </c>
      <c r="G71" s="65">
        <v>-4.9000000000000002E-2</v>
      </c>
      <c r="H71" s="65">
        <v>1.7999999999999999E-2</v>
      </c>
    </row>
    <row r="72" spans="1:8" x14ac:dyDescent="0.35">
      <c r="A72" s="6" t="s">
        <v>44</v>
      </c>
      <c r="B72" s="6" t="s">
        <v>169</v>
      </c>
      <c r="C72" s="6" t="s">
        <v>239</v>
      </c>
      <c r="D72" s="108">
        <v>113859</v>
      </c>
      <c r="E72" s="108">
        <v>121819</v>
      </c>
      <c r="F72" s="65">
        <v>-3.4000000000000002E-2</v>
      </c>
      <c r="G72" s="65">
        <v>-5.6000000000000001E-2</v>
      </c>
      <c r="H72" s="65">
        <v>-1.2E-2</v>
      </c>
    </row>
    <row r="73" spans="1:8" x14ac:dyDescent="0.35">
      <c r="A73" s="6" t="s">
        <v>44</v>
      </c>
      <c r="B73" s="6" t="s">
        <v>169</v>
      </c>
      <c r="C73" s="6" t="s">
        <v>189</v>
      </c>
      <c r="D73" s="108">
        <v>71632</v>
      </c>
      <c r="E73" s="108">
        <v>78956</v>
      </c>
      <c r="F73" s="65">
        <v>0.107</v>
      </c>
      <c r="G73" s="65">
        <v>6.9000000000000006E-2</v>
      </c>
      <c r="H73" s="65">
        <v>0.14599999999999999</v>
      </c>
    </row>
    <row r="74" spans="1:8" x14ac:dyDescent="0.35">
      <c r="A74" s="6" t="s">
        <v>44</v>
      </c>
      <c r="B74" s="6" t="s">
        <v>169</v>
      </c>
      <c r="C74" s="6" t="s">
        <v>240</v>
      </c>
      <c r="D74" s="108">
        <v>391064</v>
      </c>
      <c r="E74" s="108">
        <v>422260</v>
      </c>
      <c r="F74" s="65">
        <v>3.3000000000000002E-2</v>
      </c>
      <c r="G74" s="65">
        <v>6.0000000000000001E-3</v>
      </c>
      <c r="H74" s="65">
        <v>6.0999999999999999E-2</v>
      </c>
    </row>
    <row r="75" spans="1:8" x14ac:dyDescent="0.35">
      <c r="A75" s="6" t="s">
        <v>44</v>
      </c>
      <c r="B75" s="6" t="s">
        <v>169</v>
      </c>
      <c r="C75" s="6" t="s">
        <v>184</v>
      </c>
      <c r="D75" s="108">
        <v>538889</v>
      </c>
      <c r="E75" s="108">
        <v>612704</v>
      </c>
      <c r="F75" s="65">
        <v>-6.0000000000000001E-3</v>
      </c>
      <c r="G75" s="65">
        <v>-2.5000000000000001E-2</v>
      </c>
      <c r="H75" s="65">
        <v>1.2999999999999999E-2</v>
      </c>
    </row>
    <row r="76" spans="1:8" x14ac:dyDescent="0.35">
      <c r="A76" s="6" t="s">
        <v>12</v>
      </c>
      <c r="B76" s="6" t="s">
        <v>12</v>
      </c>
      <c r="C76" s="6" t="s">
        <v>222</v>
      </c>
      <c r="D76" s="108">
        <v>66932</v>
      </c>
      <c r="E76" s="108">
        <v>84933</v>
      </c>
      <c r="F76" s="65">
        <v>7.3930239699706399E-2</v>
      </c>
      <c r="G76" s="65">
        <v>5.0999999999999997E-2</v>
      </c>
      <c r="H76" s="65">
        <v>9.7000000000000003E-2</v>
      </c>
    </row>
    <row r="77" spans="1:8" x14ac:dyDescent="0.35">
      <c r="A77" s="6" t="s">
        <v>12</v>
      </c>
      <c r="B77" s="6" t="s">
        <v>12</v>
      </c>
      <c r="C77" s="6" t="s">
        <v>206</v>
      </c>
      <c r="D77" s="108">
        <v>801837</v>
      </c>
      <c r="E77" s="108">
        <v>810768</v>
      </c>
      <c r="F77" s="65">
        <v>7.7526105625024905E-2</v>
      </c>
      <c r="G77" s="65">
        <v>7.0000000000000007E-2</v>
      </c>
      <c r="H77" s="65">
        <v>8.5000000000000006E-2</v>
      </c>
    </row>
    <row r="78" spans="1:8" x14ac:dyDescent="0.35">
      <c r="A78" s="6" t="s">
        <v>12</v>
      </c>
      <c r="B78" s="6" t="s">
        <v>12</v>
      </c>
      <c r="C78" s="6" t="s">
        <v>158</v>
      </c>
      <c r="D78" s="108">
        <v>254022</v>
      </c>
      <c r="E78" s="108">
        <v>268337</v>
      </c>
      <c r="F78" s="65">
        <v>4.46610473551666E-2</v>
      </c>
      <c r="G78" s="65">
        <v>3.3000000000000002E-2</v>
      </c>
      <c r="H78" s="65">
        <v>5.6000000000000001E-2</v>
      </c>
    </row>
    <row r="79" spans="1:8" x14ac:dyDescent="0.35">
      <c r="A79" s="6" t="s">
        <v>12</v>
      </c>
      <c r="B79" s="6" t="s">
        <v>12</v>
      </c>
      <c r="C79" s="6" t="s">
        <v>220</v>
      </c>
      <c r="D79" s="108">
        <v>154923</v>
      </c>
      <c r="E79" s="108">
        <v>184739</v>
      </c>
      <c r="F79" s="65">
        <v>-0.15431331851636801</v>
      </c>
      <c r="G79" s="65">
        <v>-0.16600000000000001</v>
      </c>
      <c r="H79" s="65">
        <v>-0.14199999999999999</v>
      </c>
    </row>
    <row r="80" spans="1:8" x14ac:dyDescent="0.35">
      <c r="A80" s="6" t="s">
        <v>12</v>
      </c>
      <c r="B80" s="6" t="s">
        <v>12</v>
      </c>
      <c r="C80" s="6" t="s">
        <v>157</v>
      </c>
      <c r="D80" s="108">
        <v>156060</v>
      </c>
      <c r="E80" s="108">
        <v>90496</v>
      </c>
      <c r="F80" s="65">
        <v>-7.3051050080636504E-2</v>
      </c>
      <c r="G80" s="65">
        <v>-9.0999999999999998E-2</v>
      </c>
      <c r="H80" s="65">
        <v>-5.5E-2</v>
      </c>
    </row>
    <row r="81" spans="1:8" x14ac:dyDescent="0.35">
      <c r="A81" s="6" t="s">
        <v>12</v>
      </c>
      <c r="B81" s="6" t="s">
        <v>12</v>
      </c>
      <c r="C81" s="6" t="s">
        <v>160</v>
      </c>
      <c r="D81" s="108">
        <v>178790</v>
      </c>
      <c r="E81" s="108">
        <v>206492</v>
      </c>
      <c r="F81" s="65">
        <v>3.7632392072267798E-3</v>
      </c>
      <c r="G81" s="65">
        <v>-1.0999999999999999E-2</v>
      </c>
      <c r="H81" s="65">
        <v>1.9E-2</v>
      </c>
    </row>
    <row r="82" spans="1:8" x14ac:dyDescent="0.35">
      <c r="A82" s="6" t="s">
        <v>12</v>
      </c>
      <c r="B82" s="6" t="s">
        <v>12</v>
      </c>
      <c r="C82" s="6" t="s">
        <v>159</v>
      </c>
      <c r="D82" s="108">
        <v>132014</v>
      </c>
      <c r="E82" s="108">
        <v>107937</v>
      </c>
      <c r="F82" s="65">
        <v>-2.2311780038734102E-3</v>
      </c>
      <c r="G82" s="65">
        <v>-2.1000000000000001E-2</v>
      </c>
      <c r="H82" s="65">
        <v>1.6E-2</v>
      </c>
    </row>
    <row r="83" spans="1:8" x14ac:dyDescent="0.35">
      <c r="A83" s="6" t="s">
        <v>12</v>
      </c>
      <c r="B83" s="6" t="s">
        <v>12</v>
      </c>
      <c r="C83" s="6" t="s">
        <v>241</v>
      </c>
      <c r="D83" s="108">
        <v>500389</v>
      </c>
      <c r="E83" s="108">
        <v>535314</v>
      </c>
      <c r="F83" s="65">
        <v>6.7384273892644606E-2</v>
      </c>
      <c r="G83" s="65">
        <v>5.5E-2</v>
      </c>
      <c r="H83" s="65">
        <v>0.08</v>
      </c>
    </row>
    <row r="84" spans="1:8" x14ac:dyDescent="0.35">
      <c r="A84" s="6" t="s">
        <v>12</v>
      </c>
      <c r="B84" s="6" t="s">
        <v>12</v>
      </c>
      <c r="C84" s="6" t="s">
        <v>161</v>
      </c>
      <c r="D84" s="108">
        <v>114036</v>
      </c>
      <c r="E84" s="108">
        <v>117657</v>
      </c>
      <c r="F84" s="65">
        <v>3.81936045832219E-2</v>
      </c>
      <c r="G84" s="65">
        <v>1.7999999999999999E-2</v>
      </c>
      <c r="H84" s="65">
        <v>5.8000000000000003E-2</v>
      </c>
    </row>
    <row r="85" spans="1:8" x14ac:dyDescent="0.35">
      <c r="A85" s="6" t="s">
        <v>12</v>
      </c>
      <c r="B85" s="6" t="s">
        <v>12</v>
      </c>
      <c r="C85" s="6" t="s">
        <v>164</v>
      </c>
      <c r="D85" s="108">
        <v>90172</v>
      </c>
      <c r="E85" s="108">
        <v>95435</v>
      </c>
      <c r="F85" s="65">
        <v>1.0216334347155199E-2</v>
      </c>
      <c r="G85" s="65">
        <v>-1.2999999999999999E-2</v>
      </c>
      <c r="H85" s="65">
        <v>3.4000000000000002E-2</v>
      </c>
    </row>
    <row r="86" spans="1:8" x14ac:dyDescent="0.35">
      <c r="A86" s="6" t="s">
        <v>12</v>
      </c>
      <c r="B86" s="6" t="s">
        <v>12</v>
      </c>
      <c r="C86" s="6" t="s">
        <v>221</v>
      </c>
      <c r="D86" s="108">
        <v>150064</v>
      </c>
      <c r="E86" s="108">
        <v>159440</v>
      </c>
      <c r="F86" s="65">
        <v>4.9284868983646299E-2</v>
      </c>
      <c r="G86" s="65">
        <v>3.5000000000000003E-2</v>
      </c>
      <c r="H86" s="65">
        <v>6.4000000000000001E-2</v>
      </c>
    </row>
    <row r="87" spans="1:8" x14ac:dyDescent="0.35">
      <c r="A87" s="6" t="s">
        <v>12</v>
      </c>
      <c r="B87" s="6" t="s">
        <v>12</v>
      </c>
      <c r="C87" s="6" t="s">
        <v>163</v>
      </c>
      <c r="D87" s="108">
        <v>71113</v>
      </c>
      <c r="E87" s="108">
        <v>73589</v>
      </c>
      <c r="F87" s="65">
        <v>6.0829045271262802E-2</v>
      </c>
      <c r="G87" s="65">
        <v>3.5000000000000003E-2</v>
      </c>
      <c r="H87" s="65">
        <v>8.6999999999999994E-2</v>
      </c>
    </row>
    <row r="88" spans="1:8" x14ac:dyDescent="0.35">
      <c r="A88" s="6" t="s">
        <v>12</v>
      </c>
      <c r="B88" s="6" t="s">
        <v>12</v>
      </c>
      <c r="C88" s="6" t="s">
        <v>170</v>
      </c>
      <c r="D88" s="108">
        <v>89305</v>
      </c>
      <c r="E88" s="108">
        <v>93146</v>
      </c>
      <c r="F88" s="65">
        <v>7.38103072119351E-2</v>
      </c>
      <c r="G88" s="65">
        <v>5.0999999999999997E-2</v>
      </c>
      <c r="H88" s="65">
        <v>9.7000000000000003E-2</v>
      </c>
    </row>
  </sheetData>
  <conditionalFormatting sqref="C45">
    <cfRule type="expression" dxfId="0" priority="1">
      <formula>I45&gt;0.034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0A338-7CA4-463C-9C6D-4A4F29E5B4A1}">
  <sheetPr>
    <tabColor rgb="FF0082AC"/>
  </sheetPr>
  <dimension ref="A1:G25"/>
  <sheetViews>
    <sheetView topLeftCell="A11" workbookViewId="0">
      <selection activeCell="F18" sqref="F18"/>
    </sheetView>
  </sheetViews>
  <sheetFormatPr defaultRowHeight="14.5" x14ac:dyDescent="0.35"/>
  <cols>
    <col min="1" max="1" width="39.90625" customWidth="1"/>
    <col min="2" max="3" width="23" bestFit="1" customWidth="1"/>
    <col min="4" max="4" width="7.453125" customWidth="1"/>
    <col min="5" max="5" width="40.453125" customWidth="1"/>
    <col min="6" max="7" width="10.6328125" customWidth="1"/>
  </cols>
  <sheetData>
    <row r="1" spans="1:7" ht="18.5" x14ac:dyDescent="0.45">
      <c r="A1" s="1" t="s">
        <v>308</v>
      </c>
    </row>
    <row r="2" spans="1:7" ht="15.5" x14ac:dyDescent="0.35">
      <c r="A2" s="2" t="s">
        <v>196</v>
      </c>
    </row>
    <row r="3" spans="1:7" ht="15.5" x14ac:dyDescent="0.35">
      <c r="A3" s="4" t="s">
        <v>197</v>
      </c>
    </row>
    <row r="4" spans="1:7" s="77" customFormat="1" ht="15.5" x14ac:dyDescent="0.35">
      <c r="A4" s="4"/>
    </row>
    <row r="5" spans="1:7" x14ac:dyDescent="0.35">
      <c r="A5" s="33" t="s">
        <v>25</v>
      </c>
      <c r="F5" s="178"/>
      <c r="G5" s="178"/>
    </row>
    <row r="6" spans="1:7" x14ac:dyDescent="0.35">
      <c r="A6" s="107" t="s">
        <v>13</v>
      </c>
      <c r="B6" s="107" t="s">
        <v>201</v>
      </c>
      <c r="C6" s="107" t="s">
        <v>329</v>
      </c>
      <c r="E6" s="6"/>
      <c r="F6" s="110" t="s">
        <v>202</v>
      </c>
      <c r="G6" s="110" t="s">
        <v>330</v>
      </c>
    </row>
    <row r="7" spans="1:7" x14ac:dyDescent="0.35">
      <c r="A7" s="6" t="s">
        <v>204</v>
      </c>
      <c r="B7" s="108">
        <v>461078</v>
      </c>
      <c r="C7" s="108">
        <v>455683</v>
      </c>
      <c r="E7" s="42" t="s">
        <v>198</v>
      </c>
      <c r="F7" s="66">
        <f>B25/(B16+B25)</f>
        <v>0.13078735105627584</v>
      </c>
      <c r="G7" s="66">
        <f>C25/(C16+C25)</f>
        <v>0.1378468666546192</v>
      </c>
    </row>
    <row r="8" spans="1:7" x14ac:dyDescent="0.35">
      <c r="A8" s="6" t="s">
        <v>325</v>
      </c>
      <c r="B8" s="108">
        <v>102801</v>
      </c>
      <c r="C8" s="108">
        <v>91683</v>
      </c>
    </row>
    <row r="9" spans="1:7" x14ac:dyDescent="0.35">
      <c r="A9" s="6" t="s">
        <v>145</v>
      </c>
      <c r="B9" s="108">
        <v>4243506</v>
      </c>
      <c r="C9" s="108">
        <v>4185220</v>
      </c>
    </row>
    <row r="10" spans="1:7" x14ac:dyDescent="0.35">
      <c r="A10" s="6" t="s">
        <v>150</v>
      </c>
      <c r="B10" s="108">
        <v>2039962</v>
      </c>
      <c r="C10" s="108">
        <v>2076250</v>
      </c>
    </row>
    <row r="11" spans="1:7" x14ac:dyDescent="0.35">
      <c r="A11" s="6" t="s">
        <v>147</v>
      </c>
      <c r="B11" s="108">
        <v>3779378</v>
      </c>
      <c r="C11" s="108">
        <v>3901963</v>
      </c>
    </row>
    <row r="12" spans="1:7" x14ac:dyDescent="0.35">
      <c r="A12" s="6" t="s">
        <v>326</v>
      </c>
      <c r="B12" s="108">
        <v>1674257</v>
      </c>
      <c r="C12" s="108">
        <v>1419002</v>
      </c>
    </row>
    <row r="13" spans="1:7" x14ac:dyDescent="0.35">
      <c r="A13" s="6" t="s">
        <v>324</v>
      </c>
      <c r="B13" s="108">
        <v>2235380</v>
      </c>
      <c r="C13" s="108">
        <v>2297669</v>
      </c>
    </row>
    <row r="14" spans="1:7" x14ac:dyDescent="0.35">
      <c r="A14" s="6" t="s">
        <v>331</v>
      </c>
      <c r="B14" s="108">
        <v>18353</v>
      </c>
      <c r="C14" s="108">
        <v>18967</v>
      </c>
    </row>
    <row r="15" spans="1:7" x14ac:dyDescent="0.35">
      <c r="A15" s="6" t="s">
        <v>148</v>
      </c>
      <c r="B15" s="108">
        <v>675822</v>
      </c>
      <c r="C15" s="108">
        <v>667673</v>
      </c>
    </row>
    <row r="16" spans="1:7" s="77" customFormat="1" x14ac:dyDescent="0.35">
      <c r="A16" s="104" t="s">
        <v>15</v>
      </c>
      <c r="B16" s="109">
        <f>SUM(B7:B15)</f>
        <v>15230537</v>
      </c>
      <c r="C16" s="109">
        <f>SUM(C7:C15)</f>
        <v>15114110</v>
      </c>
    </row>
    <row r="17" spans="1:3" x14ac:dyDescent="0.35">
      <c r="A17" s="111"/>
      <c r="B17" s="112"/>
      <c r="C17" s="112"/>
    </row>
    <row r="19" spans="1:3" x14ac:dyDescent="0.35">
      <c r="A19" s="33" t="s">
        <v>24</v>
      </c>
    </row>
    <row r="20" spans="1:3" x14ac:dyDescent="0.35">
      <c r="A20" s="107" t="s">
        <v>13</v>
      </c>
      <c r="B20" s="107" t="s">
        <v>201</v>
      </c>
      <c r="C20" s="107" t="s">
        <v>329</v>
      </c>
    </row>
    <row r="21" spans="1:3" s="77" customFormat="1" x14ac:dyDescent="0.35">
      <c r="A21" s="6" t="s">
        <v>204</v>
      </c>
      <c r="B21" s="108">
        <v>692232</v>
      </c>
      <c r="C21" s="108">
        <v>633759</v>
      </c>
    </row>
    <row r="22" spans="1:3" x14ac:dyDescent="0.35">
      <c r="A22" s="6" t="s">
        <v>150</v>
      </c>
      <c r="B22" s="108">
        <v>461835</v>
      </c>
      <c r="C22" s="108">
        <v>520537</v>
      </c>
    </row>
    <row r="23" spans="1:3" x14ac:dyDescent="0.35">
      <c r="A23" s="6" t="s">
        <v>324</v>
      </c>
      <c r="B23" s="108">
        <v>1137618</v>
      </c>
      <c r="C23" s="108">
        <v>1262250</v>
      </c>
    </row>
    <row r="24" spans="1:3" s="77" customFormat="1" x14ac:dyDescent="0.35">
      <c r="A24" s="6" t="s">
        <v>148</v>
      </c>
      <c r="B24" s="108">
        <v>13040</v>
      </c>
      <c r="C24" s="108">
        <v>30923</v>
      </c>
    </row>
    <row r="25" spans="1:3" x14ac:dyDescent="0.35">
      <c r="A25" s="104" t="s">
        <v>15</v>
      </c>
      <c r="B25" s="105">
        <f>SUM(B21:B23)</f>
        <v>2291685</v>
      </c>
      <c r="C25" s="105">
        <f>SUM(C21:C23)</f>
        <v>2416546</v>
      </c>
    </row>
  </sheetData>
  <mergeCells count="1">
    <mergeCell ref="F5:G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DD2D5-7630-4EC6-A1AA-D851241B7DF8}">
  <sheetPr>
    <tabColor theme="1" tint="0.499984740745262"/>
  </sheetPr>
  <dimension ref="A1:L220"/>
  <sheetViews>
    <sheetView workbookViewId="0">
      <selection activeCell="K27" sqref="K27"/>
    </sheetView>
  </sheetViews>
  <sheetFormatPr defaultColWidth="9.08984375" defaultRowHeight="14.5" x14ac:dyDescent="0.35"/>
  <cols>
    <col min="1" max="1" width="17.54296875" style="77" bestFit="1" customWidth="1"/>
    <col min="2" max="2" width="7.08984375" style="77" bestFit="1" customWidth="1"/>
    <col min="3" max="3" width="19" style="77" bestFit="1" customWidth="1"/>
    <col min="4" max="4" width="17.08984375" style="155" bestFit="1" customWidth="1"/>
    <col min="5" max="5" width="15" style="51" bestFit="1" customWidth="1"/>
    <col min="6" max="6" width="26.36328125" style="156" bestFit="1" customWidth="1"/>
    <col min="7" max="7" width="19.08984375" style="121" bestFit="1" customWidth="1"/>
    <col min="8" max="8" width="17.08984375" style="121" bestFit="1" customWidth="1"/>
    <col min="9" max="9" width="28.453125" style="121" bestFit="1" customWidth="1"/>
    <col min="10" max="10" width="27.54296875" style="121" bestFit="1" customWidth="1"/>
    <col min="11" max="11" width="37" style="121" bestFit="1" customWidth="1"/>
    <col min="12" max="12" width="47.6328125" style="121" bestFit="1" customWidth="1"/>
    <col min="13" max="16384" width="9.08984375" style="77"/>
  </cols>
  <sheetData>
    <row r="1" spans="1:12" ht="18.5" x14ac:dyDescent="0.45">
      <c r="A1" s="1" t="s">
        <v>308</v>
      </c>
      <c r="B1" s="1"/>
      <c r="C1" s="1"/>
      <c r="D1" s="1"/>
      <c r="E1" s="77"/>
      <c r="F1" s="77"/>
      <c r="G1" s="77"/>
      <c r="H1" s="77"/>
      <c r="I1" s="77"/>
      <c r="J1" s="77"/>
      <c r="K1" s="77"/>
      <c r="L1" s="77"/>
    </row>
    <row r="2" spans="1:12" ht="15.5" x14ac:dyDescent="0.35">
      <c r="A2" s="2" t="s">
        <v>371</v>
      </c>
      <c r="B2" s="28"/>
      <c r="C2" s="29"/>
      <c r="D2" s="29"/>
      <c r="E2" s="29"/>
      <c r="F2" s="77"/>
      <c r="G2" s="77"/>
      <c r="H2" s="77"/>
      <c r="I2" s="77"/>
      <c r="J2" s="77"/>
      <c r="K2" s="77"/>
      <c r="L2" s="77"/>
    </row>
    <row r="3" spans="1:12" ht="18.5" x14ac:dyDescent="0.45">
      <c r="A3" s="1"/>
      <c r="B3" s="1"/>
      <c r="C3" s="1"/>
      <c r="D3" s="1"/>
      <c r="E3" s="77"/>
      <c r="F3" s="77"/>
      <c r="G3" s="77"/>
      <c r="H3" s="77"/>
      <c r="I3" s="77"/>
      <c r="J3" s="77"/>
      <c r="K3" s="77"/>
      <c r="L3" s="77"/>
    </row>
    <row r="4" spans="1:12" x14ac:dyDescent="0.35">
      <c r="A4" s="33" t="s">
        <v>8</v>
      </c>
      <c r="B4" s="33" t="s">
        <v>350</v>
      </c>
      <c r="C4" s="33" t="s">
        <v>41</v>
      </c>
      <c r="D4" s="157" t="s">
        <v>351</v>
      </c>
      <c r="E4" s="158" t="s">
        <v>352</v>
      </c>
      <c r="F4" s="159" t="s">
        <v>353</v>
      </c>
      <c r="G4" s="160" t="s">
        <v>354</v>
      </c>
      <c r="H4" s="160" t="s">
        <v>355</v>
      </c>
      <c r="I4" s="160" t="s">
        <v>356</v>
      </c>
      <c r="J4" s="160" t="s">
        <v>357</v>
      </c>
      <c r="K4" s="160" t="s">
        <v>358</v>
      </c>
      <c r="L4" s="160" t="s">
        <v>359</v>
      </c>
    </row>
    <row r="5" spans="1:12" x14ac:dyDescent="0.35">
      <c r="A5" s="77" t="s">
        <v>360</v>
      </c>
      <c r="B5" s="77">
        <v>2018</v>
      </c>
      <c r="C5" s="77" t="s">
        <v>4</v>
      </c>
      <c r="D5" s="155">
        <v>299.57486032861607</v>
      </c>
      <c r="E5" s="51">
        <v>938.15981828327631</v>
      </c>
      <c r="F5" s="156">
        <v>319.52728126856636</v>
      </c>
    </row>
    <row r="6" spans="1:12" x14ac:dyDescent="0.35">
      <c r="A6" s="77" t="s">
        <v>360</v>
      </c>
      <c r="B6" s="77">
        <v>2019</v>
      </c>
      <c r="C6" s="77" t="s">
        <v>4</v>
      </c>
      <c r="D6" s="155">
        <v>327.82707784977805</v>
      </c>
      <c r="E6" s="51">
        <v>979.97690220879269</v>
      </c>
      <c r="F6" s="156">
        <v>334.76521251912567</v>
      </c>
      <c r="G6" s="121">
        <v>9.430770489276355E-2</v>
      </c>
      <c r="H6" s="121">
        <v>4.4573518403332173E-2</v>
      </c>
      <c r="I6" s="121">
        <v>4.7688983519850556E-2</v>
      </c>
      <c r="J6" s="121">
        <v>9.430770489276355E-2</v>
      </c>
      <c r="K6" s="121">
        <v>4.4573518403332173E-2</v>
      </c>
      <c r="L6" s="121">
        <v>4.7688983519850556E-2</v>
      </c>
    </row>
    <row r="7" spans="1:12" x14ac:dyDescent="0.35">
      <c r="A7" s="77" t="s">
        <v>360</v>
      </c>
      <c r="B7" s="77">
        <v>2020</v>
      </c>
      <c r="C7" s="77" t="s">
        <v>4</v>
      </c>
      <c r="D7" s="155">
        <v>286.5956215335766</v>
      </c>
      <c r="E7" s="51">
        <v>999.17664547710115</v>
      </c>
      <c r="F7" s="156">
        <v>287.09684070365029</v>
      </c>
      <c r="G7" s="121">
        <v>-0.12577196669243765</v>
      </c>
      <c r="H7" s="121">
        <v>1.9592036531711824E-2</v>
      </c>
      <c r="I7" s="121">
        <v>-0.14239344481694619</v>
      </c>
      <c r="J7" s="121">
        <v>-4.332552731828699E-2</v>
      </c>
      <c r="K7" s="121">
        <v>6.5038840935949013E-2</v>
      </c>
      <c r="L7" s="121">
        <v>-0.10149505994030572</v>
      </c>
    </row>
    <row r="8" spans="1:12" x14ac:dyDescent="0.35">
      <c r="A8" s="77" t="s">
        <v>360</v>
      </c>
      <c r="B8" s="77">
        <v>2021</v>
      </c>
      <c r="C8" s="77" t="s">
        <v>4</v>
      </c>
      <c r="D8" s="155">
        <v>332.62751307180974</v>
      </c>
      <c r="E8" s="51">
        <v>1032.2667004003004</v>
      </c>
      <c r="F8" s="156">
        <v>322.47719282675826</v>
      </c>
      <c r="G8" s="121">
        <v>0.16061617163554676</v>
      </c>
      <c r="H8" s="121">
        <v>3.3117322220235536E-2</v>
      </c>
      <c r="I8" s="121">
        <v>0.1232349058122468</v>
      </c>
      <c r="J8" s="121">
        <v>0.11033186398530521</v>
      </c>
      <c r="K8" s="121">
        <v>0.10031007540829101</v>
      </c>
      <c r="L8" s="121">
        <v>9.2321117197891635E-3</v>
      </c>
    </row>
    <row r="9" spans="1:12" x14ac:dyDescent="0.35">
      <c r="A9" s="77" t="s">
        <v>360</v>
      </c>
      <c r="B9" s="77">
        <v>2022</v>
      </c>
      <c r="C9" s="77" t="s">
        <v>4</v>
      </c>
      <c r="D9" s="155">
        <v>360.81805438726366</v>
      </c>
      <c r="E9" s="51">
        <v>1006.6889809781838</v>
      </c>
      <c r="F9" s="156">
        <v>358.5677600251646</v>
      </c>
      <c r="G9" s="121">
        <v>8.4751081036907372E-2</v>
      </c>
      <c r="H9" s="121">
        <v>-2.4778208395366989E-2</v>
      </c>
      <c r="I9" s="121">
        <v>0.11191665023515317</v>
      </c>
      <c r="J9" s="121">
        <v>0.20443368976778423</v>
      </c>
      <c r="K9" s="121">
        <v>7.3046363060302419E-2</v>
      </c>
      <c r="L9" s="121">
        <v>0.12218198897321783</v>
      </c>
    </row>
    <row r="10" spans="1:12" x14ac:dyDescent="0.35">
      <c r="A10" s="77" t="s">
        <v>360</v>
      </c>
      <c r="B10" s="77">
        <v>2023</v>
      </c>
      <c r="C10" s="77" t="s">
        <v>4</v>
      </c>
      <c r="D10" s="155">
        <v>394.20488682035443</v>
      </c>
      <c r="E10" s="51">
        <v>1039.5640249183425</v>
      </c>
      <c r="F10" s="156">
        <v>379.23833730502895</v>
      </c>
      <c r="G10" s="121">
        <v>9.2530936373978967E-2</v>
      </c>
      <c r="H10" s="121">
        <v>3.2656604533621195E-2</v>
      </c>
      <c r="I10" s="121">
        <v>5.7647618063636469E-2</v>
      </c>
      <c r="J10" s="121">
        <v>0.31588106688236378</v>
      </c>
      <c r="K10" s="121">
        <v>0.10808841378500322</v>
      </c>
      <c r="L10" s="121">
        <v>0.1868731076714378</v>
      </c>
    </row>
    <row r="11" spans="1:12" x14ac:dyDescent="0.35">
      <c r="A11" s="77" t="s">
        <v>361</v>
      </c>
      <c r="B11" s="77">
        <v>2018</v>
      </c>
      <c r="C11" s="77" t="s">
        <v>4</v>
      </c>
      <c r="D11" s="155">
        <v>926.24676704680405</v>
      </c>
      <c r="E11" s="51">
        <v>23262.390425159392</v>
      </c>
      <c r="F11" s="156">
        <v>39.833172027694133</v>
      </c>
    </row>
    <row r="12" spans="1:12" x14ac:dyDescent="0.35">
      <c r="A12" s="77" t="s">
        <v>361</v>
      </c>
      <c r="B12" s="77">
        <v>2019</v>
      </c>
      <c r="C12" s="77" t="s">
        <v>4</v>
      </c>
      <c r="D12" s="155">
        <v>923.66770826626168</v>
      </c>
      <c r="E12" s="51">
        <v>23649.61367421268</v>
      </c>
      <c r="F12" s="156">
        <v>39.087167223593227</v>
      </c>
      <c r="G12" s="121">
        <v>-2.7844186585020991E-3</v>
      </c>
      <c r="H12" s="121">
        <v>1.6645892445966658E-2</v>
      </c>
      <c r="I12" s="121">
        <v>-1.8728229918075413E-2</v>
      </c>
      <c r="J12" s="121">
        <v>-2.7844186585020991E-3</v>
      </c>
      <c r="K12" s="121">
        <v>1.6645892445966658E-2</v>
      </c>
      <c r="L12" s="121">
        <v>-1.8728229918075413E-2</v>
      </c>
    </row>
    <row r="13" spans="1:12" x14ac:dyDescent="0.35">
      <c r="A13" s="77" t="s">
        <v>361</v>
      </c>
      <c r="B13" s="77">
        <v>2020</v>
      </c>
      <c r="C13" s="77" t="s">
        <v>4</v>
      </c>
      <c r="D13" s="155">
        <v>908.81005563570022</v>
      </c>
      <c r="E13" s="51">
        <v>25048.00208252445</v>
      </c>
      <c r="F13" s="156">
        <v>36.315845832244229</v>
      </c>
      <c r="G13" s="121">
        <v>-1.6085495354654651E-2</v>
      </c>
      <c r="H13" s="121">
        <v>5.9129439811380927E-2</v>
      </c>
      <c r="I13" s="121">
        <v>-7.0901054954839837E-2</v>
      </c>
      <c r="J13" s="121">
        <v>-1.8825125259760003E-2</v>
      </c>
      <c r="K13" s="121">
        <v>7.6759594552838095E-2</v>
      </c>
      <c r="L13" s="121">
        <v>-8.8301433614286912E-2</v>
      </c>
    </row>
    <row r="14" spans="1:12" x14ac:dyDescent="0.35">
      <c r="A14" s="77" t="s">
        <v>361</v>
      </c>
      <c r="B14" s="77">
        <v>2021</v>
      </c>
      <c r="C14" s="77" t="s">
        <v>4</v>
      </c>
      <c r="D14" s="155">
        <v>1018.4860565592347</v>
      </c>
      <c r="E14" s="51">
        <v>27636.972368881754</v>
      </c>
      <c r="F14" s="156">
        <v>36.867982957735208</v>
      </c>
      <c r="G14" s="121">
        <v>0.12068088402346917</v>
      </c>
      <c r="H14" s="121">
        <v>0.10336035097041064</v>
      </c>
      <c r="I14" s="121">
        <v>1.5203752324577449E-2</v>
      </c>
      <c r="J14" s="121">
        <v>9.9583926005508791E-2</v>
      </c>
      <c r="K14" s="121">
        <v>0.1880538441565765</v>
      </c>
      <c r="L14" s="121">
        <v>-7.4440194416286201E-2</v>
      </c>
    </row>
    <row r="15" spans="1:12" x14ac:dyDescent="0.35">
      <c r="A15" s="77" t="s">
        <v>361</v>
      </c>
      <c r="B15" s="77">
        <v>2022</v>
      </c>
      <c r="C15" s="77" t="s">
        <v>4</v>
      </c>
      <c r="D15" s="155">
        <v>1020.3968580044038</v>
      </c>
      <c r="E15" s="51">
        <v>27997.584566822246</v>
      </c>
      <c r="F15" s="156">
        <v>36.456808000607424</v>
      </c>
      <c r="G15" s="121">
        <v>1.8761193959045447E-3</v>
      </c>
      <c r="H15" s="121">
        <v>1.3048180282820305E-2</v>
      </c>
      <c r="I15" s="121">
        <v>-1.1152629575617077E-2</v>
      </c>
      <c r="J15" s="121">
        <v>0.1016468767365126</v>
      </c>
      <c r="K15" s="121">
        <v>0.20355578490082921</v>
      </c>
      <c r="L15" s="121">
        <v>-8.4762620078041515E-2</v>
      </c>
    </row>
    <row r="16" spans="1:12" x14ac:dyDescent="0.35">
      <c r="A16" s="77" t="s">
        <v>361</v>
      </c>
      <c r="B16" s="77">
        <v>2023</v>
      </c>
      <c r="C16" s="77" t="s">
        <v>4</v>
      </c>
      <c r="D16" s="155">
        <v>1071.5919677540267</v>
      </c>
      <c r="E16" s="51">
        <v>27948.03489948449</v>
      </c>
      <c r="F16" s="156">
        <v>38.345102502578641</v>
      </c>
      <c r="G16" s="121">
        <v>5.0171763415408188E-2</v>
      </c>
      <c r="H16" s="121">
        <v>-1.769783647567726E-3</v>
      </c>
      <c r="I16" s="121">
        <v>5.1795387625262063E-2</v>
      </c>
      <c r="J16" s="121">
        <v>0.15691844320346027</v>
      </c>
      <c r="K16" s="121">
        <v>0.20142575155377618</v>
      </c>
      <c r="L16" s="121">
        <v>-3.7357545215854437E-2</v>
      </c>
    </row>
    <row r="17" spans="1:12" x14ac:dyDescent="0.35">
      <c r="A17" s="77" t="s">
        <v>362</v>
      </c>
      <c r="B17" s="77">
        <v>2018</v>
      </c>
      <c r="C17" s="77" t="s">
        <v>4</v>
      </c>
      <c r="D17" s="155">
        <v>82.47697620681511</v>
      </c>
      <c r="E17" s="51">
        <v>203.25652331468504</v>
      </c>
      <c r="F17" s="156">
        <v>405.97438365564858</v>
      </c>
    </row>
    <row r="18" spans="1:12" x14ac:dyDescent="0.35">
      <c r="A18" s="77" t="s">
        <v>362</v>
      </c>
      <c r="B18" s="77">
        <v>2019</v>
      </c>
      <c r="C18" s="77" t="s">
        <v>4</v>
      </c>
      <c r="D18" s="155">
        <v>90.804798641173207</v>
      </c>
      <c r="E18" s="51">
        <v>207.33720192311992</v>
      </c>
      <c r="F18" s="156">
        <v>438.17919299741857</v>
      </c>
      <c r="G18" s="121">
        <v>0.10097148098004551</v>
      </c>
      <c r="H18" s="121">
        <v>2.0076495169196157E-2</v>
      </c>
      <c r="I18" s="121">
        <v>7.9327195602288098E-2</v>
      </c>
      <c r="J18" s="121">
        <v>0.10097148098004551</v>
      </c>
      <c r="K18" s="121">
        <v>2.0076495169196157E-2</v>
      </c>
      <c r="L18" s="121">
        <v>7.9327195602288098E-2</v>
      </c>
    </row>
    <row r="19" spans="1:12" x14ac:dyDescent="0.35">
      <c r="A19" s="77" t="s">
        <v>362</v>
      </c>
      <c r="B19" s="77">
        <v>2020</v>
      </c>
      <c r="C19" s="77" t="s">
        <v>4</v>
      </c>
      <c r="D19" s="155">
        <v>200.36545152710519</v>
      </c>
      <c r="E19" s="51">
        <v>169.16681264436352</v>
      </c>
      <c r="F19" s="156">
        <v>1184.6074341001283</v>
      </c>
      <c r="G19" s="121">
        <v>1.2065513554947127</v>
      </c>
      <c r="H19" s="121">
        <v>-0.18409812095809935</v>
      </c>
      <c r="I19" s="121">
        <v>1.7034771459518097</v>
      </c>
      <c r="J19" s="121">
        <v>1.4293501137175408</v>
      </c>
      <c r="K19" s="121">
        <v>-0.16771767082497657</v>
      </c>
      <c r="L19" s="121">
        <v>1.9179364063150444</v>
      </c>
    </row>
    <row r="20" spans="1:12" x14ac:dyDescent="0.35">
      <c r="A20" s="77" t="s">
        <v>362</v>
      </c>
      <c r="B20" s="77">
        <v>2021</v>
      </c>
      <c r="C20" s="77" t="s">
        <v>4</v>
      </c>
      <c r="D20" s="155">
        <v>290.62896345944262</v>
      </c>
      <c r="E20" s="51">
        <v>187.04334297508862</v>
      </c>
      <c r="F20" s="156">
        <v>1554.0773221833838</v>
      </c>
      <c r="G20" s="121">
        <v>0.45049439034716365</v>
      </c>
      <c r="H20" s="121">
        <v>0.10567397973210399</v>
      </c>
      <c r="I20" s="121">
        <v>0.31189225852184393</v>
      </c>
      <c r="J20" s="121">
        <v>2.5237587121365372</v>
      </c>
      <c r="K20" s="121">
        <v>-7.976708484034685E-2</v>
      </c>
      <c r="L20" s="121">
        <v>2.8280181823037567</v>
      </c>
    </row>
    <row r="21" spans="1:12" x14ac:dyDescent="0.35">
      <c r="A21" s="77" t="s">
        <v>362</v>
      </c>
      <c r="B21" s="77">
        <v>2022</v>
      </c>
      <c r="C21" s="77" t="s">
        <v>4</v>
      </c>
      <c r="D21" s="155">
        <v>335.91380774570735</v>
      </c>
      <c r="E21" s="51">
        <v>192.25767381438934</v>
      </c>
      <c r="F21" s="156">
        <v>1747.9614775525258</v>
      </c>
      <c r="G21" s="121">
        <v>0.15581669406664023</v>
      </c>
      <c r="H21" s="121">
        <v>2.7877660633958974E-2</v>
      </c>
      <c r="I21" s="121">
        <v>0.12475837115797213</v>
      </c>
      <c r="J21" s="121">
        <v>3.0728191453501741</v>
      </c>
      <c r="K21" s="121">
        <v>-5.4113143927327287E-2</v>
      </c>
      <c r="L21" s="121">
        <v>3.3055954954910747</v>
      </c>
    </row>
    <row r="22" spans="1:12" x14ac:dyDescent="0.35">
      <c r="A22" s="77" t="s">
        <v>362</v>
      </c>
      <c r="B22" s="77">
        <v>2023</v>
      </c>
      <c r="C22" s="77" t="s">
        <v>4</v>
      </c>
      <c r="D22" s="155">
        <v>359.09867797938728</v>
      </c>
      <c r="E22" s="51">
        <v>205.2658739808395</v>
      </c>
      <c r="F22" s="156">
        <v>1749.5513032724766</v>
      </c>
      <c r="G22" s="121">
        <v>6.9020295382532432E-2</v>
      </c>
      <c r="H22" s="121">
        <v>6.7660239034248532E-2</v>
      </c>
      <c r="I22" s="121">
        <v>9.095313256999517E-4</v>
      </c>
      <c r="J22" s="121">
        <v>3.3539263258018766</v>
      </c>
      <c r="K22" s="121">
        <v>9.8857868539035856E-3</v>
      </c>
      <c r="L22" s="121">
        <v>3.3095115694700161</v>
      </c>
    </row>
    <row r="23" spans="1:12" x14ac:dyDescent="0.35">
      <c r="A23" s="77" t="s">
        <v>363</v>
      </c>
      <c r="B23" s="77">
        <v>2018</v>
      </c>
      <c r="C23" s="77" t="s">
        <v>4</v>
      </c>
      <c r="D23" s="155">
        <v>965.03894787053537</v>
      </c>
      <c r="E23" s="51">
        <v>760.05739102270013</v>
      </c>
      <c r="F23" s="156">
        <v>1270.6072614513298</v>
      </c>
    </row>
    <row r="24" spans="1:12" x14ac:dyDescent="0.35">
      <c r="A24" s="77" t="s">
        <v>363</v>
      </c>
      <c r="B24" s="77">
        <v>2019</v>
      </c>
      <c r="C24" s="77" t="s">
        <v>4</v>
      </c>
      <c r="D24" s="155">
        <v>1039.4913128795333</v>
      </c>
      <c r="E24" s="51">
        <v>788.01257750043146</v>
      </c>
      <c r="F24" s="156">
        <v>1320.4422847985497</v>
      </c>
      <c r="G24" s="121">
        <v>7.714959605856872E-2</v>
      </c>
      <c r="H24" s="121">
        <v>3.6780362651451952E-2</v>
      </c>
      <c r="I24" s="121">
        <v>3.9221421802907622E-2</v>
      </c>
      <c r="J24" s="121">
        <v>7.714959605856872E-2</v>
      </c>
      <c r="K24" s="121">
        <v>3.6780362651451952E-2</v>
      </c>
      <c r="L24" s="121">
        <v>3.9221421802907622E-2</v>
      </c>
    </row>
    <row r="25" spans="1:12" x14ac:dyDescent="0.35">
      <c r="A25" s="77" t="s">
        <v>363</v>
      </c>
      <c r="B25" s="77">
        <v>2020</v>
      </c>
      <c r="C25" s="77" t="s">
        <v>4</v>
      </c>
      <c r="D25" s="155">
        <v>982.39660700045431</v>
      </c>
      <c r="E25" s="51">
        <v>803.49964986497525</v>
      </c>
      <c r="F25" s="156">
        <v>1223.8078230512042</v>
      </c>
      <c r="G25" s="121">
        <v>-5.4925620995252819E-2</v>
      </c>
      <c r="H25" s="121">
        <v>1.9653331440049653E-2</v>
      </c>
      <c r="I25" s="121">
        <v>-7.3183404424289819E-2</v>
      </c>
      <c r="J25" s="121">
        <v>1.79864855902661E-2</v>
      </c>
      <c r="K25" s="121">
        <v>5.7156550749175812E-2</v>
      </c>
      <c r="L25" s="121">
        <v>-3.6832339795280042E-2</v>
      </c>
    </row>
    <row r="26" spans="1:12" x14ac:dyDescent="0.35">
      <c r="A26" s="77" t="s">
        <v>363</v>
      </c>
      <c r="B26" s="77">
        <v>2021</v>
      </c>
      <c r="C26" s="77" t="s">
        <v>4</v>
      </c>
      <c r="D26" s="155">
        <v>1109.7209934440932</v>
      </c>
      <c r="E26" s="51">
        <v>740.8807736023042</v>
      </c>
      <c r="F26" s="156">
        <v>1499.0536930845974</v>
      </c>
      <c r="G26" s="121">
        <v>0.1296058898578627</v>
      </c>
      <c r="H26" s="121">
        <v>-7.7932673988338252E-2</v>
      </c>
      <c r="I26" s="121">
        <v>0.22490938924311557</v>
      </c>
      <c r="J26" s="121">
        <v>0.14992352991847085</v>
      </c>
      <c r="K26" s="121">
        <v>-2.5230486074995871E-2</v>
      </c>
      <c r="L26" s="121">
        <v>0.17979311040008419</v>
      </c>
    </row>
    <row r="27" spans="1:12" x14ac:dyDescent="0.35">
      <c r="A27" s="77" t="s">
        <v>363</v>
      </c>
      <c r="B27" s="77">
        <v>2022</v>
      </c>
      <c r="C27" s="77" t="s">
        <v>4</v>
      </c>
      <c r="D27" s="155">
        <v>1186.1439450731075</v>
      </c>
      <c r="E27" s="51">
        <v>862.22102937881436</v>
      </c>
      <c r="F27" s="156">
        <v>1376.6507489722646</v>
      </c>
      <c r="G27" s="121">
        <v>6.8866816146129259E-2</v>
      </c>
      <c r="H27" s="121">
        <v>0.16377838391800964</v>
      </c>
      <c r="I27" s="121">
        <v>-8.1653475573956705E-2</v>
      </c>
      <c r="J27" s="121">
        <v>0.22911510223547416</v>
      </c>
      <c r="K27" s="121">
        <v>0.13441568960818509</v>
      </c>
      <c r="L27" s="121">
        <v>8.3458902477708527E-2</v>
      </c>
    </row>
    <row r="28" spans="1:12" x14ac:dyDescent="0.35">
      <c r="A28" s="77" t="s">
        <v>363</v>
      </c>
      <c r="B28" s="77">
        <v>2023</v>
      </c>
      <c r="C28" s="77" t="s">
        <v>4</v>
      </c>
      <c r="D28" s="155">
        <v>1307.3702119066054</v>
      </c>
      <c r="E28" s="51">
        <v>966.69158770537388</v>
      </c>
      <c r="F28" s="156">
        <v>1352.9984706007886</v>
      </c>
      <c r="G28" s="121">
        <v>0.10220198597062026</v>
      </c>
      <c r="H28" s="121">
        <v>0.121164474962789</v>
      </c>
      <c r="I28" s="121">
        <v>-1.718103040232509E-2</v>
      </c>
      <c r="J28" s="121">
        <v>0.35473310667042157</v>
      </c>
      <c r="K28" s="121">
        <v>0.27186657102911105</v>
      </c>
      <c r="L28" s="121">
        <v>6.4843962134569236E-2</v>
      </c>
    </row>
    <row r="29" spans="1:12" x14ac:dyDescent="0.35">
      <c r="A29" s="77" t="s">
        <v>364</v>
      </c>
      <c r="B29" s="77">
        <v>2018</v>
      </c>
      <c r="C29" s="77" t="s">
        <v>4</v>
      </c>
      <c r="D29" s="155">
        <v>1500.712043629502</v>
      </c>
      <c r="E29" s="51">
        <v>235.86983909062695</v>
      </c>
      <c r="F29" s="156">
        <v>6364.1318543656807</v>
      </c>
    </row>
    <row r="30" spans="1:12" x14ac:dyDescent="0.35">
      <c r="A30" s="77" t="s">
        <v>364</v>
      </c>
      <c r="B30" s="77">
        <v>2019</v>
      </c>
      <c r="C30" s="77" t="s">
        <v>4</v>
      </c>
      <c r="D30" s="155">
        <v>1620.1445496861859</v>
      </c>
      <c r="E30" s="51">
        <v>244.36744663985155</v>
      </c>
      <c r="F30" s="156">
        <v>6632.480061332667</v>
      </c>
      <c r="G30" s="121">
        <v>7.9583892568646286E-2</v>
      </c>
      <c r="H30" s="121">
        <v>3.6026681418812552E-2</v>
      </c>
      <c r="I30" s="121">
        <v>4.2165720809650441E-2</v>
      </c>
      <c r="J30" s="121">
        <v>7.9583892568646286E-2</v>
      </c>
      <c r="K30" s="121">
        <v>3.6026681418812552E-2</v>
      </c>
      <c r="L30" s="121">
        <v>4.2165720809650441E-2</v>
      </c>
    </row>
    <row r="31" spans="1:12" x14ac:dyDescent="0.35">
      <c r="A31" s="77" t="s">
        <v>364</v>
      </c>
      <c r="B31" s="77">
        <v>2020</v>
      </c>
      <c r="C31" s="77" t="s">
        <v>4</v>
      </c>
      <c r="D31" s="155">
        <v>1405.1609150459817</v>
      </c>
      <c r="E31" s="51">
        <v>250.28558132677574</v>
      </c>
      <c r="F31" s="156">
        <v>5616.4867900961135</v>
      </c>
      <c r="G31" s="121">
        <v>-0.13269410725224823</v>
      </c>
      <c r="H31" s="121">
        <v>2.4218179500996834E-2</v>
      </c>
      <c r="I31" s="121">
        <v>-0.15318451949215653</v>
      </c>
      <c r="J31" s="121">
        <v>-6.36705282596573E-2</v>
      </c>
      <c r="K31" s="121">
        <v>6.111736155723542E-2</v>
      </c>
      <c r="L31" s="121">
        <v>-0.11747793436377282</v>
      </c>
    </row>
    <row r="32" spans="1:12" x14ac:dyDescent="0.35">
      <c r="A32" s="77" t="s">
        <v>364</v>
      </c>
      <c r="B32" s="77">
        <v>2021</v>
      </c>
      <c r="C32" s="77" t="s">
        <v>4</v>
      </c>
      <c r="D32" s="155">
        <v>1634.0250972225303</v>
      </c>
      <c r="E32" s="51">
        <v>246.81872744611425</v>
      </c>
      <c r="F32" s="156">
        <v>6623.0034268748468</v>
      </c>
      <c r="G32" s="121">
        <v>0.16287400234802249</v>
      </c>
      <c r="H32" s="121">
        <v>-1.3851592497991823E-2</v>
      </c>
      <c r="I32" s="121">
        <v>0.17920751430477574</v>
      </c>
      <c r="J32" s="121">
        <v>8.8833200319101926E-2</v>
      </c>
      <c r="K32" s="121">
        <v>4.6419196272400341E-2</v>
      </c>
      <c r="L32" s="121">
        <v>4.0676651338011606E-2</v>
      </c>
    </row>
    <row r="33" spans="1:12" x14ac:dyDescent="0.35">
      <c r="A33" s="77" t="s">
        <v>364</v>
      </c>
      <c r="B33" s="77">
        <v>2022</v>
      </c>
      <c r="C33" s="77" t="s">
        <v>4</v>
      </c>
      <c r="D33" s="155">
        <v>1673.1207485248337</v>
      </c>
      <c r="E33" s="51">
        <v>266.43898270973489</v>
      </c>
      <c r="F33" s="156">
        <v>6281.5181195969326</v>
      </c>
      <c r="G33" s="121">
        <v>2.3925979698082408E-2</v>
      </c>
      <c r="H33" s="121">
        <v>7.9492571194396705E-2</v>
      </c>
      <c r="I33" s="121">
        <v>-5.1560490802742748E-2</v>
      </c>
      <c r="J33" s="121">
        <v>0.11488460136453485</v>
      </c>
      <c r="K33" s="121">
        <v>0.12960174873126751</v>
      </c>
      <c r="L33" s="121">
        <v>-1.2981147571931057E-2</v>
      </c>
    </row>
    <row r="34" spans="1:12" x14ac:dyDescent="0.35">
      <c r="A34" s="77" t="s">
        <v>364</v>
      </c>
      <c r="B34" s="77">
        <v>2023</v>
      </c>
      <c r="C34" s="77" t="s">
        <v>4</v>
      </c>
      <c r="D34" s="155">
        <v>1878.5256466225997</v>
      </c>
      <c r="E34" s="51">
        <v>282.2132194820727</v>
      </c>
      <c r="F34" s="156">
        <v>6657.017863054476</v>
      </c>
      <c r="G34" s="121">
        <v>0.12276752785408251</v>
      </c>
      <c r="H34" s="121">
        <v>5.9203937096256869E-2</v>
      </c>
      <c r="I34" s="121">
        <v>5.9778501997163419E-2</v>
      </c>
      <c r="J34" s="121">
        <v>0.25175622771664308</v>
      </c>
      <c r="K34" s="121">
        <v>0.19647861960697521</v>
      </c>
      <c r="L34" s="121">
        <v>4.6021360869178213E-2</v>
      </c>
    </row>
    <row r="35" spans="1:12" x14ac:dyDescent="0.35">
      <c r="A35" s="77" t="s">
        <v>365</v>
      </c>
      <c r="B35" s="77">
        <v>2018</v>
      </c>
      <c r="C35" s="77" t="s">
        <v>4</v>
      </c>
      <c r="D35" s="155">
        <v>814.38349995295698</v>
      </c>
      <c r="E35" s="51">
        <v>78.097052518000311</v>
      </c>
      <c r="F35" s="156">
        <v>10427.841835818273</v>
      </c>
    </row>
    <row r="36" spans="1:12" x14ac:dyDescent="0.35">
      <c r="A36" s="77" t="s">
        <v>365</v>
      </c>
      <c r="B36" s="77">
        <v>2019</v>
      </c>
      <c r="C36" s="77" t="s">
        <v>4</v>
      </c>
      <c r="D36" s="155">
        <v>876.91444320949029</v>
      </c>
      <c r="E36" s="51">
        <v>82.472394894937636</v>
      </c>
      <c r="F36" s="156">
        <v>10632.830804253321</v>
      </c>
      <c r="G36" s="121">
        <v>7.6783165744572945E-2</v>
      </c>
      <c r="H36" s="121">
        <v>5.6024423917008501E-2</v>
      </c>
      <c r="I36" s="121">
        <v>1.9657851707237928E-2</v>
      </c>
      <c r="J36" s="121">
        <v>7.6783165744572945E-2</v>
      </c>
      <c r="K36" s="121">
        <v>5.6024423917008501E-2</v>
      </c>
      <c r="L36" s="121">
        <v>1.9657851707237928E-2</v>
      </c>
    </row>
    <row r="37" spans="1:12" x14ac:dyDescent="0.35">
      <c r="A37" s="77" t="s">
        <v>365</v>
      </c>
      <c r="B37" s="77">
        <v>2020</v>
      </c>
      <c r="C37" s="77" t="s">
        <v>4</v>
      </c>
      <c r="D37" s="155">
        <v>1011.5948199272246</v>
      </c>
      <c r="E37" s="51">
        <v>88.324891751333539</v>
      </c>
      <c r="F37" s="156">
        <v>11453.114058395406</v>
      </c>
      <c r="G37" s="121">
        <v>0.15358439784023481</v>
      </c>
      <c r="H37" s="121">
        <v>7.0963100609015339E-2</v>
      </c>
      <c r="I37" s="121">
        <v>7.714627169783958E-2</v>
      </c>
      <c r="J37" s="121">
        <v>0.24216025985995496</v>
      </c>
      <c r="K37" s="121">
        <v>0.13096319135700862</v>
      </c>
      <c r="L37" s="121">
        <v>9.8320653373879935E-2</v>
      </c>
    </row>
    <row r="38" spans="1:12" x14ac:dyDescent="0.35">
      <c r="A38" s="77" t="s">
        <v>365</v>
      </c>
      <c r="B38" s="77">
        <v>2021</v>
      </c>
      <c r="C38" s="77" t="s">
        <v>4</v>
      </c>
      <c r="D38" s="155">
        <v>1034.9706632081923</v>
      </c>
      <c r="E38" s="51">
        <v>89.452003944641433</v>
      </c>
      <c r="F38" s="156">
        <v>11570.316172962246</v>
      </c>
      <c r="G38" s="121">
        <v>2.3107911211575106E-2</v>
      </c>
      <c r="H38" s="121">
        <v>1.2760980183039707E-2</v>
      </c>
      <c r="I38" s="121">
        <v>1.0233209410931214E-2</v>
      </c>
      <c r="J38" s="121">
        <v>0.27086398885534585</v>
      </c>
      <c r="K38" s="121">
        <v>0.14539539022966277</v>
      </c>
      <c r="L38" s="121">
        <v>0.10955999862020564</v>
      </c>
    </row>
    <row r="39" spans="1:12" x14ac:dyDescent="0.35">
      <c r="A39" s="77" t="s">
        <v>365</v>
      </c>
      <c r="B39" s="77">
        <v>2022</v>
      </c>
      <c r="C39" s="77" t="s">
        <v>4</v>
      </c>
      <c r="D39" s="155">
        <v>1134.7698088927575</v>
      </c>
      <c r="E39" s="51">
        <v>95.204549300195197</v>
      </c>
      <c r="F39" s="156">
        <v>11919.802592568443</v>
      </c>
      <c r="G39" s="121">
        <v>9.6427028545146204E-2</v>
      </c>
      <c r="H39" s="121">
        <v>6.430873655009231E-2</v>
      </c>
      <c r="I39" s="121">
        <v>3.020543383446031E-2</v>
      </c>
      <c r="J39" s="121">
        <v>0.39340962698569865</v>
      </c>
      <c r="K39" s="121">
        <v>0.21905432062563232</v>
      </c>
      <c r="L39" s="121">
        <v>0.14307473974389212</v>
      </c>
    </row>
    <row r="40" spans="1:12" x14ac:dyDescent="0.35">
      <c r="A40" s="77" t="s">
        <v>365</v>
      </c>
      <c r="B40" s="77">
        <v>2023</v>
      </c>
      <c r="C40" s="77" t="s">
        <v>4</v>
      </c>
      <c r="D40" s="155">
        <v>1312.5463887916105</v>
      </c>
      <c r="E40" s="51">
        <v>105.39581426119791</v>
      </c>
      <c r="F40" s="156">
        <v>12453.526190847477</v>
      </c>
      <c r="G40" s="121">
        <v>0.15666312101862939</v>
      </c>
      <c r="H40" s="121">
        <v>0.107045987149921</v>
      </c>
      <c r="I40" s="121">
        <v>4.4776211194285251E-2</v>
      </c>
      <c r="J40" s="121">
        <v>0.61170552800668243</v>
      </c>
      <c r="K40" s="121">
        <v>0.34954919376637944</v>
      </c>
      <c r="L40" s="121">
        <v>0.19425729570151729</v>
      </c>
    </row>
    <row r="41" spans="1:12" x14ac:dyDescent="0.35">
      <c r="A41" s="77" t="s">
        <v>360</v>
      </c>
      <c r="B41" s="77">
        <v>2018</v>
      </c>
      <c r="C41" s="77" t="s">
        <v>366</v>
      </c>
      <c r="D41" s="155">
        <v>814.17055731157654</v>
      </c>
      <c r="E41" s="51">
        <v>304.95690552402607</v>
      </c>
      <c r="F41" s="156">
        <v>2670.1203856906486</v>
      </c>
    </row>
    <row r="42" spans="1:12" x14ac:dyDescent="0.35">
      <c r="A42" s="77" t="s">
        <v>360</v>
      </c>
      <c r="B42" s="77">
        <v>2019</v>
      </c>
      <c r="C42" s="77" t="s">
        <v>366</v>
      </c>
      <c r="D42" s="155">
        <v>903.48268861397514</v>
      </c>
      <c r="E42" s="51">
        <v>299.9960766599558</v>
      </c>
      <c r="F42" s="156">
        <v>3012.4653331841655</v>
      </c>
      <c r="G42" s="121">
        <v>0.10969707821087364</v>
      </c>
      <c r="H42" s="121">
        <v>-1.6267311132193481E-2</v>
      </c>
      <c r="I42" s="121">
        <v>0.12821330054186547</v>
      </c>
      <c r="J42" s="121">
        <v>0.10969707821087364</v>
      </c>
      <c r="K42" s="121">
        <v>-1.6267311132193481E-2</v>
      </c>
      <c r="L42" s="121">
        <v>0.12821330054186547</v>
      </c>
    </row>
    <row r="43" spans="1:12" x14ac:dyDescent="0.35">
      <c r="A43" s="77" t="s">
        <v>360</v>
      </c>
      <c r="B43" s="77">
        <v>2020</v>
      </c>
      <c r="C43" s="77" t="s">
        <v>366</v>
      </c>
      <c r="D43" s="155">
        <v>824.84178185341204</v>
      </c>
      <c r="E43" s="51">
        <v>298.12997602417971</v>
      </c>
      <c r="F43" s="156">
        <v>2767.2289570341482</v>
      </c>
      <c r="G43" s="121">
        <v>-8.7041963007841824E-2</v>
      </c>
      <c r="H43" s="121">
        <v>-6.2204168019547442E-3</v>
      </c>
      <c r="I43" s="121">
        <v>-8.1407202748057295E-2</v>
      </c>
      <c r="J43" s="121">
        <v>1.3106866179332629E-2</v>
      </c>
      <c r="K43" s="121">
        <v>-2.2386538478658905E-2</v>
      </c>
      <c r="L43" s="121">
        <v>3.6368611641598922E-2</v>
      </c>
    </row>
    <row r="44" spans="1:12" x14ac:dyDescent="0.35">
      <c r="A44" s="77" t="s">
        <v>360</v>
      </c>
      <c r="B44" s="77">
        <v>2021</v>
      </c>
      <c r="C44" s="77" t="s">
        <v>366</v>
      </c>
      <c r="D44" s="155">
        <v>888.92122042008555</v>
      </c>
      <c r="E44" s="51">
        <v>311.66568605541039</v>
      </c>
      <c r="F44" s="156">
        <v>2853.1210257661014</v>
      </c>
      <c r="G44" s="121">
        <v>7.7686945516614814E-2</v>
      </c>
      <c r="H44" s="121">
        <v>4.5402043134813351E-2</v>
      </c>
      <c r="I44" s="121">
        <v>3.1039017755874594E-2</v>
      </c>
      <c r="J44" s="121">
        <v>9.1812044094714815E-2</v>
      </c>
      <c r="K44" s="121">
        <v>2.199911007050722E-2</v>
      </c>
      <c r="L44" s="121">
        <v>6.8536475379973621E-2</v>
      </c>
    </row>
    <row r="45" spans="1:12" x14ac:dyDescent="0.35">
      <c r="A45" s="77" t="s">
        <v>360</v>
      </c>
      <c r="B45" s="77">
        <v>2022</v>
      </c>
      <c r="C45" s="77" t="s">
        <v>366</v>
      </c>
      <c r="D45" s="155">
        <v>970.15468348766524</v>
      </c>
      <c r="E45" s="51">
        <v>326.09771085066245</v>
      </c>
      <c r="F45" s="156">
        <v>2976.4273202992422</v>
      </c>
      <c r="G45" s="121">
        <v>9.1384322031586168E-2</v>
      </c>
      <c r="H45" s="121">
        <v>4.6306107604948923E-2</v>
      </c>
      <c r="I45" s="121">
        <v>4.3218038568844576E-2</v>
      </c>
      <c r="J45" s="121">
        <v>0.19158654753023061</v>
      </c>
      <c r="K45" s="121">
        <v>6.9323910833594168E-2</v>
      </c>
      <c r="L45" s="121">
        <v>0.11471652598516256</v>
      </c>
    </row>
    <row r="46" spans="1:12" x14ac:dyDescent="0.35">
      <c r="A46" s="77" t="s">
        <v>360</v>
      </c>
      <c r="B46" s="77">
        <v>2023</v>
      </c>
      <c r="C46" s="77" t="s">
        <v>366</v>
      </c>
      <c r="D46" s="155">
        <v>984.24242320064945</v>
      </c>
      <c r="E46" s="51">
        <v>332.48998762545926</v>
      </c>
      <c r="F46" s="156">
        <v>2960.8886011161471</v>
      </c>
      <c r="G46" s="121">
        <v>1.4521127355010426E-2</v>
      </c>
      <c r="H46" s="121">
        <v>1.9602335625484281E-2</v>
      </c>
      <c r="I46" s="121">
        <v>-5.2205941926150683E-3</v>
      </c>
      <c r="J46" s="121">
        <v>0.20888972754143426</v>
      </c>
      <c r="K46" s="121">
        <v>9.0285157026109703E-2</v>
      </c>
      <c r="L46" s="121">
        <v>0.10889704336319238</v>
      </c>
    </row>
    <row r="47" spans="1:12" x14ac:dyDescent="0.35">
      <c r="A47" s="77" t="s">
        <v>361</v>
      </c>
      <c r="B47" s="77">
        <v>2018</v>
      </c>
      <c r="C47" s="77" t="s">
        <v>366</v>
      </c>
      <c r="D47" s="155">
        <v>7356.3474886746162</v>
      </c>
      <c r="E47" s="51">
        <v>20122.610000156063</v>
      </c>
      <c r="F47" s="156">
        <v>365.59023221315681</v>
      </c>
    </row>
    <row r="48" spans="1:12" x14ac:dyDescent="0.35">
      <c r="A48" s="77" t="s">
        <v>361</v>
      </c>
      <c r="B48" s="77">
        <v>2019</v>
      </c>
      <c r="C48" s="77" t="s">
        <v>366</v>
      </c>
      <c r="D48" s="155">
        <v>7650.9904006924535</v>
      </c>
      <c r="E48" s="51">
        <v>20997.471611699119</v>
      </c>
      <c r="F48" s="156">
        <v>364.3916599442976</v>
      </c>
      <c r="G48" s="121">
        <v>4.0052881198373448E-2</v>
      </c>
      <c r="H48" s="121">
        <v>4.3476547601741071E-2</v>
      </c>
      <c r="I48" s="121">
        <v>-3.2784581294841146E-3</v>
      </c>
      <c r="J48" s="121">
        <v>4.0052881198373448E-2</v>
      </c>
      <c r="K48" s="121">
        <v>4.3476547601741071E-2</v>
      </c>
      <c r="L48" s="121">
        <v>-3.2784581294841146E-3</v>
      </c>
    </row>
    <row r="49" spans="1:12" x14ac:dyDescent="0.35">
      <c r="A49" s="77" t="s">
        <v>361</v>
      </c>
      <c r="B49" s="77">
        <v>2020</v>
      </c>
      <c r="C49" s="77" t="s">
        <v>366</v>
      </c>
      <c r="D49" s="155">
        <v>7903.0186318009846</v>
      </c>
      <c r="E49" s="51">
        <v>23590.696918092795</v>
      </c>
      <c r="F49" s="156">
        <v>335.0134594041071</v>
      </c>
      <c r="G49" s="121">
        <v>3.294060218474739E-2</v>
      </c>
      <c r="H49" s="121">
        <v>0.1235017888986603</v>
      </c>
      <c r="I49" s="121">
        <v>-8.0622593131471174E-2</v>
      </c>
      <c r="J49" s="121">
        <v>7.4312849409029408E-2</v>
      </c>
      <c r="K49" s="121">
        <v>0.17234776790435413</v>
      </c>
      <c r="L49" s="121">
        <v>-8.3636733465083324E-2</v>
      </c>
    </row>
    <row r="50" spans="1:12" x14ac:dyDescent="0.35">
      <c r="A50" s="77" t="s">
        <v>361</v>
      </c>
      <c r="B50" s="77">
        <v>2021</v>
      </c>
      <c r="C50" s="77" t="s">
        <v>366</v>
      </c>
      <c r="D50" s="155">
        <v>7920.3787417756948</v>
      </c>
      <c r="E50" s="51">
        <v>23722.800540474738</v>
      </c>
      <c r="F50" s="156">
        <v>333.93727170839065</v>
      </c>
      <c r="G50" s="121">
        <v>2.1966429263945808E-3</v>
      </c>
      <c r="H50" s="121">
        <v>5.5998185573155525E-3</v>
      </c>
      <c r="I50" s="121">
        <v>-3.2123715197313898E-3</v>
      </c>
      <c r="J50" s="121">
        <v>7.6672731130418559E-2</v>
      </c>
      <c r="K50" s="121">
        <v>0.1789127026906924</v>
      </c>
      <c r="L50" s="121">
        <v>-8.6580432724228107E-2</v>
      </c>
    </row>
    <row r="51" spans="1:12" x14ac:dyDescent="0.35">
      <c r="A51" s="77" t="s">
        <v>361</v>
      </c>
      <c r="B51" s="77">
        <v>2022</v>
      </c>
      <c r="C51" s="77" t="s">
        <v>366</v>
      </c>
      <c r="D51" s="155">
        <v>8551.5622625407213</v>
      </c>
      <c r="E51" s="51">
        <v>25637.672094897189</v>
      </c>
      <c r="F51" s="156">
        <v>333.84807626198415</v>
      </c>
      <c r="G51" s="121">
        <v>7.9691078083914901E-2</v>
      </c>
      <c r="H51" s="121">
        <v>8.0718612929168543E-2</v>
      </c>
      <c r="I51" s="121">
        <v>-2.6710239905294582E-4</v>
      </c>
      <c r="J51" s="121">
        <v>0.16247394181775465</v>
      </c>
      <c r="K51" s="121">
        <v>0.27407290081646235</v>
      </c>
      <c r="L51" s="121">
        <v>-8.6824409281989368E-2</v>
      </c>
    </row>
    <row r="52" spans="1:12" x14ac:dyDescent="0.35">
      <c r="A52" s="77" t="s">
        <v>361</v>
      </c>
      <c r="B52" s="77">
        <v>2023</v>
      </c>
      <c r="C52" s="77" t="s">
        <v>366</v>
      </c>
      <c r="D52" s="155">
        <v>8510.9894569317257</v>
      </c>
      <c r="E52" s="51">
        <v>26674.051131592503</v>
      </c>
      <c r="F52" s="156">
        <v>319.2016361935888</v>
      </c>
      <c r="G52" s="121">
        <v>-4.7444904642419327E-3</v>
      </c>
      <c r="H52" s="121">
        <v>4.0424069426396592E-2</v>
      </c>
      <c r="I52" s="121">
        <v>-4.3871572460108151E-2</v>
      </c>
      <c r="J52" s="121">
        <v>0.15695859528587058</v>
      </c>
      <c r="K52" s="121">
        <v>0.32557611221335753</v>
      </c>
      <c r="L52" s="121">
        <v>-0.12688685837897665</v>
      </c>
    </row>
    <row r="53" spans="1:12" x14ac:dyDescent="0.35">
      <c r="A53" s="77" t="s">
        <v>362</v>
      </c>
      <c r="B53" s="77">
        <v>2018</v>
      </c>
      <c r="C53" s="77" t="s">
        <v>366</v>
      </c>
      <c r="D53" s="155">
        <v>1037.1122893820962</v>
      </c>
      <c r="E53" s="51">
        <v>123.98975373691697</v>
      </c>
      <c r="F53" s="156">
        <v>8364.8941632909227</v>
      </c>
    </row>
    <row r="54" spans="1:12" x14ac:dyDescent="0.35">
      <c r="A54" s="77" t="s">
        <v>362</v>
      </c>
      <c r="B54" s="77">
        <v>2019</v>
      </c>
      <c r="C54" s="77" t="s">
        <v>366</v>
      </c>
      <c r="D54" s="155">
        <v>1050.6890429309137</v>
      </c>
      <c r="E54" s="51">
        <v>127.61618732583062</v>
      </c>
      <c r="F54" s="156">
        <v>8236.3172801196488</v>
      </c>
      <c r="G54" s="121">
        <v>1.3090919554049936E-2</v>
      </c>
      <c r="H54" s="121">
        <v>2.9247848952166394E-2</v>
      </c>
      <c r="I54" s="121">
        <v>-1.5371011355472922E-2</v>
      </c>
      <c r="J54" s="121">
        <v>1.3090919554049936E-2</v>
      </c>
      <c r="K54" s="121">
        <v>2.9247848952166394E-2</v>
      </c>
      <c r="L54" s="121">
        <v>-1.5371011355472922E-2</v>
      </c>
    </row>
    <row r="55" spans="1:12" x14ac:dyDescent="0.35">
      <c r="A55" s="77" t="s">
        <v>362</v>
      </c>
      <c r="B55" s="77">
        <v>2020</v>
      </c>
      <c r="C55" s="77" t="s">
        <v>366</v>
      </c>
      <c r="D55" s="155">
        <v>1150.3050049361368</v>
      </c>
      <c r="E55" s="51">
        <v>189.60219087214085</v>
      </c>
      <c r="F55" s="156">
        <v>6067.7201179767362</v>
      </c>
      <c r="G55" s="121">
        <v>9.4810127387778581E-2</v>
      </c>
      <c r="H55" s="121">
        <v>0.48572210818402756</v>
      </c>
      <c r="I55" s="121">
        <v>-0.26329694308612278</v>
      </c>
      <c r="J55" s="121">
        <v>0.10914219869237114</v>
      </c>
      <c r="K55" s="121">
        <v>0.52917628398908823</v>
      </c>
      <c r="L55" s="121">
        <v>-0.27462081413955758</v>
      </c>
    </row>
    <row r="56" spans="1:12" x14ac:dyDescent="0.35">
      <c r="A56" s="77" t="s">
        <v>362</v>
      </c>
      <c r="B56" s="77">
        <v>2021</v>
      </c>
      <c r="C56" s="77" t="s">
        <v>366</v>
      </c>
      <c r="D56" s="155">
        <v>1145.589102106235</v>
      </c>
      <c r="E56" s="51">
        <v>195.51162587027997</v>
      </c>
      <c r="F56" s="156">
        <v>5860.2811797703871</v>
      </c>
      <c r="G56" s="121">
        <v>-4.0996977407427686E-3</v>
      </c>
      <c r="H56" s="121">
        <v>3.116754596007899E-2</v>
      </c>
      <c r="I56" s="121">
        <v>-3.4187295091573706E-2</v>
      </c>
      <c r="J56" s="121">
        <v>0.10459505092622956</v>
      </c>
      <c r="K56" s="121">
        <v>0.57683695610138097</v>
      </c>
      <c r="L56" s="121">
        <v>-0.29941956641985401</v>
      </c>
    </row>
    <row r="57" spans="1:12" x14ac:dyDescent="0.35">
      <c r="A57" s="77" t="s">
        <v>362</v>
      </c>
      <c r="B57" s="77">
        <v>2022</v>
      </c>
      <c r="C57" s="77" t="s">
        <v>366</v>
      </c>
      <c r="D57" s="155">
        <v>1231.9580173848512</v>
      </c>
      <c r="E57" s="51">
        <v>201.15376765228112</v>
      </c>
      <c r="F57" s="156">
        <v>6124.7878731658875</v>
      </c>
      <c r="G57" s="121">
        <v>7.5392577600312122E-2</v>
      </c>
      <c r="H57" s="121">
        <v>2.8858344136244114E-2</v>
      </c>
      <c r="I57" s="121">
        <v>4.5135495257219736E-2</v>
      </c>
      <c r="J57" s="121">
        <v>0.18787331902010604</v>
      </c>
      <c r="K57" s="121">
        <v>0.62234185962730226</v>
      </c>
      <c r="L57" s="121">
        <v>-0.2677985215826964</v>
      </c>
    </row>
    <row r="58" spans="1:12" x14ac:dyDescent="0.35">
      <c r="A58" s="77" t="s">
        <v>362</v>
      </c>
      <c r="B58" s="77">
        <v>2023</v>
      </c>
      <c r="C58" s="77" t="s">
        <v>366</v>
      </c>
      <c r="D58" s="155">
        <v>1338.0303142375565</v>
      </c>
      <c r="E58" s="51">
        <v>240.08656946980093</v>
      </c>
      <c r="F58" s="156">
        <v>5576.0233918128652</v>
      </c>
      <c r="G58" s="121">
        <v>8.6100577581264534E-2</v>
      </c>
      <c r="H58" s="121">
        <v>0.19354746506572984</v>
      </c>
      <c r="I58" s="121">
        <v>-8.9597304056404384E-2</v>
      </c>
      <c r="J58" s="121">
        <v>0.2901498978811109</v>
      </c>
      <c r="K58" s="121">
        <v>0.93634201402818873</v>
      </c>
      <c r="L58" s="121">
        <v>-0.33340180007500037</v>
      </c>
    </row>
    <row r="59" spans="1:12" x14ac:dyDescent="0.35">
      <c r="A59" s="77" t="s">
        <v>363</v>
      </c>
      <c r="B59" s="77">
        <v>2018</v>
      </c>
      <c r="C59" s="77" t="s">
        <v>366</v>
      </c>
      <c r="D59" s="155">
        <v>2875.3712899526445</v>
      </c>
      <c r="E59" s="51">
        <v>371.9071740424863</v>
      </c>
      <c r="F59" s="156">
        <v>7732.6810064471956</v>
      </c>
    </row>
    <row r="60" spans="1:12" x14ac:dyDescent="0.35">
      <c r="A60" s="77" t="s">
        <v>363</v>
      </c>
      <c r="B60" s="77">
        <v>2019</v>
      </c>
      <c r="C60" s="77" t="s">
        <v>366</v>
      </c>
      <c r="D60" s="155">
        <v>3081.3614439060007</v>
      </c>
      <c r="E60" s="51">
        <v>375.86573415375511</v>
      </c>
      <c r="F60" s="156">
        <v>8200.0164869782311</v>
      </c>
      <c r="G60" s="121">
        <v>7.1639497366181429E-2</v>
      </c>
      <c r="H60" s="121">
        <v>1.0643946628511628E-2</v>
      </c>
      <c r="I60" s="121">
        <v>6.0436410106842649E-2</v>
      </c>
      <c r="J60" s="121">
        <v>7.1639497366181429E-2</v>
      </c>
      <c r="K60" s="121">
        <v>1.0643946628511628E-2</v>
      </c>
      <c r="L60" s="121">
        <v>6.0436410106842649E-2</v>
      </c>
    </row>
    <row r="61" spans="1:12" x14ac:dyDescent="0.35">
      <c r="A61" s="77" t="s">
        <v>363</v>
      </c>
      <c r="B61" s="77">
        <v>2020</v>
      </c>
      <c r="C61" s="77" t="s">
        <v>366</v>
      </c>
      <c r="D61" s="155">
        <v>2993.4228623461677</v>
      </c>
      <c r="E61" s="51">
        <v>392.35329929587368</v>
      </c>
      <c r="F61" s="156">
        <v>7632.953772005666</v>
      </c>
      <c r="G61" s="121">
        <v>-2.8538872560292743E-2</v>
      </c>
      <c r="H61" s="121">
        <v>4.3865571250434908E-2</v>
      </c>
      <c r="I61" s="121">
        <v>-6.9153850589577542E-2</v>
      </c>
      <c r="J61" s="121">
        <v>4.1056114320271814E-2</v>
      </c>
      <c r="K61" s="121">
        <v>5.4976420678165334E-2</v>
      </c>
      <c r="L61" s="121">
        <v>-1.2896850957433922E-2</v>
      </c>
    </row>
    <row r="62" spans="1:12" x14ac:dyDescent="0.35">
      <c r="A62" s="77" t="s">
        <v>363</v>
      </c>
      <c r="B62" s="77">
        <v>2021</v>
      </c>
      <c r="C62" s="77" t="s">
        <v>366</v>
      </c>
      <c r="D62" s="155">
        <v>3093.3474563160921</v>
      </c>
      <c r="E62" s="51">
        <v>373.90953088116692</v>
      </c>
      <c r="F62" s="156">
        <v>8280.6339030098188</v>
      </c>
      <c r="G62" s="121">
        <v>3.3381382639539985E-2</v>
      </c>
      <c r="H62" s="121">
        <v>-4.7008062498279948E-2</v>
      </c>
      <c r="I62" s="121">
        <v>8.4853144713067707E-2</v>
      </c>
      <c r="J62" s="121">
        <v>7.5808006821629484E-2</v>
      </c>
      <c r="K62" s="121">
        <v>5.3840231607144651E-3</v>
      </c>
      <c r="L62" s="121">
        <v>7.0861955394999787E-2</v>
      </c>
    </row>
    <row r="63" spans="1:12" x14ac:dyDescent="0.35">
      <c r="A63" s="77" t="s">
        <v>363</v>
      </c>
      <c r="B63" s="77">
        <v>2022</v>
      </c>
      <c r="C63" s="77" t="s">
        <v>366</v>
      </c>
      <c r="D63" s="155">
        <v>3304.2893147552973</v>
      </c>
      <c r="E63" s="51">
        <v>411.59962593731188</v>
      </c>
      <c r="F63" s="156">
        <v>8038.8785515897916</v>
      </c>
      <c r="G63" s="121">
        <v>6.819209979418818E-2</v>
      </c>
      <c r="H63" s="121">
        <v>0.10080003836041117</v>
      </c>
      <c r="I63" s="121">
        <v>-2.9195271068819344E-2</v>
      </c>
      <c r="J63" s="121">
        <v>0.14916961378219673</v>
      </c>
      <c r="K63" s="121">
        <v>0.10672677126225899</v>
      </c>
      <c r="L63" s="121">
        <v>3.9597850329956837E-2</v>
      </c>
    </row>
    <row r="64" spans="1:12" x14ac:dyDescent="0.35">
      <c r="A64" s="77" t="s">
        <v>363</v>
      </c>
      <c r="B64" s="77">
        <v>2023</v>
      </c>
      <c r="C64" s="77" t="s">
        <v>366</v>
      </c>
      <c r="D64" s="155">
        <v>3531.3743620181094</v>
      </c>
      <c r="E64" s="51">
        <v>434.3152661552341</v>
      </c>
      <c r="F64" s="156">
        <v>8145.4588433591298</v>
      </c>
      <c r="G64" s="121">
        <v>6.8724323335963455E-2</v>
      </c>
      <c r="H64" s="121">
        <v>5.5188680422615079E-2</v>
      </c>
      <c r="I64" s="121">
        <v>1.3258104483772867E-2</v>
      </c>
      <c r="J64" s="121">
        <v>0.22814551788762866</v>
      </c>
      <c r="K64" s="121">
        <v>0.16780556135660443</v>
      </c>
      <c r="L64" s="121">
        <v>5.3380947250737068E-2</v>
      </c>
    </row>
    <row r="65" spans="1:12" x14ac:dyDescent="0.35">
      <c r="A65" s="77" t="s">
        <v>364</v>
      </c>
      <c r="B65" s="77">
        <v>2018</v>
      </c>
      <c r="C65" s="77" t="s">
        <v>366</v>
      </c>
      <c r="D65" s="155">
        <v>2570.2350147772008</v>
      </c>
      <c r="E65" s="51">
        <v>153.74983398014547</v>
      </c>
      <c r="F65" s="156">
        <v>16717.127859873337</v>
      </c>
    </row>
    <row r="66" spans="1:12" x14ac:dyDescent="0.35">
      <c r="A66" s="77" t="s">
        <v>364</v>
      </c>
      <c r="B66" s="77">
        <v>2019</v>
      </c>
      <c r="C66" s="77" t="s">
        <v>366</v>
      </c>
      <c r="D66" s="155">
        <v>2701.7773707391466</v>
      </c>
      <c r="E66" s="51">
        <v>153.69932087717285</v>
      </c>
      <c r="F66" s="156">
        <v>17584.345614169382</v>
      </c>
      <c r="G66" s="121">
        <v>5.1179115997432793E-2</v>
      </c>
      <c r="H66" s="121">
        <v>-3.28540861898679E-4</v>
      </c>
      <c r="I66" s="121">
        <v>5.1876001760903928E-2</v>
      </c>
      <c r="J66" s="121">
        <v>5.1179115997432793E-2</v>
      </c>
      <c r="K66" s="121">
        <v>-3.28540861898679E-4</v>
      </c>
      <c r="L66" s="121">
        <v>5.1876001760903928E-2</v>
      </c>
    </row>
    <row r="67" spans="1:12" x14ac:dyDescent="0.35">
      <c r="A67" s="77" t="s">
        <v>364</v>
      </c>
      <c r="B67" s="77">
        <v>2020</v>
      </c>
      <c r="C67" s="77" t="s">
        <v>366</v>
      </c>
      <c r="D67" s="155">
        <v>2715.2272629274667</v>
      </c>
      <c r="E67" s="51">
        <v>164.17106086207369</v>
      </c>
      <c r="F67" s="156">
        <v>16540.914748931526</v>
      </c>
      <c r="G67" s="121">
        <v>4.97816449792844E-3</v>
      </c>
      <c r="H67" s="121">
        <v>6.8131335422550204E-2</v>
      </c>
      <c r="I67" s="121">
        <v>-5.9338623576476179E-2</v>
      </c>
      <c r="J67" s="121">
        <v>5.6412058553655019E-2</v>
      </c>
      <c r="K67" s="121">
        <v>6.778041063298948E-2</v>
      </c>
      <c r="L67" s="121">
        <v>-1.0540872356715145E-2</v>
      </c>
    </row>
    <row r="68" spans="1:12" x14ac:dyDescent="0.35">
      <c r="A68" s="77" t="s">
        <v>364</v>
      </c>
      <c r="B68" s="77">
        <v>2021</v>
      </c>
      <c r="C68" s="77" t="s">
        <v>366</v>
      </c>
      <c r="D68" s="155">
        <v>3002.7563086008954</v>
      </c>
      <c r="E68" s="51">
        <v>170.41280885503215</v>
      </c>
      <c r="F68" s="156">
        <v>17623.090190066374</v>
      </c>
      <c r="G68" s="121">
        <v>0.10589502013301996</v>
      </c>
      <c r="H68" s="121">
        <v>3.8019782294045075E-2</v>
      </c>
      <c r="I68" s="121">
        <v>6.5424159277814573E-2</v>
      </c>
      <c r="J68" s="121">
        <v>0.16828083476295938</v>
      </c>
      <c r="K68" s="121">
        <v>0.1083771893831018</v>
      </c>
      <c r="L68" s="121">
        <v>5.4193659209106584E-2</v>
      </c>
    </row>
    <row r="69" spans="1:12" x14ac:dyDescent="0.35">
      <c r="A69" s="77" t="s">
        <v>364</v>
      </c>
      <c r="B69" s="77">
        <v>2022</v>
      </c>
      <c r="C69" s="77" t="s">
        <v>366</v>
      </c>
      <c r="D69" s="155">
        <v>3196.5740636680616</v>
      </c>
      <c r="E69" s="51">
        <v>196.22889777293466</v>
      </c>
      <c r="F69" s="156">
        <v>16294.216508515085</v>
      </c>
      <c r="G69" s="121">
        <v>6.4546614892459817E-2</v>
      </c>
      <c r="H69" s="121">
        <v>0.15149148172226831</v>
      </c>
      <c r="I69" s="121">
        <v>-7.5405259078815637E-2</v>
      </c>
      <c r="J69" s="121">
        <v>0.24368940789064558</v>
      </c>
      <c r="K69" s="121">
        <v>0.27628689210991109</v>
      </c>
      <c r="L69" s="121">
        <v>-2.5298086782800783E-2</v>
      </c>
    </row>
    <row r="70" spans="1:12" x14ac:dyDescent="0.35">
      <c r="A70" s="77" t="s">
        <v>364</v>
      </c>
      <c r="B70" s="77">
        <v>2023</v>
      </c>
      <c r="C70" s="77" t="s">
        <v>366</v>
      </c>
      <c r="D70" s="155">
        <v>3550.3082317906656</v>
      </c>
      <c r="E70" s="51">
        <v>216.78961582542362</v>
      </c>
      <c r="F70" s="156">
        <v>16379.032672483787</v>
      </c>
      <c r="G70" s="121">
        <v>0.11066040112854283</v>
      </c>
      <c r="H70" s="121">
        <v>0.10477925670397795</v>
      </c>
      <c r="I70" s="121">
        <v>5.2052925603620652E-3</v>
      </c>
      <c r="J70" s="121">
        <v>0.38131657664714436</v>
      </c>
      <c r="K70" s="121">
        <v>0.41001528400621767</v>
      </c>
      <c r="L70" s="121">
        <v>-2.0224478165360625E-2</v>
      </c>
    </row>
    <row r="71" spans="1:12" x14ac:dyDescent="0.35">
      <c r="A71" s="77" t="s">
        <v>365</v>
      </c>
      <c r="B71" s="77">
        <v>2018</v>
      </c>
      <c r="C71" s="77" t="s">
        <v>366</v>
      </c>
      <c r="D71" s="155">
        <v>4574.6341460033091</v>
      </c>
      <c r="E71" s="51">
        <v>87.526484232777648</v>
      </c>
      <c r="F71" s="156">
        <v>52265.713470645285</v>
      </c>
    </row>
    <row r="72" spans="1:12" x14ac:dyDescent="0.35">
      <c r="A72" s="77" t="s">
        <v>365</v>
      </c>
      <c r="B72" s="77">
        <v>2019</v>
      </c>
      <c r="C72" s="77" t="s">
        <v>366</v>
      </c>
      <c r="D72" s="155">
        <v>4882.3297478081149</v>
      </c>
      <c r="E72" s="51">
        <v>93.569129767232823</v>
      </c>
      <c r="F72" s="156">
        <v>52178.851721220868</v>
      </c>
      <c r="G72" s="121">
        <v>6.7261248000264298E-2</v>
      </c>
      <c r="H72" s="121">
        <v>6.9037909924322946E-2</v>
      </c>
      <c r="I72" s="121">
        <v>-1.6619260248537998E-3</v>
      </c>
      <c r="J72" s="121">
        <v>6.7261248000264298E-2</v>
      </c>
      <c r="K72" s="121">
        <v>6.9037909924322946E-2</v>
      </c>
      <c r="L72" s="121">
        <v>-1.6619260248537998E-3</v>
      </c>
    </row>
    <row r="73" spans="1:12" x14ac:dyDescent="0.35">
      <c r="A73" s="77" t="s">
        <v>365</v>
      </c>
      <c r="B73" s="77">
        <v>2020</v>
      </c>
      <c r="C73" s="77" t="s">
        <v>366</v>
      </c>
      <c r="D73" s="155">
        <v>5696.1289620009438</v>
      </c>
      <c r="E73" s="51">
        <v>99.660158970165611</v>
      </c>
      <c r="F73" s="156">
        <v>57155.527553454376</v>
      </c>
      <c r="G73" s="121">
        <v>0.16668255857937042</v>
      </c>
      <c r="H73" s="121">
        <v>6.5096567832629543E-2</v>
      </c>
      <c r="I73" s="121">
        <v>9.5377258564881759E-2</v>
      </c>
      <c r="J73" s="121">
        <v>0.24515508348956033</v>
      </c>
      <c r="K73" s="121">
        <v>0.13862860874336413</v>
      </c>
      <c r="L73" s="121">
        <v>9.3556822591839769E-2</v>
      </c>
    </row>
    <row r="74" spans="1:12" x14ac:dyDescent="0.35">
      <c r="A74" s="77" t="s">
        <v>365</v>
      </c>
      <c r="B74" s="77">
        <v>2021</v>
      </c>
      <c r="C74" s="77" t="s">
        <v>366</v>
      </c>
      <c r="D74" s="155">
        <v>5412.3410200170729</v>
      </c>
      <c r="E74" s="51">
        <v>105.92915907416172</v>
      </c>
      <c r="F74" s="156">
        <v>51093.96758476914</v>
      </c>
      <c r="G74" s="121">
        <v>-4.9821193283549101E-2</v>
      </c>
      <c r="H74" s="121">
        <v>6.2903773872895405E-2</v>
      </c>
      <c r="I74" s="121">
        <v>-0.10605378391470882</v>
      </c>
      <c r="J74" s="121">
        <v>0.18311997140703323</v>
      </c>
      <c r="K74" s="121">
        <v>0.21025264527296622</v>
      </c>
      <c r="L74" s="121">
        <v>-2.2419016369770776E-2</v>
      </c>
    </row>
    <row r="75" spans="1:12" x14ac:dyDescent="0.35">
      <c r="A75" s="77" t="s">
        <v>365</v>
      </c>
      <c r="B75" s="77">
        <v>2022</v>
      </c>
      <c r="C75" s="77" t="s">
        <v>366</v>
      </c>
      <c r="D75" s="155">
        <v>5768.3628671908673</v>
      </c>
      <c r="E75" s="51">
        <v>111.86454872766322</v>
      </c>
      <c r="F75" s="156">
        <v>51565.60262209682</v>
      </c>
      <c r="G75" s="121">
        <v>6.5779640613383109E-2</v>
      </c>
      <c r="H75" s="121">
        <v>5.6031688586766715E-2</v>
      </c>
      <c r="I75" s="121">
        <v>9.2307381795159738E-3</v>
      </c>
      <c r="J75" s="121">
        <v>0.26094517792870398</v>
      </c>
      <c r="K75" s="121">
        <v>0.27806514460421172</v>
      </c>
      <c r="L75" s="121">
        <v>-1.3395222260606439E-2</v>
      </c>
    </row>
    <row r="76" spans="1:12" x14ac:dyDescent="0.35">
      <c r="A76" s="77" t="s">
        <v>365</v>
      </c>
      <c r="B76" s="77">
        <v>2023</v>
      </c>
      <c r="C76" s="77" t="s">
        <v>366</v>
      </c>
      <c r="D76" s="155">
        <v>5907.2962746276944</v>
      </c>
      <c r="E76" s="51">
        <v>109.19678177580269</v>
      </c>
      <c r="F76" s="156">
        <v>54097.739613630663</v>
      </c>
      <c r="G76" s="121">
        <v>2.4085413944231672E-2</v>
      </c>
      <c r="H76" s="121">
        <v>-2.3848189459515612E-2</v>
      </c>
      <c r="I76" s="121">
        <v>4.9105156592289603E-2</v>
      </c>
      <c r="J76" s="121">
        <v>0.29131556450009966</v>
      </c>
      <c r="K76" s="121">
        <v>0.24758560489408724</v>
      </c>
      <c r="L76" s="121">
        <v>3.5052159844987558E-2</v>
      </c>
    </row>
    <row r="77" spans="1:12" x14ac:dyDescent="0.35">
      <c r="A77" s="77" t="s">
        <v>360</v>
      </c>
      <c r="B77" s="77">
        <v>2018</v>
      </c>
      <c r="C77" s="77" t="s">
        <v>44</v>
      </c>
      <c r="D77" s="155">
        <v>258.21883826554864</v>
      </c>
      <c r="E77" s="51">
        <v>247.30363334430865</v>
      </c>
      <c r="F77" s="156">
        <v>1044.1368562751493</v>
      </c>
    </row>
    <row r="78" spans="1:12" x14ac:dyDescent="0.35">
      <c r="A78" s="77" t="s">
        <v>360</v>
      </c>
      <c r="B78" s="77">
        <v>2019</v>
      </c>
      <c r="C78" s="77" t="s">
        <v>44</v>
      </c>
      <c r="D78" s="155">
        <v>279.35106695933786</v>
      </c>
      <c r="E78" s="51">
        <v>254.92888153164958</v>
      </c>
      <c r="F78" s="156">
        <v>1095.7999944178794</v>
      </c>
      <c r="G78" s="121">
        <v>8.1838446938008166E-2</v>
      </c>
      <c r="H78" s="121">
        <v>3.0833546940754696E-2</v>
      </c>
      <c r="I78" s="121">
        <v>4.9479278345784097E-2</v>
      </c>
      <c r="J78" s="121">
        <v>8.1838446938008166E-2</v>
      </c>
      <c r="K78" s="121">
        <v>3.0833546940754696E-2</v>
      </c>
      <c r="L78" s="121">
        <v>4.9479278345784097E-2</v>
      </c>
    </row>
    <row r="79" spans="1:12" x14ac:dyDescent="0.35">
      <c r="A79" s="77" t="s">
        <v>360</v>
      </c>
      <c r="B79" s="77">
        <v>2020</v>
      </c>
      <c r="C79" s="77" t="s">
        <v>44</v>
      </c>
      <c r="D79" s="155">
        <v>277.05602288559209</v>
      </c>
      <c r="E79" s="51">
        <v>294.70752207435447</v>
      </c>
      <c r="F79" s="156">
        <v>940.10502662260205</v>
      </c>
      <c r="G79" s="121">
        <v>-8.2156266619158331E-3</v>
      </c>
      <c r="H79" s="121">
        <v>0.15603818721405385</v>
      </c>
      <c r="I79" s="121">
        <v>-0.1420833807158276</v>
      </c>
      <c r="J79" s="121">
        <v>7.2950466149458659E-2</v>
      </c>
      <c r="K79" s="121">
        <v>0.19168294492482335</v>
      </c>
      <c r="L79" s="121">
        <v>-9.9634285512791951E-2</v>
      </c>
    </row>
    <row r="80" spans="1:12" x14ac:dyDescent="0.35">
      <c r="A80" s="77" t="s">
        <v>360</v>
      </c>
      <c r="B80" s="77">
        <v>2021</v>
      </c>
      <c r="C80" s="77" t="s">
        <v>44</v>
      </c>
      <c r="D80" s="155">
        <v>295.99744495798785</v>
      </c>
      <c r="E80" s="51">
        <v>306.0920813586585</v>
      </c>
      <c r="F80" s="156">
        <v>967.02091620317879</v>
      </c>
      <c r="G80" s="121">
        <v>6.8366758012033776E-2</v>
      </c>
      <c r="H80" s="121">
        <v>3.8630026149898258E-2</v>
      </c>
      <c r="I80" s="121">
        <v>2.8630726161814161E-2</v>
      </c>
      <c r="J80" s="121">
        <v>0.14630461102759754</v>
      </c>
      <c r="K80" s="121">
        <v>0.23771768824965703</v>
      </c>
      <c r="L80" s="121">
        <v>-7.3856161295822537E-2</v>
      </c>
    </row>
    <row r="81" spans="1:12" x14ac:dyDescent="0.35">
      <c r="A81" s="77" t="s">
        <v>360</v>
      </c>
      <c r="B81" s="77">
        <v>2022</v>
      </c>
      <c r="C81" s="77" t="s">
        <v>44</v>
      </c>
      <c r="D81" s="155">
        <v>299.5202209241998</v>
      </c>
      <c r="E81" s="51">
        <v>296.2838711347045</v>
      </c>
      <c r="F81" s="156">
        <v>1010.9231386004941</v>
      </c>
      <c r="G81" s="121">
        <v>1.1901372887566495E-2</v>
      </c>
      <c r="H81" s="121">
        <v>-3.2043332125476949E-2</v>
      </c>
      <c r="I81" s="121">
        <v>4.5399454822227556E-2</v>
      </c>
      <c r="J81" s="121">
        <v>0.15994720964617384</v>
      </c>
      <c r="K81" s="121">
        <v>0.19805708928749574</v>
      </c>
      <c r="L81" s="121">
        <v>-3.180973593168783E-2</v>
      </c>
    </row>
    <row r="82" spans="1:12" x14ac:dyDescent="0.35">
      <c r="A82" s="77" t="s">
        <v>360</v>
      </c>
      <c r="B82" s="77">
        <v>2023</v>
      </c>
      <c r="C82" s="77" t="s">
        <v>44</v>
      </c>
      <c r="D82" s="155">
        <v>320.91174787379214</v>
      </c>
      <c r="E82" s="51">
        <v>324.23309576018556</v>
      </c>
      <c r="F82" s="156">
        <v>989.75629591850793</v>
      </c>
      <c r="G82" s="121">
        <v>7.1419308130805395E-2</v>
      </c>
      <c r="H82" s="121">
        <v>9.4332588940604339E-2</v>
      </c>
      <c r="I82" s="121">
        <v>-2.0938132558019403E-2</v>
      </c>
      <c r="J82" s="121">
        <v>0.24278983682736185</v>
      </c>
      <c r="K82" s="121">
        <v>0.31107291621862998</v>
      </c>
      <c r="L82" s="121">
        <v>-5.2081832022133963E-2</v>
      </c>
    </row>
    <row r="83" spans="1:12" x14ac:dyDescent="0.35">
      <c r="A83" s="77" t="s">
        <v>361</v>
      </c>
      <c r="B83" s="77">
        <v>2018</v>
      </c>
      <c r="C83" s="77" t="s">
        <v>44</v>
      </c>
      <c r="D83" s="155">
        <v>897.60887026810303</v>
      </c>
      <c r="E83" s="51">
        <v>8952.7163901781423</v>
      </c>
      <c r="F83" s="156">
        <v>100.26106392165542</v>
      </c>
    </row>
    <row r="84" spans="1:12" x14ac:dyDescent="0.35">
      <c r="A84" s="77" t="s">
        <v>361</v>
      </c>
      <c r="B84" s="77">
        <v>2019</v>
      </c>
      <c r="C84" s="77" t="s">
        <v>44</v>
      </c>
      <c r="D84" s="155">
        <v>938.42280118016834</v>
      </c>
      <c r="E84" s="51">
        <v>9022.3320056438497</v>
      </c>
      <c r="F84" s="156">
        <v>104.01111382214103</v>
      </c>
      <c r="G84" s="121">
        <v>4.5469616292756511E-2</v>
      </c>
      <c r="H84" s="121">
        <v>7.7759210089667725E-3</v>
      </c>
      <c r="I84" s="121">
        <v>3.7402853648310752E-2</v>
      </c>
      <c r="J84" s="121">
        <v>4.5469616292756511E-2</v>
      </c>
      <c r="K84" s="121">
        <v>7.7759210089667725E-3</v>
      </c>
      <c r="L84" s="121">
        <v>3.7402853648310752E-2</v>
      </c>
    </row>
    <row r="85" spans="1:12" x14ac:dyDescent="0.35">
      <c r="A85" s="77" t="s">
        <v>361</v>
      </c>
      <c r="B85" s="77">
        <v>2020</v>
      </c>
      <c r="C85" s="77" t="s">
        <v>44</v>
      </c>
      <c r="D85" s="155">
        <v>1127.1082310934216</v>
      </c>
      <c r="E85" s="51">
        <v>11699.411777261257</v>
      </c>
      <c r="F85" s="156">
        <v>96.338880325936273</v>
      </c>
      <c r="G85" s="121">
        <v>0.20106654449994282</v>
      </c>
      <c r="H85" s="121">
        <v>0.29671705385512093</v>
      </c>
      <c r="I85" s="121">
        <v>-7.3763593276428813E-2</v>
      </c>
      <c r="J85" s="121">
        <v>0.25567857942042216</v>
      </c>
      <c r="K85" s="121">
        <v>0.30680022323687844</v>
      </c>
      <c r="L85" s="121">
        <v>-3.9119708512009854E-2</v>
      </c>
    </row>
    <row r="86" spans="1:12" x14ac:dyDescent="0.35">
      <c r="A86" s="77" t="s">
        <v>361</v>
      </c>
      <c r="B86" s="77">
        <v>2021</v>
      </c>
      <c r="C86" s="77" t="s">
        <v>44</v>
      </c>
      <c r="D86" s="155">
        <v>1065.6263469726296</v>
      </c>
      <c r="E86" s="51">
        <v>11951.327894901135</v>
      </c>
      <c r="F86" s="156">
        <v>89.163844916953877</v>
      </c>
      <c r="G86" s="121">
        <v>-5.4548340988644667E-2</v>
      </c>
      <c r="H86" s="121">
        <v>2.1532374655749496E-2</v>
      </c>
      <c r="I86" s="121">
        <v>-7.4477047944792638E-2</v>
      </c>
      <c r="J86" s="121">
        <v>0.18718339609806006</v>
      </c>
      <c r="K86" s="121">
        <v>0.334938735243832</v>
      </c>
      <c r="L86" s="121">
        <v>-0.11068323605036721</v>
      </c>
    </row>
    <row r="87" spans="1:12" x14ac:dyDescent="0.35">
      <c r="A87" s="77" t="s">
        <v>361</v>
      </c>
      <c r="B87" s="77">
        <v>2022</v>
      </c>
      <c r="C87" s="77" t="s">
        <v>44</v>
      </c>
      <c r="D87" s="155">
        <v>1137.3791570641504</v>
      </c>
      <c r="E87" s="51">
        <v>13555.0486032602</v>
      </c>
      <c r="F87" s="156">
        <v>83.908157790787484</v>
      </c>
      <c r="G87" s="121">
        <v>6.7333930223633792E-2</v>
      </c>
      <c r="H87" s="121">
        <v>0.13418765868211768</v>
      </c>
      <c r="I87" s="121">
        <v>-5.8944150861388669E-2</v>
      </c>
      <c r="J87" s="121">
        <v>0.26712112005358341</v>
      </c>
      <c r="K87" s="121">
        <v>0.51407103861026926</v>
      </c>
      <c r="L87" s="121">
        <v>-0.16310325754817634</v>
      </c>
    </row>
    <row r="88" spans="1:12" x14ac:dyDescent="0.35">
      <c r="A88" s="77" t="s">
        <v>361</v>
      </c>
      <c r="B88" s="77">
        <v>2023</v>
      </c>
      <c r="C88" s="77" t="s">
        <v>44</v>
      </c>
      <c r="D88" s="155">
        <v>1196.3798623995478</v>
      </c>
      <c r="E88" s="51">
        <v>14106.0417974305</v>
      </c>
      <c r="F88" s="156">
        <v>84.813293451142016</v>
      </c>
      <c r="G88" s="121">
        <v>5.1874262833945813E-2</v>
      </c>
      <c r="H88" s="121">
        <v>4.0648559093899334E-2</v>
      </c>
      <c r="I88" s="121">
        <v>1.0787218837664781E-2</v>
      </c>
      <c r="J88" s="121">
        <v>0.33285209407768684</v>
      </c>
      <c r="K88" s="121">
        <v>0.57561584469558025</v>
      </c>
      <c r="L88" s="121">
        <v>-0.15407546924281976</v>
      </c>
    </row>
    <row r="89" spans="1:12" x14ac:dyDescent="0.35">
      <c r="A89" s="77" t="s">
        <v>362</v>
      </c>
      <c r="B89" s="77">
        <v>2018</v>
      </c>
      <c r="C89" s="77" t="s">
        <v>44</v>
      </c>
      <c r="D89" s="155">
        <v>119.49226729208318</v>
      </c>
      <c r="E89" s="51">
        <v>49.158838056853909</v>
      </c>
      <c r="F89" s="156">
        <v>2430.7382357956917</v>
      </c>
    </row>
    <row r="90" spans="1:12" x14ac:dyDescent="0.35">
      <c r="A90" s="77" t="s">
        <v>362</v>
      </c>
      <c r="B90" s="77">
        <v>2019</v>
      </c>
      <c r="C90" s="77" t="s">
        <v>44</v>
      </c>
      <c r="D90" s="155">
        <v>126.26336733324989</v>
      </c>
      <c r="E90" s="51">
        <v>43.993603329776974</v>
      </c>
      <c r="F90" s="156">
        <v>2870.0392279026801</v>
      </c>
      <c r="G90" s="121">
        <v>5.66655917961255E-2</v>
      </c>
      <c r="H90" s="121">
        <v>-0.10507235181399449</v>
      </c>
      <c r="I90" s="121">
        <v>0.18072739616209027</v>
      </c>
      <c r="J90" s="121">
        <v>5.66655917961255E-2</v>
      </c>
      <c r="K90" s="121">
        <v>-0.10507235181399449</v>
      </c>
      <c r="L90" s="121">
        <v>0.18072739616209027</v>
      </c>
    </row>
    <row r="91" spans="1:12" x14ac:dyDescent="0.35">
      <c r="A91" s="77" t="s">
        <v>362</v>
      </c>
      <c r="B91" s="77">
        <v>2020</v>
      </c>
      <c r="C91" s="77" t="s">
        <v>44</v>
      </c>
      <c r="D91" s="155">
        <v>239.0184912464745</v>
      </c>
      <c r="E91" s="51">
        <v>102.81318532585556</v>
      </c>
      <c r="F91" s="156">
        <v>2324.7844183499474</v>
      </c>
      <c r="G91" s="121">
        <v>0.89301534003625416</v>
      </c>
      <c r="H91" s="121">
        <v>1.3370030537204638</v>
      </c>
      <c r="I91" s="121">
        <v>-0.18998165748110174</v>
      </c>
      <c r="J91" s="121">
        <v>1.0002841745585522</v>
      </c>
      <c r="K91" s="121">
        <v>1.0914486466695679</v>
      </c>
      <c r="L91" s="121">
        <v>-4.35891515941291E-2</v>
      </c>
    </row>
    <row r="92" spans="1:12" x14ac:dyDescent="0.35">
      <c r="A92" s="77" t="s">
        <v>362</v>
      </c>
      <c r="B92" s="77">
        <v>2021</v>
      </c>
      <c r="C92" s="77" t="s">
        <v>44</v>
      </c>
      <c r="D92" s="155">
        <v>258.48646133500438</v>
      </c>
      <c r="E92" s="51">
        <v>120.51422174575255</v>
      </c>
      <c r="F92" s="156">
        <v>2144.8627190268903</v>
      </c>
      <c r="G92" s="121">
        <v>8.1449640096902046E-2</v>
      </c>
      <c r="H92" s="121">
        <v>0.17216698776324674</v>
      </c>
      <c r="I92" s="121">
        <v>-7.7392853248198959E-2</v>
      </c>
      <c r="J92" s="121">
        <v>1.1632066006678752</v>
      </c>
      <c r="K92" s="121">
        <v>1.4515270602281862</v>
      </c>
      <c r="L92" s="121">
        <v>-0.11760851602979012</v>
      </c>
    </row>
    <row r="93" spans="1:12" x14ac:dyDescent="0.35">
      <c r="A93" s="77" t="s">
        <v>362</v>
      </c>
      <c r="B93" s="77">
        <v>2022</v>
      </c>
      <c r="C93" s="77" t="s">
        <v>44</v>
      </c>
      <c r="D93" s="155">
        <v>253.23440271317145</v>
      </c>
      <c r="E93" s="51">
        <v>125.27497867441211</v>
      </c>
      <c r="F93" s="156">
        <v>2021.4284240376851</v>
      </c>
      <c r="G93" s="121">
        <v>-2.0318505637423469E-2</v>
      </c>
      <c r="H93" s="121">
        <v>3.9503693918409681E-2</v>
      </c>
      <c r="I93" s="121">
        <v>-5.7548809018978395E-2</v>
      </c>
      <c r="J93" s="121">
        <v>1.1192534751572933</v>
      </c>
      <c r="K93" s="121">
        <v>1.5483714348481392</v>
      </c>
      <c r="L93" s="121">
        <v>-0.16838909502076468</v>
      </c>
    </row>
    <row r="94" spans="1:12" x14ac:dyDescent="0.35">
      <c r="A94" s="77" t="s">
        <v>362</v>
      </c>
      <c r="B94" s="77">
        <v>2023</v>
      </c>
      <c r="C94" s="77" t="s">
        <v>44</v>
      </c>
      <c r="D94" s="155">
        <v>302.37160817814657</v>
      </c>
      <c r="E94" s="51">
        <v>148.26643878813852</v>
      </c>
      <c r="F94" s="156">
        <v>2039.3799881456159</v>
      </c>
      <c r="G94" s="121">
        <v>0.1940384281855688</v>
      </c>
      <c r="H94" s="121">
        <v>0.18352795072893913</v>
      </c>
      <c r="I94" s="121">
        <v>8.8806330684089406E-3</v>
      </c>
      <c r="J94" s="121">
        <v>1.5304700884036189</v>
      </c>
      <c r="K94" s="121">
        <v>2.0160688219819844</v>
      </c>
      <c r="L94" s="121">
        <v>-0.16100386371795658</v>
      </c>
    </row>
    <row r="95" spans="1:12" x14ac:dyDescent="0.35">
      <c r="A95" s="77" t="s">
        <v>363</v>
      </c>
      <c r="B95" s="77">
        <v>2018</v>
      </c>
      <c r="C95" s="77" t="s">
        <v>44</v>
      </c>
      <c r="D95" s="155">
        <v>371.30297694509858</v>
      </c>
      <c r="E95" s="51">
        <v>272.28796058522153</v>
      </c>
      <c r="F95" s="156">
        <v>1363.6408166819665</v>
      </c>
    </row>
    <row r="96" spans="1:12" x14ac:dyDescent="0.35">
      <c r="A96" s="77" t="s">
        <v>363</v>
      </c>
      <c r="B96" s="77">
        <v>2019</v>
      </c>
      <c r="C96" s="77" t="s">
        <v>44</v>
      </c>
      <c r="D96" s="155">
        <v>396.95096584192333</v>
      </c>
      <c r="E96" s="51">
        <v>279.30180502236243</v>
      </c>
      <c r="F96" s="156">
        <v>1421.2259237284243</v>
      </c>
      <c r="G96" s="121">
        <v>6.9075634964858107E-2</v>
      </c>
      <c r="H96" s="121">
        <v>2.5758922363171063E-2</v>
      </c>
      <c r="I96" s="121">
        <v>4.2228940599310323E-2</v>
      </c>
      <c r="J96" s="121">
        <v>6.9075634964858107E-2</v>
      </c>
      <c r="K96" s="121">
        <v>2.5758922363171063E-2</v>
      </c>
      <c r="L96" s="121">
        <v>4.2228940599310323E-2</v>
      </c>
    </row>
    <row r="97" spans="1:12" x14ac:dyDescent="0.35">
      <c r="A97" s="77" t="s">
        <v>363</v>
      </c>
      <c r="B97" s="77">
        <v>2020</v>
      </c>
      <c r="C97" s="77" t="s">
        <v>44</v>
      </c>
      <c r="D97" s="155">
        <v>406.1877835148108</v>
      </c>
      <c r="E97" s="51">
        <v>319.95284619407511</v>
      </c>
      <c r="F97" s="156">
        <v>1269.5238949942886</v>
      </c>
      <c r="G97" s="121">
        <v>2.326941730270489E-2</v>
      </c>
      <c r="H97" s="121">
        <v>0.14554521467721246</v>
      </c>
      <c r="I97" s="121">
        <v>-0.10674026289652995</v>
      </c>
      <c r="J97" s="121">
        <v>9.39524020430096E-2</v>
      </c>
      <c r="K97" s="121">
        <v>0.17505322492558489</v>
      </c>
      <c r="L97" s="121">
        <v>-6.9018850518631963E-2</v>
      </c>
    </row>
    <row r="98" spans="1:12" x14ac:dyDescent="0.35">
      <c r="A98" s="77" t="s">
        <v>363</v>
      </c>
      <c r="B98" s="77">
        <v>2021</v>
      </c>
      <c r="C98" s="77" t="s">
        <v>44</v>
      </c>
      <c r="D98" s="155">
        <v>470.03513567460362</v>
      </c>
      <c r="E98" s="51">
        <v>308.21081698504588</v>
      </c>
      <c r="F98" s="156">
        <v>1525.0442546843167</v>
      </c>
      <c r="G98" s="121">
        <v>0.15718678589324131</v>
      </c>
      <c r="H98" s="121">
        <v>-3.6699249119686889E-2</v>
      </c>
      <c r="I98" s="121">
        <v>0.20127258785560517</v>
      </c>
      <c r="J98" s="121">
        <v>0.26590726404034121</v>
      </c>
      <c r="K98" s="121">
        <v>0.13192965389514938</v>
      </c>
      <c r="L98" s="121">
        <v>0.11836213468226899</v>
      </c>
    </row>
    <row r="99" spans="1:12" x14ac:dyDescent="0.35">
      <c r="A99" s="77" t="s">
        <v>363</v>
      </c>
      <c r="B99" s="77">
        <v>2022</v>
      </c>
      <c r="C99" s="77" t="s">
        <v>44</v>
      </c>
      <c r="D99" s="155">
        <v>457.07656584393078</v>
      </c>
      <c r="E99" s="51">
        <v>335.07255051693318</v>
      </c>
      <c r="F99" s="156">
        <v>1364.1122352122725</v>
      </c>
      <c r="G99" s="121">
        <v>-2.7569364175455628E-2</v>
      </c>
      <c r="H99" s="121">
        <v>8.7153766355937481E-2</v>
      </c>
      <c r="I99" s="121">
        <v>-0.10552613078455028</v>
      </c>
      <c r="J99" s="121">
        <v>0.23100700566565835</v>
      </c>
      <c r="K99" s="121">
        <v>0.23058158648208441</v>
      </c>
      <c r="L99" s="121">
        <v>3.4570579329903424E-4</v>
      </c>
    </row>
    <row r="100" spans="1:12" x14ac:dyDescent="0.35">
      <c r="A100" s="77" t="s">
        <v>363</v>
      </c>
      <c r="B100" s="77">
        <v>2023</v>
      </c>
      <c r="C100" s="77" t="s">
        <v>44</v>
      </c>
      <c r="D100" s="155">
        <v>505.5333922560547</v>
      </c>
      <c r="E100" s="51">
        <v>370.05239778260756</v>
      </c>
      <c r="F100" s="156">
        <v>1366.1130026052076</v>
      </c>
      <c r="G100" s="121">
        <v>0.10601468120041303</v>
      </c>
      <c r="H100" s="121">
        <v>0.10439484586758664</v>
      </c>
      <c r="I100" s="121">
        <v>1.4667175774021172E-3</v>
      </c>
      <c r="J100" s="121">
        <v>0.36151182092677814</v>
      </c>
      <c r="K100" s="121">
        <v>0.35904796153037188</v>
      </c>
      <c r="L100" s="121">
        <v>1.8129304234647929E-3</v>
      </c>
    </row>
    <row r="101" spans="1:12" x14ac:dyDescent="0.35">
      <c r="A101" s="77" t="s">
        <v>364</v>
      </c>
      <c r="B101" s="77">
        <v>2018</v>
      </c>
      <c r="C101" s="77" t="s">
        <v>44</v>
      </c>
      <c r="D101" s="155">
        <v>832.16508299075122</v>
      </c>
      <c r="E101" s="51">
        <v>130.71878879309915</v>
      </c>
      <c r="F101" s="156">
        <v>6366.0709426239919</v>
      </c>
    </row>
    <row r="102" spans="1:12" x14ac:dyDescent="0.35">
      <c r="A102" s="77" t="s">
        <v>364</v>
      </c>
      <c r="B102" s="77">
        <v>2019</v>
      </c>
      <c r="C102" s="77" t="s">
        <v>44</v>
      </c>
      <c r="D102" s="155">
        <v>897.93028978408893</v>
      </c>
      <c r="E102" s="51">
        <v>138.2175671885459</v>
      </c>
      <c r="F102" s="156">
        <v>6496.4990199776894</v>
      </c>
      <c r="G102" s="121">
        <v>7.9029038994260031E-2</v>
      </c>
      <c r="H102" s="121">
        <v>5.7365727334849827E-2</v>
      </c>
      <c r="I102" s="121">
        <v>2.0488002494665439E-2</v>
      </c>
      <c r="J102" s="121">
        <v>7.9029038994260031E-2</v>
      </c>
      <c r="K102" s="121">
        <v>5.7365727334849827E-2</v>
      </c>
      <c r="L102" s="121">
        <v>2.0488002494665439E-2</v>
      </c>
    </row>
    <row r="103" spans="1:12" x14ac:dyDescent="0.35">
      <c r="A103" s="77" t="s">
        <v>364</v>
      </c>
      <c r="B103" s="77">
        <v>2020</v>
      </c>
      <c r="C103" s="77" t="s">
        <v>44</v>
      </c>
      <c r="D103" s="155">
        <v>810.80910844125117</v>
      </c>
      <c r="E103" s="51">
        <v>145.61513875699012</v>
      </c>
      <c r="F103" s="156">
        <v>5568.1649268237852</v>
      </c>
      <c r="G103" s="121">
        <v>-9.7024437569409094E-2</v>
      </c>
      <c r="H103" s="121">
        <v>5.352121093517017E-2</v>
      </c>
      <c r="I103" s="121">
        <v>-0.14289759612048589</v>
      </c>
      <c r="J103" s="121">
        <v>-2.566314663521805E-2</v>
      </c>
      <c r="K103" s="121">
        <v>0.11395722146315795</v>
      </c>
      <c r="L103" s="121">
        <v>-0.12533727993161864</v>
      </c>
    </row>
    <row r="104" spans="1:12" x14ac:dyDescent="0.35">
      <c r="A104" s="77" t="s">
        <v>364</v>
      </c>
      <c r="B104" s="77">
        <v>2021</v>
      </c>
      <c r="C104" s="77" t="s">
        <v>44</v>
      </c>
      <c r="D104" s="155">
        <v>847.75974199479276</v>
      </c>
      <c r="E104" s="51">
        <v>148.51786772338536</v>
      </c>
      <c r="F104" s="156">
        <v>5708.1330010322117</v>
      </c>
      <c r="G104" s="121">
        <v>4.5572543732985117E-2</v>
      </c>
      <c r="H104" s="121">
        <v>1.9934252655140924E-2</v>
      </c>
      <c r="I104" s="121">
        <v>2.5137199786262016E-2</v>
      </c>
      <c r="J104" s="121">
        <v>1.8739862225407584E-2</v>
      </c>
      <c r="K104" s="121">
        <v>0.13616312616282331</v>
      </c>
      <c r="L104" s="121">
        <v>-0.10335070839166438</v>
      </c>
    </row>
    <row r="105" spans="1:12" x14ac:dyDescent="0.35">
      <c r="A105" s="77" t="s">
        <v>364</v>
      </c>
      <c r="B105" s="77">
        <v>2022</v>
      </c>
      <c r="C105" s="77" t="s">
        <v>44</v>
      </c>
      <c r="D105" s="155">
        <v>869.67984048621304</v>
      </c>
      <c r="E105" s="51">
        <v>166.54478652811878</v>
      </c>
      <c r="F105" s="156">
        <v>5221.8977166203858</v>
      </c>
      <c r="G105" s="121">
        <v>2.5856498493124856E-2</v>
      </c>
      <c r="H105" s="121">
        <v>0.12137878816243552</v>
      </c>
      <c r="I105" s="121">
        <v>-8.5182893307478844E-2</v>
      </c>
      <c r="J105" s="121">
        <v>4.508090793792506E-2</v>
      </c>
      <c r="K105" s="121">
        <v>0.27406922957131113</v>
      </c>
      <c r="L105" s="121">
        <v>-0.17972988933296372</v>
      </c>
    </row>
    <row r="106" spans="1:12" x14ac:dyDescent="0.35">
      <c r="A106" s="77" t="s">
        <v>364</v>
      </c>
      <c r="B106" s="77">
        <v>2023</v>
      </c>
      <c r="C106" s="77" t="s">
        <v>44</v>
      </c>
      <c r="D106" s="155">
        <v>1010.6012161770989</v>
      </c>
      <c r="E106" s="51">
        <v>184.46544542782064</v>
      </c>
      <c r="F106" s="156">
        <v>5478.5394296111481</v>
      </c>
      <c r="G106" s="121">
        <v>0.16203822272354931</v>
      </c>
      <c r="H106" s="121">
        <v>0.10760264114707792</v>
      </c>
      <c r="I106" s="121">
        <v>4.9147211783546932E-2</v>
      </c>
      <c r="J106" s="121">
        <v>0.21442396086249971</v>
      </c>
      <c r="K106" s="121">
        <v>0.41116244367740701</v>
      </c>
      <c r="L106" s="121">
        <v>-0.13941590048429739</v>
      </c>
    </row>
    <row r="107" spans="1:12" x14ac:dyDescent="0.35">
      <c r="A107" s="77" t="s">
        <v>365</v>
      </c>
      <c r="B107" s="77">
        <v>2018</v>
      </c>
      <c r="C107" s="77" t="s">
        <v>44</v>
      </c>
      <c r="D107" s="155">
        <v>663.95200936673405</v>
      </c>
      <c r="E107" s="51">
        <v>68.771628903159026</v>
      </c>
      <c r="F107" s="156">
        <v>9654.4464622421547</v>
      </c>
    </row>
    <row r="108" spans="1:12" x14ac:dyDescent="0.35">
      <c r="A108" s="77" t="s">
        <v>365</v>
      </c>
      <c r="B108" s="77">
        <v>2019</v>
      </c>
      <c r="C108" s="77" t="s">
        <v>44</v>
      </c>
      <c r="D108" s="155">
        <v>730.353269826207</v>
      </c>
      <c r="E108" s="51">
        <v>72.265350814747507</v>
      </c>
      <c r="F108" s="156">
        <v>10106.548457759101</v>
      </c>
      <c r="G108" s="121">
        <v>0.10000912644696312</v>
      </c>
      <c r="H108" s="121">
        <v>5.0801790902876169E-2</v>
      </c>
      <c r="I108" s="121">
        <v>4.6828370459672149E-2</v>
      </c>
      <c r="J108" s="121">
        <v>0.10000912644696312</v>
      </c>
      <c r="K108" s="121">
        <v>5.0801790902876169E-2</v>
      </c>
      <c r="L108" s="121">
        <v>4.6828370459672149E-2</v>
      </c>
    </row>
    <row r="109" spans="1:12" x14ac:dyDescent="0.35">
      <c r="A109" s="77" t="s">
        <v>365</v>
      </c>
      <c r="B109" s="77">
        <v>2020</v>
      </c>
      <c r="C109" s="77" t="s">
        <v>44</v>
      </c>
      <c r="D109" s="155">
        <v>811.01123382320782</v>
      </c>
      <c r="E109" s="51">
        <v>75.175261879983211</v>
      </c>
      <c r="F109" s="156">
        <v>10788.272811313669</v>
      </c>
      <c r="G109" s="121">
        <v>0.1104369177619948</v>
      </c>
      <c r="H109" s="121">
        <v>4.0267030221651755E-2</v>
      </c>
      <c r="I109" s="121">
        <v>6.7453726304670045E-2</v>
      </c>
      <c r="J109" s="121">
        <v>0.22149074388183013</v>
      </c>
      <c r="K109" s="121">
        <v>9.3114458374128073E-2</v>
      </c>
      <c r="L109" s="121">
        <v>0.11744084484862262</v>
      </c>
    </row>
    <row r="110" spans="1:12" x14ac:dyDescent="0.35">
      <c r="A110" s="77" t="s">
        <v>365</v>
      </c>
      <c r="B110" s="77">
        <v>2021</v>
      </c>
      <c r="C110" s="77" t="s">
        <v>44</v>
      </c>
      <c r="D110" s="155">
        <v>818.37768114201731</v>
      </c>
      <c r="E110" s="51">
        <v>80.609542275937557</v>
      </c>
      <c r="F110" s="156">
        <v>10152.367300890979</v>
      </c>
      <c r="G110" s="121">
        <v>9.0830398046191571E-3</v>
      </c>
      <c r="H110" s="121">
        <v>7.2288147191693686E-2</v>
      </c>
      <c r="I110" s="121">
        <v>-5.8944144400558306E-2</v>
      </c>
      <c r="J110" s="121">
        <v>0.23258559292948267</v>
      </c>
      <c r="K110" s="121">
        <v>0.17213367723844555</v>
      </c>
      <c r="L110" s="121">
        <v>5.1574250330783541E-2</v>
      </c>
    </row>
    <row r="111" spans="1:12" x14ac:dyDescent="0.35">
      <c r="A111" s="77" t="s">
        <v>365</v>
      </c>
      <c r="B111" s="77">
        <v>2022</v>
      </c>
      <c r="C111" s="77" t="s">
        <v>44</v>
      </c>
      <c r="D111" s="155">
        <v>847.62055274530258</v>
      </c>
      <c r="E111" s="51">
        <v>82.099865868517156</v>
      </c>
      <c r="F111" s="156">
        <v>10324.262333178058</v>
      </c>
      <c r="G111" s="121">
        <v>3.5732733525281217E-2</v>
      </c>
      <c r="H111" s="121">
        <v>1.8488178328541018E-2</v>
      </c>
      <c r="I111" s="121">
        <v>1.6931522195024709E-2</v>
      </c>
      <c r="J111" s="121">
        <v>0.27662924546873263</v>
      </c>
      <c r="K111" s="121">
        <v>0.1938042936881185</v>
      </c>
      <c r="L111" s="121">
        <v>6.9379003089975674E-2</v>
      </c>
    </row>
    <row r="112" spans="1:12" x14ac:dyDescent="0.35">
      <c r="A112" s="77" t="s">
        <v>365</v>
      </c>
      <c r="B112" s="77">
        <v>2023</v>
      </c>
      <c r="C112" s="77" t="s">
        <v>44</v>
      </c>
      <c r="D112" s="155">
        <v>860.1417015038528</v>
      </c>
      <c r="E112" s="51">
        <v>82.328574115811719</v>
      </c>
      <c r="F112" s="156">
        <v>10447.66912024846</v>
      </c>
      <c r="G112" s="121">
        <v>1.4772115562790801E-2</v>
      </c>
      <c r="H112" s="121">
        <v>2.7857322892687639E-3</v>
      </c>
      <c r="I112" s="121">
        <v>1.195308517818478E-2</v>
      </c>
      <c r="J112" s="121">
        <v>0.29548776021363515</v>
      </c>
      <c r="K112" s="121">
        <v>0.19712991285611317</v>
      </c>
      <c r="L112" s="121">
        <v>8.2161381401672479E-2</v>
      </c>
    </row>
    <row r="113" spans="1:12" x14ac:dyDescent="0.35">
      <c r="A113" s="77" t="s">
        <v>360</v>
      </c>
      <c r="B113" s="77">
        <v>2018</v>
      </c>
      <c r="C113" s="77" t="s">
        <v>12</v>
      </c>
      <c r="D113" s="155">
        <v>483.32378795250355</v>
      </c>
      <c r="E113" s="51">
        <v>443.95071878299001</v>
      </c>
      <c r="F113" s="156">
        <v>1089.3109355695713</v>
      </c>
    </row>
    <row r="114" spans="1:12" x14ac:dyDescent="0.35">
      <c r="A114" s="77" t="s">
        <v>360</v>
      </c>
      <c r="B114" s="77">
        <v>2019</v>
      </c>
      <c r="C114" s="77" t="s">
        <v>12</v>
      </c>
      <c r="D114" s="155">
        <v>530.32903244767056</v>
      </c>
      <c r="E114" s="51">
        <v>436.76064169917356</v>
      </c>
      <c r="F114" s="156">
        <v>1214.9529776986465</v>
      </c>
      <c r="G114" s="121">
        <v>9.7254150668425687E-2</v>
      </c>
      <c r="H114" s="121">
        <v>-1.619566492318502E-2</v>
      </c>
      <c r="I114" s="121">
        <v>0.11534084348779661</v>
      </c>
      <c r="J114" s="121">
        <v>9.7254150668425687E-2</v>
      </c>
      <c r="K114" s="121">
        <v>-1.619566492318502E-2</v>
      </c>
      <c r="L114" s="121">
        <v>0.11534084348779661</v>
      </c>
    </row>
    <row r="115" spans="1:12" x14ac:dyDescent="0.35">
      <c r="A115" s="77" t="s">
        <v>360</v>
      </c>
      <c r="B115" s="77">
        <v>2020</v>
      </c>
      <c r="C115" s="77" t="s">
        <v>12</v>
      </c>
      <c r="D115" s="155">
        <v>467.06917868340253</v>
      </c>
      <c r="E115" s="51">
        <v>443.6103817129985</v>
      </c>
      <c r="F115" s="156">
        <v>1053.1593973165545</v>
      </c>
      <c r="G115" s="121">
        <v>-0.11928416114105558</v>
      </c>
      <c r="H115" s="121">
        <v>1.5683052362906864E-2</v>
      </c>
      <c r="I115" s="121">
        <v>-0.13316859446573803</v>
      </c>
      <c r="J115" s="121">
        <v>-3.363089025259889E-2</v>
      </c>
      <c r="K115" s="121">
        <v>-7.6661002132055983E-4</v>
      </c>
      <c r="L115" s="121">
        <v>-3.3187528989703993E-2</v>
      </c>
    </row>
    <row r="116" spans="1:12" x14ac:dyDescent="0.35">
      <c r="A116" s="77" t="s">
        <v>360</v>
      </c>
      <c r="B116" s="77">
        <v>2021</v>
      </c>
      <c r="C116" s="77" t="s">
        <v>12</v>
      </c>
      <c r="D116" s="155">
        <v>452.30662799078095</v>
      </c>
      <c r="E116" s="51">
        <v>407.15557427683063</v>
      </c>
      <c r="F116" s="156">
        <v>1112.2916480969782</v>
      </c>
      <c r="G116" s="121">
        <v>-3.1606775540691801E-2</v>
      </c>
      <c r="H116" s="121">
        <v>-8.2177534473827862E-2</v>
      </c>
      <c r="I116" s="121">
        <v>5.6147484351459387E-2</v>
      </c>
      <c r="J116" s="121">
        <v>-6.4174701793843159E-2</v>
      </c>
      <c r="K116" s="121">
        <v>-8.2881146373693357E-2</v>
      </c>
      <c r="L116" s="121">
        <v>2.1096559097142385E-2</v>
      </c>
    </row>
    <row r="117" spans="1:12" x14ac:dyDescent="0.35">
      <c r="A117" s="77" t="s">
        <v>360</v>
      </c>
      <c r="B117" s="77">
        <v>2022</v>
      </c>
      <c r="C117" s="77" t="s">
        <v>12</v>
      </c>
      <c r="D117" s="155">
        <v>494.1789175310771</v>
      </c>
      <c r="E117" s="51">
        <v>405.79842819642869</v>
      </c>
      <c r="F117" s="156">
        <v>1218.8897980782895</v>
      </c>
      <c r="G117" s="121">
        <v>9.2575007636522197E-2</v>
      </c>
      <c r="H117" s="121">
        <v>-3.3332371362284345E-3</v>
      </c>
      <c r="I117" s="121">
        <v>9.5836510292682905E-2</v>
      </c>
      <c r="J117" s="121">
        <v>2.245933233404248E-2</v>
      </c>
      <c r="K117" s="121">
        <v>-8.5938120994935821E-2</v>
      </c>
      <c r="L117" s="121">
        <v>0.11895488999287877</v>
      </c>
    </row>
    <row r="118" spans="1:12" x14ac:dyDescent="0.35">
      <c r="A118" s="77" t="s">
        <v>360</v>
      </c>
      <c r="B118" s="77">
        <v>2023</v>
      </c>
      <c r="C118" s="77" t="s">
        <v>12</v>
      </c>
      <c r="D118" s="155">
        <v>491.18646141750133</v>
      </c>
      <c r="E118" s="51">
        <v>405.01025156046069</v>
      </c>
      <c r="F118" s="156">
        <v>1213.8600442939646</v>
      </c>
      <c r="G118" s="121">
        <v>-6.0554103127792485E-3</v>
      </c>
      <c r="H118" s="121">
        <v>-1.9422860740763621E-3</v>
      </c>
      <c r="I118" s="121">
        <v>-4.1265041288021161E-3</v>
      </c>
      <c r="J118" s="121">
        <v>1.6267921548629532E-2</v>
      </c>
      <c r="K118" s="121">
        <v>-8.7713490653371431E-2</v>
      </c>
      <c r="L118" s="121">
        <v>0.11433751801937984</v>
      </c>
    </row>
    <row r="119" spans="1:12" x14ac:dyDescent="0.35">
      <c r="A119" s="77" t="s">
        <v>361</v>
      </c>
      <c r="B119" s="77">
        <v>2018</v>
      </c>
      <c r="C119" s="77" t="s">
        <v>12</v>
      </c>
      <c r="D119" s="155">
        <v>3142.0459585541116</v>
      </c>
      <c r="E119" s="51">
        <v>17013.69111636149</v>
      </c>
      <c r="F119" s="156">
        <v>184.70488675801508</v>
      </c>
    </row>
    <row r="120" spans="1:12" x14ac:dyDescent="0.35">
      <c r="A120" s="77" t="s">
        <v>361</v>
      </c>
      <c r="B120" s="77">
        <v>2019</v>
      </c>
      <c r="C120" s="77" t="s">
        <v>12</v>
      </c>
      <c r="D120" s="155">
        <v>3165.559834394759</v>
      </c>
      <c r="E120" s="51">
        <v>17576.948401247962</v>
      </c>
      <c r="F120" s="156">
        <v>180.16560524093225</v>
      </c>
      <c r="G120" s="121">
        <v>7.4836193202813279E-3</v>
      </c>
      <c r="H120" s="121">
        <v>3.3106119126895837E-2</v>
      </c>
      <c r="I120" s="121">
        <v>-2.4575860426637303E-2</v>
      </c>
      <c r="J120" s="121">
        <v>7.4836193202813279E-3</v>
      </c>
      <c r="K120" s="121">
        <v>3.3106119126895837E-2</v>
      </c>
      <c r="L120" s="121">
        <v>-2.4575860426637303E-2</v>
      </c>
    </row>
    <row r="121" spans="1:12" x14ac:dyDescent="0.35">
      <c r="A121" s="77" t="s">
        <v>361</v>
      </c>
      <c r="B121" s="77">
        <v>2020</v>
      </c>
      <c r="C121" s="77" t="s">
        <v>12</v>
      </c>
      <c r="D121" s="155">
        <v>2737.8083788796603</v>
      </c>
      <c r="E121" s="51">
        <v>17260.672094627895</v>
      </c>
      <c r="F121" s="156">
        <v>158.6263044527297</v>
      </c>
      <c r="G121" s="121">
        <v>-0.13512663727516713</v>
      </c>
      <c r="H121" s="121">
        <v>-1.7993812088428967E-2</v>
      </c>
      <c r="I121" s="121">
        <v>-0.11955279010884697</v>
      </c>
      <c r="J121" s="121">
        <v>-0.12865425426828289</v>
      </c>
      <c r="K121" s="121">
        <v>1.4516601751920365E-2</v>
      </c>
      <c r="L121" s="121">
        <v>-0.14119053785215419</v>
      </c>
    </row>
    <row r="122" spans="1:12" x14ac:dyDescent="0.35">
      <c r="A122" s="77" t="s">
        <v>361</v>
      </c>
      <c r="B122" s="77">
        <v>2021</v>
      </c>
      <c r="C122" s="77" t="s">
        <v>12</v>
      </c>
      <c r="D122" s="155">
        <v>2555.1353009308191</v>
      </c>
      <c r="E122" s="51">
        <v>16381.118894654397</v>
      </c>
      <c r="F122" s="156">
        <v>156.07196974520264</v>
      </c>
      <c r="G122" s="121">
        <v>-6.6722375224665259E-2</v>
      </c>
      <c r="H122" s="121">
        <v>-5.0957065585368735E-2</v>
      </c>
      <c r="I122" s="121">
        <v>-1.6102844457857542E-2</v>
      </c>
      <c r="J122" s="121">
        <v>-0.18679251206541028</v>
      </c>
      <c r="K122" s="121">
        <v>-3.7180187260997657E-2</v>
      </c>
      <c r="L122" s="121">
        <v>-0.15501981304005724</v>
      </c>
    </row>
    <row r="123" spans="1:12" x14ac:dyDescent="0.35">
      <c r="A123" s="77" t="s">
        <v>360</v>
      </c>
      <c r="B123" s="77">
        <v>2022</v>
      </c>
      <c r="C123" s="77" t="s">
        <v>7</v>
      </c>
      <c r="D123" s="155">
        <v>421.26546991853525</v>
      </c>
      <c r="E123" s="51">
        <v>435.90655149033819</v>
      </c>
      <c r="F123" s="156">
        <v>966.41233878741684</v>
      </c>
      <c r="G123" s="121">
        <v>-0.83512987755870649</v>
      </c>
      <c r="H123" s="121">
        <v>-0.97338969613164916</v>
      </c>
      <c r="I123" s="121">
        <v>5.1920942009327247</v>
      </c>
      <c r="J123" s="121">
        <v>-0.86592638189404747</v>
      </c>
      <c r="K123" s="121">
        <v>-0.97437907221254649</v>
      </c>
      <c r="L123" s="121">
        <v>4.2321969155777106</v>
      </c>
    </row>
    <row r="124" spans="1:12" x14ac:dyDescent="0.35">
      <c r="A124" s="77" t="s">
        <v>360</v>
      </c>
      <c r="B124" s="77">
        <v>2023</v>
      </c>
      <c r="C124" s="77" t="s">
        <v>7</v>
      </c>
      <c r="D124" s="155">
        <v>428.59760933669548</v>
      </c>
      <c r="E124" s="51">
        <v>446.6187074377969</v>
      </c>
      <c r="F124" s="156">
        <v>959.65086216515181</v>
      </c>
      <c r="G124" s="121">
        <v>1.7405033029595649E-2</v>
      </c>
      <c r="H124" s="121">
        <v>2.4574432090626985E-2</v>
      </c>
      <c r="I124" s="121">
        <v>-6.9964717449167088E-3</v>
      </c>
      <c r="J124" s="121">
        <v>-0.86359282614251609</v>
      </c>
      <c r="K124" s="121">
        <v>-0.97374945246253486</v>
      </c>
      <c r="L124" s="121">
        <v>4.1955899976940314</v>
      </c>
    </row>
    <row r="125" spans="1:12" x14ac:dyDescent="0.35">
      <c r="A125" s="77" t="s">
        <v>362</v>
      </c>
      <c r="B125" s="77">
        <v>2018</v>
      </c>
      <c r="C125" s="77" t="s">
        <v>12</v>
      </c>
      <c r="D125" s="155">
        <v>569.07297348300563</v>
      </c>
      <c r="E125" s="51">
        <v>252.0726973324191</v>
      </c>
      <c r="F125" s="156">
        <v>2257.689279680133</v>
      </c>
    </row>
    <row r="126" spans="1:12" x14ac:dyDescent="0.35">
      <c r="A126" s="77" t="s">
        <v>362</v>
      </c>
      <c r="B126" s="77">
        <v>2019</v>
      </c>
      <c r="C126" s="77" t="s">
        <v>12</v>
      </c>
      <c r="D126" s="155">
        <v>463.70240472848042</v>
      </c>
      <c r="E126" s="51">
        <v>311.78543951554121</v>
      </c>
      <c r="F126" s="156">
        <v>1487.4911547855465</v>
      </c>
      <c r="G126" s="121">
        <v>-0.18516178708963399</v>
      </c>
      <c r="H126" s="121">
        <v>0.23688698861494054</v>
      </c>
      <c r="I126" s="121">
        <v>-0.34114443109005121</v>
      </c>
      <c r="J126" s="121">
        <v>-0.18516178708963399</v>
      </c>
      <c r="K126" s="121">
        <v>0.23688698861494054</v>
      </c>
      <c r="L126" s="121">
        <v>-0.34114443109005121</v>
      </c>
    </row>
    <row r="127" spans="1:12" x14ac:dyDescent="0.35">
      <c r="A127" s="77" t="s">
        <v>362</v>
      </c>
      <c r="B127" s="77">
        <v>2020</v>
      </c>
      <c r="C127" s="77" t="s">
        <v>12</v>
      </c>
      <c r="D127" s="155">
        <v>508.96681404859532</v>
      </c>
      <c r="E127" s="51">
        <v>284.31745991233339</v>
      </c>
      <c r="F127" s="156">
        <v>1790.3305377405034</v>
      </c>
      <c r="G127" s="121">
        <v>9.761521367701198E-2</v>
      </c>
      <c r="H127" s="121">
        <v>-8.8098981292674058E-2</v>
      </c>
      <c r="I127" s="121">
        <v>0.20359071177039539</v>
      </c>
      <c r="J127" s="121">
        <v>-0.10562118082419401</v>
      </c>
      <c r="K127" s="121">
        <v>0.12791850494380094</v>
      </c>
      <c r="L127" s="121">
        <v>-0.20700755686178593</v>
      </c>
    </row>
    <row r="128" spans="1:12" x14ac:dyDescent="0.35">
      <c r="A128" s="77" t="s">
        <v>362</v>
      </c>
      <c r="B128" s="77">
        <v>2021</v>
      </c>
      <c r="C128" s="77" t="s">
        <v>12</v>
      </c>
      <c r="D128" s="155">
        <v>547.66169513452951</v>
      </c>
      <c r="E128" s="51">
        <v>284.0769217295969</v>
      </c>
      <c r="F128" s="156">
        <v>1927.9920542956463</v>
      </c>
      <c r="G128" s="121">
        <v>7.6026334169283699E-2</v>
      </c>
      <c r="H128" s="121">
        <v>-8.4601973727063402E-4</v>
      </c>
      <c r="I128" s="121">
        <v>7.6891676510684695E-2</v>
      </c>
      <c r="J128" s="121">
        <v>-3.7624837843604826E-2</v>
      </c>
      <c r="K128" s="121">
        <v>0.12696426362658572</v>
      </c>
      <c r="L128" s="121">
        <v>-0.14603303844858487</v>
      </c>
    </row>
    <row r="129" spans="1:12" x14ac:dyDescent="0.35">
      <c r="A129" s="77" t="s">
        <v>361</v>
      </c>
      <c r="B129" s="77">
        <v>2022</v>
      </c>
      <c r="C129" s="77" t="s">
        <v>12</v>
      </c>
      <c r="D129" s="155">
        <v>2720.4982720283801</v>
      </c>
      <c r="E129" s="51">
        <v>17437.268362684063</v>
      </c>
      <c r="F129" s="156">
        <v>156.22841015439343</v>
      </c>
      <c r="G129" s="121">
        <v>3.967479552061985</v>
      </c>
      <c r="H129" s="121">
        <v>60.382206821017306</v>
      </c>
      <c r="I129" s="121">
        <v>-0.91896833298336988</v>
      </c>
      <c r="J129" s="121">
        <v>3.7805789394242302</v>
      </c>
      <c r="K129" s="121">
        <v>68.175553509822549</v>
      </c>
      <c r="L129" s="121">
        <v>-0.93080163352836243</v>
      </c>
    </row>
    <row r="130" spans="1:12" x14ac:dyDescent="0.35">
      <c r="A130" s="77" t="s">
        <v>361</v>
      </c>
      <c r="B130" s="77">
        <v>2023</v>
      </c>
      <c r="C130" s="77" t="s">
        <v>12</v>
      </c>
      <c r="D130" s="155">
        <v>2755.6054108761041</v>
      </c>
      <c r="E130" s="51">
        <v>17335.885613472812</v>
      </c>
      <c r="F130" s="156">
        <v>159.12535947527235</v>
      </c>
      <c r="G130" s="121">
        <v>1.2904672356784245E-2</v>
      </c>
      <c r="H130" s="121">
        <v>-5.8141417051429129E-3</v>
      </c>
      <c r="I130" s="121">
        <v>1.8543037838098679E-2</v>
      </c>
      <c r="J130" s="121">
        <v>3.8422707443132431</v>
      </c>
      <c r="K130" s="121">
        <v>67.773357039184745</v>
      </c>
      <c r="L130" s="121">
        <v>-0.92951848560054406</v>
      </c>
    </row>
    <row r="131" spans="1:12" x14ac:dyDescent="0.35">
      <c r="A131" s="77" t="s">
        <v>363</v>
      </c>
      <c r="B131" s="77">
        <v>2018</v>
      </c>
      <c r="C131" s="77" t="s">
        <v>12</v>
      </c>
      <c r="D131" s="155">
        <v>1917.6624516056743</v>
      </c>
      <c r="E131" s="51">
        <v>432.90083746632666</v>
      </c>
      <c r="F131" s="156">
        <v>4435.1936215320466</v>
      </c>
    </row>
    <row r="132" spans="1:12" x14ac:dyDescent="0.35">
      <c r="A132" s="77" t="s">
        <v>363</v>
      </c>
      <c r="B132" s="77">
        <v>2019</v>
      </c>
      <c r="C132" s="77" t="s">
        <v>12</v>
      </c>
      <c r="D132" s="155">
        <v>2070.3757937581322</v>
      </c>
      <c r="E132" s="51">
        <v>437.96664179414711</v>
      </c>
      <c r="F132" s="156">
        <v>4735.8904562989346</v>
      </c>
      <c r="G132" s="121">
        <v>7.9635152695715458E-2</v>
      </c>
      <c r="H132" s="121">
        <v>1.1701997061196468E-2</v>
      </c>
      <c r="I132" s="121">
        <v>6.7797904764982625E-2</v>
      </c>
      <c r="J132" s="121">
        <v>7.9635152695715458E-2</v>
      </c>
      <c r="K132" s="121">
        <v>1.1701997061196468E-2</v>
      </c>
      <c r="L132" s="121">
        <v>6.7797904764982625E-2</v>
      </c>
    </row>
    <row r="133" spans="1:12" x14ac:dyDescent="0.35">
      <c r="A133" s="77" t="s">
        <v>363</v>
      </c>
      <c r="B133" s="77">
        <v>2020</v>
      </c>
      <c r="C133" s="77" t="s">
        <v>12</v>
      </c>
      <c r="D133" s="155">
        <v>1962.8665018695697</v>
      </c>
      <c r="E133" s="51">
        <v>461.8274186072149</v>
      </c>
      <c r="F133" s="156">
        <v>4254.9462043829071</v>
      </c>
      <c r="G133" s="121">
        <v>-5.1927428929900876E-2</v>
      </c>
      <c r="H133" s="121">
        <v>5.4480808664607881E-2</v>
      </c>
      <c r="I133" s="121">
        <v>-0.10155307779054545</v>
      </c>
      <c r="J133" s="121">
        <v>2.3572475033886011E-2</v>
      </c>
      <c r="K133" s="121">
        <v>6.6820339988689206E-2</v>
      </c>
      <c r="L133" s="121">
        <v>-4.0640258922197102E-2</v>
      </c>
    </row>
    <row r="134" spans="1:12" x14ac:dyDescent="0.35">
      <c r="A134" s="77" t="s">
        <v>363</v>
      </c>
      <c r="B134" s="77">
        <v>2021</v>
      </c>
      <c r="C134" s="77" t="s">
        <v>12</v>
      </c>
      <c r="D134" s="155">
        <v>2026.3710401232604</v>
      </c>
      <c r="E134" s="51">
        <v>425.27223652868707</v>
      </c>
      <c r="F134" s="156">
        <v>4769.4930793424419</v>
      </c>
      <c r="G134" s="121">
        <v>3.2352958386729108E-2</v>
      </c>
      <c r="H134" s="121">
        <v>-7.9153338683899302E-2</v>
      </c>
      <c r="I134" s="121">
        <v>0.12092911408128114</v>
      </c>
      <c r="J134" s="121">
        <v>5.6688072724458645E-2</v>
      </c>
      <c r="K134" s="121">
        <v>-1.7622051697308124E-2</v>
      </c>
      <c r="L134" s="121">
        <v>7.5374264651588863E-2</v>
      </c>
    </row>
    <row r="135" spans="1:12" x14ac:dyDescent="0.35">
      <c r="A135" s="77" t="s">
        <v>361</v>
      </c>
      <c r="B135" s="77">
        <v>2022</v>
      </c>
      <c r="C135" s="77" t="s">
        <v>7</v>
      </c>
      <c r="D135" s="155">
        <v>2971.0607987386516</v>
      </c>
      <c r="E135" s="51">
        <v>19918.217483210137</v>
      </c>
      <c r="F135" s="156">
        <v>149.16298615792689</v>
      </c>
      <c r="G135" s="121">
        <v>0.46619781861762466</v>
      </c>
      <c r="H135" s="121">
        <v>45.836392720563921</v>
      </c>
      <c r="I135" s="121">
        <v>-0.96872561010645364</v>
      </c>
      <c r="J135" s="121">
        <v>0.54931374718786319</v>
      </c>
      <c r="K135" s="121">
        <v>45.011039386726715</v>
      </c>
      <c r="L135" s="121">
        <v>-0.96636832596580047</v>
      </c>
    </row>
    <row r="136" spans="1:12" x14ac:dyDescent="0.35">
      <c r="A136" s="77" t="s">
        <v>361</v>
      </c>
      <c r="B136" s="77">
        <v>2023</v>
      </c>
      <c r="C136" s="77" t="s">
        <v>7</v>
      </c>
      <c r="D136" s="155">
        <v>2988.4921621552694</v>
      </c>
      <c r="E136" s="51">
        <v>20134.259898410652</v>
      </c>
      <c r="F136" s="156">
        <v>148.42821028604948</v>
      </c>
      <c r="G136" s="121">
        <v>5.867050389550506E-3</v>
      </c>
      <c r="H136" s="121">
        <v>1.0846473354486925E-2</v>
      </c>
      <c r="I136" s="121">
        <v>-4.9259933097576267E-3</v>
      </c>
      <c r="J136" s="121">
        <v>0.5584036490118377</v>
      </c>
      <c r="K136" s="121">
        <v>45.510096899447092</v>
      </c>
      <c r="L136" s="121">
        <v>-0.96653399536708873</v>
      </c>
    </row>
    <row r="137" spans="1:12" x14ac:dyDescent="0.35">
      <c r="A137" s="77" t="s">
        <v>364</v>
      </c>
      <c r="B137" s="77">
        <v>2018</v>
      </c>
      <c r="C137" s="77" t="s">
        <v>12</v>
      </c>
      <c r="D137" s="155">
        <v>2652.2364623563653</v>
      </c>
      <c r="E137" s="51">
        <v>200.95518380674906</v>
      </c>
      <c r="F137" s="156">
        <v>13198.306898900457</v>
      </c>
    </row>
    <row r="138" spans="1:12" x14ac:dyDescent="0.35">
      <c r="A138" s="77" t="s">
        <v>364</v>
      </c>
      <c r="B138" s="77">
        <v>2019</v>
      </c>
      <c r="C138" s="77" t="s">
        <v>12</v>
      </c>
      <c r="D138" s="155">
        <v>2895.3731932936153</v>
      </c>
      <c r="E138" s="51">
        <v>205.39752329109581</v>
      </c>
      <c r="F138" s="156">
        <v>14097.970736606634</v>
      </c>
      <c r="G138" s="121">
        <v>9.1672343091624794E-2</v>
      </c>
      <c r="H138" s="121">
        <v>2.2106120380645543E-2</v>
      </c>
      <c r="I138" s="121">
        <v>6.8165094553236036E-2</v>
      </c>
      <c r="J138" s="121">
        <v>9.1672343091624794E-2</v>
      </c>
      <c r="K138" s="121">
        <v>2.2106120380645543E-2</v>
      </c>
      <c r="L138" s="121">
        <v>6.8165094553236036E-2</v>
      </c>
    </row>
    <row r="139" spans="1:12" x14ac:dyDescent="0.35">
      <c r="A139" s="77" t="s">
        <v>364</v>
      </c>
      <c r="B139" s="77">
        <v>2020</v>
      </c>
      <c r="C139" s="77" t="s">
        <v>12</v>
      </c>
      <c r="D139" s="155">
        <v>2555.6376812754588</v>
      </c>
      <c r="E139" s="51">
        <v>213.89377395990164</v>
      </c>
      <c r="F139" s="156">
        <v>11948.662994923721</v>
      </c>
      <c r="G139" s="121">
        <v>-0.11733738255402311</v>
      </c>
      <c r="H139" s="121">
        <v>4.1364912938919307E-2</v>
      </c>
      <c r="I139" s="121">
        <v>-0.15245511441600912</v>
      </c>
      <c r="J139" s="121">
        <v>-3.6421632253363957E-2</v>
      </c>
      <c r="K139" s="121">
        <v>6.4385451064527519E-2</v>
      </c>
      <c r="L139" s="121">
        <v>-9.4682137152064763E-2</v>
      </c>
    </row>
    <row r="140" spans="1:12" x14ac:dyDescent="0.35">
      <c r="A140" s="77" t="s">
        <v>364</v>
      </c>
      <c r="B140" s="77">
        <v>2021</v>
      </c>
      <c r="C140" s="77" t="s">
        <v>12</v>
      </c>
      <c r="D140" s="155">
        <v>2858.4704490341637</v>
      </c>
      <c r="E140" s="51">
        <v>208.13304912819194</v>
      </c>
      <c r="F140" s="156">
        <v>13734.906345103331</v>
      </c>
      <c r="G140" s="121">
        <v>0.11849597068375051</v>
      </c>
      <c r="H140" s="121">
        <v>-2.693264383090295E-2</v>
      </c>
      <c r="I140" s="121">
        <v>0.14949315676059141</v>
      </c>
      <c r="J140" s="121">
        <v>7.7758521762637603E-2</v>
      </c>
      <c r="K140" s="121">
        <v>3.5718736812211618E-2</v>
      </c>
      <c r="L140" s="121">
        <v>4.0656688036825213E-2</v>
      </c>
    </row>
    <row r="141" spans="1:12" x14ac:dyDescent="0.35">
      <c r="A141" s="77" t="s">
        <v>362</v>
      </c>
      <c r="B141" s="77">
        <v>2022</v>
      </c>
      <c r="C141" s="77" t="s">
        <v>12</v>
      </c>
      <c r="D141" s="155">
        <v>569.93821109907935</v>
      </c>
      <c r="E141" s="51">
        <v>268.84024842862112</v>
      </c>
      <c r="F141" s="156">
        <v>2120.7438911455297</v>
      </c>
      <c r="G141" s="121">
        <v>-0.80061427212177294</v>
      </c>
      <c r="H141" s="121">
        <v>0.29167496250457947</v>
      </c>
      <c r="I141" s="121">
        <v>-0.84559458667866327</v>
      </c>
      <c r="J141" s="121">
        <v>-0.78511033266139452</v>
      </c>
      <c r="K141" s="121">
        <v>0.33781196053720386</v>
      </c>
      <c r="L141" s="121">
        <v>-0.8393169739580606</v>
      </c>
    </row>
    <row r="142" spans="1:12" x14ac:dyDescent="0.35">
      <c r="A142" s="77" t="s">
        <v>362</v>
      </c>
      <c r="B142" s="77">
        <v>2023</v>
      </c>
      <c r="C142" s="77" t="s">
        <v>12</v>
      </c>
      <c r="D142" s="155">
        <v>662.69318727658231</v>
      </c>
      <c r="E142" s="51">
        <v>331.38326024038673</v>
      </c>
      <c r="F142" s="156">
        <v>2001.1404043122866</v>
      </c>
      <c r="G142" s="121">
        <v>0.16274567026947104</v>
      </c>
      <c r="H142" s="121">
        <v>0.23264006106723709</v>
      </c>
      <c r="I142" s="121">
        <v>-5.6396949830957062E-2</v>
      </c>
      <c r="J142" s="121">
        <v>-0.75013796971638946</v>
      </c>
      <c r="K142" s="121">
        <v>0.64904061673305913</v>
      </c>
      <c r="L142" s="121">
        <v>-0.84837900651643439</v>
      </c>
    </row>
    <row r="143" spans="1:12" x14ac:dyDescent="0.35">
      <c r="A143" s="77" t="s">
        <v>365</v>
      </c>
      <c r="B143" s="77">
        <v>2018</v>
      </c>
      <c r="C143" s="77" t="s">
        <v>12</v>
      </c>
      <c r="D143" s="155">
        <v>1716.8689402048117</v>
      </c>
      <c r="E143" s="51">
        <v>46.82347219379443</v>
      </c>
      <c r="F143" s="156">
        <v>36666.843780806797</v>
      </c>
    </row>
    <row r="144" spans="1:12" x14ac:dyDescent="0.35">
      <c r="A144" s="77" t="s">
        <v>365</v>
      </c>
      <c r="B144" s="77">
        <v>2019</v>
      </c>
      <c r="C144" s="77" t="s">
        <v>12</v>
      </c>
      <c r="D144" s="155">
        <v>1905.1714817731515</v>
      </c>
      <c r="E144" s="51">
        <v>49.513052730697204</v>
      </c>
      <c r="F144" s="156">
        <v>38478.166396554647</v>
      </c>
      <c r="G144" s="121">
        <v>0.1096778776520219</v>
      </c>
      <c r="H144" s="121">
        <v>5.7440860553251052E-2</v>
      </c>
      <c r="I144" s="121">
        <v>4.9399469083727991E-2</v>
      </c>
      <c r="J144" s="121">
        <v>0.1096778776520219</v>
      </c>
      <c r="K144" s="121">
        <v>5.7440860553251052E-2</v>
      </c>
      <c r="L144" s="121">
        <v>4.9399469083727991E-2</v>
      </c>
    </row>
    <row r="145" spans="1:12" x14ac:dyDescent="0.35">
      <c r="A145" s="77" t="s">
        <v>365</v>
      </c>
      <c r="B145" s="77">
        <v>2020</v>
      </c>
      <c r="C145" s="77" t="s">
        <v>12</v>
      </c>
      <c r="D145" s="155">
        <v>2131.5449916293965</v>
      </c>
      <c r="E145" s="51">
        <v>53.49133053588632</v>
      </c>
      <c r="F145" s="156">
        <v>39848.419739706856</v>
      </c>
      <c r="G145" s="121">
        <v>0.11882054293903145</v>
      </c>
      <c r="H145" s="121">
        <v>8.0348061486474553E-2</v>
      </c>
      <c r="I145" s="121">
        <v>3.561119126702729E-2</v>
      </c>
      <c r="J145" s="121">
        <v>0.24153040556206726</v>
      </c>
      <c r="K145" s="121">
        <v>0.14240418383529424</v>
      </c>
      <c r="L145" s="121">
        <v>8.6769834292785522E-2</v>
      </c>
    </row>
    <row r="146" spans="1:12" x14ac:dyDescent="0.35">
      <c r="A146" s="77" t="s">
        <v>365</v>
      </c>
      <c r="B146" s="77">
        <v>2021</v>
      </c>
      <c r="C146" s="77" t="s">
        <v>12</v>
      </c>
      <c r="D146" s="155">
        <v>2237.7165974049126</v>
      </c>
      <c r="E146" s="51">
        <v>56.336923203257854</v>
      </c>
      <c r="F146" s="156">
        <v>39720.248642820981</v>
      </c>
      <c r="G146" s="121">
        <v>4.9809694936045611E-2</v>
      </c>
      <c r="H146" s="121">
        <v>5.3197268395903517E-2</v>
      </c>
      <c r="I146" s="121">
        <v>-3.2164662419011661E-3</v>
      </c>
      <c r="J146" s="121">
        <v>0.30337065631693882</v>
      </c>
      <c r="K146" s="121">
        <v>0.20317696581938349</v>
      </c>
      <c r="L146" s="121">
        <v>8.3274275808066248E-2</v>
      </c>
    </row>
    <row r="147" spans="1:12" x14ac:dyDescent="0.35">
      <c r="A147" s="77" t="s">
        <v>362</v>
      </c>
      <c r="B147" s="77">
        <v>2022</v>
      </c>
      <c r="C147" s="77" t="s">
        <v>7</v>
      </c>
      <c r="D147" s="155">
        <v>490.58571217056561</v>
      </c>
      <c r="E147" s="51">
        <v>285.42099549684121</v>
      </c>
      <c r="F147" s="156">
        <v>1718.8143826511005</v>
      </c>
      <c r="G147" s="121">
        <v>-0.78076503845951739</v>
      </c>
      <c r="H147" s="121">
        <v>4.0663220365633288</v>
      </c>
      <c r="I147" s="121">
        <v>-0.95672699841062658</v>
      </c>
      <c r="J147" s="121">
        <v>-0.71425558428936242</v>
      </c>
      <c r="K147" s="121">
        <v>5.095681975816146</v>
      </c>
      <c r="L147" s="121">
        <v>-0.95312347054123014</v>
      </c>
    </row>
    <row r="148" spans="1:12" x14ac:dyDescent="0.35">
      <c r="A148" s="77" t="s">
        <v>362</v>
      </c>
      <c r="B148" s="77">
        <v>2023</v>
      </c>
      <c r="C148" s="77" t="s">
        <v>7</v>
      </c>
      <c r="D148" s="155">
        <v>538.63653661133549</v>
      </c>
      <c r="E148" s="51">
        <v>310.84854202426618</v>
      </c>
      <c r="F148" s="156">
        <v>1732.7941546828526</v>
      </c>
      <c r="G148" s="121">
        <v>9.7945829339733573E-2</v>
      </c>
      <c r="H148" s="121">
        <v>8.9087862941415519E-2</v>
      </c>
      <c r="I148" s="121">
        <v>8.1333808774568094E-3</v>
      </c>
      <c r="J148" s="121">
        <v>-0.68626811051338632</v>
      </c>
      <c r="K148" s="121">
        <v>5.6387332562121122</v>
      </c>
      <c r="L148" s="121">
        <v>-0.95274220587292868</v>
      </c>
    </row>
    <row r="149" spans="1:12" x14ac:dyDescent="0.35">
      <c r="A149" s="77" t="s">
        <v>360</v>
      </c>
      <c r="B149" s="77">
        <v>2018</v>
      </c>
      <c r="C149" s="77" t="s">
        <v>7</v>
      </c>
      <c r="D149" s="155">
        <v>392.29254111491554</v>
      </c>
      <c r="E149" s="51">
        <v>384.29887779809593</v>
      </c>
      <c r="F149" s="156">
        <v>1020.8015345901572</v>
      </c>
    </row>
    <row r="150" spans="1:12" x14ac:dyDescent="0.35">
      <c r="A150" s="77" t="s">
        <v>360</v>
      </c>
      <c r="B150" s="77">
        <v>2019</v>
      </c>
      <c r="C150" s="77" t="s">
        <v>7</v>
      </c>
      <c r="D150" s="155">
        <v>428.03861808723411</v>
      </c>
      <c r="E150" s="51">
        <v>406.24737195471658</v>
      </c>
      <c r="F150" s="156">
        <v>1053.6403374812392</v>
      </c>
      <c r="G150" s="121">
        <v>9.1120970260424511E-2</v>
      </c>
      <c r="H150" s="121">
        <v>5.7113084176509142E-2</v>
      </c>
      <c r="I150" s="121">
        <v>3.2169625317291922E-2</v>
      </c>
      <c r="J150" s="121">
        <v>9.1120970260424511E-2</v>
      </c>
      <c r="K150" s="121">
        <v>5.7113084176509142E-2</v>
      </c>
      <c r="L150" s="121">
        <v>3.2169625317291922E-2</v>
      </c>
    </row>
    <row r="151" spans="1:12" x14ac:dyDescent="0.35">
      <c r="A151" s="77" t="s">
        <v>360</v>
      </c>
      <c r="B151" s="77">
        <v>2020</v>
      </c>
      <c r="C151" s="77" t="s">
        <v>7</v>
      </c>
      <c r="D151" s="155">
        <v>358.59360807556402</v>
      </c>
      <c r="E151" s="51">
        <v>418.38453382884137</v>
      </c>
      <c r="F151" s="156">
        <v>857.09097512257119</v>
      </c>
      <c r="G151" s="121">
        <v>-0.16224005750228179</v>
      </c>
      <c r="H151" s="121">
        <v>2.9876284037789875E-2</v>
      </c>
      <c r="I151" s="121">
        <v>-0.18654312611884763</v>
      </c>
      <c r="J151" s="121">
        <v>-8.5902558696572248E-2</v>
      </c>
      <c r="K151" s="121">
        <v>8.8695694939430608E-2</v>
      </c>
      <c r="L151" s="121">
        <v>-0.16037452327431537</v>
      </c>
    </row>
    <row r="152" spans="1:12" x14ac:dyDescent="0.35">
      <c r="A152" s="77" t="s">
        <v>360</v>
      </c>
      <c r="B152" s="77">
        <v>2021</v>
      </c>
      <c r="C152" s="77" t="s">
        <v>7</v>
      </c>
      <c r="D152" s="155">
        <v>402.52213105253315</v>
      </c>
      <c r="E152" s="51">
        <v>442.66910438504209</v>
      </c>
      <c r="F152" s="156">
        <v>909.307035582975</v>
      </c>
      <c r="G152" s="121">
        <v>0.12250224763546921</v>
      </c>
      <c r="H152" s="121">
        <v>5.804366221179532E-2</v>
      </c>
      <c r="I152" s="121">
        <v>6.0922424778695722E-2</v>
      </c>
      <c r="J152" s="121">
        <v>2.6076432420929031E-2</v>
      </c>
      <c r="K152" s="121">
        <v>0.15188758010793069</v>
      </c>
      <c r="L152" s="121">
        <v>-0.1092225033262183</v>
      </c>
    </row>
    <row r="153" spans="1:12" x14ac:dyDescent="0.35">
      <c r="A153" s="77" t="s">
        <v>363</v>
      </c>
      <c r="B153" s="77">
        <v>2022</v>
      </c>
      <c r="C153" s="77" t="s">
        <v>12</v>
      </c>
      <c r="D153" s="155">
        <v>2176.8960787940555</v>
      </c>
      <c r="E153" s="51">
        <v>453.78349509519796</v>
      </c>
      <c r="F153" s="156">
        <v>4805.866558217248</v>
      </c>
      <c r="G153" s="121">
        <v>4.4081401017673461</v>
      </c>
      <c r="H153" s="121">
        <v>2.5107672073920846E-2</v>
      </c>
      <c r="I153" s="121">
        <v>4.285196715910276</v>
      </c>
      <c r="J153" s="121">
        <v>4.5491651016539976</v>
      </c>
      <c r="K153" s="121">
        <v>0.18080879573530284</v>
      </c>
      <c r="L153" s="121">
        <v>3.7079343000270479</v>
      </c>
    </row>
    <row r="154" spans="1:12" x14ac:dyDescent="0.35">
      <c r="A154" s="77" t="s">
        <v>363</v>
      </c>
      <c r="B154" s="77">
        <v>2023</v>
      </c>
      <c r="C154" s="77" t="s">
        <v>12</v>
      </c>
      <c r="D154" s="155">
        <v>2328.1127768254732</v>
      </c>
      <c r="E154" s="51">
        <v>478.25412371897409</v>
      </c>
      <c r="F154" s="156">
        <v>4878.5103439157192</v>
      </c>
      <c r="G154" s="121">
        <v>6.946436235724579E-2</v>
      </c>
      <c r="H154" s="121">
        <v>5.3925779338101526E-2</v>
      </c>
      <c r="I154" s="121">
        <v>1.5115647681532521E-2</v>
      </c>
      <c r="J154" s="121">
        <v>4.9346343170554743</v>
      </c>
      <c r="K154" s="121">
        <v>0.24448483029461418</v>
      </c>
      <c r="L154" s="121">
        <v>3.779097776214059</v>
      </c>
    </row>
    <row r="155" spans="1:12" x14ac:dyDescent="0.35">
      <c r="A155" s="77" t="s">
        <v>361</v>
      </c>
      <c r="B155" s="77">
        <v>2018</v>
      </c>
      <c r="C155" s="77" t="s">
        <v>7</v>
      </c>
      <c r="D155" s="155">
        <v>3169.8355146927379</v>
      </c>
      <c r="E155" s="51">
        <v>17456.689432990664</v>
      </c>
      <c r="F155" s="156">
        <v>181.58285549276019</v>
      </c>
    </row>
    <row r="156" spans="1:12" x14ac:dyDescent="0.35">
      <c r="A156" s="77" t="s">
        <v>361</v>
      </c>
      <c r="B156" s="77">
        <v>2019</v>
      </c>
      <c r="C156" s="77" t="s">
        <v>7</v>
      </c>
      <c r="D156" s="155">
        <v>3206.3734906778855</v>
      </c>
      <c r="E156" s="51">
        <v>18181.192769883983</v>
      </c>
      <c r="F156" s="156">
        <v>176.35660824129451</v>
      </c>
      <c r="G156" s="121">
        <v>1.1526773492122134E-2</v>
      </c>
      <c r="H156" s="121">
        <v>4.1502905787171175E-2</v>
      </c>
      <c r="I156" s="121">
        <v>-2.8781611773221909E-2</v>
      </c>
      <c r="J156" s="121">
        <v>1.1526773492122134E-2</v>
      </c>
      <c r="K156" s="121">
        <v>4.1502905787171175E-2</v>
      </c>
      <c r="L156" s="121">
        <v>-2.8781611773221909E-2</v>
      </c>
    </row>
    <row r="157" spans="1:12" x14ac:dyDescent="0.35">
      <c r="A157" s="77" t="s">
        <v>361</v>
      </c>
      <c r="B157" s="77">
        <v>2020</v>
      </c>
      <c r="C157" s="77" t="s">
        <v>7</v>
      </c>
      <c r="D157" s="155">
        <v>2815.1077473975001</v>
      </c>
      <c r="E157" s="51">
        <v>18219.260191889029</v>
      </c>
      <c r="F157" s="156">
        <v>154.51273639808647</v>
      </c>
      <c r="G157" s="121">
        <v>-0.12202750066950704</v>
      </c>
      <c r="H157" s="121">
        <v>2.093780231410465E-3</v>
      </c>
      <c r="I157" s="121">
        <v>-0.12386194121697344</v>
      </c>
      <c r="J157" s="121">
        <v>-0.11190731053741211</v>
      </c>
      <c r="K157" s="121">
        <v>4.3683583982264913E-2</v>
      </c>
      <c r="L157" s="121">
        <v>-0.14907860668461079</v>
      </c>
    </row>
    <row r="158" spans="1:12" x14ac:dyDescent="0.35">
      <c r="A158" s="77" t="s">
        <v>361</v>
      </c>
      <c r="B158" s="77">
        <v>2021</v>
      </c>
      <c r="C158" s="77" t="s">
        <v>7</v>
      </c>
      <c r="D158" s="155">
        <v>2881.1325884900607</v>
      </c>
      <c r="E158" s="51">
        <v>19148.681748431321</v>
      </c>
      <c r="F158" s="156">
        <v>150.46114538543031</v>
      </c>
      <c r="G158" s="121">
        <v>2.3453752757278633E-2</v>
      </c>
      <c r="H158" s="121">
        <v>5.1013133725158546E-2</v>
      </c>
      <c r="I158" s="121">
        <v>-2.6221728429025069E-2</v>
      </c>
      <c r="J158" s="121">
        <v>-9.1078204173209942E-2</v>
      </c>
      <c r="K158" s="121">
        <v>9.6925154218704929E-2</v>
      </c>
      <c r="L158" s="121">
        <v>-0.17139123637457457</v>
      </c>
    </row>
    <row r="159" spans="1:12" x14ac:dyDescent="0.35">
      <c r="A159" s="77" t="s">
        <v>363</v>
      </c>
      <c r="B159" s="77">
        <v>2022</v>
      </c>
      <c r="C159" s="77" t="s">
        <v>7</v>
      </c>
      <c r="D159" s="155">
        <v>2768.2057890359692</v>
      </c>
      <c r="E159" s="51">
        <v>440.22386361666622</v>
      </c>
      <c r="F159" s="156">
        <v>6288.1854094342834</v>
      </c>
      <c r="G159" s="121">
        <v>-3.9195280323171086E-2</v>
      </c>
      <c r="H159" s="121">
        <v>-0.97701022611372557</v>
      </c>
      <c r="I159" s="121">
        <v>40.792752496507255</v>
      </c>
      <c r="J159" s="121">
        <v>-0.12670364875248105</v>
      </c>
      <c r="K159" s="121">
        <v>-0.97478193873434527</v>
      </c>
      <c r="L159" s="121">
        <v>33.629840974634284</v>
      </c>
    </row>
    <row r="160" spans="1:12" x14ac:dyDescent="0.35">
      <c r="A160" s="77" t="s">
        <v>363</v>
      </c>
      <c r="B160" s="77">
        <v>2023</v>
      </c>
      <c r="C160" s="77" t="s">
        <v>7</v>
      </c>
      <c r="D160" s="155">
        <v>2896.8648083280468</v>
      </c>
      <c r="E160" s="51">
        <v>460.72164836206701</v>
      </c>
      <c r="F160" s="156">
        <v>6287.6816699448809</v>
      </c>
      <c r="G160" s="121">
        <v>4.6477404173366467E-2</v>
      </c>
      <c r="H160" s="121">
        <v>4.656218446905834E-2</v>
      </c>
      <c r="I160" s="121">
        <v>-8.0108879844213192E-5</v>
      </c>
      <c r="J160" s="121">
        <v>-8.6115101272423902E-2</v>
      </c>
      <c r="K160" s="121">
        <v>-0.97360773071374174</v>
      </c>
      <c r="L160" s="121">
        <v>33.627066816864627</v>
      </c>
    </row>
    <row r="161" spans="1:12" x14ac:dyDescent="0.35">
      <c r="A161" s="77" t="s">
        <v>362</v>
      </c>
      <c r="B161" s="77">
        <v>2018</v>
      </c>
      <c r="C161" s="77" t="s">
        <v>7</v>
      </c>
      <c r="D161" s="155">
        <v>377.80079768436394</v>
      </c>
      <c r="E161" s="51">
        <v>258.17091936741809</v>
      </c>
      <c r="F161" s="156">
        <v>1463.3747232649919</v>
      </c>
    </row>
    <row r="162" spans="1:12" x14ac:dyDescent="0.35">
      <c r="A162" s="77" t="s">
        <v>362</v>
      </c>
      <c r="B162" s="77">
        <v>2019</v>
      </c>
      <c r="C162" s="77" t="s">
        <v>7</v>
      </c>
      <c r="D162" s="155">
        <v>431.71480789251569</v>
      </c>
      <c r="E162" s="51">
        <v>279.60809805289557</v>
      </c>
      <c r="F162" s="156">
        <v>1543.9996584463909</v>
      </c>
      <c r="G162" s="121">
        <v>0.14270486070597063</v>
      </c>
      <c r="H162" s="121">
        <v>8.3034831103378365E-2</v>
      </c>
      <c r="I162" s="121">
        <v>5.5095208287808603E-2</v>
      </c>
      <c r="J162" s="121">
        <v>0.14270486070597063</v>
      </c>
      <c r="K162" s="121">
        <v>8.3034831103378365E-2</v>
      </c>
      <c r="L162" s="121">
        <v>5.5095208287808603E-2</v>
      </c>
    </row>
    <row r="163" spans="1:12" x14ac:dyDescent="0.35">
      <c r="A163" s="77" t="s">
        <v>362</v>
      </c>
      <c r="B163" s="77">
        <v>2020</v>
      </c>
      <c r="C163" s="77" t="s">
        <v>7</v>
      </c>
      <c r="D163" s="155">
        <v>431.82596835026658</v>
      </c>
      <c r="E163" s="51">
        <v>285.65690151412213</v>
      </c>
      <c r="F163" s="156">
        <v>1511.6945050561581</v>
      </c>
      <c r="G163" s="121">
        <v>2.5748585806804181E-4</v>
      </c>
      <c r="H163" s="121">
        <v>2.1633148336362765E-2</v>
      </c>
      <c r="I163" s="121">
        <v>-2.092303143560215E-2</v>
      </c>
      <c r="J163" s="121">
        <v>0.14299909104754804</v>
      </c>
      <c r="K163" s="121">
        <v>0.10646428425808535</v>
      </c>
      <c r="L163" s="121">
        <v>3.3019418077249583E-2</v>
      </c>
    </row>
    <row r="164" spans="1:12" x14ac:dyDescent="0.35">
      <c r="A164" s="77" t="s">
        <v>362</v>
      </c>
      <c r="B164" s="77">
        <v>2021</v>
      </c>
      <c r="C164" s="77" t="s">
        <v>7</v>
      </c>
      <c r="D164" s="155">
        <v>472.0346175609148</v>
      </c>
      <c r="E164" s="51">
        <v>297.59770509901603</v>
      </c>
      <c r="F164" s="156">
        <v>1586.1500592010968</v>
      </c>
      <c r="G164" s="121">
        <v>9.3113087580767764E-2</v>
      </c>
      <c r="H164" s="121">
        <v>4.1801208098252711E-2</v>
      </c>
      <c r="I164" s="121">
        <v>4.9253042791322997E-2</v>
      </c>
      <c r="J164" s="121">
        <v>0.24942726551699632</v>
      </c>
      <c r="K164" s="121">
        <v>0.15271582805764181</v>
      </c>
      <c r="L164" s="121">
        <v>8.3898767680075939E-2</v>
      </c>
    </row>
    <row r="165" spans="1:12" x14ac:dyDescent="0.35">
      <c r="A165" s="77" t="s">
        <v>364</v>
      </c>
      <c r="B165" s="77">
        <v>2022</v>
      </c>
      <c r="C165" s="77" t="s">
        <v>12</v>
      </c>
      <c r="D165" s="155">
        <v>2893.2684582461575</v>
      </c>
      <c r="E165" s="51">
        <v>227.8347103371199</v>
      </c>
      <c r="F165" s="156">
        <v>12700.998093968808</v>
      </c>
      <c r="G165" s="121">
        <v>5.1293565145628097</v>
      </c>
      <c r="H165" s="121">
        <v>-0.23442047289539664</v>
      </c>
      <c r="I165" s="121">
        <v>7.0074378967435003</v>
      </c>
      <c r="J165" s="121">
        <v>6.6581851493689976</v>
      </c>
      <c r="K165" s="121">
        <v>-0.11750436146963929</v>
      </c>
      <c r="L165" s="121">
        <v>7.6792520685550194</v>
      </c>
    </row>
    <row r="166" spans="1:12" x14ac:dyDescent="0.35">
      <c r="A166" s="77" t="s">
        <v>364</v>
      </c>
      <c r="B166" s="77">
        <v>2023</v>
      </c>
      <c r="C166" s="77" t="s">
        <v>12</v>
      </c>
      <c r="D166" s="155">
        <v>3106.1395108775209</v>
      </c>
      <c r="E166" s="51">
        <v>242.85331829540721</v>
      </c>
      <c r="F166" s="156">
        <v>12792.023780853486</v>
      </c>
      <c r="G166" s="121">
        <v>7.3574594166903443E-2</v>
      </c>
      <c r="H166" s="121">
        <v>6.5918875732607823E-2</v>
      </c>
      <c r="I166" s="121">
        <v>7.1668136796195327E-3</v>
      </c>
      <c r="J166" s="121">
        <v>7.2216330137888285</v>
      </c>
      <c r="K166" s="121">
        <v>-5.9331241138788043E-2</v>
      </c>
      <c r="L166" s="121">
        <v>7.7414546510088051</v>
      </c>
    </row>
    <row r="167" spans="1:12" x14ac:dyDescent="0.35">
      <c r="A167" s="77" t="s">
        <v>363</v>
      </c>
      <c r="B167" s="77">
        <v>2018</v>
      </c>
      <c r="C167" s="77" t="s">
        <v>7</v>
      </c>
      <c r="D167" s="155">
        <v>2376.2232104011109</v>
      </c>
      <c r="E167" s="51">
        <v>375.211543344007</v>
      </c>
      <c r="F167" s="156">
        <v>6333.0273778584497</v>
      </c>
    </row>
    <row r="168" spans="1:12" x14ac:dyDescent="0.35">
      <c r="A168" s="77" t="s">
        <v>363</v>
      </c>
      <c r="B168" s="77">
        <v>2019</v>
      </c>
      <c r="C168" s="77" t="s">
        <v>7</v>
      </c>
      <c r="D168" s="155">
        <v>2536.009794706576</v>
      </c>
      <c r="E168" s="51">
        <v>392.49199642677434</v>
      </c>
      <c r="F168" s="156">
        <v>6461.307559172521</v>
      </c>
      <c r="G168" s="121">
        <v>6.7243928771528516E-2</v>
      </c>
      <c r="H168" s="121">
        <v>4.6055227749014153E-2</v>
      </c>
      <c r="I168" s="121">
        <v>2.0255744000502021E-2</v>
      </c>
      <c r="J168" s="121">
        <v>6.7243928771528516E-2</v>
      </c>
      <c r="K168" s="121">
        <v>4.6055227749014153E-2</v>
      </c>
      <c r="L168" s="121">
        <v>2.0255744000502021E-2</v>
      </c>
    </row>
    <row r="169" spans="1:12" x14ac:dyDescent="0.35">
      <c r="A169" s="77" t="s">
        <v>363</v>
      </c>
      <c r="B169" s="77">
        <v>2020</v>
      </c>
      <c r="C169" s="77" t="s">
        <v>7</v>
      </c>
      <c r="D169" s="155">
        <v>2307.1765834839116</v>
      </c>
      <c r="E169" s="51">
        <v>418.79703158848031</v>
      </c>
      <c r="F169" s="156">
        <v>5509.0629809452648</v>
      </c>
      <c r="G169" s="121">
        <v>-9.0233567591224986E-2</v>
      </c>
      <c r="H169" s="121">
        <v>6.7020564498602705E-2</v>
      </c>
      <c r="I169" s="121">
        <v>-0.14737645120691439</v>
      </c>
      <c r="J169" s="121">
        <v>-2.905729841160171E-2</v>
      </c>
      <c r="K169" s="121">
        <v>0.1161624396094675</v>
      </c>
      <c r="L169" s="121">
        <v>-0.1301059268737621</v>
      </c>
    </row>
    <row r="170" spans="1:12" x14ac:dyDescent="0.35">
      <c r="A170" s="77" t="s">
        <v>363</v>
      </c>
      <c r="B170" s="77">
        <v>2021</v>
      </c>
      <c r="C170" s="77" t="s">
        <v>7</v>
      </c>
      <c r="D170" s="155">
        <v>2579.8460524708671</v>
      </c>
      <c r="E170" s="51">
        <v>411.55433945926819</v>
      </c>
      <c r="F170" s="156">
        <v>6268.5517542219732</v>
      </c>
      <c r="G170" s="121">
        <v>0.11818318152970145</v>
      </c>
      <c r="H170" s="121">
        <v>-1.7294038837240264E-2</v>
      </c>
      <c r="I170" s="121">
        <v>0.13786169733466952</v>
      </c>
      <c r="J170" s="121">
        <v>8.5691799145158704E-2</v>
      </c>
      <c r="K170" s="121">
        <v>9.6859483030192525E-2</v>
      </c>
      <c r="L170" s="121">
        <v>-1.0180853451209821E-2</v>
      </c>
    </row>
    <row r="171" spans="1:12" x14ac:dyDescent="0.35">
      <c r="A171" s="77" t="s">
        <v>364</v>
      </c>
      <c r="B171" s="77">
        <v>2022</v>
      </c>
      <c r="C171" s="77" t="s">
        <v>7</v>
      </c>
      <c r="D171" s="155">
        <v>2128.3126132662128</v>
      </c>
      <c r="E171" s="51">
        <v>203.75577899854335</v>
      </c>
      <c r="F171" s="156">
        <v>10445.409812309807</v>
      </c>
      <c r="G171" s="121">
        <v>-0.17502340450593737</v>
      </c>
      <c r="H171" s="121">
        <v>-0.50491160106280641</v>
      </c>
      <c r="I171" s="121">
        <v>0.66631946609911141</v>
      </c>
      <c r="J171" s="121">
        <v>-0.10432967578540332</v>
      </c>
      <c r="K171" s="121">
        <v>-0.45695759468750419</v>
      </c>
      <c r="L171" s="121">
        <v>0.64935491181185812</v>
      </c>
    </row>
    <row r="172" spans="1:12" x14ac:dyDescent="0.35">
      <c r="A172" s="77" t="s">
        <v>364</v>
      </c>
      <c r="B172" s="77">
        <v>2023</v>
      </c>
      <c r="C172" s="77" t="s">
        <v>7</v>
      </c>
      <c r="D172" s="155">
        <v>2443.2880972434305</v>
      </c>
      <c r="E172" s="51">
        <v>231.8443218526547</v>
      </c>
      <c r="F172" s="156">
        <v>10538.485815478487</v>
      </c>
      <c r="G172" s="121">
        <v>0.14799305422234982</v>
      </c>
      <c r="H172" s="121">
        <v>0.13785396906122677</v>
      </c>
      <c r="I172" s="121">
        <v>8.9107086118336287E-3</v>
      </c>
      <c r="J172" s="121">
        <v>2.8223311071437125E-2</v>
      </c>
      <c r="K172" s="121">
        <v>-0.38209704374662118</v>
      </c>
      <c r="L172" s="121">
        <v>0.66405183282851021</v>
      </c>
    </row>
    <row r="173" spans="1:12" x14ac:dyDescent="0.35">
      <c r="A173" s="77" t="s">
        <v>364</v>
      </c>
      <c r="B173" s="77">
        <v>2018</v>
      </c>
      <c r="C173" s="77" t="s">
        <v>7</v>
      </c>
      <c r="D173" s="155">
        <v>1924.8017346300346</v>
      </c>
      <c r="E173" s="51">
        <v>172.04695127733262</v>
      </c>
      <c r="F173" s="156">
        <v>11187.653837162934</v>
      </c>
    </row>
    <row r="174" spans="1:12" x14ac:dyDescent="0.35">
      <c r="A174" s="77" t="s">
        <v>364</v>
      </c>
      <c r="B174" s="77">
        <v>2019</v>
      </c>
      <c r="C174" s="77" t="s">
        <v>7</v>
      </c>
      <c r="D174" s="155">
        <v>2016.9356660788003</v>
      </c>
      <c r="E174" s="51">
        <v>177.30509735141783</v>
      </c>
      <c r="F174" s="156">
        <v>11375.508635723223</v>
      </c>
      <c r="G174" s="121">
        <v>4.7866712602726694E-2</v>
      </c>
      <c r="H174" s="121">
        <v>3.0562274048142175E-2</v>
      </c>
      <c r="I174" s="121">
        <v>1.6791259480721202E-2</v>
      </c>
      <c r="J174" s="121">
        <v>4.7866712602726694E-2</v>
      </c>
      <c r="K174" s="121">
        <v>3.0562274048142175E-2</v>
      </c>
      <c r="L174" s="121">
        <v>1.6791259480721202E-2</v>
      </c>
    </row>
    <row r="175" spans="1:12" x14ac:dyDescent="0.35">
      <c r="A175" s="77" t="s">
        <v>364</v>
      </c>
      <c r="B175" s="77">
        <v>2020</v>
      </c>
      <c r="C175" s="77" t="s">
        <v>7</v>
      </c>
      <c r="D175" s="155">
        <v>1842.1534764993585</v>
      </c>
      <c r="E175" s="51">
        <v>192.65981043140943</v>
      </c>
      <c r="F175" s="156">
        <v>9561.6904863258969</v>
      </c>
      <c r="G175" s="121">
        <v>-8.6657295281630062E-2</v>
      </c>
      <c r="H175" s="121">
        <v>8.6600516901996522E-2</v>
      </c>
      <c r="I175" s="121">
        <v>-0.1594494107895342</v>
      </c>
      <c r="J175" s="121">
        <v>-4.2938582527078786E-2</v>
      </c>
      <c r="K175" s="121">
        <v>0.11980949968040827</v>
      </c>
      <c r="L175" s="121">
        <v>-0.14533550773942819</v>
      </c>
    </row>
    <row r="176" spans="1:12" x14ac:dyDescent="0.35">
      <c r="A176" s="77" t="s">
        <v>364</v>
      </c>
      <c r="B176" s="77">
        <v>2021</v>
      </c>
      <c r="C176" s="77" t="s">
        <v>7</v>
      </c>
      <c r="D176" s="155">
        <v>2105.0239971645788</v>
      </c>
      <c r="E176" s="51">
        <v>190.46559051160042</v>
      </c>
      <c r="F176" s="156">
        <v>11051.991026360067</v>
      </c>
      <c r="G176" s="121">
        <v>0.14269740497667585</v>
      </c>
      <c r="H176" s="121">
        <v>-1.1389089997003735E-2</v>
      </c>
      <c r="I176" s="121">
        <v>0.15586161695627335</v>
      </c>
      <c r="J176" s="121">
        <v>9.3631598149606088E-2</v>
      </c>
      <c r="K176" s="121">
        <v>0.10705588850904837</v>
      </c>
      <c r="L176" s="121">
        <v>-1.2126118020583105E-2</v>
      </c>
    </row>
    <row r="177" spans="1:12" x14ac:dyDescent="0.35">
      <c r="A177" s="77" t="s">
        <v>365</v>
      </c>
      <c r="B177" s="77">
        <v>2022</v>
      </c>
      <c r="C177" s="77" t="s">
        <v>12</v>
      </c>
      <c r="D177" s="155">
        <v>2369.9171470534916</v>
      </c>
      <c r="E177" s="51">
        <v>58.203579873076727</v>
      </c>
      <c r="F177" s="156">
        <v>40717.721353592307</v>
      </c>
      <c r="G177" s="121">
        <v>0.12583854162504471</v>
      </c>
      <c r="H177" s="121">
        <v>-0.69441419987337916</v>
      </c>
      <c r="I177" s="121">
        <v>2.684197829737339</v>
      </c>
      <c r="J177" s="121">
        <v>0.23125260353581947</v>
      </c>
      <c r="K177" s="121">
        <v>-0.66169944052507534</v>
      </c>
      <c r="L177" s="121">
        <v>2.6395228120427681</v>
      </c>
    </row>
    <row r="178" spans="1:12" x14ac:dyDescent="0.35">
      <c r="A178" s="77" t="s">
        <v>365</v>
      </c>
      <c r="B178" s="77">
        <v>2023</v>
      </c>
      <c r="C178" s="77" t="s">
        <v>12</v>
      </c>
      <c r="D178" s="155">
        <v>2576.9480928803823</v>
      </c>
      <c r="E178" s="51">
        <v>62.054915103309284</v>
      </c>
      <c r="F178" s="156">
        <v>41526.994763112052</v>
      </c>
      <c r="G178" s="121">
        <v>8.735788341136376E-2</v>
      </c>
      <c r="H178" s="121">
        <v>6.6170074738204757E-2</v>
      </c>
      <c r="I178" s="121">
        <v>1.9875213607658006E-2</v>
      </c>
      <c r="J178" s="121">
        <v>0.33881222492543966</v>
      </c>
      <c r="K178" s="121">
        <v>-0.6393140672206431</v>
      </c>
      <c r="L178" s="121">
        <v>2.7118591053620622</v>
      </c>
    </row>
    <row r="179" spans="1:12" x14ac:dyDescent="0.35">
      <c r="A179" s="77" t="s">
        <v>365</v>
      </c>
      <c r="B179" s="77">
        <v>2018</v>
      </c>
      <c r="C179" s="77" t="s">
        <v>7</v>
      </c>
      <c r="D179" s="155">
        <v>1383.0364140987033</v>
      </c>
      <c r="E179" s="51">
        <v>63.978127501020182</v>
      </c>
      <c r="F179" s="156">
        <v>21617.331861996892</v>
      </c>
    </row>
    <row r="180" spans="1:12" x14ac:dyDescent="0.35">
      <c r="A180" s="77" t="s">
        <v>365</v>
      </c>
      <c r="B180" s="77">
        <v>2019</v>
      </c>
      <c r="C180" s="77" t="s">
        <v>7</v>
      </c>
      <c r="D180" s="155">
        <v>1434.7022500500836</v>
      </c>
      <c r="E180" s="51">
        <v>68.880698695188315</v>
      </c>
      <c r="F180" s="156">
        <v>20828.799318644327</v>
      </c>
      <c r="G180" s="121">
        <v>3.7356815355472715E-2</v>
      </c>
      <c r="H180" s="121">
        <v>7.662886342039249E-2</v>
      </c>
      <c r="I180" s="121">
        <v>-3.6476867190941321E-2</v>
      </c>
      <c r="J180" s="121">
        <v>3.7356815355472715E-2</v>
      </c>
      <c r="K180" s="121">
        <v>7.662886342039249E-2</v>
      </c>
      <c r="L180" s="121">
        <v>-3.6476867190941321E-2</v>
      </c>
    </row>
    <row r="181" spans="1:12" x14ac:dyDescent="0.35">
      <c r="A181" s="77" t="s">
        <v>365</v>
      </c>
      <c r="B181" s="77">
        <v>2020</v>
      </c>
      <c r="C181" s="77" t="s">
        <v>7</v>
      </c>
      <c r="D181" s="155">
        <v>1636.1521149535463</v>
      </c>
      <c r="E181" s="51">
        <v>69.998141651394988</v>
      </c>
      <c r="F181" s="156">
        <v>23374.222177238895</v>
      </c>
      <c r="G181" s="121">
        <v>0.14041231544484598</v>
      </c>
      <c r="H181" s="121">
        <v>1.6222874874594336E-2</v>
      </c>
      <c r="I181" s="121">
        <v>0.12220689342933475</v>
      </c>
      <c r="J181" s="121">
        <v>0.18301448774202619</v>
      </c>
      <c r="K181" s="121">
        <v>9.4094878758038236E-2</v>
      </c>
      <c r="L181" s="121">
        <v>8.1272301616954062E-2</v>
      </c>
    </row>
    <row r="182" spans="1:12" x14ac:dyDescent="0.35">
      <c r="A182" s="77" t="s">
        <v>365</v>
      </c>
      <c r="B182" s="77">
        <v>2021</v>
      </c>
      <c r="C182" s="77" t="s">
        <v>7</v>
      </c>
      <c r="D182" s="155">
        <v>1415.224911416464</v>
      </c>
      <c r="E182" s="51">
        <v>82.935620456298466</v>
      </c>
      <c r="F182" s="156">
        <v>17064.138468249515</v>
      </c>
      <c r="G182" s="121">
        <v>-0.13502852303152441</v>
      </c>
      <c r="H182" s="121">
        <v>0.18482603251575963</v>
      </c>
      <c r="I182" s="121">
        <v>-0.26995908831284859</v>
      </c>
      <c r="J182" s="121">
        <v>2.3273788737324975E-2</v>
      </c>
      <c r="K182" s="121">
        <v>0.29631209439469747</v>
      </c>
      <c r="L182" s="121">
        <v>-0.21062698314549433</v>
      </c>
    </row>
    <row r="183" spans="1:12" x14ac:dyDescent="0.35">
      <c r="A183" s="77" t="s">
        <v>365</v>
      </c>
      <c r="B183" s="77">
        <v>2022</v>
      </c>
      <c r="C183" s="77" t="s">
        <v>7</v>
      </c>
      <c r="D183" s="155">
        <v>1358.8268862896061</v>
      </c>
      <c r="E183" s="51">
        <v>86.556512472050841</v>
      </c>
      <c r="F183" s="156">
        <v>15698.725000367505</v>
      </c>
      <c r="G183" s="121">
        <v>-3.9850927348650519E-2</v>
      </c>
      <c r="H183" s="121">
        <v>4.3659069478600494E-2</v>
      </c>
      <c r="I183" s="121">
        <v>-8.0016548765270173E-2</v>
      </c>
      <c r="J183" s="121">
        <v>-1.7504620675424524E-2</v>
      </c>
      <c r="K183" s="121">
        <v>0.35290787418982572</v>
      </c>
      <c r="L183" s="121">
        <v>-0.2737898876426213</v>
      </c>
    </row>
    <row r="184" spans="1:12" x14ac:dyDescent="0.35">
      <c r="A184" s="77" t="s">
        <v>365</v>
      </c>
      <c r="B184" s="77">
        <v>2023</v>
      </c>
      <c r="C184" s="77" t="s">
        <v>7</v>
      </c>
      <c r="D184" s="155">
        <v>1462.2103003949796</v>
      </c>
      <c r="E184" s="51">
        <v>74.995450542132431</v>
      </c>
      <c r="F184" s="156">
        <v>19498.288208734601</v>
      </c>
      <c r="G184" s="121">
        <v>7.6082844068291008E-2</v>
      </c>
      <c r="H184" s="121">
        <v>-0.13356663293997068</v>
      </c>
      <c r="I184" s="121">
        <v>0.24203005073839742</v>
      </c>
      <c r="J184" s="121">
        <v>5.724642206754358E-2</v>
      </c>
      <c r="K184" s="121">
        <v>0.1722045247563172</v>
      </c>
      <c r="L184" s="121">
        <v>-9.8025217302027665E-2</v>
      </c>
    </row>
    <row r="185" spans="1:12" x14ac:dyDescent="0.35">
      <c r="A185" s="77" t="s">
        <v>360</v>
      </c>
      <c r="B185" s="77">
        <v>2018</v>
      </c>
      <c r="C185" s="77" t="s">
        <v>367</v>
      </c>
      <c r="D185" s="155">
        <v>357.78506544058808</v>
      </c>
      <c r="E185" s="51">
        <v>419.01313383455829</v>
      </c>
      <c r="F185" s="156">
        <v>854.17321689039147</v>
      </c>
    </row>
    <row r="186" spans="1:12" x14ac:dyDescent="0.35">
      <c r="A186" s="77" t="s">
        <v>360</v>
      </c>
      <c r="B186" s="77">
        <v>2019</v>
      </c>
      <c r="C186" s="77" t="s">
        <v>367</v>
      </c>
      <c r="D186" s="155">
        <v>391.26472459579998</v>
      </c>
      <c r="E186" s="51">
        <v>429.1993320932462</v>
      </c>
      <c r="F186" s="156">
        <v>911.9794356399259</v>
      </c>
      <c r="G186" s="121">
        <v>9.3574781032248949E-2</v>
      </c>
      <c r="H186" s="121">
        <v>2.430997368858083E-2</v>
      </c>
      <c r="I186" s="121">
        <v>6.7675054200338133E-2</v>
      </c>
      <c r="J186" s="121">
        <v>9.3574781032248949E-2</v>
      </c>
      <c r="K186" s="121">
        <v>2.430997368858083E-2</v>
      </c>
      <c r="L186" s="121">
        <v>6.7675054200338133E-2</v>
      </c>
    </row>
    <row r="187" spans="1:12" x14ac:dyDescent="0.35">
      <c r="A187" s="77" t="s">
        <v>360</v>
      </c>
      <c r="B187" s="77">
        <v>2020</v>
      </c>
      <c r="C187" s="77" t="s">
        <v>367</v>
      </c>
      <c r="D187" s="155">
        <v>353.33453037979172</v>
      </c>
      <c r="E187" s="51">
        <v>445.97272929714268</v>
      </c>
      <c r="F187" s="156">
        <v>792.59381327935091</v>
      </c>
      <c r="G187" s="121">
        <v>-9.6942534891670679E-2</v>
      </c>
      <c r="H187" s="121">
        <v>3.9080669399206694E-2</v>
      </c>
      <c r="I187" s="121">
        <v>-0.13090823947889069</v>
      </c>
      <c r="J187" s="121">
        <v>-1.2439130334620973E-2</v>
      </c>
      <c r="K187" s="121">
        <v>6.4340693132614368E-2</v>
      </c>
      <c r="L187" s="121">
        <v>-7.2092407480557313E-2</v>
      </c>
    </row>
    <row r="188" spans="1:12" x14ac:dyDescent="0.35">
      <c r="A188" s="77" t="s">
        <v>360</v>
      </c>
      <c r="B188" s="77">
        <v>2021</v>
      </c>
      <c r="C188" s="77" t="s">
        <v>367</v>
      </c>
      <c r="D188" s="155">
        <v>387.7560761462442</v>
      </c>
      <c r="E188" s="51">
        <v>455.30542694155469</v>
      </c>
      <c r="F188" s="156">
        <v>852.05933513044658</v>
      </c>
      <c r="G188" s="121">
        <v>9.7419139107218028E-2</v>
      </c>
      <c r="H188" s="121">
        <v>2.0926610600429378E-2</v>
      </c>
      <c r="I188" s="121">
        <v>7.5026477440011202E-2</v>
      </c>
      <c r="J188" s="121">
        <v>8.3768199404155794E-2</v>
      </c>
      <c r="K188" s="121">
        <v>8.6613736363991681E-2</v>
      </c>
      <c r="L188" s="121">
        <v>-2.4747694239822368E-3</v>
      </c>
    </row>
    <row r="189" spans="1:12" x14ac:dyDescent="0.35">
      <c r="A189" s="77" t="s">
        <v>360</v>
      </c>
      <c r="B189" s="77">
        <v>2022</v>
      </c>
      <c r="C189" s="77" t="s">
        <v>367</v>
      </c>
      <c r="D189" s="155">
        <v>414.67947412916328</v>
      </c>
      <c r="E189" s="51">
        <v>446.82658880028549</v>
      </c>
      <c r="F189" s="156">
        <v>928.36319735272366</v>
      </c>
      <c r="G189" s="121">
        <v>6.9433851947596006E-2</v>
      </c>
      <c r="H189" s="121">
        <v>-1.8622308541816655E-2</v>
      </c>
      <c r="I189" s="121">
        <v>8.955228711929468E-2</v>
      </c>
      <c r="J189" s="121">
        <v>0.15901840010709667</v>
      </c>
      <c r="K189" s="121">
        <v>6.6378480099645212E-2</v>
      </c>
      <c r="L189" s="121">
        <v>8.6855896433301924E-2</v>
      </c>
    </row>
    <row r="190" spans="1:12" x14ac:dyDescent="0.35">
      <c r="A190" s="77" t="s">
        <v>360</v>
      </c>
      <c r="B190" s="77">
        <v>2023</v>
      </c>
      <c r="C190" s="77" t="s">
        <v>367</v>
      </c>
      <c r="D190" s="155">
        <v>441.30240639420157</v>
      </c>
      <c r="E190" s="51">
        <v>466.09216922355421</v>
      </c>
      <c r="F190" s="156">
        <v>946.9846462212837</v>
      </c>
      <c r="G190" s="121">
        <v>6.4201229928119968E-2</v>
      </c>
      <c r="H190" s="121">
        <v>4.3116459284565312E-2</v>
      </c>
      <c r="I190" s="121">
        <v>2.0058366080926166E-2</v>
      </c>
      <c r="J190" s="121">
        <v>0.23342880690329412</v>
      </c>
      <c r="K190" s="121">
        <v>0.1123569444187982</v>
      </c>
      <c r="L190" s="121">
        <v>0.10865644988117427</v>
      </c>
    </row>
    <row r="191" spans="1:12" x14ac:dyDescent="0.35">
      <c r="A191" s="77" t="s">
        <v>361</v>
      </c>
      <c r="B191" s="77">
        <v>2018</v>
      </c>
      <c r="C191" s="77" t="s">
        <v>367</v>
      </c>
      <c r="D191" s="155">
        <v>1749.0948323574271</v>
      </c>
      <c r="E191" s="51">
        <v>16366.469912386952</v>
      </c>
      <c r="F191" s="156">
        <v>106.8848553895549</v>
      </c>
    </row>
    <row r="192" spans="1:12" x14ac:dyDescent="0.35">
      <c r="A192" s="77" t="s">
        <v>361</v>
      </c>
      <c r="B192" s="77">
        <v>2019</v>
      </c>
      <c r="C192" s="77" t="s">
        <v>367</v>
      </c>
      <c r="D192" s="155">
        <v>1783.038599342927</v>
      </c>
      <c r="E192" s="51">
        <v>16682.053935189546</v>
      </c>
      <c r="F192" s="156">
        <v>106.91263565408804</v>
      </c>
      <c r="G192" s="121">
        <v>1.9406476056961733E-2</v>
      </c>
      <c r="H192" s="121">
        <v>1.9282351325116482E-2</v>
      </c>
      <c r="I192" s="121">
        <v>2.5990833249375046E-4</v>
      </c>
      <c r="J192" s="121">
        <v>1.9406476056961733E-2</v>
      </c>
      <c r="K192" s="121">
        <v>1.9282351325116482E-2</v>
      </c>
      <c r="L192" s="121">
        <v>2.5990833249375046E-4</v>
      </c>
    </row>
    <row r="193" spans="1:12" x14ac:dyDescent="0.35">
      <c r="A193" s="77" t="s">
        <v>361</v>
      </c>
      <c r="B193" s="77">
        <v>2020</v>
      </c>
      <c r="C193" s="77" t="s">
        <v>367</v>
      </c>
      <c r="D193" s="155">
        <v>1774.0281937277914</v>
      </c>
      <c r="E193" s="51">
        <v>18067.542326413721</v>
      </c>
      <c r="F193" s="156">
        <v>98.211053538720876</v>
      </c>
      <c r="G193" s="121">
        <v>-5.0533990786604662E-3</v>
      </c>
      <c r="H193" s="121">
        <v>8.3052626289715478E-2</v>
      </c>
      <c r="I193" s="121">
        <v>-8.1389651112154918E-2</v>
      </c>
      <c r="J193" s="121">
        <v>1.425500831007497E-2</v>
      </c>
      <c r="K193" s="121">
        <v>0.10393642753342386</v>
      </c>
      <c r="L193" s="121">
        <v>-8.1150896628163979E-2</v>
      </c>
    </row>
    <row r="194" spans="1:12" x14ac:dyDescent="0.35">
      <c r="A194" s="77" t="s">
        <v>361</v>
      </c>
      <c r="B194" s="77">
        <v>2021</v>
      </c>
      <c r="C194" s="77" t="s">
        <v>367</v>
      </c>
      <c r="D194" s="155">
        <v>1796.3644267113295</v>
      </c>
      <c r="E194" s="51">
        <v>18608.961396730559</v>
      </c>
      <c r="F194" s="156">
        <v>96.555773245768876</v>
      </c>
      <c r="G194" s="121">
        <v>1.2590686586892785E-2</v>
      </c>
      <c r="H194" s="121">
        <v>2.9966392801820913E-2</v>
      </c>
      <c r="I194" s="121">
        <v>-1.6854317648668599E-2</v>
      </c>
      <c r="J194" s="121">
        <v>2.7025175238893463E-2</v>
      </c>
      <c r="K194" s="121">
        <v>0.13701742014912935</v>
      </c>
      <c r="L194" s="121">
        <v>-9.663747128758722E-2</v>
      </c>
    </row>
    <row r="195" spans="1:12" x14ac:dyDescent="0.35">
      <c r="A195" s="77" t="s">
        <v>361</v>
      </c>
      <c r="B195" s="77">
        <v>2022</v>
      </c>
      <c r="C195" s="77" t="s">
        <v>367</v>
      </c>
      <c r="D195" s="155">
        <v>1904.8250874271225</v>
      </c>
      <c r="E195" s="51">
        <v>19847.182973854851</v>
      </c>
      <c r="F195" s="156">
        <v>96.0226021553961</v>
      </c>
      <c r="G195" s="121">
        <v>6.0377871607241694E-2</v>
      </c>
      <c r="H195" s="121">
        <v>6.6538994343974353E-2</v>
      </c>
      <c r="I195" s="121">
        <v>-5.5218975774308674E-3</v>
      </c>
      <c r="J195" s="121">
        <v>8.9034769406872272E-2</v>
      </c>
      <c r="K195" s="121">
        <v>0.21267341583743257</v>
      </c>
      <c r="L195" s="121">
        <v>-0.10162574664642612</v>
      </c>
    </row>
    <row r="196" spans="1:12" x14ac:dyDescent="0.35">
      <c r="A196" s="77" t="s">
        <v>361</v>
      </c>
      <c r="B196" s="77">
        <v>2023</v>
      </c>
      <c r="C196" s="77" t="s">
        <v>367</v>
      </c>
      <c r="D196" s="155">
        <v>1977.8714060646182</v>
      </c>
      <c r="E196" s="51">
        <v>20122.804674121078</v>
      </c>
      <c r="F196" s="156">
        <v>98.318395664393748</v>
      </c>
      <c r="G196" s="121">
        <v>3.834804524554037E-2</v>
      </c>
      <c r="H196" s="121">
        <v>1.3887195005422672E-2</v>
      </c>
      <c r="I196" s="121">
        <v>2.3908886631527643E-2</v>
      </c>
      <c r="J196" s="121">
        <v>0.13079712401805363</v>
      </c>
      <c r="K196" s="121">
        <v>0.22951404804105902</v>
      </c>
      <c r="L196" s="121">
        <v>-8.0146618470312236E-2</v>
      </c>
    </row>
    <row r="197" spans="1:12" x14ac:dyDescent="0.35">
      <c r="A197" s="77" t="s">
        <v>362</v>
      </c>
      <c r="B197" s="77">
        <v>2018</v>
      </c>
      <c r="C197" s="77" t="s">
        <v>367</v>
      </c>
      <c r="D197" s="155">
        <v>228.64301439754587</v>
      </c>
      <c r="E197" s="51">
        <v>124.59060781364074</v>
      </c>
      <c r="F197" s="156">
        <v>1835.3501857489325</v>
      </c>
    </row>
    <row r="198" spans="1:12" x14ac:dyDescent="0.35">
      <c r="A198" s="77" t="s">
        <v>362</v>
      </c>
      <c r="B198" s="77">
        <v>2019</v>
      </c>
      <c r="C198" s="77" t="s">
        <v>367</v>
      </c>
      <c r="D198" s="155">
        <v>229.43172760341699</v>
      </c>
      <c r="E198" s="51">
        <v>120.31819663098817</v>
      </c>
      <c r="F198" s="156">
        <v>1907.2925098310679</v>
      </c>
      <c r="G198" s="121">
        <v>3.4495399212143367E-3</v>
      </c>
      <c r="H198" s="121">
        <v>-3.4291599163262229E-2</v>
      </c>
      <c r="I198" s="121">
        <v>3.9198145749378431E-2</v>
      </c>
      <c r="J198" s="121">
        <v>3.4495399212143367E-3</v>
      </c>
      <c r="K198" s="121">
        <v>-3.4291599163262229E-2</v>
      </c>
      <c r="L198" s="121">
        <v>3.9198145749378431E-2</v>
      </c>
    </row>
    <row r="199" spans="1:12" x14ac:dyDescent="0.35">
      <c r="A199" s="77" t="s">
        <v>362</v>
      </c>
      <c r="B199" s="77">
        <v>2020</v>
      </c>
      <c r="C199" s="77" t="s">
        <v>367</v>
      </c>
      <c r="D199" s="155">
        <v>329.2952195195017</v>
      </c>
      <c r="E199" s="51">
        <v>165.96097880024254</v>
      </c>
      <c r="F199" s="156">
        <v>1984.3371881020262</v>
      </c>
      <c r="G199" s="121">
        <v>0.43526452491655049</v>
      </c>
      <c r="H199" s="121">
        <v>0.37935061734044467</v>
      </c>
      <c r="I199" s="121">
        <v>4.0394788882058892E-2</v>
      </c>
      <c r="J199" s="121">
        <v>0.44021552719275281</v>
      </c>
      <c r="K199" s="121">
        <v>0.33205047886500788</v>
      </c>
      <c r="L199" s="121">
        <v>8.1176335453551643E-2</v>
      </c>
    </row>
    <row r="200" spans="1:12" x14ac:dyDescent="0.35">
      <c r="A200" s="77" t="s">
        <v>362</v>
      </c>
      <c r="B200" s="77">
        <v>2021</v>
      </c>
      <c r="C200" s="77" t="s">
        <v>367</v>
      </c>
      <c r="D200" s="155">
        <v>386.09439104280108</v>
      </c>
      <c r="E200" s="51">
        <v>181.3932270674301</v>
      </c>
      <c r="F200" s="156">
        <v>2128.6843354226917</v>
      </c>
      <c r="G200" s="121">
        <v>0.17248708197519275</v>
      </c>
      <c r="H200" s="121">
        <v>9.2987209275033553E-2</v>
      </c>
      <c r="I200" s="121">
        <v>7.2743255625184494E-2</v>
      </c>
      <c r="J200" s="121">
        <v>0.68863410089359467</v>
      </c>
      <c r="K200" s="121">
        <v>0.45591413550813703</v>
      </c>
      <c r="L200" s="121">
        <v>0.15982462199934958</v>
      </c>
    </row>
    <row r="201" spans="1:12" x14ac:dyDescent="0.35">
      <c r="A201" s="77" t="s">
        <v>362</v>
      </c>
      <c r="B201" s="77">
        <v>2022</v>
      </c>
      <c r="C201" s="77" t="s">
        <v>367</v>
      </c>
      <c r="D201" s="155">
        <v>415.06909739896423</v>
      </c>
      <c r="E201" s="51">
        <v>185.04959277784263</v>
      </c>
      <c r="F201" s="156">
        <v>2243.4926979123793</v>
      </c>
      <c r="G201" s="121">
        <v>7.5045654711288254E-2</v>
      </c>
      <c r="H201" s="121">
        <v>2.0157123667320462E-2</v>
      </c>
      <c r="I201" s="121">
        <v>5.393395374748703E-2</v>
      </c>
      <c r="J201" s="121">
        <v>0.81535875256296197</v>
      </c>
      <c r="K201" s="121">
        <v>0.48526117678657449</v>
      </c>
      <c r="L201" s="121">
        <v>0.22237854951745911</v>
      </c>
    </row>
    <row r="202" spans="1:12" x14ac:dyDescent="0.35">
      <c r="A202" s="77" t="s">
        <v>362</v>
      </c>
      <c r="B202" s="77">
        <v>2023</v>
      </c>
      <c r="C202" s="77" t="s">
        <v>367</v>
      </c>
      <c r="D202" s="155">
        <v>468.68186903574821</v>
      </c>
      <c r="E202" s="51">
        <v>209.44496544566206</v>
      </c>
      <c r="F202" s="156">
        <v>2238.2178068662597</v>
      </c>
      <c r="G202" s="121">
        <v>0.12916589544427443</v>
      </c>
      <c r="H202" s="121">
        <v>0.13183153932744276</v>
      </c>
      <c r="I202" s="121">
        <v>-2.3511959949894185E-3</v>
      </c>
      <c r="J202" s="121">
        <v>1.049841191390358</v>
      </c>
      <c r="K202" s="121">
        <v>0.68106544402563773</v>
      </c>
      <c r="L202" s="121">
        <v>0.21950449796747271</v>
      </c>
    </row>
    <row r="203" spans="1:12" x14ac:dyDescent="0.35">
      <c r="A203" s="77" t="s">
        <v>363</v>
      </c>
      <c r="B203" s="77">
        <v>2018</v>
      </c>
      <c r="C203" s="77" t="s">
        <v>367</v>
      </c>
      <c r="D203" s="155">
        <v>1147.1767606292406</v>
      </c>
      <c r="E203" s="51">
        <v>457.65762724176102</v>
      </c>
      <c r="F203" s="156">
        <v>2507.9268495674078</v>
      </c>
    </row>
    <row r="204" spans="1:12" x14ac:dyDescent="0.35">
      <c r="A204" s="77" t="s">
        <v>363</v>
      </c>
      <c r="B204" s="77">
        <v>2019</v>
      </c>
      <c r="C204" s="77" t="s">
        <v>367</v>
      </c>
      <c r="D204" s="155">
        <v>1237.2908943128141</v>
      </c>
      <c r="E204" s="51">
        <v>470.61109945767862</v>
      </c>
      <c r="F204" s="156">
        <v>2631.0849763211968</v>
      </c>
      <c r="G204" s="121">
        <v>7.8552963044809951E-2</v>
      </c>
      <c r="H204" s="121">
        <v>2.8303848652072902E-2</v>
      </c>
      <c r="I204" s="121">
        <v>4.9107543457670051E-2</v>
      </c>
      <c r="J204" s="121">
        <v>7.8552963044809951E-2</v>
      </c>
      <c r="K204" s="121">
        <v>2.8303848652072902E-2</v>
      </c>
      <c r="L204" s="121">
        <v>4.9107543457670051E-2</v>
      </c>
    </row>
    <row r="205" spans="1:12" x14ac:dyDescent="0.35">
      <c r="A205" s="77" t="s">
        <v>363</v>
      </c>
      <c r="B205" s="77">
        <v>2020</v>
      </c>
      <c r="C205" s="77" t="s">
        <v>367</v>
      </c>
      <c r="D205" s="155">
        <v>1181.0372754631755</v>
      </c>
      <c r="E205" s="51">
        <v>493.92845715555347</v>
      </c>
      <c r="F205" s="156">
        <v>2392.5929728065007</v>
      </c>
      <c r="G205" s="121">
        <v>-4.5465152219423349E-2</v>
      </c>
      <c r="H205" s="121">
        <v>4.9546977801299713E-2</v>
      </c>
      <c r="I205" s="121">
        <v>-9.0643976025494025E-2</v>
      </c>
      <c r="J205" s="121">
        <v>2.951638840326758E-2</v>
      </c>
      <c r="K205" s="121">
        <v>7.9253196614228222E-2</v>
      </c>
      <c r="L205" s="121">
        <v>-4.5987735559671922E-2</v>
      </c>
    </row>
    <row r="206" spans="1:12" x14ac:dyDescent="0.35">
      <c r="A206" s="77" t="s">
        <v>363</v>
      </c>
      <c r="B206" s="77">
        <v>2021</v>
      </c>
      <c r="C206" s="77" t="s">
        <v>367</v>
      </c>
      <c r="D206" s="155">
        <v>1285.2846871690324</v>
      </c>
      <c r="E206" s="51">
        <v>465.27758521014243</v>
      </c>
      <c r="F206" s="156">
        <v>2764.0379988918062</v>
      </c>
      <c r="G206" s="121">
        <v>8.8267672724362936E-2</v>
      </c>
      <c r="H206" s="121">
        <v>-5.8006117141754375E-2</v>
      </c>
      <c r="I206" s="121">
        <v>0.15524789644834663</v>
      </c>
      <c r="J206" s="121">
        <v>0.12038940403921532</v>
      </c>
      <c r="K206" s="121">
        <v>1.6649909265810434E-2</v>
      </c>
      <c r="L206" s="121">
        <v>0.10212066168061282</v>
      </c>
    </row>
    <row r="207" spans="1:12" x14ac:dyDescent="0.35">
      <c r="A207" s="77" t="s">
        <v>363</v>
      </c>
      <c r="B207" s="77">
        <v>2022</v>
      </c>
      <c r="C207" s="77" t="s">
        <v>367</v>
      </c>
      <c r="D207" s="155">
        <v>1354.5810567570122</v>
      </c>
      <c r="E207" s="51">
        <v>509.67192170009514</v>
      </c>
      <c r="F207" s="156">
        <v>2659.8018027229632</v>
      </c>
      <c r="G207" s="121">
        <v>5.3915191147738628E-2</v>
      </c>
      <c r="H207" s="121">
        <v>9.5414732841475752E-2</v>
      </c>
      <c r="I207" s="121">
        <v>-3.7711564099565456E-2</v>
      </c>
      <c r="J207" s="121">
        <v>0.18079541291789056</v>
      </c>
      <c r="K207" s="121">
        <v>0.11365328875171829</v>
      </c>
      <c r="L207" s="121">
        <v>6.0557967702188895E-2</v>
      </c>
    </row>
    <row r="208" spans="1:12" x14ac:dyDescent="0.35">
      <c r="A208" s="77" t="s">
        <v>363</v>
      </c>
      <c r="B208" s="77">
        <v>2023</v>
      </c>
      <c r="C208" s="77" t="s">
        <v>367</v>
      </c>
      <c r="D208" s="155">
        <v>1463.6176109250378</v>
      </c>
      <c r="E208" s="51">
        <v>545.81449982267122</v>
      </c>
      <c r="F208" s="156">
        <v>2683.6815242498756</v>
      </c>
      <c r="G208" s="121">
        <v>8.0494669273663666E-2</v>
      </c>
      <c r="H208" s="121">
        <v>7.0913418188737032E-2</v>
      </c>
      <c r="I208" s="121">
        <v>8.978007873543652E-3</v>
      </c>
      <c r="J208" s="121">
        <v>0.27584314916057528</v>
      </c>
      <c r="K208" s="121">
        <v>0.19262625013423121</v>
      </c>
      <c r="L208" s="121">
        <v>7.0079665486568604E-2</v>
      </c>
    </row>
    <row r="209" spans="1:12" x14ac:dyDescent="0.35">
      <c r="A209" s="77" t="s">
        <v>364</v>
      </c>
      <c r="B209" s="77">
        <v>2018</v>
      </c>
      <c r="C209" s="77" t="s">
        <v>367</v>
      </c>
      <c r="D209" s="155">
        <v>1574.5754974347783</v>
      </c>
      <c r="E209" s="51">
        <v>186.78446919205186</v>
      </c>
      <c r="F209" s="156">
        <v>8430.9196452460474</v>
      </c>
    </row>
    <row r="210" spans="1:12" x14ac:dyDescent="0.35">
      <c r="A210" s="77" t="s">
        <v>364</v>
      </c>
      <c r="B210" s="77">
        <v>2019</v>
      </c>
      <c r="C210" s="77" t="s">
        <v>367</v>
      </c>
      <c r="D210" s="155">
        <v>1698.8470736167219</v>
      </c>
      <c r="E210" s="51">
        <v>193.55464389852006</v>
      </c>
      <c r="F210" s="156">
        <v>8779.006076277612</v>
      </c>
      <c r="G210" s="121">
        <v>7.8923860039992244E-2</v>
      </c>
      <c r="H210" s="121">
        <v>3.6245918816232528E-2</v>
      </c>
      <c r="I210" s="121">
        <v>4.1286887513847979E-2</v>
      </c>
      <c r="J210" s="121">
        <v>7.8923860039992244E-2</v>
      </c>
      <c r="K210" s="121">
        <v>3.6245918816232528E-2</v>
      </c>
      <c r="L210" s="121">
        <v>4.1286887513847979E-2</v>
      </c>
    </row>
    <row r="211" spans="1:12" x14ac:dyDescent="0.35">
      <c r="A211" s="77" t="s">
        <v>364</v>
      </c>
      <c r="B211" s="77">
        <v>2020</v>
      </c>
      <c r="C211" s="77" t="s">
        <v>367</v>
      </c>
      <c r="D211" s="155">
        <v>1516.7242698392115</v>
      </c>
      <c r="E211" s="51">
        <v>200.73245030923053</v>
      </c>
      <c r="F211" s="156">
        <v>7557.3547677923598</v>
      </c>
      <c r="G211" s="121">
        <v>-0.10720376578086231</v>
      </c>
      <c r="H211" s="121">
        <v>3.7084134310276587E-2</v>
      </c>
      <c r="I211" s="121">
        <v>-0.13915599304417442</v>
      </c>
      <c r="J211" s="121">
        <v>-3.6740840747118954E-2</v>
      </c>
      <c r="K211" s="121">
        <v>7.4674201648089661E-2</v>
      </c>
      <c r="L211" s="121">
        <v>-0.10361442336201906</v>
      </c>
    </row>
    <row r="212" spans="1:12" x14ac:dyDescent="0.35">
      <c r="A212" s="77" t="s">
        <v>364</v>
      </c>
      <c r="B212" s="77">
        <v>2021</v>
      </c>
      <c r="C212" s="77" t="s">
        <v>367</v>
      </c>
      <c r="D212" s="155">
        <v>1698.3916392034098</v>
      </c>
      <c r="E212" s="51">
        <v>200.41105653153173</v>
      </c>
      <c r="F212" s="156">
        <v>8476.1998419537867</v>
      </c>
      <c r="G212" s="121">
        <v>0.11977613398607838</v>
      </c>
      <c r="H212" s="121">
        <v>-1.6011052383592748E-3</v>
      </c>
      <c r="I212" s="121">
        <v>0.12158289539050424</v>
      </c>
      <c r="J212" s="121">
        <v>7.8634617374871332E-2</v>
      </c>
      <c r="K212" s="121">
        <v>7.2953535154301336E-2</v>
      </c>
      <c r="L212" s="121">
        <v>5.3707304319133885E-3</v>
      </c>
    </row>
    <row r="213" spans="1:12" x14ac:dyDescent="0.35">
      <c r="A213" s="77" t="s">
        <v>364</v>
      </c>
      <c r="B213" s="77">
        <v>2022</v>
      </c>
      <c r="C213" s="77" t="s">
        <v>367</v>
      </c>
      <c r="D213" s="155">
        <v>1739.5142168688462</v>
      </c>
      <c r="E213" s="51">
        <v>218.82513805721399</v>
      </c>
      <c r="F213" s="156">
        <v>7950.7782771854354</v>
      </c>
      <c r="G213" s="121">
        <v>2.4212659033533635E-2</v>
      </c>
      <c r="H213" s="121">
        <v>9.1881565041223551E-2</v>
      </c>
      <c r="I213" s="121">
        <v>-6.1987868923019669E-2</v>
      </c>
      <c r="J213" s="121">
        <v>0.10475122958713511</v>
      </c>
      <c r="K213" s="121">
        <v>0.171538185180792</v>
      </c>
      <c r="L213" s="121">
        <v>-5.6950058625140597E-2</v>
      </c>
    </row>
    <row r="214" spans="1:12" x14ac:dyDescent="0.35">
      <c r="A214" s="77" t="s">
        <v>364</v>
      </c>
      <c r="B214" s="77">
        <v>2023</v>
      </c>
      <c r="C214" s="77" t="s">
        <v>367</v>
      </c>
      <c r="D214" s="155">
        <v>1956.1121940942096</v>
      </c>
      <c r="E214" s="51">
        <v>236.07744849326008</v>
      </c>
      <c r="F214" s="156">
        <v>8286.5299440827985</v>
      </c>
      <c r="G214" s="121">
        <v>0.12451635929440302</v>
      </c>
      <c r="H214" s="121">
        <v>7.8840624021611724E-2</v>
      </c>
      <c r="I214" s="121">
        <v>4.2228780025320829E-2</v>
      </c>
      <c r="J214" s="121">
        <v>0.24231083062134035</v>
      </c>
      <c r="K214" s="121">
        <v>0.26390298676559215</v>
      </c>
      <c r="L214" s="121">
        <v>-1.7126210097929955E-2</v>
      </c>
    </row>
    <row r="215" spans="1:12" x14ac:dyDescent="0.35">
      <c r="A215" s="77" t="s">
        <v>365</v>
      </c>
      <c r="B215" s="77">
        <v>2018</v>
      </c>
      <c r="C215" s="77" t="s">
        <v>367</v>
      </c>
      <c r="D215" s="155">
        <v>1157.7997260619377</v>
      </c>
      <c r="E215" s="51">
        <v>69.075670226366199</v>
      </c>
      <c r="F215" s="156">
        <v>16761.325968724144</v>
      </c>
    </row>
    <row r="216" spans="1:12" x14ac:dyDescent="0.35">
      <c r="A216" s="77" t="s">
        <v>365</v>
      </c>
      <c r="B216" s="77">
        <v>2019</v>
      </c>
      <c r="C216" s="77" t="s">
        <v>367</v>
      </c>
      <c r="D216" s="155">
        <v>1247.659580355933</v>
      </c>
      <c r="E216" s="51">
        <v>72.740227563630881</v>
      </c>
      <c r="F216" s="156">
        <v>17152.267626434463</v>
      </c>
      <c r="G216" s="121">
        <v>7.7612606283505192E-2</v>
      </c>
      <c r="H216" s="121">
        <v>5.3051346809312894E-2</v>
      </c>
      <c r="I216" s="121">
        <v>2.3324029282635359E-2</v>
      </c>
      <c r="J216" s="121">
        <v>7.7612606283505192E-2</v>
      </c>
      <c r="K216" s="121">
        <v>5.3051346809312894E-2</v>
      </c>
      <c r="L216" s="121">
        <v>2.3324029282635359E-2</v>
      </c>
    </row>
    <row r="217" spans="1:12" x14ac:dyDescent="0.35">
      <c r="A217" s="77" t="s">
        <v>365</v>
      </c>
      <c r="B217" s="77">
        <v>2020</v>
      </c>
      <c r="C217" s="77" t="s">
        <v>367</v>
      </c>
      <c r="D217" s="155">
        <v>1417.1020511529787</v>
      </c>
      <c r="E217" s="51">
        <v>76.69409697394444</v>
      </c>
      <c r="F217" s="156">
        <v>18477.330266007644</v>
      </c>
      <c r="G217" s="121">
        <v>0.13580825528443183</v>
      </c>
      <c r="H217" s="121">
        <v>5.4356022007971266E-2</v>
      </c>
      <c r="I217" s="121">
        <v>7.7252913051044175E-2</v>
      </c>
      <c r="J217" s="121">
        <v>0.22396129421537739</v>
      </c>
      <c r="K217" s="121">
        <v>0.11029102899200369</v>
      </c>
      <c r="L217" s="121">
        <v>0.10237879153985098</v>
      </c>
    </row>
    <row r="218" spans="1:12" x14ac:dyDescent="0.35">
      <c r="A218" s="77" t="s">
        <v>365</v>
      </c>
      <c r="B218" s="77">
        <v>2021</v>
      </c>
      <c r="C218" s="77" t="s">
        <v>367</v>
      </c>
      <c r="D218" s="155">
        <v>1412.5311988804669</v>
      </c>
      <c r="E218" s="51">
        <v>80.761803143593951</v>
      </c>
      <c r="F218" s="156">
        <v>17490.183054609322</v>
      </c>
      <c r="G218" s="121">
        <v>-3.2254926656783856E-3</v>
      </c>
      <c r="H218" s="121">
        <v>5.3038060687140599E-2</v>
      </c>
      <c r="I218" s="121">
        <v>-5.3424774964073447E-2</v>
      </c>
      <c r="J218" s="121">
        <v>0.22001341603781147</v>
      </c>
      <c r="K218" s="121">
        <v>0.16917871196806936</v>
      </c>
      <c r="L218" s="121">
        <v>4.3484452676667201E-2</v>
      </c>
    </row>
    <row r="219" spans="1:12" x14ac:dyDescent="0.35">
      <c r="A219" s="77" t="s">
        <v>365</v>
      </c>
      <c r="B219" s="77">
        <v>2022</v>
      </c>
      <c r="C219" s="77" t="s">
        <v>367</v>
      </c>
      <c r="D219" s="155">
        <v>1507.9921207571333</v>
      </c>
      <c r="E219" s="51">
        <v>84.28271076606211</v>
      </c>
      <c r="F219" s="156">
        <v>17892.317582522915</v>
      </c>
      <c r="G219" s="121">
        <v>6.7581460821768774E-2</v>
      </c>
      <c r="H219" s="121">
        <v>4.3596198765002904E-2</v>
      </c>
      <c r="I219" s="121">
        <v>2.2992013671784609E-2</v>
      </c>
      <c r="J219" s="121">
        <v>0.3024637049158031</v>
      </c>
      <c r="K219" s="121">
        <v>0.22015045948683939</v>
      </c>
      <c r="L219" s="121">
        <v>6.7476261478903815E-2</v>
      </c>
    </row>
    <row r="220" spans="1:12" x14ac:dyDescent="0.35">
      <c r="A220" s="77" t="s">
        <v>365</v>
      </c>
      <c r="B220" s="77">
        <v>2023</v>
      </c>
      <c r="C220" s="77" t="s">
        <v>367</v>
      </c>
      <c r="D220" s="155">
        <v>1642.7717469498116</v>
      </c>
      <c r="E220" s="51">
        <v>86.787482918253119</v>
      </c>
      <c r="F220" s="156">
        <v>18928.769744096211</v>
      </c>
      <c r="G220" s="121">
        <v>8.937687693289012E-2</v>
      </c>
      <c r="H220" s="121">
        <v>2.9718694729021448E-2</v>
      </c>
      <c r="I220" s="121">
        <v>5.7927216907087235E-2</v>
      </c>
      <c r="J220" s="121">
        <v>0.41887384317961895</v>
      </c>
      <c r="K220" s="121">
        <v>0.25641173851580401</v>
      </c>
      <c r="L220" s="121">
        <v>0.12931219042075884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5110-E438-4DF2-A15D-22F60C760312}">
  <sheetPr>
    <tabColor theme="0" tint="-0.499984740745262"/>
  </sheetPr>
  <dimension ref="A1:M14"/>
  <sheetViews>
    <sheetView tabSelected="1" workbookViewId="0">
      <selection activeCell="L25" sqref="L25"/>
    </sheetView>
  </sheetViews>
  <sheetFormatPr defaultRowHeight="14.5" x14ac:dyDescent="0.35"/>
  <cols>
    <col min="1" max="1" width="15.90625" bestFit="1" customWidth="1"/>
    <col min="2" max="2" width="5" bestFit="1" customWidth="1"/>
    <col min="5" max="6" width="14.90625" bestFit="1" customWidth="1"/>
    <col min="8" max="8" width="15" bestFit="1" customWidth="1"/>
    <col min="9" max="9" width="13.36328125" bestFit="1" customWidth="1"/>
    <col min="10" max="10" width="24.453125" bestFit="1" customWidth="1"/>
    <col min="11" max="11" width="17" bestFit="1" customWidth="1"/>
    <col min="12" max="12" width="15.36328125" bestFit="1" customWidth="1"/>
    <col min="13" max="13" width="26.54296875" bestFit="1" customWidth="1"/>
  </cols>
  <sheetData>
    <row r="1" spans="1:13" s="77" customFormat="1" ht="18.5" x14ac:dyDescent="0.45">
      <c r="A1" s="1" t="s">
        <v>308</v>
      </c>
      <c r="B1" s="1"/>
      <c r="C1" s="1"/>
      <c r="D1" s="1"/>
    </row>
    <row r="2" spans="1:13" s="77" customFormat="1" ht="15.5" x14ac:dyDescent="0.35">
      <c r="A2" s="2" t="s">
        <v>372</v>
      </c>
      <c r="B2" s="28"/>
      <c r="C2" s="29"/>
      <c r="D2" s="29"/>
      <c r="E2" s="29"/>
    </row>
    <row r="3" spans="1:13" s="77" customFormat="1" x14ac:dyDescent="0.35"/>
    <row r="4" spans="1:13" x14ac:dyDescent="0.35">
      <c r="A4" s="33" t="s">
        <v>8</v>
      </c>
      <c r="B4" s="33" t="s">
        <v>350</v>
      </c>
      <c r="C4" s="33" t="s">
        <v>41</v>
      </c>
      <c r="D4" s="161" t="s">
        <v>368</v>
      </c>
      <c r="E4" s="158" t="s">
        <v>369</v>
      </c>
      <c r="F4" s="158" t="s">
        <v>370</v>
      </c>
      <c r="G4" s="161" t="s">
        <v>31</v>
      </c>
      <c r="H4" s="158" t="s">
        <v>351</v>
      </c>
      <c r="I4" s="158" t="s">
        <v>352</v>
      </c>
      <c r="J4" s="159" t="s">
        <v>353</v>
      </c>
      <c r="K4" s="158" t="s">
        <v>354</v>
      </c>
      <c r="L4" s="33" t="s">
        <v>355</v>
      </c>
      <c r="M4" s="162" t="s">
        <v>356</v>
      </c>
    </row>
    <row r="5" spans="1:13" x14ac:dyDescent="0.35">
      <c r="A5" s="77" t="s">
        <v>360</v>
      </c>
      <c r="B5" s="77">
        <v>2022</v>
      </c>
      <c r="C5" s="77" t="s">
        <v>44</v>
      </c>
      <c r="D5" s="78">
        <v>83340</v>
      </c>
      <c r="E5" s="51">
        <v>20242469.25</v>
      </c>
      <c r="F5" s="51">
        <v>20242469.25</v>
      </c>
      <c r="G5" s="78">
        <v>1356936</v>
      </c>
      <c r="H5" s="51">
        <v>14.917777441235254</v>
      </c>
      <c r="I5" s="51">
        <v>242.89019978401728</v>
      </c>
      <c r="J5" s="156">
        <v>61.417782415677678</v>
      </c>
      <c r="K5" s="77"/>
      <c r="L5" s="77"/>
      <c r="M5" s="77"/>
    </row>
    <row r="6" spans="1:13" x14ac:dyDescent="0.35">
      <c r="A6" s="77" t="s">
        <v>360</v>
      </c>
      <c r="B6" s="77">
        <v>2023</v>
      </c>
      <c r="C6" s="77" t="s">
        <v>44</v>
      </c>
      <c r="D6" s="78">
        <v>93915</v>
      </c>
      <c r="E6" s="51">
        <v>24024563.850000001</v>
      </c>
      <c r="F6" s="51">
        <v>24024563.850000001</v>
      </c>
      <c r="G6" s="78">
        <v>1450940</v>
      </c>
      <c r="H6" s="51">
        <v>16.557930617392863</v>
      </c>
      <c r="I6" s="51">
        <v>255.81178565724326</v>
      </c>
      <c r="J6" s="156">
        <v>64.727004562559443</v>
      </c>
      <c r="K6" s="121">
        <v>0.10994621568920508</v>
      </c>
      <c r="L6" s="121">
        <v>5.3199288751526845E-2</v>
      </c>
      <c r="M6" s="121">
        <v>5.3880521515492621E-2</v>
      </c>
    </row>
    <row r="7" spans="1:13" x14ac:dyDescent="0.35">
      <c r="A7" s="77" t="s">
        <v>362</v>
      </c>
      <c r="B7" s="77">
        <v>2022</v>
      </c>
      <c r="C7" s="77" t="s">
        <v>44</v>
      </c>
      <c r="D7" s="78">
        <v>699520</v>
      </c>
      <c r="E7" s="51">
        <v>111128153.3</v>
      </c>
      <c r="F7" s="51">
        <v>111128153.3</v>
      </c>
      <c r="G7" s="78">
        <v>1356936</v>
      </c>
      <c r="H7" s="51">
        <v>81.896385164812486</v>
      </c>
      <c r="I7" s="51">
        <v>158.86343964432754</v>
      </c>
      <c r="J7" s="156">
        <v>515.51436471580087</v>
      </c>
      <c r="K7" s="77"/>
      <c r="L7" s="77"/>
      <c r="M7" s="77"/>
    </row>
    <row r="8" spans="1:13" x14ac:dyDescent="0.35">
      <c r="A8" s="77" t="s">
        <v>362</v>
      </c>
      <c r="B8" s="77">
        <v>2023</v>
      </c>
      <c r="C8" s="77" t="s">
        <v>44</v>
      </c>
      <c r="D8" s="78">
        <v>700209</v>
      </c>
      <c r="E8" s="51">
        <v>131693364.59999999</v>
      </c>
      <c r="F8" s="51">
        <v>131693364.59999999</v>
      </c>
      <c r="G8" s="78">
        <v>1450940</v>
      </c>
      <c r="H8" s="51">
        <v>90.764169848511997</v>
      </c>
      <c r="I8" s="51">
        <v>188.07722351469346</v>
      </c>
      <c r="J8" s="156">
        <v>482.58990723255266</v>
      </c>
      <c r="K8" s="121">
        <v>0.10828053846153926</v>
      </c>
      <c r="L8" s="121">
        <v>0.1838924294713207</v>
      </c>
      <c r="M8" s="121">
        <v>-6.3867196991492584E-2</v>
      </c>
    </row>
    <row r="9" spans="1:13" x14ac:dyDescent="0.35">
      <c r="A9" s="77" t="s">
        <v>363</v>
      </c>
      <c r="B9" s="77">
        <v>2022</v>
      </c>
      <c r="C9" s="77" t="s">
        <v>44</v>
      </c>
      <c r="D9" s="78">
        <v>29692</v>
      </c>
      <c r="E9" s="51">
        <v>13700036.029999999</v>
      </c>
      <c r="F9" s="51">
        <v>13700036.029999999</v>
      </c>
      <c r="G9" s="78">
        <v>1356936</v>
      </c>
      <c r="H9" s="51">
        <v>10.09630227954745</v>
      </c>
      <c r="I9" s="51">
        <v>461.40495857470023</v>
      </c>
      <c r="J9" s="156">
        <v>21.881651013754517</v>
      </c>
      <c r="K9" s="77"/>
      <c r="L9" s="77"/>
      <c r="M9" s="77"/>
    </row>
    <row r="10" spans="1:13" x14ac:dyDescent="0.35">
      <c r="A10" s="77" t="s">
        <v>363</v>
      </c>
      <c r="B10" s="77">
        <v>2023</v>
      </c>
      <c r="C10" s="77" t="s">
        <v>44</v>
      </c>
      <c r="D10" s="78">
        <v>42912</v>
      </c>
      <c r="E10" s="51">
        <v>24783204.84</v>
      </c>
      <c r="F10" s="51">
        <v>24783204.84</v>
      </c>
      <c r="G10" s="78">
        <v>1450940</v>
      </c>
      <c r="H10" s="51">
        <v>17.080792341516535</v>
      </c>
      <c r="I10" s="51">
        <v>577.53553411633106</v>
      </c>
      <c r="J10" s="156">
        <v>29.575309799164678</v>
      </c>
      <c r="K10" s="121">
        <v>0.69178694026603105</v>
      </c>
      <c r="L10" s="121">
        <v>0.25168904968070388</v>
      </c>
      <c r="M10" s="121">
        <v>0.35160321223357544</v>
      </c>
    </row>
    <row r="11" spans="1:13" x14ac:dyDescent="0.35">
      <c r="A11" s="77" t="s">
        <v>364</v>
      </c>
      <c r="B11" s="77">
        <v>2022</v>
      </c>
      <c r="C11" s="77" t="s">
        <v>44</v>
      </c>
      <c r="D11" s="78">
        <v>1681784</v>
      </c>
      <c r="E11" s="51">
        <v>239101962.49000001</v>
      </c>
      <c r="F11" s="51">
        <v>239101962.49000001</v>
      </c>
      <c r="G11" s="78">
        <v>1356936</v>
      </c>
      <c r="H11" s="51">
        <v>176.20725110837947</v>
      </c>
      <c r="I11" s="51">
        <v>142.17162399570933</v>
      </c>
      <c r="J11" s="156">
        <v>1239.3981735321343</v>
      </c>
      <c r="K11" s="77"/>
      <c r="L11" s="77"/>
      <c r="M11" s="77"/>
    </row>
    <row r="12" spans="1:13" x14ac:dyDescent="0.35">
      <c r="A12" s="77" t="s">
        <v>364</v>
      </c>
      <c r="B12" s="77">
        <v>2023</v>
      </c>
      <c r="C12" s="77" t="s">
        <v>44</v>
      </c>
      <c r="D12" s="78">
        <v>2086619</v>
      </c>
      <c r="E12" s="51">
        <v>370990357.16000003</v>
      </c>
      <c r="F12" s="51">
        <v>370990357.16000003</v>
      </c>
      <c r="G12" s="78">
        <v>1450940</v>
      </c>
      <c r="H12" s="51">
        <v>255.68966129543608</v>
      </c>
      <c r="I12" s="51">
        <v>177.79496743775459</v>
      </c>
      <c r="J12" s="156">
        <v>1438.1152907770136</v>
      </c>
      <c r="K12" s="121">
        <v>0.45107343589492532</v>
      </c>
      <c r="L12" s="121">
        <v>0.25056577705773669</v>
      </c>
      <c r="M12" s="121">
        <v>0.160333556631409</v>
      </c>
    </row>
    <row r="13" spans="1:13" x14ac:dyDescent="0.35">
      <c r="A13" s="77" t="s">
        <v>361</v>
      </c>
      <c r="B13" s="77">
        <v>2022</v>
      </c>
      <c r="C13" s="77" t="s">
        <v>44</v>
      </c>
      <c r="D13" s="78">
        <v>31003</v>
      </c>
      <c r="E13" s="51">
        <v>293968457.31</v>
      </c>
      <c r="F13" s="51">
        <v>293968457.31</v>
      </c>
      <c r="G13" s="78">
        <v>1356936</v>
      </c>
      <c r="H13" s="51">
        <v>216.64135766904261</v>
      </c>
      <c r="I13" s="51">
        <v>9481.9358549172666</v>
      </c>
      <c r="J13" s="156">
        <v>22.847798274937066</v>
      </c>
      <c r="K13" s="77"/>
      <c r="L13" s="77"/>
      <c r="M13" s="77"/>
    </row>
    <row r="14" spans="1:13" x14ac:dyDescent="0.35">
      <c r="A14" s="77" t="s">
        <v>361</v>
      </c>
      <c r="B14" s="77">
        <v>2023</v>
      </c>
      <c r="C14" s="77" t="s">
        <v>44</v>
      </c>
      <c r="D14" s="78">
        <v>35427</v>
      </c>
      <c r="E14" s="51">
        <v>392845708.38</v>
      </c>
      <c r="F14" s="51">
        <v>392845708.38</v>
      </c>
      <c r="G14" s="78">
        <v>1450940</v>
      </c>
      <c r="H14" s="51">
        <v>270.75255240051274</v>
      </c>
      <c r="I14" s="51">
        <v>11088.878775510204</v>
      </c>
      <c r="J14" s="156">
        <v>24.416585110342261</v>
      </c>
      <c r="K14" s="121">
        <v>0.24977315187497304</v>
      </c>
      <c r="L14" s="121">
        <v>0.16947413958296162</v>
      </c>
      <c r="M14" s="121">
        <v>6.8662495025880829E-2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H48"/>
  <sheetViews>
    <sheetView zoomScaleNormal="100" workbookViewId="0">
      <selection activeCell="E14" sqref="E14"/>
    </sheetView>
  </sheetViews>
  <sheetFormatPr defaultRowHeight="14.5" x14ac:dyDescent="0.35"/>
  <cols>
    <col min="1" max="1" width="40.90625" bestFit="1" customWidth="1"/>
    <col min="2" max="2" width="19.6328125" customWidth="1"/>
    <col min="3" max="3" width="20" bestFit="1" customWidth="1"/>
    <col min="4" max="4" width="16.453125" customWidth="1"/>
    <col min="5" max="5" width="37.54296875" style="19" customWidth="1"/>
    <col min="7" max="7" width="13.90625" bestFit="1" customWidth="1"/>
  </cols>
  <sheetData>
    <row r="1" spans="1:8" ht="18.5" x14ac:dyDescent="0.45">
      <c r="A1" s="1" t="s">
        <v>308</v>
      </c>
      <c r="B1" s="1"/>
      <c r="C1" s="1"/>
      <c r="D1" s="1"/>
    </row>
    <row r="2" spans="1:8" ht="15.5" x14ac:dyDescent="0.35">
      <c r="A2" s="2" t="s">
        <v>0</v>
      </c>
      <c r="B2" s="3"/>
      <c r="C2" s="3"/>
      <c r="D2" s="3"/>
    </row>
    <row r="3" spans="1:8" ht="15.5" x14ac:dyDescent="0.35">
      <c r="A3" s="4" t="s">
        <v>309</v>
      </c>
      <c r="B3" s="5"/>
      <c r="C3" s="5"/>
      <c r="D3" s="5"/>
    </row>
    <row r="5" spans="1:8" x14ac:dyDescent="0.35">
      <c r="A5" s="170" t="s">
        <v>1</v>
      </c>
      <c r="B5" s="170" t="s">
        <v>2</v>
      </c>
      <c r="C5" s="170"/>
      <c r="D5" s="76" t="s">
        <v>3</v>
      </c>
      <c r="E5" s="173" t="s">
        <v>30</v>
      </c>
    </row>
    <row r="6" spans="1:8" x14ac:dyDescent="0.35">
      <c r="A6" s="170"/>
      <c r="B6" s="18">
        <v>2022</v>
      </c>
      <c r="C6" s="18">
        <v>2023</v>
      </c>
      <c r="D6" s="18" t="s">
        <v>310</v>
      </c>
      <c r="E6" s="174"/>
    </row>
    <row r="7" spans="1:8" x14ac:dyDescent="0.35">
      <c r="A7" s="12" t="s">
        <v>4</v>
      </c>
      <c r="B7" s="95">
        <f>THCE_Comm!C7+THCE_Comm!C8</f>
        <v>9338993755.8002014</v>
      </c>
      <c r="C7" s="95">
        <f>THCE_Comm!D7+THCE_Comm!D8</f>
        <v>9945654760.6085014</v>
      </c>
      <c r="D7" s="69">
        <f t="shared" ref="D7:D16" si="0">IFERROR((C7-B7)/B7, "")</f>
        <v>6.4959996833868633E-2</v>
      </c>
      <c r="E7" s="12" t="s">
        <v>121</v>
      </c>
      <c r="G7" s="79"/>
      <c r="H7" s="79"/>
    </row>
    <row r="8" spans="1:8" x14ac:dyDescent="0.35">
      <c r="A8" s="70" t="s">
        <v>43</v>
      </c>
      <c r="B8" s="95">
        <f>THCE_Mcare!C7+THCE_Mcare!C8+THCE_Mcare!C9+THCE_Maid!C10</f>
        <v>12487445751.51507</v>
      </c>
      <c r="C8" s="95">
        <f>THCE_Mcare!D7+THCE_Mcare!D8+THCE_Mcare!D9+THCE_Maid!D10</f>
        <v>13628158923.49634</v>
      </c>
      <c r="D8" s="69">
        <f t="shared" si="0"/>
        <v>9.1348799000217473E-2</v>
      </c>
      <c r="E8" s="70" t="s">
        <v>119</v>
      </c>
      <c r="G8" s="79"/>
      <c r="H8" s="79"/>
    </row>
    <row r="9" spans="1:8" x14ac:dyDescent="0.35">
      <c r="A9" s="70" t="s">
        <v>44</v>
      </c>
      <c r="B9" s="95">
        <f>IFERROR(THCE_Maid!C7+THCE_Maid!C8+THCE_Maid!C12+THCE_Maid!C13+THCE_Maid!C9+THCE_Maid!C14, "")</f>
        <v>8247703435.643569</v>
      </c>
      <c r="C9" s="95">
        <f>IFERROR(THCE_Maid!D7+THCE_Maid!D8+THCE_Maid!D12+THCE_Maid!D13+THCE_Maid!D9+THCE_Maid!D14, "")</f>
        <v>9639395730.3197212</v>
      </c>
      <c r="D9" s="69">
        <f t="shared" si="0"/>
        <v>0.16873694665860137</v>
      </c>
      <c r="E9" s="70" t="s">
        <v>374</v>
      </c>
      <c r="G9" s="79"/>
      <c r="H9" s="79"/>
    </row>
    <row r="10" spans="1:8" x14ac:dyDescent="0.35">
      <c r="A10" s="70" t="s">
        <v>5</v>
      </c>
      <c r="B10" s="96">
        <f>IFERROR(SUM(THCE_NCPHI!C7:C13),"")</f>
        <v>2804952971.8432746</v>
      </c>
      <c r="C10" s="96">
        <f>IFERROR(SUM(THCE_NCPHI!D7:D13),"")</f>
        <v>2582918541.495903</v>
      </c>
      <c r="D10" s="69">
        <f t="shared" si="0"/>
        <v>-7.9157986809832923E-2</v>
      </c>
      <c r="E10" s="98"/>
      <c r="G10" s="79"/>
      <c r="H10" s="79"/>
    </row>
    <row r="11" spans="1:8" x14ac:dyDescent="0.35">
      <c r="A11" s="12" t="s">
        <v>11</v>
      </c>
      <c r="B11" s="97">
        <f>THCE_Other!C7</f>
        <v>1789622211.697</v>
      </c>
      <c r="C11" s="97">
        <f>THCE_Other!D7</f>
        <v>1830657095.1728301</v>
      </c>
      <c r="D11" s="69">
        <f t="shared" si="0"/>
        <v>2.2929355261476644E-2</v>
      </c>
      <c r="E11" s="12"/>
      <c r="G11" s="79"/>
      <c r="H11" s="79"/>
    </row>
    <row r="12" spans="1:8" x14ac:dyDescent="0.35">
      <c r="A12" s="12" t="s">
        <v>21</v>
      </c>
      <c r="B12" s="97">
        <f>THCE_Other!C8</f>
        <v>173464223.98999998</v>
      </c>
      <c r="C12" s="97">
        <f>THCE_Other!D8</f>
        <v>163829640.15000001</v>
      </c>
      <c r="D12" s="69">
        <f t="shared" si="0"/>
        <v>-5.5542195493610239E-2</v>
      </c>
      <c r="E12" s="12"/>
    </row>
    <row r="13" spans="1:8" s="19" customFormat="1" x14ac:dyDescent="0.35">
      <c r="A13" s="12" t="s">
        <v>55</v>
      </c>
      <c r="B13" s="97">
        <f>THCE_Other!C9</f>
        <v>647234514.84000003</v>
      </c>
      <c r="C13" s="97">
        <f>THCE_Other!D9</f>
        <v>515684107.68000001</v>
      </c>
      <c r="D13" s="69">
        <f t="shared" si="0"/>
        <v>-0.20324998766872007</v>
      </c>
      <c r="E13" s="98"/>
    </row>
    <row r="14" spans="1:8" s="19" customFormat="1" x14ac:dyDescent="0.35">
      <c r="A14" s="12" t="s">
        <v>105</v>
      </c>
      <c r="B14" s="97">
        <f>THCE_Other!C10</f>
        <v>982015</v>
      </c>
      <c r="C14" s="97">
        <f>THCE_Other!D10</f>
        <v>1153617</v>
      </c>
      <c r="D14" s="69">
        <f t="shared" si="0"/>
        <v>0.1747447849574599</v>
      </c>
      <c r="E14" s="98"/>
    </row>
    <row r="15" spans="1:8" s="77" customFormat="1" x14ac:dyDescent="0.35">
      <c r="A15" s="12" t="s">
        <v>203</v>
      </c>
      <c r="B15" s="97">
        <f>THCE_Other!C11</f>
        <v>375849436.04000002</v>
      </c>
      <c r="C15" s="97">
        <f>THCE_Other!D11</f>
        <v>405319406.74000001</v>
      </c>
      <c r="D15" s="69">
        <f>(C15-B15)/B15</f>
        <v>7.8408979432028805E-2</v>
      </c>
      <c r="E15" s="98"/>
    </row>
    <row r="16" spans="1:8" x14ac:dyDescent="0.35">
      <c r="A16" s="32" t="s">
        <v>15</v>
      </c>
      <c r="B16" s="48">
        <f>SUM(B7:B15)</f>
        <v>35866248316.36911</v>
      </c>
      <c r="C16" s="48">
        <f>SUM(C7:C15)</f>
        <v>38712771822.6633</v>
      </c>
      <c r="D16" s="45">
        <f t="shared" si="0"/>
        <v>7.9364963995831581E-2</v>
      </c>
      <c r="E16" s="6"/>
    </row>
    <row r="17" spans="1:5" x14ac:dyDescent="0.35">
      <c r="C17" s="19"/>
      <c r="D17" s="8"/>
    </row>
    <row r="19" spans="1:5" x14ac:dyDescent="0.35">
      <c r="A19" s="170" t="s">
        <v>1</v>
      </c>
      <c r="B19" s="170" t="s">
        <v>46</v>
      </c>
      <c r="C19" s="170"/>
      <c r="D19" s="76" t="s">
        <v>3</v>
      </c>
      <c r="E19" s="173" t="s">
        <v>30</v>
      </c>
    </row>
    <row r="20" spans="1:5" x14ac:dyDescent="0.35">
      <c r="A20" s="170"/>
      <c r="B20" s="75">
        <v>2022</v>
      </c>
      <c r="C20" s="75">
        <v>2023</v>
      </c>
      <c r="D20" s="75" t="s">
        <v>310</v>
      </c>
      <c r="E20" s="174"/>
    </row>
    <row r="21" spans="1:5" x14ac:dyDescent="0.35">
      <c r="A21" s="12" t="s">
        <v>4</v>
      </c>
      <c r="B21" s="99">
        <f>THCE_Comm!C17</f>
        <v>1461271.8333333335</v>
      </c>
      <c r="C21" s="99">
        <f>THCE_Comm!D17</f>
        <v>1463464.9166666667</v>
      </c>
      <c r="D21" s="69">
        <f t="shared" ref="D21:D28" si="1">IFERROR((C21-B21)/B21, "")</f>
        <v>1.5008044932547382E-3</v>
      </c>
      <c r="E21" s="98"/>
    </row>
    <row r="22" spans="1:5" x14ac:dyDescent="0.35">
      <c r="A22" s="70" t="s">
        <v>43</v>
      </c>
      <c r="B22" s="99">
        <f>THCE_Mcare!C20</f>
        <v>915385.16666666674</v>
      </c>
      <c r="C22" s="99">
        <f>THCE_Mcare!D20</f>
        <v>926778.5</v>
      </c>
      <c r="D22" s="69">
        <f t="shared" si="1"/>
        <v>1.2446491103653732E-2</v>
      </c>
      <c r="E22" s="70" t="s">
        <v>100</v>
      </c>
    </row>
    <row r="23" spans="1:5" x14ac:dyDescent="0.35">
      <c r="A23" s="70" t="s">
        <v>44</v>
      </c>
      <c r="B23" s="99">
        <f>THCE_Maid!C23</f>
        <v>1173900.6666666667</v>
      </c>
      <c r="C23" s="99">
        <f>THCE_Maid!D23</f>
        <v>1258777.4166666665</v>
      </c>
      <c r="D23" s="69">
        <f t="shared" si="1"/>
        <v>7.2303178974257129E-2</v>
      </c>
      <c r="E23" s="70" t="s">
        <v>101</v>
      </c>
    </row>
    <row r="24" spans="1:5" x14ac:dyDescent="0.35">
      <c r="A24" s="70" t="s">
        <v>5</v>
      </c>
      <c r="B24" s="99">
        <f>IFERROR(SUM(THCE_NCPHI!C18:C24), "")</f>
        <v>3106101.6666666665</v>
      </c>
      <c r="C24" s="99">
        <f>IFERROR(SUM(THCE_NCPHI!D18:D24), "")</f>
        <v>3278095.333333333</v>
      </c>
      <c r="D24" s="69">
        <f t="shared" si="1"/>
        <v>5.5372838729790402E-2</v>
      </c>
      <c r="E24" s="70" t="s">
        <v>106</v>
      </c>
    </row>
    <row r="25" spans="1:5" x14ac:dyDescent="0.35">
      <c r="A25" s="12" t="s">
        <v>11</v>
      </c>
      <c r="B25" s="99">
        <f>THCE_Other!C16</f>
        <v>98257</v>
      </c>
      <c r="C25" s="99">
        <f>THCE_Other!D16</f>
        <v>96430</v>
      </c>
      <c r="D25" s="69">
        <f t="shared" si="1"/>
        <v>-1.8594095077195519E-2</v>
      </c>
      <c r="E25" s="12" t="s">
        <v>31</v>
      </c>
    </row>
    <row r="26" spans="1:5" x14ac:dyDescent="0.35">
      <c r="A26" s="12" t="s">
        <v>21</v>
      </c>
      <c r="B26" s="99">
        <f>THCE_Other!C17</f>
        <v>12079</v>
      </c>
      <c r="C26" s="99">
        <f>THCE_Other!D17</f>
        <v>12185</v>
      </c>
      <c r="D26" s="69">
        <f t="shared" si="1"/>
        <v>8.7755608908022184E-3</v>
      </c>
      <c r="E26" s="12" t="s">
        <v>31</v>
      </c>
    </row>
    <row r="27" spans="1:5" s="19" customFormat="1" x14ac:dyDescent="0.35">
      <c r="A27" s="12" t="s">
        <v>105</v>
      </c>
      <c r="B27" s="119">
        <f>THCE_Other!C18</f>
        <v>18993</v>
      </c>
      <c r="C27" s="119">
        <f>THCE_Other!D18</f>
        <v>22170</v>
      </c>
      <c r="D27" s="69">
        <f t="shared" si="1"/>
        <v>0.16727215289843628</v>
      </c>
      <c r="E27" s="70" t="s">
        <v>106</v>
      </c>
    </row>
    <row r="28" spans="1:5" x14ac:dyDescent="0.35">
      <c r="A28" s="32" t="s">
        <v>15</v>
      </c>
      <c r="B28" s="58">
        <f>SUM(B21:B23)+SUM(B25:B26)</f>
        <v>3660893.666666667</v>
      </c>
      <c r="C28" s="58">
        <f t="shared" ref="C28" si="2">SUM(C21:C23)+SUM(C25:C26)</f>
        <v>3757635.8333333335</v>
      </c>
      <c r="D28" s="45">
        <f t="shared" si="1"/>
        <v>2.6425833546471895E-2</v>
      </c>
      <c r="E28" s="26"/>
    </row>
    <row r="31" spans="1:5" x14ac:dyDescent="0.35">
      <c r="A31" s="170" t="s">
        <v>1</v>
      </c>
      <c r="B31" s="171" t="s">
        <v>94</v>
      </c>
      <c r="C31" s="172"/>
      <c r="D31" s="76" t="s">
        <v>3</v>
      </c>
      <c r="E31" s="173" t="s">
        <v>30</v>
      </c>
    </row>
    <row r="32" spans="1:5" x14ac:dyDescent="0.35">
      <c r="A32" s="170"/>
      <c r="B32" s="75">
        <v>2022</v>
      </c>
      <c r="C32" s="75">
        <v>2023</v>
      </c>
      <c r="D32" s="75" t="s">
        <v>310</v>
      </c>
      <c r="E32" s="174"/>
    </row>
    <row r="33" spans="1:5" x14ac:dyDescent="0.35">
      <c r="A33" s="6" t="s">
        <v>4</v>
      </c>
      <c r="B33" s="57">
        <f t="shared" ref="B33:C38" si="3">IFERROR(B7/B21, "")</f>
        <v>6391.0037426074614</v>
      </c>
      <c r="C33" s="57">
        <f t="shared" si="3"/>
        <v>6795.9639123168827</v>
      </c>
      <c r="D33" s="7">
        <f t="shared" ref="D33:D42" si="4">IFERROR((C33-B33)/B33, "")</f>
        <v>6.3364095221794037E-2</v>
      </c>
      <c r="E33" s="26"/>
    </row>
    <row r="34" spans="1:5" x14ac:dyDescent="0.35">
      <c r="A34" s="41" t="s">
        <v>43</v>
      </c>
      <c r="B34" s="57">
        <f t="shared" si="3"/>
        <v>13641.739244025041</v>
      </c>
      <c r="C34" s="57">
        <f t="shared" si="3"/>
        <v>14704.871685625358</v>
      </c>
      <c r="D34" s="7">
        <f t="shared" si="4"/>
        <v>7.7932323920203925E-2</v>
      </c>
      <c r="E34" s="6"/>
    </row>
    <row r="35" spans="1:5" x14ac:dyDescent="0.35">
      <c r="A35" s="41" t="s">
        <v>44</v>
      </c>
      <c r="B35" s="57">
        <f t="shared" si="3"/>
        <v>7025.8955206688997</v>
      </c>
      <c r="C35" s="57">
        <f t="shared" si="3"/>
        <v>7657.7444135004716</v>
      </c>
      <c r="D35" s="7">
        <f t="shared" si="4"/>
        <v>8.9931438771440317E-2</v>
      </c>
      <c r="E35" s="6"/>
    </row>
    <row r="36" spans="1:5" x14ac:dyDescent="0.35">
      <c r="A36" s="70" t="s">
        <v>5</v>
      </c>
      <c r="B36" s="100">
        <f t="shared" si="3"/>
        <v>903.04609213047058</v>
      </c>
      <c r="C36" s="100">
        <f t="shared" si="3"/>
        <v>787.932710568689</v>
      </c>
      <c r="D36" s="69">
        <f t="shared" si="4"/>
        <v>-0.12747232125240202</v>
      </c>
      <c r="E36" s="12"/>
    </row>
    <row r="37" spans="1:5" x14ac:dyDescent="0.35">
      <c r="A37" s="6" t="s">
        <v>11</v>
      </c>
      <c r="B37" s="57">
        <f t="shared" si="3"/>
        <v>18213.686675727939</v>
      </c>
      <c r="C37" s="57">
        <f t="shared" si="3"/>
        <v>18984.310849038993</v>
      </c>
      <c r="D37" s="7">
        <f t="shared" si="4"/>
        <v>4.2310169655987863E-2</v>
      </c>
      <c r="E37" s="6"/>
    </row>
    <row r="38" spans="1:5" x14ac:dyDescent="0.35">
      <c r="A38" s="6" t="s">
        <v>21</v>
      </c>
      <c r="B38" s="57">
        <f t="shared" si="3"/>
        <v>14360.809999999998</v>
      </c>
      <c r="C38" s="57">
        <f t="shared" si="3"/>
        <v>13445.19</v>
      </c>
      <c r="D38" s="7">
        <f t="shared" si="4"/>
        <v>-6.3758242049020725E-2</v>
      </c>
      <c r="E38" s="6"/>
    </row>
    <row r="39" spans="1:5" s="19" customFormat="1" x14ac:dyDescent="0.35">
      <c r="A39" s="12" t="s">
        <v>55</v>
      </c>
      <c r="B39" s="100">
        <f>B13/B28</f>
        <v>176.79686267132769</v>
      </c>
      <c r="C39" s="100">
        <f t="shared" ref="C39" si="5">C13/C28</f>
        <v>137.23631840676418</v>
      </c>
      <c r="D39" s="69">
        <f t="shared" si="4"/>
        <v>-0.22376270521331654</v>
      </c>
      <c r="E39" s="70" t="s">
        <v>54</v>
      </c>
    </row>
    <row r="40" spans="1:5" s="19" customFormat="1" x14ac:dyDescent="0.35">
      <c r="A40" s="12" t="s">
        <v>105</v>
      </c>
      <c r="B40" s="100">
        <f>B14/B27</f>
        <v>51.704048860106354</v>
      </c>
      <c r="C40" s="100">
        <f t="shared" ref="C40" si="6">C14/C27</f>
        <v>52.03504736129905</v>
      </c>
      <c r="D40" s="69">
        <f t="shared" si="4"/>
        <v>6.4017907396046545E-3</v>
      </c>
      <c r="E40" s="101"/>
    </row>
    <row r="41" spans="1:5" s="77" customFormat="1" x14ac:dyDescent="0.35">
      <c r="A41" s="12" t="s">
        <v>203</v>
      </c>
      <c r="B41" s="100">
        <f>B15/B28</f>
        <v>102.66603465219467</v>
      </c>
      <c r="C41" s="100">
        <f>C15/C28</f>
        <v>107.86553692736324</v>
      </c>
      <c r="D41" s="69">
        <f t="shared" si="4"/>
        <v>5.0644814448937335E-2</v>
      </c>
      <c r="E41" s="70" t="s">
        <v>54</v>
      </c>
    </row>
    <row r="42" spans="1:5" x14ac:dyDescent="0.35">
      <c r="A42" s="32" t="s">
        <v>15</v>
      </c>
      <c r="B42" s="62">
        <f>IFERROR(B16/B28, "")</f>
        <v>9797.1292209167623</v>
      </c>
      <c r="C42" s="62">
        <f>IFERROR(C16/C28, "")</f>
        <v>10302.427786974204</v>
      </c>
      <c r="D42" s="45">
        <f t="shared" si="4"/>
        <v>5.1576186724028764E-2</v>
      </c>
      <c r="E42" s="6"/>
    </row>
    <row r="47" spans="1:5" x14ac:dyDescent="0.35">
      <c r="A47" s="22"/>
    </row>
    <row r="48" spans="1:5" x14ac:dyDescent="0.35">
      <c r="A48" s="22"/>
    </row>
  </sheetData>
  <mergeCells count="9">
    <mergeCell ref="A31:A32"/>
    <mergeCell ref="B31:C31"/>
    <mergeCell ref="E31:E32"/>
    <mergeCell ref="A19:A20"/>
    <mergeCell ref="E5:E6"/>
    <mergeCell ref="B19:C19"/>
    <mergeCell ref="E19:E20"/>
    <mergeCell ref="A5:A6"/>
    <mergeCell ref="B5:C5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F4FC-9079-4A4F-8028-8A366A9B71C7}">
  <sheetPr>
    <tabColor rgb="FF0082AC"/>
  </sheetPr>
  <dimension ref="A1:C84"/>
  <sheetViews>
    <sheetView workbookViewId="0">
      <selection activeCell="C22" sqref="C22"/>
    </sheetView>
  </sheetViews>
  <sheetFormatPr defaultColWidth="9.08984375" defaultRowHeight="14.5" x14ac:dyDescent="0.35"/>
  <cols>
    <col min="1" max="1" width="20.54296875" style="77" customWidth="1"/>
    <col min="2" max="2" width="39.453125" style="77" bestFit="1" customWidth="1"/>
    <col min="3" max="3" width="83" style="77" bestFit="1" customWidth="1"/>
    <col min="4" max="16384" width="9.08984375" style="77"/>
  </cols>
  <sheetData>
    <row r="1" spans="1:3" ht="18.5" x14ac:dyDescent="0.45">
      <c r="A1" s="27" t="s">
        <v>308</v>
      </c>
    </row>
    <row r="2" spans="1:3" ht="15.5" x14ac:dyDescent="0.35">
      <c r="A2" s="102" t="s">
        <v>242</v>
      </c>
    </row>
    <row r="4" spans="1:3" x14ac:dyDescent="0.35">
      <c r="A4" s="42" t="s">
        <v>243</v>
      </c>
      <c r="B4" s="42" t="s">
        <v>244</v>
      </c>
      <c r="C4" s="42" t="s">
        <v>245</v>
      </c>
    </row>
    <row r="5" spans="1:3" x14ac:dyDescent="0.35">
      <c r="A5" s="6" t="s">
        <v>246</v>
      </c>
      <c r="B5" s="6" t="s">
        <v>86</v>
      </c>
      <c r="C5" s="6" t="s">
        <v>86</v>
      </c>
    </row>
    <row r="6" spans="1:3" x14ac:dyDescent="0.35">
      <c r="A6" s="6" t="s">
        <v>246</v>
      </c>
      <c r="B6" s="6" t="s">
        <v>90</v>
      </c>
      <c r="C6" s="6" t="s">
        <v>90</v>
      </c>
    </row>
    <row r="7" spans="1:3" x14ac:dyDescent="0.35">
      <c r="A7" s="6" t="s">
        <v>246</v>
      </c>
      <c r="B7" s="6" t="s">
        <v>200</v>
      </c>
      <c r="C7" s="6" t="s">
        <v>247</v>
      </c>
    </row>
    <row r="8" spans="1:3" x14ac:dyDescent="0.35">
      <c r="A8" s="6" t="s">
        <v>246</v>
      </c>
      <c r="B8" s="6" t="s">
        <v>215</v>
      </c>
      <c r="C8" s="6" t="s">
        <v>87</v>
      </c>
    </row>
    <row r="9" spans="1:3" x14ac:dyDescent="0.35">
      <c r="A9" s="6" t="s">
        <v>246</v>
      </c>
      <c r="B9" s="6" t="s">
        <v>17</v>
      </c>
      <c r="C9" s="6" t="s">
        <v>248</v>
      </c>
    </row>
    <row r="10" spans="1:3" x14ac:dyDescent="0.35">
      <c r="A10" s="6" t="s">
        <v>246</v>
      </c>
      <c r="B10" s="6" t="s">
        <v>249</v>
      </c>
      <c r="C10" s="6" t="s">
        <v>250</v>
      </c>
    </row>
    <row r="11" spans="1:3" x14ac:dyDescent="0.35">
      <c r="A11" s="6" t="s">
        <v>246</v>
      </c>
      <c r="B11" s="6" t="s">
        <v>251</v>
      </c>
      <c r="C11" s="6" t="s">
        <v>91</v>
      </c>
    </row>
    <row r="12" spans="1:3" x14ac:dyDescent="0.35">
      <c r="A12" s="6" t="s">
        <v>246</v>
      </c>
      <c r="B12" s="6" t="s">
        <v>211</v>
      </c>
      <c r="C12" s="6" t="s">
        <v>252</v>
      </c>
    </row>
    <row r="13" spans="1:3" x14ac:dyDescent="0.35">
      <c r="A13" s="6" t="s">
        <v>246</v>
      </c>
      <c r="B13" s="6" t="s">
        <v>205</v>
      </c>
      <c r="C13" s="6" t="s">
        <v>253</v>
      </c>
    </row>
    <row r="14" spans="1:3" x14ac:dyDescent="0.35">
      <c r="A14" s="6" t="s">
        <v>246</v>
      </c>
      <c r="B14" s="6" t="s">
        <v>216</v>
      </c>
      <c r="C14" s="6" t="s">
        <v>88</v>
      </c>
    </row>
    <row r="15" spans="1:3" x14ac:dyDescent="0.35">
      <c r="A15" s="6" t="s">
        <v>246</v>
      </c>
      <c r="B15" s="6" t="s">
        <v>254</v>
      </c>
      <c r="C15" s="6" t="s">
        <v>92</v>
      </c>
    </row>
    <row r="16" spans="1:3" x14ac:dyDescent="0.35">
      <c r="A16" s="6" t="s">
        <v>246</v>
      </c>
      <c r="B16" s="6" t="s">
        <v>255</v>
      </c>
      <c r="C16" s="6" t="s">
        <v>256</v>
      </c>
    </row>
    <row r="17" spans="1:3" x14ac:dyDescent="0.35">
      <c r="A17" s="6" t="s">
        <v>246</v>
      </c>
      <c r="B17" s="6" t="s">
        <v>206</v>
      </c>
      <c r="C17" s="6" t="s">
        <v>257</v>
      </c>
    </row>
    <row r="18" spans="1:3" x14ac:dyDescent="0.35">
      <c r="A18" s="6" t="s">
        <v>246</v>
      </c>
      <c r="B18" s="6" t="s">
        <v>258</v>
      </c>
      <c r="C18" s="6" t="s">
        <v>68</v>
      </c>
    </row>
    <row r="19" spans="1:3" x14ac:dyDescent="0.35">
      <c r="A19" s="6" t="s">
        <v>246</v>
      </c>
      <c r="B19" s="6" t="s">
        <v>207</v>
      </c>
      <c r="C19" s="6" t="s">
        <v>259</v>
      </c>
    </row>
    <row r="20" spans="1:3" x14ac:dyDescent="0.35">
      <c r="A20" s="6" t="s">
        <v>246</v>
      </c>
      <c r="B20" s="6" t="s">
        <v>260</v>
      </c>
      <c r="C20" s="6" t="s">
        <v>261</v>
      </c>
    </row>
    <row r="21" spans="1:3" x14ac:dyDescent="0.35">
      <c r="A21" s="6" t="s">
        <v>246</v>
      </c>
      <c r="B21" s="6" t="s">
        <v>262</v>
      </c>
      <c r="C21" s="6" t="s">
        <v>263</v>
      </c>
    </row>
    <row r="22" spans="1:3" x14ac:dyDescent="0.35">
      <c r="A22" s="6" t="s">
        <v>246</v>
      </c>
      <c r="B22" s="6" t="s">
        <v>264</v>
      </c>
      <c r="C22" s="123" t="s">
        <v>265</v>
      </c>
    </row>
    <row r="23" spans="1:3" x14ac:dyDescent="0.35">
      <c r="A23" s="6" t="s">
        <v>246</v>
      </c>
      <c r="B23" s="6" t="s">
        <v>266</v>
      </c>
      <c r="C23" s="123" t="s">
        <v>267</v>
      </c>
    </row>
    <row r="24" spans="1:3" x14ac:dyDescent="0.35">
      <c r="A24" s="6" t="s">
        <v>246</v>
      </c>
      <c r="B24" s="6" t="s">
        <v>212</v>
      </c>
      <c r="C24" s="6" t="s">
        <v>268</v>
      </c>
    </row>
    <row r="25" spans="1:3" x14ac:dyDescent="0.35">
      <c r="A25" s="6" t="s">
        <v>246</v>
      </c>
      <c r="B25" s="6" t="s">
        <v>208</v>
      </c>
      <c r="C25" s="6" t="s">
        <v>269</v>
      </c>
    </row>
    <row r="26" spans="1:3" x14ac:dyDescent="0.35">
      <c r="A26" s="6" t="s">
        <v>246</v>
      </c>
      <c r="B26" s="6" t="s">
        <v>209</v>
      </c>
      <c r="C26" s="6" t="s">
        <v>270</v>
      </c>
    </row>
    <row r="27" spans="1:3" x14ac:dyDescent="0.35">
      <c r="A27" s="6" t="s">
        <v>246</v>
      </c>
      <c r="B27" s="6" t="s">
        <v>213</v>
      </c>
      <c r="C27" s="6" t="s">
        <v>213</v>
      </c>
    </row>
    <row r="28" spans="1:3" x14ac:dyDescent="0.35">
      <c r="A28" s="6" t="s">
        <v>246</v>
      </c>
      <c r="B28" s="6" t="s">
        <v>214</v>
      </c>
      <c r="C28" s="6" t="s">
        <v>271</v>
      </c>
    </row>
    <row r="29" spans="1:3" x14ac:dyDescent="0.35">
      <c r="A29" s="6" t="s">
        <v>246</v>
      </c>
      <c r="B29" s="6" t="s">
        <v>272</v>
      </c>
      <c r="C29" s="6" t="s">
        <v>273</v>
      </c>
    </row>
    <row r="30" spans="1:3" x14ac:dyDescent="0.35">
      <c r="A30" s="6" t="s">
        <v>246</v>
      </c>
      <c r="B30" s="6" t="s">
        <v>210</v>
      </c>
      <c r="C30" s="6" t="s">
        <v>148</v>
      </c>
    </row>
    <row r="31" spans="1:3" x14ac:dyDescent="0.35">
      <c r="A31" s="6" t="s">
        <v>246</v>
      </c>
      <c r="B31" s="6" t="s">
        <v>274</v>
      </c>
      <c r="C31" s="6" t="s">
        <v>275</v>
      </c>
    </row>
    <row r="32" spans="1:3" x14ac:dyDescent="0.35">
      <c r="A32" s="6" t="s">
        <v>246</v>
      </c>
      <c r="B32" s="6" t="s">
        <v>218</v>
      </c>
      <c r="C32" s="6" t="s">
        <v>89</v>
      </c>
    </row>
    <row r="33" spans="1:3" x14ac:dyDescent="0.35">
      <c r="A33" s="6" t="s">
        <v>246</v>
      </c>
      <c r="B33" s="6" t="s">
        <v>151</v>
      </c>
      <c r="C33" s="6" t="s">
        <v>151</v>
      </c>
    </row>
    <row r="34" spans="1:3" x14ac:dyDescent="0.35">
      <c r="A34" s="6" t="s">
        <v>276</v>
      </c>
      <c r="B34" s="124" t="s">
        <v>181</v>
      </c>
      <c r="C34" s="6" t="s">
        <v>277</v>
      </c>
    </row>
    <row r="35" spans="1:3" x14ac:dyDescent="0.35">
      <c r="A35" s="6" t="s">
        <v>276</v>
      </c>
      <c r="B35" s="124" t="s">
        <v>225</v>
      </c>
      <c r="C35" s="6" t="s">
        <v>278</v>
      </c>
    </row>
    <row r="36" spans="1:3" x14ac:dyDescent="0.35">
      <c r="A36" s="6" t="s">
        <v>276</v>
      </c>
      <c r="B36" s="6" t="s">
        <v>188</v>
      </c>
      <c r="C36" s="6" t="s">
        <v>188</v>
      </c>
    </row>
    <row r="37" spans="1:3" x14ac:dyDescent="0.35">
      <c r="A37" s="6" t="s">
        <v>276</v>
      </c>
      <c r="B37" s="6" t="s">
        <v>233</v>
      </c>
      <c r="C37" s="6" t="s">
        <v>279</v>
      </c>
    </row>
    <row r="38" spans="1:3" x14ac:dyDescent="0.35">
      <c r="A38" s="6" t="s">
        <v>276</v>
      </c>
      <c r="B38" s="124" t="s">
        <v>183</v>
      </c>
      <c r="C38" s="6" t="s">
        <v>183</v>
      </c>
    </row>
    <row r="39" spans="1:3" x14ac:dyDescent="0.35">
      <c r="A39" s="6" t="s">
        <v>276</v>
      </c>
      <c r="B39" s="6" t="s">
        <v>229</v>
      </c>
      <c r="C39" s="6" t="s">
        <v>280</v>
      </c>
    </row>
    <row r="40" spans="1:3" x14ac:dyDescent="0.35">
      <c r="A40" s="6" t="s">
        <v>276</v>
      </c>
      <c r="B40" s="6" t="s">
        <v>234</v>
      </c>
      <c r="C40" s="6" t="s">
        <v>281</v>
      </c>
    </row>
    <row r="41" spans="1:3" x14ac:dyDescent="0.35">
      <c r="A41" s="6" t="s">
        <v>276</v>
      </c>
      <c r="B41" s="124" t="s">
        <v>179</v>
      </c>
      <c r="C41" s="6" t="s">
        <v>179</v>
      </c>
    </row>
    <row r="42" spans="1:3" x14ac:dyDescent="0.35">
      <c r="A42" s="6" t="s">
        <v>276</v>
      </c>
      <c r="B42" s="124" t="s">
        <v>180</v>
      </c>
      <c r="C42" s="6" t="s">
        <v>180</v>
      </c>
    </row>
    <row r="43" spans="1:3" x14ac:dyDescent="0.35">
      <c r="A43" s="6" t="s">
        <v>276</v>
      </c>
      <c r="B43" s="6" t="s">
        <v>223</v>
      </c>
      <c r="C43" s="6" t="s">
        <v>282</v>
      </c>
    </row>
    <row r="44" spans="1:3" x14ac:dyDescent="0.35">
      <c r="A44" s="6" t="s">
        <v>276</v>
      </c>
      <c r="B44" s="124" t="s">
        <v>226</v>
      </c>
      <c r="C44" s="6" t="s">
        <v>283</v>
      </c>
    </row>
    <row r="45" spans="1:3" x14ac:dyDescent="0.35">
      <c r="A45" s="6" t="s">
        <v>276</v>
      </c>
      <c r="B45" s="124" t="s">
        <v>182</v>
      </c>
      <c r="C45" s="6" t="s">
        <v>182</v>
      </c>
    </row>
    <row r="46" spans="1:3" x14ac:dyDescent="0.35">
      <c r="A46" s="6" t="s">
        <v>276</v>
      </c>
      <c r="B46" s="6" t="s">
        <v>230</v>
      </c>
      <c r="C46" s="6" t="s">
        <v>284</v>
      </c>
    </row>
    <row r="47" spans="1:3" x14ac:dyDescent="0.35">
      <c r="A47" s="6" t="s">
        <v>276</v>
      </c>
      <c r="B47" s="6" t="s">
        <v>206</v>
      </c>
      <c r="C47" s="6" t="s">
        <v>145</v>
      </c>
    </row>
    <row r="48" spans="1:3" x14ac:dyDescent="0.35">
      <c r="A48" s="6" t="s">
        <v>276</v>
      </c>
      <c r="B48" s="6" t="s">
        <v>235</v>
      </c>
      <c r="C48" s="6" t="s">
        <v>285</v>
      </c>
    </row>
    <row r="49" spans="1:3" x14ac:dyDescent="0.35">
      <c r="A49" s="6" t="s">
        <v>276</v>
      </c>
      <c r="B49" s="41" t="s">
        <v>286</v>
      </c>
      <c r="C49" s="6" t="s">
        <v>286</v>
      </c>
    </row>
    <row r="50" spans="1:3" x14ac:dyDescent="0.35">
      <c r="A50" s="6" t="s">
        <v>276</v>
      </c>
      <c r="B50" s="6" t="s">
        <v>158</v>
      </c>
      <c r="C50" s="6" t="s">
        <v>287</v>
      </c>
    </row>
    <row r="51" spans="1:3" x14ac:dyDescent="0.35">
      <c r="A51" s="6" t="s">
        <v>276</v>
      </c>
      <c r="B51" s="6" t="s">
        <v>173</v>
      </c>
      <c r="C51" s="6" t="s">
        <v>173</v>
      </c>
    </row>
    <row r="52" spans="1:3" x14ac:dyDescent="0.35">
      <c r="A52" s="6" t="s">
        <v>276</v>
      </c>
      <c r="B52" s="6" t="s">
        <v>237</v>
      </c>
      <c r="C52" s="6" t="s">
        <v>288</v>
      </c>
    </row>
    <row r="53" spans="1:3" x14ac:dyDescent="0.35">
      <c r="A53" s="6" t="s">
        <v>276</v>
      </c>
      <c r="B53" s="6" t="s">
        <v>238</v>
      </c>
      <c r="C53" s="6" t="s">
        <v>289</v>
      </c>
    </row>
    <row r="54" spans="1:3" x14ac:dyDescent="0.35">
      <c r="A54" s="6" t="s">
        <v>276</v>
      </c>
      <c r="B54" s="6" t="s">
        <v>185</v>
      </c>
      <c r="C54" s="6" t="s">
        <v>185</v>
      </c>
    </row>
    <row r="55" spans="1:3" x14ac:dyDescent="0.35">
      <c r="A55" s="6" t="s">
        <v>276</v>
      </c>
      <c r="B55" s="6" t="s">
        <v>172</v>
      </c>
      <c r="C55" s="6" t="s">
        <v>290</v>
      </c>
    </row>
    <row r="56" spans="1:3" x14ac:dyDescent="0.35">
      <c r="A56" s="6" t="s">
        <v>276</v>
      </c>
      <c r="B56" s="124" t="s">
        <v>291</v>
      </c>
      <c r="C56" s="6" t="s">
        <v>291</v>
      </c>
    </row>
    <row r="57" spans="1:3" x14ac:dyDescent="0.35">
      <c r="A57" s="6" t="s">
        <v>276</v>
      </c>
      <c r="B57" s="6" t="s">
        <v>187</v>
      </c>
      <c r="C57" s="6" t="s">
        <v>187</v>
      </c>
    </row>
    <row r="58" spans="1:3" x14ac:dyDescent="0.35">
      <c r="A58" s="6" t="s">
        <v>276</v>
      </c>
      <c r="B58" s="124" t="s">
        <v>176</v>
      </c>
      <c r="C58" s="6" t="s">
        <v>176</v>
      </c>
    </row>
    <row r="59" spans="1:3" x14ac:dyDescent="0.35">
      <c r="A59" s="6" t="s">
        <v>276</v>
      </c>
      <c r="B59" s="6" t="s">
        <v>168</v>
      </c>
      <c r="C59" s="6" t="s">
        <v>292</v>
      </c>
    </row>
    <row r="60" spans="1:3" x14ac:dyDescent="0.35">
      <c r="A60" s="6" t="s">
        <v>276</v>
      </c>
      <c r="B60" s="6" t="s">
        <v>220</v>
      </c>
      <c r="C60" s="6" t="s">
        <v>293</v>
      </c>
    </row>
    <row r="61" spans="1:3" x14ac:dyDescent="0.35">
      <c r="A61" s="6" t="s">
        <v>276</v>
      </c>
      <c r="B61" s="6" t="s">
        <v>190</v>
      </c>
      <c r="C61" s="6" t="s">
        <v>190</v>
      </c>
    </row>
    <row r="62" spans="1:3" x14ac:dyDescent="0.35">
      <c r="A62" s="6" t="s">
        <v>276</v>
      </c>
      <c r="B62" s="124" t="s">
        <v>175</v>
      </c>
      <c r="C62" s="6" t="s">
        <v>294</v>
      </c>
    </row>
    <row r="63" spans="1:3" x14ac:dyDescent="0.35">
      <c r="A63" s="6" t="s">
        <v>276</v>
      </c>
      <c r="B63" s="6" t="s">
        <v>157</v>
      </c>
      <c r="C63" s="6" t="s">
        <v>157</v>
      </c>
    </row>
    <row r="64" spans="1:3" x14ac:dyDescent="0.35">
      <c r="A64" s="6" t="s">
        <v>276</v>
      </c>
      <c r="B64" s="6" t="s">
        <v>160</v>
      </c>
      <c r="C64" s="6" t="s">
        <v>295</v>
      </c>
    </row>
    <row r="65" spans="1:3" x14ac:dyDescent="0.35">
      <c r="A65" s="6" t="s">
        <v>276</v>
      </c>
      <c r="B65" s="6" t="s">
        <v>159</v>
      </c>
      <c r="C65" s="6" t="s">
        <v>159</v>
      </c>
    </row>
    <row r="66" spans="1:3" x14ac:dyDescent="0.35">
      <c r="A66" s="6" t="s">
        <v>276</v>
      </c>
      <c r="B66" s="6" t="s">
        <v>209</v>
      </c>
      <c r="C66" s="6" t="s">
        <v>296</v>
      </c>
    </row>
    <row r="67" spans="1:3" x14ac:dyDescent="0.35">
      <c r="A67" s="6" t="s">
        <v>276</v>
      </c>
      <c r="B67" s="124" t="s">
        <v>297</v>
      </c>
      <c r="C67" s="6" t="s">
        <v>297</v>
      </c>
    </row>
    <row r="68" spans="1:3" x14ac:dyDescent="0.35">
      <c r="A68" s="6" t="s">
        <v>276</v>
      </c>
      <c r="B68" s="6" t="s">
        <v>186</v>
      </c>
      <c r="C68" s="6" t="s">
        <v>186</v>
      </c>
    </row>
    <row r="69" spans="1:3" x14ac:dyDescent="0.35">
      <c r="A69" s="6" t="s">
        <v>276</v>
      </c>
      <c r="B69" s="6" t="s">
        <v>161</v>
      </c>
      <c r="C69" s="6" t="s">
        <v>161</v>
      </c>
    </row>
    <row r="70" spans="1:3" x14ac:dyDescent="0.35">
      <c r="A70" s="6" t="s">
        <v>276</v>
      </c>
      <c r="B70" s="6" t="s">
        <v>164</v>
      </c>
      <c r="C70" s="6" t="s">
        <v>298</v>
      </c>
    </row>
    <row r="71" spans="1:3" x14ac:dyDescent="0.35">
      <c r="A71" s="6" t="s">
        <v>276</v>
      </c>
      <c r="B71" s="6" t="s">
        <v>224</v>
      </c>
      <c r="C71" s="6" t="s">
        <v>299</v>
      </c>
    </row>
    <row r="72" spans="1:3" x14ac:dyDescent="0.35">
      <c r="A72" s="6" t="s">
        <v>276</v>
      </c>
      <c r="B72" s="6" t="s">
        <v>221</v>
      </c>
      <c r="C72" s="6" t="s">
        <v>300</v>
      </c>
    </row>
    <row r="73" spans="1:3" x14ac:dyDescent="0.35">
      <c r="A73" s="6" t="s">
        <v>276</v>
      </c>
      <c r="B73" s="6" t="s">
        <v>232</v>
      </c>
      <c r="C73" s="6" t="s">
        <v>301</v>
      </c>
    </row>
    <row r="74" spans="1:3" x14ac:dyDescent="0.35">
      <c r="A74" s="6" t="s">
        <v>276</v>
      </c>
      <c r="B74" s="6" t="s">
        <v>239</v>
      </c>
      <c r="C74" s="6" t="s">
        <v>302</v>
      </c>
    </row>
    <row r="75" spans="1:3" x14ac:dyDescent="0.35">
      <c r="A75" s="6" t="s">
        <v>276</v>
      </c>
      <c r="B75" s="124" t="s">
        <v>177</v>
      </c>
      <c r="C75" s="6" t="s">
        <v>177</v>
      </c>
    </row>
    <row r="76" spans="1:3" x14ac:dyDescent="0.35">
      <c r="A76" s="6" t="s">
        <v>276</v>
      </c>
      <c r="B76" s="6" t="s">
        <v>303</v>
      </c>
      <c r="C76" s="6" t="s">
        <v>303</v>
      </c>
    </row>
    <row r="77" spans="1:3" x14ac:dyDescent="0.35">
      <c r="A77" s="6" t="s">
        <v>276</v>
      </c>
      <c r="B77" s="6" t="s">
        <v>166</v>
      </c>
      <c r="C77" s="6" t="s">
        <v>304</v>
      </c>
    </row>
    <row r="78" spans="1:3" x14ac:dyDescent="0.35">
      <c r="A78" s="6" t="s">
        <v>276</v>
      </c>
      <c r="B78" s="6" t="s">
        <v>174</v>
      </c>
      <c r="C78" s="6" t="s">
        <v>174</v>
      </c>
    </row>
    <row r="79" spans="1:3" x14ac:dyDescent="0.35">
      <c r="A79" s="6" t="s">
        <v>276</v>
      </c>
      <c r="B79" s="6" t="s">
        <v>163</v>
      </c>
      <c r="C79" s="6" t="s">
        <v>163</v>
      </c>
    </row>
    <row r="80" spans="1:3" x14ac:dyDescent="0.35">
      <c r="A80" s="6" t="s">
        <v>276</v>
      </c>
      <c r="B80" s="6" t="s">
        <v>170</v>
      </c>
      <c r="C80" s="6" t="s">
        <v>170</v>
      </c>
    </row>
    <row r="81" spans="1:3" x14ac:dyDescent="0.35">
      <c r="A81" s="6" t="s">
        <v>276</v>
      </c>
      <c r="B81" s="6" t="s">
        <v>189</v>
      </c>
      <c r="C81" s="6" t="s">
        <v>189</v>
      </c>
    </row>
    <row r="82" spans="1:3" x14ac:dyDescent="0.35">
      <c r="A82" s="6" t="s">
        <v>276</v>
      </c>
      <c r="B82" s="6" t="s">
        <v>305</v>
      </c>
      <c r="C82" s="6" t="s">
        <v>306</v>
      </c>
    </row>
    <row r="83" spans="1:3" x14ac:dyDescent="0.35">
      <c r="A83" s="6" t="s">
        <v>276</v>
      </c>
      <c r="B83" s="124" t="s">
        <v>178</v>
      </c>
      <c r="C83" s="6" t="s">
        <v>307</v>
      </c>
    </row>
    <row r="84" spans="1:3" x14ac:dyDescent="0.35">
      <c r="A84" s="6" t="s">
        <v>276</v>
      </c>
      <c r="B84" s="6" t="s">
        <v>184</v>
      </c>
      <c r="C84" s="6" t="s">
        <v>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BDB03-06ED-4D49-95CF-C3BCABD3023D}">
  <sheetPr>
    <tabColor theme="4"/>
  </sheetPr>
  <dimension ref="A1:K57"/>
  <sheetViews>
    <sheetView zoomScaleNormal="100" workbookViewId="0">
      <selection activeCell="B40" sqref="B40"/>
    </sheetView>
  </sheetViews>
  <sheetFormatPr defaultRowHeight="14.5" x14ac:dyDescent="0.35"/>
  <cols>
    <col min="1" max="1" width="37.6328125" style="19" customWidth="1"/>
    <col min="2" max="2" width="19.6328125" style="19" customWidth="1"/>
    <col min="3" max="3" width="20" style="19" bestFit="1" customWidth="1"/>
    <col min="4" max="4" width="16.453125" style="19" customWidth="1"/>
    <col min="5" max="5" width="17.6328125" style="19" customWidth="1"/>
    <col min="7" max="7" width="42.36328125" style="19" customWidth="1"/>
    <col min="8" max="8" width="19.6328125" style="19" customWidth="1"/>
    <col min="9" max="9" width="20" style="19" bestFit="1" customWidth="1"/>
    <col min="10" max="10" width="16.453125" style="19" customWidth="1"/>
    <col min="11" max="11" width="20.6328125" style="19" customWidth="1"/>
  </cols>
  <sheetData>
    <row r="1" spans="1:11" ht="18.5" x14ac:dyDescent="0.45">
      <c r="A1" s="1" t="s">
        <v>308</v>
      </c>
      <c r="B1" s="1"/>
      <c r="C1" s="1"/>
      <c r="D1" s="1"/>
      <c r="G1" s="1"/>
      <c r="H1" s="1"/>
      <c r="I1" s="1"/>
      <c r="J1" s="1"/>
    </row>
    <row r="2" spans="1:11" ht="15.5" x14ac:dyDescent="0.35">
      <c r="A2" s="2" t="s">
        <v>133</v>
      </c>
      <c r="B2" s="3"/>
      <c r="C2" s="3"/>
      <c r="D2" s="3"/>
      <c r="G2" s="2"/>
      <c r="H2" s="3"/>
      <c r="I2" s="3"/>
      <c r="J2" s="3"/>
    </row>
    <row r="3" spans="1:11" ht="15.5" x14ac:dyDescent="0.35">
      <c r="A3" s="4" t="s">
        <v>317</v>
      </c>
      <c r="B3" s="5"/>
      <c r="C3" s="5"/>
      <c r="D3" s="5"/>
      <c r="G3" s="4"/>
      <c r="H3" s="5"/>
      <c r="I3" s="5"/>
      <c r="J3" s="5"/>
    </row>
    <row r="4" spans="1:11" ht="15.5" x14ac:dyDescent="0.35">
      <c r="A4" s="4"/>
      <c r="B4" s="5"/>
      <c r="C4" s="5"/>
      <c r="D4" s="5"/>
      <c r="G4" s="4"/>
      <c r="H4" s="5"/>
      <c r="I4" s="5"/>
      <c r="J4" s="5"/>
    </row>
    <row r="5" spans="1:11" x14ac:dyDescent="0.35">
      <c r="A5" s="33" t="s">
        <v>109</v>
      </c>
      <c r="G5" s="33" t="s">
        <v>111</v>
      </c>
    </row>
    <row r="6" spans="1:11" x14ac:dyDescent="0.35">
      <c r="A6" s="170" t="s">
        <v>8</v>
      </c>
      <c r="B6" s="170" t="s">
        <v>2</v>
      </c>
      <c r="C6" s="170"/>
      <c r="D6" s="76" t="s">
        <v>3</v>
      </c>
      <c r="E6" s="173" t="s">
        <v>30</v>
      </c>
      <c r="G6" s="170" t="s">
        <v>8</v>
      </c>
      <c r="H6" s="170" t="s">
        <v>2</v>
      </c>
      <c r="I6" s="170"/>
      <c r="J6" s="76" t="s">
        <v>3</v>
      </c>
      <c r="K6" s="173" t="s">
        <v>30</v>
      </c>
    </row>
    <row r="7" spans="1:11" x14ac:dyDescent="0.35">
      <c r="A7" s="170"/>
      <c r="B7" s="75">
        <v>2022</v>
      </c>
      <c r="C7" s="75">
        <v>2023</v>
      </c>
      <c r="D7" s="75" t="s">
        <v>310</v>
      </c>
      <c r="E7" s="174"/>
      <c r="G7" s="170"/>
      <c r="H7" s="75">
        <v>2022</v>
      </c>
      <c r="I7" s="75">
        <v>2023</v>
      </c>
      <c r="J7" s="75" t="s">
        <v>310</v>
      </c>
      <c r="K7" s="174"/>
    </row>
    <row r="8" spans="1:11" x14ac:dyDescent="0.35">
      <c r="A8" s="37" t="s">
        <v>110</v>
      </c>
      <c r="B8" s="60">
        <f>(TME_Comm_ServCat!B8+TME_Maid_ServCat!H8+TME_Maid_ServCat!N8+TME_Mcare_ServCat!B8)/12+TME_Mcare_ServCat!H8</f>
        <v>3550557.6666666665</v>
      </c>
      <c r="C8" s="60">
        <f>(TME_Comm_ServCat!C8+TME_Maid_ServCat!I8+TME_Maid_ServCat!O8+TME_Mcare_ServCat!C8)/12+TME_Mcare_ServCat!I8</f>
        <v>3649020.8333333335</v>
      </c>
      <c r="D8" s="40">
        <f t="shared" ref="D8:D24" si="0">IFERROR((C8-B8)/B8, "")</f>
        <v>2.7731746928393402E-2</v>
      </c>
      <c r="E8" s="38"/>
      <c r="G8" s="37" t="s">
        <v>110</v>
      </c>
      <c r="H8" s="60">
        <f>B8-TME_Mcare_ServCat!H8</f>
        <v>3081900.6666666665</v>
      </c>
      <c r="I8" s="60">
        <f>C8-TME_Mcare_ServCat!I8</f>
        <v>3189958.8333333335</v>
      </c>
      <c r="J8" s="40">
        <f t="shared" ref="J8:J19" si="1">IFERROR((I8-H8)/H8, "")</f>
        <v>3.5062183488068395E-2</v>
      </c>
      <c r="K8" s="38"/>
    </row>
    <row r="9" spans="1:11" s="77" customFormat="1" x14ac:dyDescent="0.35">
      <c r="A9" s="6" t="s">
        <v>33</v>
      </c>
      <c r="B9" s="23">
        <f>TME_Comm_ServCat!B10+TME_Maid_ServCat!B10+TME_Mcare_ServCat!B10+TME_Mcare_ServCat!H9</f>
        <v>5330854903.9418983</v>
      </c>
      <c r="C9" s="23">
        <f>TME_Comm_ServCat!C10+TME_Maid_ServCat!C10+TME_Mcare_ServCat!C10+TME_Mcare_ServCat!I9</f>
        <v>5571996424.6681938</v>
      </c>
      <c r="D9" s="7">
        <f t="shared" si="0"/>
        <v>4.5235056116043129E-2</v>
      </c>
      <c r="E9" s="6"/>
      <c r="G9" s="37" t="s">
        <v>130</v>
      </c>
      <c r="H9" s="81">
        <f>(TME_Comm_ServCat!B9*TME_Comm_ServCat!B8+TME_Maid_ServCat!H9*TME_Maid_ServCat!H8+TME_Maid_ServCat!N9*TME_Maid_ServCat!N8+TME_Mcare_ServCat!B9*TME_Mcare_ServCat!B8)/(TME_Comm_ServCat!B8+TME_Maid_ServCat!H8+TME_Maid_ServCat!N8+TME_Mcare_ServCat!B8)</f>
        <v>1.0246930823143854</v>
      </c>
      <c r="I9" s="81">
        <f>(TME_Comm_ServCat!C9*TME_Comm_ServCat!C8+TME_Maid_ServCat!I9*TME_Maid_ServCat!I8+TME_Maid_ServCat!O9*TME_Maid_ServCat!O8+TME_Mcare_ServCat!C9*TME_Mcare_ServCat!C8)/(TME_Comm_ServCat!C8+TME_Maid_ServCat!I8+TME_Maid_ServCat!O8+TME_Mcare_ServCat!C8)</f>
        <v>1.033005641190637</v>
      </c>
      <c r="J9" s="40">
        <f t="shared" si="1"/>
        <v>8.1122426019279263E-3</v>
      </c>
      <c r="K9" s="38"/>
    </row>
    <row r="10" spans="1:11" x14ac:dyDescent="0.35">
      <c r="A10" s="6" t="s">
        <v>34</v>
      </c>
      <c r="B10" s="23">
        <f>TME_Comm_ServCat!B11+TME_Maid_ServCat!B11+TME_Mcare_ServCat!B11+TME_Mcare_ServCat!H10</f>
        <v>5252267855.5650177</v>
      </c>
      <c r="C10" s="23">
        <f>TME_Comm_ServCat!C11+TME_Maid_ServCat!C11+TME_Mcare_ServCat!C11+TME_Mcare_ServCat!I10</f>
        <v>5718280507.5534878</v>
      </c>
      <c r="D10" s="7">
        <f t="shared" si="0"/>
        <v>8.8725987478857987E-2</v>
      </c>
      <c r="E10" s="6"/>
      <c r="G10" s="6" t="s">
        <v>33</v>
      </c>
      <c r="H10" s="23">
        <f>TME_Comm_ServCat!B10+TME_Maid_ServCat!B10+TME_Mcare_ServCat!B10</f>
        <v>3973393659.9418988</v>
      </c>
      <c r="I10" s="23">
        <f>TME_Comm_ServCat!C10+TME_Maid_ServCat!C10+TME_Mcare_ServCat!C10</f>
        <v>4224912802.6681933</v>
      </c>
      <c r="J10" s="7">
        <f t="shared" si="1"/>
        <v>6.3300836577559846E-2</v>
      </c>
      <c r="K10" s="6"/>
    </row>
    <row r="11" spans="1:11" x14ac:dyDescent="0.35">
      <c r="A11" s="6" t="s">
        <v>108</v>
      </c>
      <c r="B11" s="23">
        <f>SUM(TME_Comm_ServCat!B12:B15)+SUM(TME_Maid_ServCat!B12:B15)+SUM(TME_Mcare_ServCat!B12:B15)+SUM(TME_Mcare_ServCat!H11:H12)</f>
        <v>7977834836.4204264</v>
      </c>
      <c r="C11" s="23">
        <f>SUM(TME_Comm_ServCat!C12:C15)+SUM(TME_Maid_ServCat!C12:C15)+SUM(TME_Mcare_ServCat!C12:C15)+SUM(TME_Mcare_ServCat!I11:I12)</f>
        <v>8820594943.4244633</v>
      </c>
      <c r="D11" s="7">
        <f t="shared" si="0"/>
        <v>0.10563769798249857</v>
      </c>
      <c r="E11" s="6"/>
      <c r="G11" s="6" t="s">
        <v>34</v>
      </c>
      <c r="H11" s="23">
        <f>TME_Comm_ServCat!B11+TME_Maid_ServCat!B11+TME_Mcare_ServCat!B11</f>
        <v>4321234850.5650177</v>
      </c>
      <c r="I11" s="23">
        <f>TME_Comm_ServCat!C11+TME_Maid_ServCat!C11+TME_Mcare_ServCat!C11</f>
        <v>4772052716.5534878</v>
      </c>
      <c r="J11" s="7">
        <f t="shared" si="1"/>
        <v>0.10432616638031694</v>
      </c>
      <c r="K11" s="6"/>
    </row>
    <row r="12" spans="1:11" x14ac:dyDescent="0.35">
      <c r="A12" s="6" t="s">
        <v>39</v>
      </c>
      <c r="B12" s="23">
        <f>TME_Comm_ServCat!B16+TME_Maid_ServCat!B16+TME_Mcare_ServCat!B16+SUM(TME_Mcare_ServCat!H13:H14)</f>
        <v>746307109.03970957</v>
      </c>
      <c r="C12" s="23">
        <f>TME_Comm_ServCat!C16+TME_Maid_ServCat!C16+TME_Mcare_ServCat!C16+SUM(TME_Mcare_ServCat!I13:I14)</f>
        <v>818270898.36828327</v>
      </c>
      <c r="D12" s="7">
        <f t="shared" si="0"/>
        <v>9.6426509217058323E-2</v>
      </c>
      <c r="E12" s="6"/>
      <c r="G12" s="6" t="s">
        <v>35</v>
      </c>
      <c r="H12" s="23">
        <f>TME_Comm_ServCat!B12+TME_Maid_ServCat!B12+TME_Mcare_ServCat!B12</f>
        <v>1559379031.8158445</v>
      </c>
      <c r="I12" s="23">
        <f>TME_Comm_ServCat!C12+TME_Maid_ServCat!C12+TME_Mcare_ServCat!C12</f>
        <v>1720273032.9436798</v>
      </c>
      <c r="J12" s="7">
        <f t="shared" si="1"/>
        <v>0.10317825098653507</v>
      </c>
      <c r="K12" s="6"/>
    </row>
    <row r="13" spans="1:11" x14ac:dyDescent="0.35">
      <c r="A13" s="12" t="s">
        <v>60</v>
      </c>
      <c r="B13" s="23">
        <f>TME_Comm_ServCat!B17+TME_Maid_ServCat!B17+TME_Mcare_ServCat!B17+TME_Mcare_ServCat!H19</f>
        <v>5190942599.2135401</v>
      </c>
      <c r="C13" s="23">
        <f>TME_Comm_ServCat!C17+TME_Maid_ServCat!C17+TME_Mcare_ServCat!C17+TME_Mcare_ServCat!I19</f>
        <v>5774914048.1244879</v>
      </c>
      <c r="D13" s="7">
        <f t="shared" si="0"/>
        <v>0.11249815187696799</v>
      </c>
      <c r="E13" s="6"/>
      <c r="G13" s="6" t="s">
        <v>36</v>
      </c>
      <c r="H13" s="23">
        <f>TME_Comm_ServCat!B13+TME_Maid_ServCat!B13+TME_Mcare_ServCat!B13</f>
        <v>2949035281.0145192</v>
      </c>
      <c r="I13" s="23">
        <f>TME_Comm_ServCat!C13+TME_Maid_ServCat!C13+TME_Mcare_ServCat!C13</f>
        <v>3165551847.896163</v>
      </c>
      <c r="J13" s="7">
        <f t="shared" si="1"/>
        <v>7.341945627966795E-2</v>
      </c>
      <c r="K13" s="6"/>
    </row>
    <row r="14" spans="1:11" x14ac:dyDescent="0.35">
      <c r="A14" s="12" t="s">
        <v>61</v>
      </c>
      <c r="B14" s="23">
        <f>TME_Comm_ServCat!B18+TME_Maid_ServCat!B18+TME_Mcare_ServCat!B18+TME_Mcare_ServCat!H19</f>
        <v>3956543054.7050853</v>
      </c>
      <c r="C14" s="23">
        <f>TME_Comm_ServCat!C18+TME_Maid_ServCat!C18+TME_Mcare_ServCat!C18+TME_Mcare_ServCat!I19</f>
        <v>4317032258.9260769</v>
      </c>
      <c r="D14" s="7">
        <f t="shared" si="0"/>
        <v>9.1112165149397559E-2</v>
      </c>
      <c r="E14" s="46"/>
      <c r="G14" s="6" t="s">
        <v>37</v>
      </c>
      <c r="H14" s="23">
        <f>TME_Comm_ServCat!B14+TME_Maid_ServCat!B14+TME_Mcare_ServCat!B14</f>
        <v>933346041.95420659</v>
      </c>
      <c r="I14" s="23">
        <f>TME_Comm_ServCat!C14+TME_Maid_ServCat!C14+TME_Mcare_ServCat!C14</f>
        <v>1184983552.7746289</v>
      </c>
      <c r="J14" s="7">
        <f t="shared" si="1"/>
        <v>0.26960794765203339</v>
      </c>
      <c r="K14" s="6"/>
    </row>
    <row r="15" spans="1:11" x14ac:dyDescent="0.35">
      <c r="A15" s="12" t="s">
        <v>40</v>
      </c>
      <c r="B15" s="23">
        <f>TME_Comm_ServCat!B20+TME_Maid_ServCat!B20+TME_Mcare_ServCat!B20+SUM(TME_Mcare_ServCat!H15:H18)</f>
        <v>2089259473.18485</v>
      </c>
      <c r="C15" s="23">
        <f>TME_Comm_ServCat!C20+TME_Maid_ServCat!C20+TME_Mcare_ServCat!C20+SUM(TME_Mcare_ServCat!I15:I18)</f>
        <v>2337628935.2705784</v>
      </c>
      <c r="D15" s="7">
        <f t="shared" si="0"/>
        <v>0.1188791843586168</v>
      </c>
      <c r="E15" s="6"/>
      <c r="G15" s="6" t="s">
        <v>38</v>
      </c>
      <c r="H15" s="23">
        <f>TME_Comm_ServCat!B15+TME_Maid_ServCat!B15+TME_Mcare_ServCat!B15</f>
        <v>1421694362.6358564</v>
      </c>
      <c r="I15" s="23">
        <f>TME_Comm_ServCat!C15+TME_Maid_ServCat!C15+TME_Mcare_ServCat!C15</f>
        <v>1573107977.8099921</v>
      </c>
      <c r="J15" s="7">
        <f t="shared" si="1"/>
        <v>0.10650222660615402</v>
      </c>
      <c r="K15" s="6"/>
    </row>
    <row r="16" spans="1:11" x14ac:dyDescent="0.35">
      <c r="A16" s="12" t="s">
        <v>48</v>
      </c>
      <c r="B16" s="23">
        <f>TME_Comm_ServCat!B21+TME_Maid_ServCat!B21+TME_Mcare_ServCat!B21</f>
        <v>1219739173.4027181</v>
      </c>
      <c r="C16" s="23">
        <f>TME_Comm_ServCat!C21+TME_Maid_ServCat!C21+TME_Mcare_ServCat!C21</f>
        <v>1529841769.9303861</v>
      </c>
      <c r="D16" s="7">
        <f t="shared" si="0"/>
        <v>0.2542368100407662</v>
      </c>
      <c r="E16" s="6"/>
      <c r="G16" s="6" t="s">
        <v>39</v>
      </c>
      <c r="H16" s="23">
        <f>TME_Comm_ServCat!B16+TME_Maid_ServCat!B16+TME_Mcare_ServCat!B16</f>
        <v>401744291.03970957</v>
      </c>
      <c r="I16" s="23">
        <f>TME_Comm_ServCat!C16+TME_Maid_ServCat!C16+TME_Mcare_ServCat!C16</f>
        <v>471459505.36828327</v>
      </c>
      <c r="J16" s="7">
        <f t="shared" si="1"/>
        <v>0.1735313130353428</v>
      </c>
      <c r="K16" s="6"/>
    </row>
    <row r="17" spans="1:11" x14ac:dyDescent="0.35">
      <c r="A17" s="12" t="s">
        <v>49</v>
      </c>
      <c r="B17" s="23">
        <f>TME_Comm_ServCat!B22+TME_Maid_ServCat!B22+TME_Mcare_ServCat!B22</f>
        <v>441163875.69916779</v>
      </c>
      <c r="C17" s="23">
        <f>TME_Comm_ServCat!C22+TME_Maid_ServCat!C22+TME_Mcare_ServCat!C22</f>
        <v>360573187.35567129</v>
      </c>
      <c r="D17" s="7">
        <f t="shared" si="0"/>
        <v>-0.1826774420633927</v>
      </c>
      <c r="E17" s="6"/>
      <c r="G17" s="12" t="s">
        <v>60</v>
      </c>
      <c r="H17" s="23">
        <f>TME_Comm_ServCat!B17+TME_Maid_ServCat!B17+TME_Mcare_ServCat!B17</f>
        <v>4170681701.2135401</v>
      </c>
      <c r="I17" s="23">
        <f>TME_Comm_ServCat!C17+TME_Maid_ServCat!C17+TME_Mcare_ServCat!C17</f>
        <v>4708958266.1244879</v>
      </c>
      <c r="J17" s="7">
        <f t="shared" si="1"/>
        <v>0.12906201035536369</v>
      </c>
      <c r="K17" s="6"/>
    </row>
    <row r="18" spans="1:11" x14ac:dyDescent="0.35">
      <c r="A18" s="12" t="s">
        <v>50</v>
      </c>
      <c r="B18" s="23">
        <f>TME_Comm_ServCat!B23+TME_Maid_ServCat!B23+TME_Mcare_ServCat!B23</f>
        <v>131303076.20419192</v>
      </c>
      <c r="C18" s="23">
        <f>TME_Comm_ServCat!C23+TME_Maid_ServCat!C23+TME_Mcare_ServCat!C23</f>
        <v>163983718.10339361</v>
      </c>
      <c r="D18" s="7">
        <f t="shared" si="0"/>
        <v>0.24889471628508841</v>
      </c>
      <c r="E18" s="6"/>
      <c r="G18" s="12" t="s">
        <v>61</v>
      </c>
      <c r="H18" s="23">
        <f>TME_Comm_ServCat!B18+TME_Maid_ServCat!B18+TME_Mcare_ServCat!B18</f>
        <v>2936282156.7050853</v>
      </c>
      <c r="I18" s="23">
        <f>TME_Comm_ServCat!C18+TME_Maid_ServCat!C18+TME_Mcare_ServCat!C18</f>
        <v>3251076476.9260769</v>
      </c>
      <c r="J18" s="7">
        <f t="shared" si="1"/>
        <v>0.10720847092373248</v>
      </c>
      <c r="K18" s="6"/>
    </row>
    <row r="19" spans="1:11" x14ac:dyDescent="0.35">
      <c r="A19" s="12" t="s">
        <v>51</v>
      </c>
      <c r="B19" s="23">
        <f>TME_Comm_ServCat!B24+TME_Maid_ServCat!B24+TME_Mcare_ServCat!B24</f>
        <v>27981257.712808512</v>
      </c>
      <c r="C19" s="23">
        <f>TME_Comm_ServCat!C24+TME_Maid_ServCat!C24+TME_Mcare_ServCat!C24</f>
        <v>26565016.441593751</v>
      </c>
      <c r="D19" s="7">
        <f t="shared" si="0"/>
        <v>-5.0613924711699849E-2</v>
      </c>
      <c r="E19" s="6"/>
      <c r="G19" s="146" t="s">
        <v>334</v>
      </c>
      <c r="H19" s="147">
        <f>TME_Comm_ServCat!B19+TME_Maid_ServCat!B19+TME_Mcare_ServCat!B19</f>
        <v>1428268186.53</v>
      </c>
      <c r="I19" s="147">
        <f>TME_Comm_ServCat!C19+TME_Maid_ServCat!C19+TME_Mcare_ServCat!C19</f>
        <v>1665263336.9399996</v>
      </c>
      <c r="J19" s="148">
        <f t="shared" si="1"/>
        <v>0.16593182754128485</v>
      </c>
      <c r="K19" s="146"/>
    </row>
    <row r="20" spans="1:11" x14ac:dyDescent="0.35">
      <c r="A20" s="12" t="s">
        <v>52</v>
      </c>
      <c r="B20" s="23">
        <f>TME_Comm_ServCat!B25+TME_Maid_ServCat!B25+TME_Mcare_ServCat!B25</f>
        <v>-25292962.514476433</v>
      </c>
      <c r="C20" s="23">
        <f>TME_Comm_ServCat!C25+TME_Maid_ServCat!C25+TME_Mcare_ServCat!C25</f>
        <v>-29064553.727797955</v>
      </c>
      <c r="D20" s="7">
        <f t="shared" si="0"/>
        <v>0.1491162299063564</v>
      </c>
      <c r="E20" s="6"/>
      <c r="G20" s="12" t="s">
        <v>40</v>
      </c>
      <c r="H20" s="23">
        <f>TME_Comm_ServCat!B20+TME_Maid_ServCat!B20+TME_Mcare_ServCat!B20</f>
        <v>1118655114.18485</v>
      </c>
      <c r="I20" s="23">
        <f>TME_Comm_ServCat!C20+TME_Maid_ServCat!C20+TME_Mcare_ServCat!C20</f>
        <v>1245924419.2705781</v>
      </c>
      <c r="J20" s="7">
        <f t="shared" ref="J20:J29" si="2">IFERROR((I20-H20)/H20, "")</f>
        <v>0.11376992200001493</v>
      </c>
      <c r="K20" s="6"/>
    </row>
    <row r="21" spans="1:11" x14ac:dyDescent="0.35">
      <c r="A21" s="12" t="s">
        <v>53</v>
      </c>
      <c r="B21" s="23">
        <f>TME_Comm_ServCat!B26+TME_Maid_ServCat!B26+TME_Mcare_ServCat!B26</f>
        <v>39751456.620969787</v>
      </c>
      <c r="C21" s="23">
        <f>TME_Comm_ServCat!C26+TME_Maid_ServCat!C26+TME_Mcare_ServCat!C26</f>
        <v>22742416.084527083</v>
      </c>
      <c r="D21" s="7">
        <f t="shared" si="0"/>
        <v>-0.42788471121005545</v>
      </c>
      <c r="E21" s="6"/>
      <c r="G21" s="12" t="s">
        <v>48</v>
      </c>
      <c r="H21" s="23">
        <f>TME_Comm_ServCat!B21+TME_Maid_ServCat!B21+TME_Mcare_ServCat!B21</f>
        <v>1219739173.4027181</v>
      </c>
      <c r="I21" s="23">
        <f>TME_Comm_ServCat!C21+TME_Maid_ServCat!C21+TME_Mcare_ServCat!C21</f>
        <v>1529841769.9303861</v>
      </c>
      <c r="J21" s="7">
        <f t="shared" si="2"/>
        <v>0.2542368100407662</v>
      </c>
      <c r="K21" s="6"/>
    </row>
    <row r="22" spans="1:11" x14ac:dyDescent="0.35">
      <c r="A22" s="37" t="s">
        <v>62</v>
      </c>
      <c r="B22" s="39">
        <f>SUM(B9:B13)+B15</f>
        <v>26587466777.36544</v>
      </c>
      <c r="C22" s="39">
        <f>SUM(C9:C13)+C15</f>
        <v>29041685757.409492</v>
      </c>
      <c r="D22" s="40">
        <f t="shared" si="0"/>
        <v>9.2307364240258816E-2</v>
      </c>
      <c r="E22" s="37"/>
      <c r="G22" s="12" t="s">
        <v>49</v>
      </c>
      <c r="H22" s="23">
        <f>TME_Comm_ServCat!B22+TME_Maid_ServCat!B22+TME_Mcare_ServCat!B22</f>
        <v>441163875.69916779</v>
      </c>
      <c r="I22" s="23">
        <f>TME_Comm_ServCat!C22+TME_Maid_ServCat!C22+TME_Mcare_ServCat!C22</f>
        <v>360573187.35567129</v>
      </c>
      <c r="J22" s="7">
        <f t="shared" si="2"/>
        <v>-0.1826774420633927</v>
      </c>
      <c r="K22" s="6"/>
    </row>
    <row r="23" spans="1:11" x14ac:dyDescent="0.35">
      <c r="A23" s="37" t="s">
        <v>63</v>
      </c>
      <c r="B23" s="39">
        <f>SUM(B9:B12)+SUM(B14:B15)</f>
        <v>25353067232.856987</v>
      </c>
      <c r="C23" s="39">
        <f>SUM(C9:C12)+SUM(C14:C15)</f>
        <v>27583803968.211082</v>
      </c>
      <c r="D23" s="40">
        <f t="shared" si="0"/>
        <v>8.7986858349947988E-2</v>
      </c>
      <c r="E23" s="37"/>
      <c r="G23" s="12" t="s">
        <v>50</v>
      </c>
      <c r="H23" s="23">
        <f>TME_Comm_ServCat!B23+TME_Maid_ServCat!B23+TME_Mcare_ServCat!B23</f>
        <v>131303076.20419192</v>
      </c>
      <c r="I23" s="23">
        <f>TME_Comm_ServCat!C23+TME_Maid_ServCat!C23+TME_Mcare_ServCat!C23</f>
        <v>163983718.10339361</v>
      </c>
      <c r="J23" s="7">
        <f t="shared" si="2"/>
        <v>0.24889471628508841</v>
      </c>
      <c r="K23" s="6"/>
    </row>
    <row r="24" spans="1:11" x14ac:dyDescent="0.35">
      <c r="A24" s="37" t="s">
        <v>56</v>
      </c>
      <c r="B24" s="39">
        <f>SUM(B16:B21)</f>
        <v>1834645877.1253796</v>
      </c>
      <c r="C24" s="39">
        <f t="shared" ref="C24" si="3">SUM(C16:C21)</f>
        <v>2074641554.1877737</v>
      </c>
      <c r="D24" s="40">
        <f t="shared" si="0"/>
        <v>0.13081307954559171</v>
      </c>
      <c r="E24" s="37"/>
      <c r="G24" s="12" t="s">
        <v>51</v>
      </c>
      <c r="H24" s="23">
        <f>TME_Comm_ServCat!B24+TME_Maid_ServCat!B24+TME_Mcare_ServCat!B24</f>
        <v>27981257.712808512</v>
      </c>
      <c r="I24" s="23">
        <f>TME_Comm_ServCat!C24+TME_Maid_ServCat!C24+TME_Mcare_ServCat!C24</f>
        <v>26565016.441593751</v>
      </c>
      <c r="J24" s="7">
        <f t="shared" si="2"/>
        <v>-5.0613924711699849E-2</v>
      </c>
      <c r="K24" s="6"/>
    </row>
    <row r="25" spans="1:11" x14ac:dyDescent="0.35">
      <c r="G25" s="12" t="s">
        <v>52</v>
      </c>
      <c r="H25" s="23">
        <f>TME_Comm_ServCat!B25+TME_Maid_ServCat!B25+TME_Mcare_ServCat!B25</f>
        <v>-25292962.514476433</v>
      </c>
      <c r="I25" s="23">
        <f>TME_Comm_ServCat!C25+TME_Maid_ServCat!C25+TME_Mcare_ServCat!C25</f>
        <v>-29064553.727797955</v>
      </c>
      <c r="J25" s="7">
        <f t="shared" si="2"/>
        <v>0.1491162299063564</v>
      </c>
      <c r="K25" s="6"/>
    </row>
    <row r="26" spans="1:11" x14ac:dyDescent="0.35">
      <c r="G26" s="12" t="s">
        <v>53</v>
      </c>
      <c r="H26" s="23">
        <f>TME_Comm_ServCat!B26+TME_Maid_ServCat!B26+TME_Mcare_ServCat!B26</f>
        <v>39751456.620969787</v>
      </c>
      <c r="I26" s="23">
        <f>TME_Comm_ServCat!C26+TME_Maid_ServCat!C26+TME_Mcare_ServCat!C26</f>
        <v>22742416.084527083</v>
      </c>
      <c r="J26" s="7">
        <f t="shared" si="2"/>
        <v>-0.42788471121005545</v>
      </c>
      <c r="K26" s="6"/>
    </row>
    <row r="27" spans="1:11" x14ac:dyDescent="0.35">
      <c r="A27" s="170" t="s">
        <v>8</v>
      </c>
      <c r="B27" s="170" t="s">
        <v>66</v>
      </c>
      <c r="C27" s="170"/>
      <c r="D27" s="76" t="s">
        <v>3</v>
      </c>
      <c r="E27" s="173" t="s">
        <v>30</v>
      </c>
      <c r="G27" s="37" t="s">
        <v>62</v>
      </c>
      <c r="H27" s="39">
        <f>SUM(H10:H16) + H17 +H20</f>
        <v>20849164334.36544</v>
      </c>
      <c r="I27" s="39">
        <f>SUM(I10:I16) + I17 +I20</f>
        <v>23067224121.409492</v>
      </c>
      <c r="J27" s="40">
        <f t="shared" si="2"/>
        <v>0.1063860283065662</v>
      </c>
      <c r="K27" s="38"/>
    </row>
    <row r="28" spans="1:11" x14ac:dyDescent="0.35">
      <c r="A28" s="170"/>
      <c r="B28" s="75">
        <v>2022</v>
      </c>
      <c r="C28" s="75">
        <v>2023</v>
      </c>
      <c r="D28" s="75" t="s">
        <v>310</v>
      </c>
      <c r="E28" s="174"/>
      <c r="G28" s="37" t="s">
        <v>63</v>
      </c>
      <c r="H28" s="39">
        <f>SUM(H10:H16) + H18 +H20</f>
        <v>19614764789.856987</v>
      </c>
      <c r="I28" s="39">
        <f>SUM(I10:I16) + I18 +I20</f>
        <v>21609342332.211082</v>
      </c>
      <c r="J28" s="40">
        <f t="shared" si="2"/>
        <v>0.10168755851640462</v>
      </c>
      <c r="K28" s="38"/>
    </row>
    <row r="29" spans="1:11" x14ac:dyDescent="0.35">
      <c r="A29" s="6" t="s">
        <v>33</v>
      </c>
      <c r="B29" s="23">
        <f>B9/$B$8</f>
        <v>1501.4134128813093</v>
      </c>
      <c r="C29" s="23">
        <f>C9/$C$8</f>
        <v>1526.983999041257</v>
      </c>
      <c r="D29" s="7">
        <f t="shared" ref="D29:D46" si="4">IFERROR((C29-B29)/B29, "")</f>
        <v>1.7031009541120353E-2</v>
      </c>
      <c r="E29" s="6"/>
      <c r="G29" s="37" t="s">
        <v>56</v>
      </c>
      <c r="H29" s="39">
        <f>SUM(H21:H26)</f>
        <v>1834645877.1253796</v>
      </c>
      <c r="I29" s="39">
        <f t="shared" ref="I29" si="5">SUM(I21:I26)</f>
        <v>2074641554.1877737</v>
      </c>
      <c r="J29" s="40">
        <f t="shared" si="2"/>
        <v>0.13081307954559171</v>
      </c>
      <c r="K29" s="38"/>
    </row>
    <row r="30" spans="1:11" x14ac:dyDescent="0.35">
      <c r="A30" s="6" t="s">
        <v>34</v>
      </c>
      <c r="B30" s="23">
        <f t="shared" ref="B30:B41" si="6">B10/$B$8</f>
        <v>1479.2796931237988</v>
      </c>
      <c r="C30" s="23">
        <f t="shared" ref="C30:C41" si="7">C10/$C$8</f>
        <v>1567.0725843266596</v>
      </c>
      <c r="D30" s="7">
        <f t="shared" si="4"/>
        <v>5.9348405586146E-2</v>
      </c>
      <c r="E30" s="6"/>
      <c r="G30" s="17"/>
      <c r="H30" s="55"/>
      <c r="I30" s="55"/>
      <c r="J30" s="56"/>
      <c r="K30" s="14"/>
    </row>
    <row r="31" spans="1:11" x14ac:dyDescent="0.35">
      <c r="A31" s="6" t="s">
        <v>108</v>
      </c>
      <c r="B31" s="23">
        <f t="shared" si="6"/>
        <v>2246.9244511412694</v>
      </c>
      <c r="C31" s="23">
        <f t="shared" si="7"/>
        <v>2417.2498174988395</v>
      </c>
      <c r="D31" s="7">
        <f t="shared" si="4"/>
        <v>7.5803779816031466E-2</v>
      </c>
      <c r="E31" s="6"/>
      <c r="G31" s="17"/>
      <c r="H31" s="55"/>
      <c r="I31" s="55"/>
      <c r="J31" s="56"/>
      <c r="K31" s="14"/>
    </row>
    <row r="32" spans="1:11" x14ac:dyDescent="0.35">
      <c r="A32" s="6" t="s">
        <v>39</v>
      </c>
      <c r="B32" s="23">
        <f t="shared" si="6"/>
        <v>210.19433539868609</v>
      </c>
      <c r="C32" s="23">
        <f t="shared" si="7"/>
        <v>224.24396454344256</v>
      </c>
      <c r="D32" s="7">
        <f t="shared" si="4"/>
        <v>6.6841140690627229E-2</v>
      </c>
      <c r="E32" s="6"/>
      <c r="G32" s="170" t="s">
        <v>8</v>
      </c>
      <c r="H32" s="170" t="s">
        <v>66</v>
      </c>
      <c r="I32" s="170"/>
      <c r="J32" s="76" t="s">
        <v>3</v>
      </c>
      <c r="K32" s="173" t="s">
        <v>30</v>
      </c>
    </row>
    <row r="33" spans="1:11" x14ac:dyDescent="0.35">
      <c r="A33" s="12" t="s">
        <v>60</v>
      </c>
      <c r="B33" s="23">
        <f t="shared" si="6"/>
        <v>1462.0076862705625</v>
      </c>
      <c r="C33" s="23">
        <f t="shared" si="7"/>
        <v>1582.5927863637814</v>
      </c>
      <c r="D33" s="7">
        <f t="shared" si="4"/>
        <v>8.247911500439481E-2</v>
      </c>
      <c r="E33" s="6"/>
      <c r="G33" s="170"/>
      <c r="H33" s="75">
        <v>2022</v>
      </c>
      <c r="I33" s="75">
        <v>2023</v>
      </c>
      <c r="J33" s="75" t="s">
        <v>310</v>
      </c>
      <c r="K33" s="174"/>
    </row>
    <row r="34" spans="1:11" x14ac:dyDescent="0.35">
      <c r="A34" s="12" t="s">
        <v>61</v>
      </c>
      <c r="B34" s="23">
        <f t="shared" si="6"/>
        <v>1114.3441189112036</v>
      </c>
      <c r="C34" s="23">
        <f t="shared" si="7"/>
        <v>1183.06593908441</v>
      </c>
      <c r="D34" s="7">
        <f t="shared" si="4"/>
        <v>6.1670195953789128E-2</v>
      </c>
      <c r="E34" s="6"/>
      <c r="G34" s="6" t="s">
        <v>33</v>
      </c>
      <c r="H34" s="23">
        <f t="shared" ref="H34:H43" si="8">H10/$H$8</f>
        <v>1289.2672703301164</v>
      </c>
      <c r="I34" s="23">
        <f t="shared" ref="I34:I43" si="9">I10/$I$8</f>
        <v>1324.4411678671695</v>
      </c>
      <c r="J34" s="7">
        <f t="shared" ref="J34:J57" si="10">IFERROR((I34-H34)/H34, "")</f>
        <v>2.7282083666055407E-2</v>
      </c>
      <c r="K34" s="46"/>
    </row>
    <row r="35" spans="1:11" x14ac:dyDescent="0.35">
      <c r="A35" s="12" t="s">
        <v>40</v>
      </c>
      <c r="B35" s="23">
        <f t="shared" si="6"/>
        <v>588.43135905078486</v>
      </c>
      <c r="C35" s="23">
        <f t="shared" si="7"/>
        <v>640.61813895844068</v>
      </c>
      <c r="D35" s="7">
        <f t="shared" si="4"/>
        <v>8.8687965223063187E-2</v>
      </c>
      <c r="E35" s="6"/>
      <c r="G35" s="6" t="s">
        <v>34</v>
      </c>
      <c r="H35" s="23">
        <f t="shared" si="8"/>
        <v>1402.1330723935353</v>
      </c>
      <c r="I35" s="23">
        <f t="shared" si="9"/>
        <v>1495.9605956942562</v>
      </c>
      <c r="J35" s="7">
        <f t="shared" si="10"/>
        <v>6.6917702141174845E-2</v>
      </c>
      <c r="K35" s="6"/>
    </row>
    <row r="36" spans="1:11" x14ac:dyDescent="0.35">
      <c r="A36" s="12" t="s">
        <v>48</v>
      </c>
      <c r="B36" s="23">
        <f t="shared" si="6"/>
        <v>343.53453398430037</v>
      </c>
      <c r="C36" s="23">
        <f t="shared" si="7"/>
        <v>419.24720077108884</v>
      </c>
      <c r="D36" s="7">
        <f t="shared" si="4"/>
        <v>0.22039317534885319</v>
      </c>
      <c r="E36" s="6"/>
      <c r="G36" s="6" t="s">
        <v>35</v>
      </c>
      <c r="H36" s="23">
        <f t="shared" si="8"/>
        <v>505.97965362149176</v>
      </c>
      <c r="I36" s="23">
        <f t="shared" si="9"/>
        <v>539.27750257080527</v>
      </c>
      <c r="J36" s="7">
        <f t="shared" si="10"/>
        <v>6.5808671773633462E-2</v>
      </c>
      <c r="K36" s="6"/>
    </row>
    <row r="37" spans="1:11" x14ac:dyDescent="0.35">
      <c r="A37" s="12" t="s">
        <v>49</v>
      </c>
      <c r="B37" s="23">
        <f t="shared" si="6"/>
        <v>124.25199563462974</v>
      </c>
      <c r="C37" s="23">
        <f t="shared" si="7"/>
        <v>98.813682854831043</v>
      </c>
      <c r="D37" s="7">
        <f t="shared" si="4"/>
        <v>-0.20473162342278622</v>
      </c>
      <c r="E37" s="46"/>
      <c r="G37" s="6" t="s">
        <v>36</v>
      </c>
      <c r="H37" s="23">
        <f t="shared" si="8"/>
        <v>956.8884918682819</v>
      </c>
      <c r="I37" s="23">
        <f t="shared" si="9"/>
        <v>992.34880864852209</v>
      </c>
      <c r="J37" s="7">
        <f t="shared" si="10"/>
        <v>3.7057940482705054E-2</v>
      </c>
      <c r="K37" s="6"/>
    </row>
    <row r="38" spans="1:11" x14ac:dyDescent="0.35">
      <c r="A38" s="12" t="s">
        <v>50</v>
      </c>
      <c r="B38" s="23">
        <f t="shared" si="6"/>
        <v>36.980972717860922</v>
      </c>
      <c r="C38" s="23">
        <f t="shared" si="7"/>
        <v>44.939101636642782</v>
      </c>
      <c r="D38" s="7">
        <f t="shared" si="4"/>
        <v>0.21519522970628283</v>
      </c>
      <c r="E38" s="6"/>
      <c r="G38" s="6" t="s">
        <v>37</v>
      </c>
      <c r="H38" s="23">
        <f t="shared" si="8"/>
        <v>302.84754211877259</v>
      </c>
      <c r="I38" s="23">
        <f t="shared" si="9"/>
        <v>371.47299218792284</v>
      </c>
      <c r="J38" s="7">
        <f t="shared" si="10"/>
        <v>0.22660065057498899</v>
      </c>
      <c r="K38" s="6"/>
    </row>
    <row r="39" spans="1:11" x14ac:dyDescent="0.35">
      <c r="A39" s="12" t="s">
        <v>51</v>
      </c>
      <c r="B39" s="23">
        <f t="shared" si="6"/>
        <v>7.880806436549971</v>
      </c>
      <c r="C39" s="23">
        <f t="shared" si="7"/>
        <v>7.2800396750069938</v>
      </c>
      <c r="D39" s="7">
        <f t="shared" si="4"/>
        <v>-7.6231635224120367E-2</v>
      </c>
      <c r="E39" s="6"/>
      <c r="G39" s="6" t="s">
        <v>38</v>
      </c>
      <c r="H39" s="23">
        <f t="shared" si="8"/>
        <v>461.30440802738065</v>
      </c>
      <c r="I39" s="23">
        <f t="shared" si="9"/>
        <v>493.14366109426555</v>
      </c>
      <c r="J39" s="7">
        <f t="shared" si="10"/>
        <v>6.9020049478900919E-2</v>
      </c>
      <c r="K39" s="6"/>
    </row>
    <row r="40" spans="1:11" x14ac:dyDescent="0.35">
      <c r="A40" s="12" t="s">
        <v>52</v>
      </c>
      <c r="B40" s="23">
        <f>B20/$B$8</f>
        <v>-7.1236591231658446</v>
      </c>
      <c r="C40" s="23">
        <f t="shared" si="7"/>
        <v>-7.9650281692822951</v>
      </c>
      <c r="D40" s="7">
        <f t="shared" si="4"/>
        <v>0.11810911100172566</v>
      </c>
      <c r="E40" s="6"/>
      <c r="G40" s="6" t="s">
        <v>39</v>
      </c>
      <c r="H40" s="23">
        <f t="shared" si="8"/>
        <v>130.35601548904873</v>
      </c>
      <c r="I40" s="23">
        <f t="shared" si="9"/>
        <v>147.79485567079678</v>
      </c>
      <c r="J40" s="7">
        <f t="shared" si="10"/>
        <v>0.13377856109151398</v>
      </c>
      <c r="K40" s="6"/>
    </row>
    <row r="41" spans="1:11" x14ac:dyDescent="0.35">
      <c r="A41" s="12" t="s">
        <v>53</v>
      </c>
      <c r="B41" s="23">
        <f t="shared" si="6"/>
        <v>11.195834669625079</v>
      </c>
      <c r="C41" s="23">
        <f t="shared" si="7"/>
        <v>6.2324708800722792</v>
      </c>
      <c r="D41" s="7">
        <f t="shared" si="4"/>
        <v>-0.44332235478777487</v>
      </c>
      <c r="E41" s="6"/>
      <c r="G41" s="12" t="s">
        <v>60</v>
      </c>
      <c r="H41" s="23">
        <f t="shared" si="8"/>
        <v>1353.2823255216988</v>
      </c>
      <c r="I41" s="23">
        <f t="shared" si="9"/>
        <v>1476.1815158610943</v>
      </c>
      <c r="J41" s="7">
        <f t="shared" si="10"/>
        <v>9.0815632497097121E-2</v>
      </c>
      <c r="K41" s="6"/>
    </row>
    <row r="42" spans="1:11" x14ac:dyDescent="0.35">
      <c r="A42" s="37" t="s">
        <v>62</v>
      </c>
      <c r="B42" s="53">
        <f>B22/$B$8</f>
        <v>7488.2509378664108</v>
      </c>
      <c r="C42" s="53">
        <f>C22/$C$8</f>
        <v>7958.7612907324201</v>
      </c>
      <c r="D42" s="40">
        <f t="shared" si="4"/>
        <v>6.2833144451228742E-2</v>
      </c>
      <c r="E42" s="38"/>
      <c r="G42" s="12" t="s">
        <v>61</v>
      </c>
      <c r="H42" s="23">
        <f t="shared" si="8"/>
        <v>952.75042069442168</v>
      </c>
      <c r="I42" s="23">
        <f t="shared" si="9"/>
        <v>1019.1593831726282</v>
      </c>
      <c r="J42" s="7">
        <f t="shared" si="10"/>
        <v>6.9702370144117759E-2</v>
      </c>
      <c r="K42" s="46"/>
    </row>
    <row r="43" spans="1:11" x14ac:dyDescent="0.35">
      <c r="A43" s="37" t="s">
        <v>63</v>
      </c>
      <c r="B43" s="53">
        <f t="shared" ref="B43:B44" si="11">B23/$B$8</f>
        <v>7140.5873705070526</v>
      </c>
      <c r="C43" s="53">
        <f t="shared" ref="C43:C44" si="12">C23/$C$8</f>
        <v>7559.2344434530487</v>
      </c>
      <c r="D43" s="40">
        <f t="shared" si="4"/>
        <v>5.8629220710210012E-2</v>
      </c>
      <c r="E43" s="38"/>
      <c r="G43" s="146" t="s">
        <v>334</v>
      </c>
      <c r="H43" s="147">
        <f t="shared" si="8"/>
        <v>463.43745013520879</v>
      </c>
      <c r="I43" s="147">
        <f t="shared" si="9"/>
        <v>522.0328612203092</v>
      </c>
      <c r="J43" s="148">
        <f t="shared" si="10"/>
        <v>0.12643650414528451</v>
      </c>
      <c r="K43" s="149"/>
    </row>
    <row r="44" spans="1:11" x14ac:dyDescent="0.35">
      <c r="A44" s="37" t="s">
        <v>56</v>
      </c>
      <c r="B44" s="53">
        <f t="shared" si="11"/>
        <v>516.72048431980022</v>
      </c>
      <c r="C44" s="53">
        <f t="shared" si="12"/>
        <v>568.54746764835966</v>
      </c>
      <c r="D44" s="40">
        <f t="shared" si="4"/>
        <v>0.10029984276079816</v>
      </c>
      <c r="E44" s="38"/>
      <c r="G44" s="12" t="s">
        <v>40</v>
      </c>
      <c r="H44" s="23">
        <f t="shared" ref="H44:H50" si="13">H20/$H$8</f>
        <v>362.97572023785216</v>
      </c>
      <c r="I44" s="23">
        <f t="shared" ref="I44:I50" si="14">I20/$I$8</f>
        <v>390.57695862759925</v>
      </c>
      <c r="J44" s="7">
        <f t="shared" si="10"/>
        <v>7.6041555538922681E-2</v>
      </c>
      <c r="K44" s="6"/>
    </row>
    <row r="45" spans="1:11" x14ac:dyDescent="0.35">
      <c r="A45" s="37" t="s">
        <v>192</v>
      </c>
      <c r="B45" s="53">
        <f>B42+B44</f>
        <v>8004.9714221862114</v>
      </c>
      <c r="C45" s="53">
        <f>C42+C44</f>
        <v>8527.3087583807792</v>
      </c>
      <c r="D45" s="40">
        <f t="shared" si="4"/>
        <v>6.5251617856733585E-2</v>
      </c>
      <c r="E45" s="38"/>
      <c r="G45" s="12" t="s">
        <v>48</v>
      </c>
      <c r="H45" s="23">
        <f t="shared" si="13"/>
        <v>395.774979575175</v>
      </c>
      <c r="I45" s="23">
        <f t="shared" si="14"/>
        <v>479.5804114913247</v>
      </c>
      <c r="J45" s="7">
        <f t="shared" si="10"/>
        <v>0.21175020211259055</v>
      </c>
      <c r="K45" s="6"/>
    </row>
    <row r="46" spans="1:11" x14ac:dyDescent="0.35">
      <c r="A46" s="37" t="s">
        <v>194</v>
      </c>
      <c r="B46" s="53">
        <f>B43+B44</f>
        <v>7657.3078548268531</v>
      </c>
      <c r="C46" s="53">
        <f>C43+C44</f>
        <v>8127.7819111014087</v>
      </c>
      <c r="D46" s="40">
        <f t="shared" si="4"/>
        <v>6.1441183402073614E-2</v>
      </c>
      <c r="E46" s="38"/>
      <c r="G46" s="12" t="s">
        <v>49</v>
      </c>
      <c r="H46" s="23">
        <f t="shared" si="13"/>
        <v>143.1466888179506</v>
      </c>
      <c r="I46" s="23">
        <f t="shared" si="14"/>
        <v>113.03380582466386</v>
      </c>
      <c r="J46" s="7">
        <f t="shared" si="10"/>
        <v>-0.21036381101055959</v>
      </c>
      <c r="K46" s="6"/>
    </row>
    <row r="47" spans="1:11" x14ac:dyDescent="0.35">
      <c r="A47" s="50"/>
      <c r="G47" s="12" t="s">
        <v>50</v>
      </c>
      <c r="H47" s="23">
        <f t="shared" si="13"/>
        <v>42.604577631052329</v>
      </c>
      <c r="I47" s="23">
        <f t="shared" si="14"/>
        <v>51.406217657059713</v>
      </c>
      <c r="J47" s="7">
        <f t="shared" si="10"/>
        <v>0.20658906895470106</v>
      </c>
      <c r="K47" s="6"/>
    </row>
    <row r="48" spans="1:11" x14ac:dyDescent="0.35">
      <c r="G48" s="12" t="s">
        <v>51</v>
      </c>
      <c r="H48" s="23">
        <f t="shared" si="13"/>
        <v>9.079221149289209</v>
      </c>
      <c r="I48" s="23">
        <f t="shared" si="14"/>
        <v>8.3276988292149063</v>
      </c>
      <c r="J48" s="7">
        <f t="shared" si="10"/>
        <v>-8.2773875392729873E-2</v>
      </c>
      <c r="K48" s="6"/>
    </row>
    <row r="49" spans="7:11" x14ac:dyDescent="0.35">
      <c r="G49" s="12" t="s">
        <v>52</v>
      </c>
      <c r="H49" s="23">
        <f t="shared" si="13"/>
        <v>-8.2069363195384515</v>
      </c>
      <c r="I49" s="23">
        <f t="shared" si="14"/>
        <v>-9.1112629492547637</v>
      </c>
      <c r="J49" s="7">
        <f t="shared" si="10"/>
        <v>0.11019052597780732</v>
      </c>
      <c r="K49" s="6"/>
    </row>
    <row r="50" spans="7:11" x14ac:dyDescent="0.35">
      <c r="G50" s="12" t="s">
        <v>53</v>
      </c>
      <c r="H50" s="23">
        <f t="shared" si="13"/>
        <v>12.898357513892332</v>
      </c>
      <c r="I50" s="23">
        <f t="shared" si="14"/>
        <v>7.1293760430013116</v>
      </c>
      <c r="J50" s="7">
        <f t="shared" si="10"/>
        <v>-0.4472648137313196</v>
      </c>
      <c r="K50" s="6"/>
    </row>
    <row r="51" spans="7:11" x14ac:dyDescent="0.35">
      <c r="G51" s="37" t="s">
        <v>62</v>
      </c>
      <c r="H51" s="53">
        <f>H27/$H$8</f>
        <v>6765.0344996081776</v>
      </c>
      <c r="I51" s="53">
        <f>I27/$I$8</f>
        <v>7231.1980582224314</v>
      </c>
      <c r="J51" s="40">
        <f t="shared" si="10"/>
        <v>6.890778733519444E-2</v>
      </c>
      <c r="K51" s="38"/>
    </row>
    <row r="52" spans="7:11" x14ac:dyDescent="0.35">
      <c r="G52" s="37" t="s">
        <v>63</v>
      </c>
      <c r="H52" s="53">
        <f t="shared" ref="H52:H53" si="15">H28/$H$8</f>
        <v>6364.5025947809008</v>
      </c>
      <c r="I52" s="53">
        <f t="shared" ref="I52:I53" si="16">I28/$I$8</f>
        <v>6774.1759255339657</v>
      </c>
      <c r="J52" s="40">
        <f t="shared" si="10"/>
        <v>6.4368475721733598E-2</v>
      </c>
      <c r="K52" s="38"/>
    </row>
    <row r="53" spans="7:11" x14ac:dyDescent="0.35">
      <c r="G53" s="37" t="s">
        <v>56</v>
      </c>
      <c r="H53" s="53">
        <f t="shared" si="15"/>
        <v>595.296888367821</v>
      </c>
      <c r="I53" s="53">
        <f t="shared" si="16"/>
        <v>650.36624689600967</v>
      </c>
      <c r="J53" s="40">
        <f t="shared" si="10"/>
        <v>9.2507385145548612E-2</v>
      </c>
      <c r="K53" s="38"/>
    </row>
    <row r="54" spans="7:11" x14ac:dyDescent="0.35">
      <c r="G54" s="37" t="s">
        <v>192</v>
      </c>
      <c r="H54" s="53">
        <f>H51+H53</f>
        <v>7360.331387975999</v>
      </c>
      <c r="I54" s="53">
        <f>I51+I53</f>
        <v>7881.5643051184416</v>
      </c>
      <c r="J54" s="40">
        <f t="shared" si="10"/>
        <v>7.0816501277909893E-2</v>
      </c>
      <c r="K54" s="38"/>
    </row>
    <row r="55" spans="7:11" x14ac:dyDescent="0.35">
      <c r="G55" s="37" t="s">
        <v>193</v>
      </c>
      <c r="H55" s="53">
        <f>H51/H9+H53</f>
        <v>7197.3073989966051</v>
      </c>
      <c r="I55" s="53">
        <f>I51/I9+I53</f>
        <v>7650.519750305526</v>
      </c>
      <c r="J55" s="40">
        <f t="shared" si="10"/>
        <v>6.2969708834737889E-2</v>
      </c>
      <c r="K55" s="38"/>
    </row>
    <row r="56" spans="7:11" x14ac:dyDescent="0.35">
      <c r="G56" s="37" t="s">
        <v>194</v>
      </c>
      <c r="H56" s="53">
        <f>H52+H53</f>
        <v>6959.7994831487222</v>
      </c>
      <c r="I56" s="53">
        <f>I52+I53</f>
        <v>7424.5421724299758</v>
      </c>
      <c r="J56" s="40">
        <f t="shared" si="10"/>
        <v>6.6775298685903636E-2</v>
      </c>
      <c r="K56" s="38"/>
    </row>
    <row r="57" spans="7:11" x14ac:dyDescent="0.35">
      <c r="G57" s="37" t="s">
        <v>195</v>
      </c>
      <c r="H57" s="53">
        <f>H52/H9+H53</f>
        <v>6806.4275231194006</v>
      </c>
      <c r="I57" s="53">
        <f>I52/I9+I53</f>
        <v>7208.09996626475</v>
      </c>
      <c r="J57" s="40">
        <f t="shared" si="10"/>
        <v>5.9013695772266464E-2</v>
      </c>
      <c r="K57" s="38"/>
    </row>
  </sheetData>
  <mergeCells count="12">
    <mergeCell ref="A6:A7"/>
    <mergeCell ref="B6:C6"/>
    <mergeCell ref="E6:E7"/>
    <mergeCell ref="A27:A28"/>
    <mergeCell ref="B27:C27"/>
    <mergeCell ref="E27:E28"/>
    <mergeCell ref="G32:G33"/>
    <mergeCell ref="H32:I32"/>
    <mergeCell ref="K32:K33"/>
    <mergeCell ref="G6:G7"/>
    <mergeCell ref="H6:I6"/>
    <mergeCell ref="K6:K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I35"/>
  <sheetViews>
    <sheetView topLeftCell="A8" zoomScaleNormal="100" workbookViewId="0">
      <selection activeCell="F25" sqref="F25"/>
    </sheetView>
  </sheetViews>
  <sheetFormatPr defaultRowHeight="14.5" x14ac:dyDescent="0.35"/>
  <cols>
    <col min="1" max="1" width="34.54296875" customWidth="1"/>
    <col min="2" max="2" width="17.6328125" style="19" customWidth="1"/>
    <col min="3" max="3" width="19.6328125" style="19" customWidth="1"/>
    <col min="4" max="4" width="20" style="19" bestFit="1" customWidth="1"/>
    <col min="5" max="5" width="16.453125" style="19" customWidth="1"/>
    <col min="6" max="6" width="34" style="19" customWidth="1"/>
  </cols>
  <sheetData>
    <row r="1" spans="1:9" ht="18.5" x14ac:dyDescent="0.45">
      <c r="A1" s="1" t="s">
        <v>312</v>
      </c>
      <c r="B1" s="1"/>
      <c r="C1" s="1"/>
      <c r="D1" s="1"/>
      <c r="E1" s="1"/>
    </row>
    <row r="2" spans="1:9" ht="15.5" x14ac:dyDescent="0.35">
      <c r="A2" s="2" t="s">
        <v>0</v>
      </c>
      <c r="B2" s="2"/>
      <c r="C2" s="3"/>
      <c r="D2" s="3"/>
      <c r="E2" s="3"/>
    </row>
    <row r="3" spans="1:9" ht="15.75" customHeight="1" x14ac:dyDescent="0.35">
      <c r="A3" s="4" t="s">
        <v>313</v>
      </c>
      <c r="B3" s="4"/>
      <c r="C3" s="5"/>
      <c r="D3" s="5"/>
      <c r="E3" s="5"/>
      <c r="I3" s="10"/>
    </row>
    <row r="4" spans="1:9" x14ac:dyDescent="0.35">
      <c r="I4" s="10"/>
    </row>
    <row r="5" spans="1:9" x14ac:dyDescent="0.35">
      <c r="A5" s="170" t="s">
        <v>14</v>
      </c>
      <c r="B5" s="173" t="s">
        <v>18</v>
      </c>
      <c r="C5" s="170" t="s">
        <v>2</v>
      </c>
      <c r="D5" s="170"/>
      <c r="E5" s="76" t="s">
        <v>3</v>
      </c>
      <c r="F5" s="173" t="s">
        <v>30</v>
      </c>
      <c r="I5" s="10"/>
    </row>
    <row r="6" spans="1:9" x14ac:dyDescent="0.35">
      <c r="A6" s="170"/>
      <c r="B6" s="174"/>
      <c r="C6" s="75">
        <v>2022</v>
      </c>
      <c r="D6" s="75">
        <v>2023</v>
      </c>
      <c r="E6" s="75" t="s">
        <v>310</v>
      </c>
      <c r="F6" s="174"/>
      <c r="I6" s="10"/>
    </row>
    <row r="7" spans="1:9" x14ac:dyDescent="0.35">
      <c r="A7" s="12" t="s">
        <v>9</v>
      </c>
      <c r="B7" s="12" t="s">
        <v>93</v>
      </c>
      <c r="C7" s="95">
        <v>598278569.60773921</v>
      </c>
      <c r="D7" s="95">
        <v>624486584.32115102</v>
      </c>
      <c r="E7" s="7">
        <f t="shared" ref="E7:E13" si="0">IFERROR((D7-C7)/C7, "")</f>
        <v>4.3805705309810893E-2</v>
      </c>
      <c r="F7" s="6"/>
      <c r="I7" s="10"/>
    </row>
    <row r="8" spans="1:9" s="19" customFormat="1" x14ac:dyDescent="0.35">
      <c r="A8" s="12" t="s">
        <v>16</v>
      </c>
      <c r="B8" s="12" t="s">
        <v>93</v>
      </c>
      <c r="C8" s="95">
        <v>118363826.44486798</v>
      </c>
      <c r="D8" s="95">
        <v>152589762.15470797</v>
      </c>
      <c r="E8" s="7">
        <f t="shared" si="0"/>
        <v>0.28915874670359604</v>
      </c>
      <c r="F8" s="6"/>
      <c r="I8" s="10"/>
    </row>
    <row r="9" spans="1:9" x14ac:dyDescent="0.35">
      <c r="A9" s="12" t="s">
        <v>10</v>
      </c>
      <c r="B9" s="12" t="s">
        <v>19</v>
      </c>
      <c r="C9" s="95">
        <v>259882229.98471099</v>
      </c>
      <c r="D9" s="95">
        <v>261900022.85645899</v>
      </c>
      <c r="E9" s="7">
        <f t="shared" si="0"/>
        <v>7.7642587254492471E-3</v>
      </c>
      <c r="F9" s="6"/>
      <c r="I9" s="10"/>
    </row>
    <row r="10" spans="1:9" s="19" customFormat="1" x14ac:dyDescent="0.35">
      <c r="A10" s="12" t="s">
        <v>84</v>
      </c>
      <c r="B10" s="12" t="s">
        <v>93</v>
      </c>
      <c r="C10" s="95">
        <v>152673303.04641142</v>
      </c>
      <c r="D10" s="95">
        <v>170566481.99201921</v>
      </c>
      <c r="E10" s="7">
        <f t="shared" si="0"/>
        <v>0.11719913428589675</v>
      </c>
      <c r="F10" s="6"/>
      <c r="I10" s="10"/>
    </row>
    <row r="11" spans="1:9" s="19" customFormat="1" x14ac:dyDescent="0.35">
      <c r="A11" s="12" t="s">
        <v>85</v>
      </c>
      <c r="B11" s="12" t="s">
        <v>93</v>
      </c>
      <c r="C11" s="95">
        <v>0</v>
      </c>
      <c r="D11" s="95">
        <v>0</v>
      </c>
      <c r="E11" s="7" t="str">
        <f t="shared" si="0"/>
        <v/>
      </c>
      <c r="F11" s="6"/>
      <c r="I11" s="10"/>
    </row>
    <row r="12" spans="1:9" x14ac:dyDescent="0.35">
      <c r="A12" s="6" t="s">
        <v>12</v>
      </c>
      <c r="B12" s="12" t="s">
        <v>104</v>
      </c>
      <c r="C12" s="23">
        <v>708047065.34684253</v>
      </c>
      <c r="D12" s="23">
        <v>730287792.32761788</v>
      </c>
      <c r="E12" s="7">
        <f t="shared" si="0"/>
        <v>3.1411368070398765E-2</v>
      </c>
      <c r="F12" s="6" t="s">
        <v>373</v>
      </c>
      <c r="I12" s="10"/>
    </row>
    <row r="13" spans="1:9" x14ac:dyDescent="0.35">
      <c r="A13" s="6" t="s">
        <v>27</v>
      </c>
      <c r="B13" s="12" t="s">
        <v>116</v>
      </c>
      <c r="C13" s="23">
        <v>967707977.41270232</v>
      </c>
      <c r="D13" s="23">
        <v>643087897.84394801</v>
      </c>
      <c r="E13" s="7">
        <f t="shared" si="0"/>
        <v>-0.33545251991894276</v>
      </c>
      <c r="F13" s="41" t="s">
        <v>128</v>
      </c>
      <c r="I13" s="10"/>
    </row>
    <row r="14" spans="1:9" x14ac:dyDescent="0.35">
      <c r="E14" s="8"/>
      <c r="I14" s="10"/>
    </row>
    <row r="16" spans="1:9" x14ac:dyDescent="0.35">
      <c r="A16" s="170" t="s">
        <v>14</v>
      </c>
      <c r="B16" s="173" t="s">
        <v>18</v>
      </c>
      <c r="C16" s="170" t="s">
        <v>46</v>
      </c>
      <c r="D16" s="170"/>
      <c r="E16" s="76" t="s">
        <v>3</v>
      </c>
      <c r="F16" s="173" t="s">
        <v>30</v>
      </c>
    </row>
    <row r="17" spans="1:6" x14ac:dyDescent="0.35">
      <c r="A17" s="170"/>
      <c r="B17" s="174"/>
      <c r="C17" s="75">
        <v>2022</v>
      </c>
      <c r="D17" s="75">
        <v>2023</v>
      </c>
      <c r="E17" s="75" t="s">
        <v>310</v>
      </c>
      <c r="F17" s="174"/>
    </row>
    <row r="18" spans="1:6" x14ac:dyDescent="0.35">
      <c r="A18" s="12" t="s">
        <v>9</v>
      </c>
      <c r="B18" s="12" t="s">
        <v>19</v>
      </c>
      <c r="C18" s="153">
        <v>635231.16666666663</v>
      </c>
      <c r="D18" s="153">
        <v>634731.5</v>
      </c>
      <c r="E18" s="7">
        <f t="shared" ref="E18:E24" si="1">IFERROR((D18-C18)/C18, "")</f>
        <v>-7.8659028852220134E-4</v>
      </c>
      <c r="F18" s="6"/>
    </row>
    <row r="19" spans="1:6" x14ac:dyDescent="0.35">
      <c r="A19" s="12" t="s">
        <v>16</v>
      </c>
      <c r="B19" s="12" t="s">
        <v>19</v>
      </c>
      <c r="C19" s="153">
        <v>163189.66666666666</v>
      </c>
      <c r="D19" s="153">
        <v>160474.08333333334</v>
      </c>
      <c r="E19" s="7">
        <f t="shared" si="1"/>
        <v>-1.6640657394565307E-2</v>
      </c>
      <c r="F19" s="6"/>
    </row>
    <row r="20" spans="1:6" x14ac:dyDescent="0.35">
      <c r="A20" s="12" t="s">
        <v>10</v>
      </c>
      <c r="B20" s="12" t="s">
        <v>19</v>
      </c>
      <c r="C20" s="153">
        <v>486271.58333333331</v>
      </c>
      <c r="D20" s="153">
        <v>497394.58333333331</v>
      </c>
      <c r="E20" s="7">
        <f t="shared" si="1"/>
        <v>2.2874048949669587E-2</v>
      </c>
      <c r="F20" s="6"/>
    </row>
    <row r="21" spans="1:6" x14ac:dyDescent="0.35">
      <c r="A21" s="12" t="s">
        <v>84</v>
      </c>
      <c r="B21" s="12" t="s">
        <v>19</v>
      </c>
      <c r="C21" s="153">
        <v>167449.08333333334</v>
      </c>
      <c r="D21" s="153">
        <v>160858.58333333334</v>
      </c>
      <c r="E21" s="7">
        <f t="shared" si="1"/>
        <v>-3.9358232776231974E-2</v>
      </c>
      <c r="F21" s="6"/>
    </row>
    <row r="22" spans="1:6" x14ac:dyDescent="0.35">
      <c r="A22" s="12" t="s">
        <v>85</v>
      </c>
      <c r="B22" s="12" t="s">
        <v>19</v>
      </c>
      <c r="C22" s="153">
        <v>8043.666666666667</v>
      </c>
      <c r="D22" s="153">
        <v>66385.5</v>
      </c>
      <c r="E22" s="7">
        <f t="shared" si="1"/>
        <v>7.2531391156603542</v>
      </c>
      <c r="F22" s="6"/>
    </row>
    <row r="23" spans="1:6" x14ac:dyDescent="0.35">
      <c r="A23" s="6" t="s">
        <v>12</v>
      </c>
      <c r="B23" s="12" t="s">
        <v>19</v>
      </c>
      <c r="C23" s="31">
        <v>446728.16666666669</v>
      </c>
      <c r="D23" s="31">
        <v>467716.5</v>
      </c>
      <c r="E23" s="7">
        <f t="shared" si="1"/>
        <v>4.6982337133431959E-2</v>
      </c>
      <c r="F23" s="41" t="s">
        <v>414</v>
      </c>
    </row>
    <row r="24" spans="1:6" x14ac:dyDescent="0.35">
      <c r="A24" s="6" t="s">
        <v>27</v>
      </c>
      <c r="B24" s="12" t="s">
        <v>19</v>
      </c>
      <c r="C24" s="31">
        <v>1199188.3333333333</v>
      </c>
      <c r="D24" s="31">
        <v>1290534.5833333333</v>
      </c>
      <c r="E24" s="7">
        <f t="shared" si="1"/>
        <v>7.6173397839927839E-2</v>
      </c>
      <c r="F24" s="41" t="s">
        <v>414</v>
      </c>
    </row>
    <row r="27" spans="1:6" x14ac:dyDescent="0.35">
      <c r="A27" s="173" t="s">
        <v>26</v>
      </c>
      <c r="B27" s="173" t="s">
        <v>18</v>
      </c>
      <c r="C27" s="171" t="s">
        <v>94</v>
      </c>
      <c r="D27" s="172"/>
      <c r="E27" s="76" t="s">
        <v>3</v>
      </c>
      <c r="F27" s="173" t="s">
        <v>30</v>
      </c>
    </row>
    <row r="28" spans="1:6" x14ac:dyDescent="0.35">
      <c r="A28" s="174"/>
      <c r="B28" s="174"/>
      <c r="C28" s="75">
        <v>2022</v>
      </c>
      <c r="D28" s="75">
        <v>2023</v>
      </c>
      <c r="E28" s="75" t="s">
        <v>310</v>
      </c>
      <c r="F28" s="174"/>
    </row>
    <row r="29" spans="1:6" x14ac:dyDescent="0.35">
      <c r="A29" s="12" t="s">
        <v>9</v>
      </c>
      <c r="B29" s="114"/>
      <c r="C29" s="100">
        <f t="shared" ref="C29:D35" si="2">C7/C18</f>
        <v>941.82811077606016</v>
      </c>
      <c r="D29" s="100">
        <f t="shared" si="2"/>
        <v>983.85944973764663</v>
      </c>
      <c r="E29" s="7">
        <f t="shared" ref="E29:E35" si="3">IFERROR((D29-C29)/C29, "")</f>
        <v>4.4627399077049129E-2</v>
      </c>
      <c r="F29" s="6"/>
    </row>
    <row r="30" spans="1:6" x14ac:dyDescent="0.35">
      <c r="A30" s="12" t="s">
        <v>16</v>
      </c>
      <c r="B30" s="114"/>
      <c r="C30" s="100">
        <f t="shared" si="2"/>
        <v>725.31446912407444</v>
      </c>
      <c r="D30" s="100">
        <f t="shared" si="2"/>
        <v>950.86857008400398</v>
      </c>
      <c r="E30" s="7">
        <f t="shared" si="3"/>
        <v>0.31097421954413762</v>
      </c>
      <c r="F30" s="6"/>
    </row>
    <row r="31" spans="1:6" x14ac:dyDescent="0.35">
      <c r="A31" s="12" t="s">
        <v>10</v>
      </c>
      <c r="B31" s="114"/>
      <c r="C31" s="100">
        <f t="shared" si="2"/>
        <v>534.43844734510196</v>
      </c>
      <c r="D31" s="100">
        <f t="shared" si="2"/>
        <v>526.54377758059422</v>
      </c>
      <c r="E31" s="7">
        <f t="shared" si="3"/>
        <v>-1.477189712627454E-2</v>
      </c>
      <c r="F31" s="6"/>
    </row>
    <row r="32" spans="1:6" x14ac:dyDescent="0.35">
      <c r="A32" s="12" t="s">
        <v>84</v>
      </c>
      <c r="B32" s="114"/>
      <c r="C32" s="100">
        <f t="shared" si="2"/>
        <v>911.75956300991845</v>
      </c>
      <c r="D32" s="100">
        <f t="shared" si="2"/>
        <v>1060.3505169417601</v>
      </c>
      <c r="E32" s="7">
        <f t="shared" si="3"/>
        <v>0.1629716429201031</v>
      </c>
      <c r="F32" s="6"/>
    </row>
    <row r="33" spans="1:6" x14ac:dyDescent="0.35">
      <c r="A33" s="12" t="s">
        <v>85</v>
      </c>
      <c r="B33" s="114"/>
      <c r="C33" s="100">
        <f t="shared" si="2"/>
        <v>0</v>
      </c>
      <c r="D33" s="100">
        <f t="shared" si="2"/>
        <v>0</v>
      </c>
      <c r="E33" s="7" t="str">
        <f t="shared" si="3"/>
        <v/>
      </c>
      <c r="F33" s="6"/>
    </row>
    <row r="34" spans="1:6" x14ac:dyDescent="0.35">
      <c r="A34" s="6" t="s">
        <v>12</v>
      </c>
      <c r="B34" s="20"/>
      <c r="C34" s="57">
        <f>C12/C23</f>
        <v>1584.9617691000958</v>
      </c>
      <c r="D34" s="57">
        <f t="shared" si="2"/>
        <v>1561.3898426239355</v>
      </c>
      <c r="E34" s="7">
        <f t="shared" si="3"/>
        <v>-1.4872236627855024E-2</v>
      </c>
      <c r="F34" s="26"/>
    </row>
    <row r="35" spans="1:6" x14ac:dyDescent="0.35">
      <c r="A35" s="6" t="s">
        <v>27</v>
      </c>
      <c r="B35" s="20"/>
      <c r="C35" s="57">
        <f t="shared" si="2"/>
        <v>806.96913947019914</v>
      </c>
      <c r="D35" s="57">
        <f t="shared" si="2"/>
        <v>498.31124725298764</v>
      </c>
      <c r="E35" s="7">
        <f t="shared" si="3"/>
        <v>-0.38249032970437408</v>
      </c>
      <c r="F35" s="67"/>
    </row>
  </sheetData>
  <mergeCells count="12">
    <mergeCell ref="A27:A28"/>
    <mergeCell ref="B27:B28"/>
    <mergeCell ref="C27:D27"/>
    <mergeCell ref="F27:F28"/>
    <mergeCell ref="A5:A6"/>
    <mergeCell ref="C5:D5"/>
    <mergeCell ref="F5:F6"/>
    <mergeCell ref="A16:A17"/>
    <mergeCell ref="C16:D16"/>
    <mergeCell ref="F16:F17"/>
    <mergeCell ref="B5:B6"/>
    <mergeCell ref="B16:B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H27"/>
  <sheetViews>
    <sheetView zoomScaleNormal="100" workbookViewId="0">
      <selection activeCell="D26" sqref="D26"/>
    </sheetView>
  </sheetViews>
  <sheetFormatPr defaultRowHeight="14.5" x14ac:dyDescent="0.35"/>
  <cols>
    <col min="1" max="1" width="42.54296875" customWidth="1"/>
    <col min="2" max="2" width="15.6328125" style="19" customWidth="1"/>
    <col min="3" max="3" width="19.6328125" style="19" customWidth="1"/>
    <col min="4" max="4" width="20" style="19" bestFit="1" customWidth="1"/>
    <col min="5" max="5" width="16.6328125" style="19" customWidth="1"/>
    <col min="6" max="6" width="30.453125" style="19" customWidth="1"/>
  </cols>
  <sheetData>
    <row r="1" spans="1:8" ht="18.5" x14ac:dyDescent="0.45">
      <c r="A1" s="1" t="s">
        <v>308</v>
      </c>
      <c r="B1" s="27"/>
      <c r="C1" s="27"/>
      <c r="D1" s="27"/>
      <c r="E1" s="27"/>
    </row>
    <row r="2" spans="1:8" ht="15.5" x14ac:dyDescent="0.35">
      <c r="A2" s="2" t="s">
        <v>0</v>
      </c>
      <c r="B2" s="28"/>
      <c r="C2" s="29"/>
      <c r="D2" s="29"/>
      <c r="E2" s="29"/>
    </row>
    <row r="3" spans="1:8" ht="15.75" customHeight="1" x14ac:dyDescent="0.35">
      <c r="A3" s="4" t="s">
        <v>316</v>
      </c>
      <c r="B3" s="30"/>
      <c r="C3" s="5"/>
      <c r="D3" s="5"/>
      <c r="E3" s="5"/>
    </row>
    <row r="4" spans="1:8" x14ac:dyDescent="0.35">
      <c r="H4" s="11"/>
    </row>
    <row r="5" spans="1:8" x14ac:dyDescent="0.35">
      <c r="A5" s="173" t="s">
        <v>6</v>
      </c>
      <c r="B5" s="173" t="s">
        <v>18</v>
      </c>
      <c r="C5" s="171" t="s">
        <v>2</v>
      </c>
      <c r="D5" s="172"/>
      <c r="E5" s="76" t="s">
        <v>3</v>
      </c>
      <c r="F5" s="173" t="s">
        <v>30</v>
      </c>
      <c r="H5" s="11"/>
    </row>
    <row r="6" spans="1:8" x14ac:dyDescent="0.35">
      <c r="A6" s="174"/>
      <c r="B6" s="174"/>
      <c r="C6" s="75">
        <v>2022</v>
      </c>
      <c r="D6" s="75">
        <v>2023</v>
      </c>
      <c r="E6" s="75" t="s">
        <v>310</v>
      </c>
      <c r="F6" s="174"/>
      <c r="H6" s="11"/>
    </row>
    <row r="7" spans="1:8" x14ac:dyDescent="0.35">
      <c r="A7" s="6" t="s">
        <v>11</v>
      </c>
      <c r="B7" s="12" t="s">
        <v>11</v>
      </c>
      <c r="C7" s="25">
        <v>1789622211.697</v>
      </c>
      <c r="D7" s="25">
        <v>1830657095.1728301</v>
      </c>
      <c r="E7" s="7">
        <f>IFERROR((D7-C7)/C7, "")</f>
        <v>2.2929355261476644E-2</v>
      </c>
      <c r="F7" s="6"/>
      <c r="H7" s="11"/>
    </row>
    <row r="8" spans="1:8" x14ac:dyDescent="0.35">
      <c r="A8" s="6" t="s">
        <v>21</v>
      </c>
      <c r="B8" s="12" t="s">
        <v>22</v>
      </c>
      <c r="C8" s="25">
        <v>173464223.98999998</v>
      </c>
      <c r="D8" s="25">
        <v>163829640.15000001</v>
      </c>
      <c r="E8" s="7">
        <f>IFERROR((D8-C8)/C8, "")</f>
        <v>-5.5542195493610239E-2</v>
      </c>
      <c r="F8" s="6"/>
    </row>
    <row r="9" spans="1:8" s="19" customFormat="1" x14ac:dyDescent="0.35">
      <c r="A9" s="12" t="s">
        <v>55</v>
      </c>
      <c r="B9" s="94"/>
      <c r="C9" s="25">
        <v>647234514.84000003</v>
      </c>
      <c r="D9" s="25">
        <v>515684107.68000001</v>
      </c>
      <c r="E9" s="7">
        <f>IFERROR((D9-C9)/C9, "")</f>
        <v>-0.20324998766872007</v>
      </c>
      <c r="F9" s="6"/>
      <c r="G9" s="68"/>
    </row>
    <row r="10" spans="1:8" s="19" customFormat="1" x14ac:dyDescent="0.35">
      <c r="A10" s="12" t="s">
        <v>105</v>
      </c>
      <c r="B10" s="94"/>
      <c r="C10" s="143">
        <v>982015</v>
      </c>
      <c r="D10" s="25">
        <v>1153617</v>
      </c>
      <c r="E10" s="7">
        <f t="shared" ref="E10:E11" si="0">IFERROR((D10-C10)/C10, "")</f>
        <v>0.1747447849574599</v>
      </c>
      <c r="F10" s="6"/>
      <c r="G10" s="68"/>
    </row>
    <row r="11" spans="1:8" s="77" customFormat="1" x14ac:dyDescent="0.35">
      <c r="A11" s="12" t="s">
        <v>203</v>
      </c>
      <c r="B11" s="94"/>
      <c r="C11" s="97">
        <v>375849436.04000002</v>
      </c>
      <c r="D11" s="97">
        <v>405319406.74000001</v>
      </c>
      <c r="E11" s="7">
        <f t="shared" si="0"/>
        <v>7.8408979432028805E-2</v>
      </c>
      <c r="F11" s="6"/>
      <c r="G11" s="68"/>
    </row>
    <row r="12" spans="1:8" s="15" customFormat="1" x14ac:dyDescent="0.35">
      <c r="B12" s="117"/>
      <c r="D12" s="118"/>
    </row>
    <row r="13" spans="1:8" x14ac:dyDescent="0.35">
      <c r="D13" s="10"/>
    </row>
    <row r="14" spans="1:8" x14ac:dyDescent="0.35">
      <c r="A14" s="173" t="s">
        <v>26</v>
      </c>
      <c r="B14" s="173" t="s">
        <v>18</v>
      </c>
      <c r="C14" s="170" t="s">
        <v>46</v>
      </c>
      <c r="D14" s="170"/>
      <c r="E14" s="76" t="s">
        <v>3</v>
      </c>
      <c r="F14" s="173" t="s">
        <v>30</v>
      </c>
    </row>
    <row r="15" spans="1:8" x14ac:dyDescent="0.35">
      <c r="A15" s="174"/>
      <c r="B15" s="174"/>
      <c r="C15" s="113">
        <v>2022</v>
      </c>
      <c r="D15" s="113">
        <v>2023</v>
      </c>
      <c r="E15" s="113" t="s">
        <v>310</v>
      </c>
      <c r="F15" s="174"/>
    </row>
    <row r="16" spans="1:8" x14ac:dyDescent="0.35">
      <c r="A16" s="6" t="s">
        <v>11</v>
      </c>
      <c r="B16" s="12" t="s">
        <v>11</v>
      </c>
      <c r="C16" s="31">
        <v>98257</v>
      </c>
      <c r="D16" s="31">
        <v>96430</v>
      </c>
      <c r="E16" s="7">
        <f>IFERROR((D16-C16)/C16, "")</f>
        <v>-1.8594095077195519E-2</v>
      </c>
      <c r="F16" s="6"/>
    </row>
    <row r="17" spans="1:7" x14ac:dyDescent="0.35">
      <c r="A17" s="6" t="s">
        <v>21</v>
      </c>
      <c r="B17" s="12" t="s">
        <v>22</v>
      </c>
      <c r="C17" s="31">
        <v>12079</v>
      </c>
      <c r="D17" s="31">
        <v>12185</v>
      </c>
      <c r="E17" s="7">
        <f>IFERROR((D17-C17)/C17, "")</f>
        <v>8.7755608908022184E-3</v>
      </c>
      <c r="F17" s="6"/>
    </row>
    <row r="18" spans="1:7" s="19" customFormat="1" x14ac:dyDescent="0.35">
      <c r="A18" s="12" t="s">
        <v>105</v>
      </c>
      <c r="B18" s="94"/>
      <c r="C18" s="31">
        <v>18993</v>
      </c>
      <c r="D18" s="31">
        <v>22170</v>
      </c>
      <c r="E18" s="7">
        <f>IFERROR((D18-C18)/C18, "")</f>
        <v>0.16727215289843628</v>
      </c>
      <c r="F18" s="6"/>
      <c r="G18" s="68"/>
    </row>
    <row r="19" spans="1:7" s="19" customFormat="1" x14ac:dyDescent="0.35">
      <c r="A19" s="15"/>
      <c r="B19" s="35"/>
      <c r="C19" s="36"/>
      <c r="D19" s="36"/>
      <c r="E19" s="16"/>
      <c r="F19" s="15"/>
    </row>
    <row r="20" spans="1:7" s="19" customFormat="1" x14ac:dyDescent="0.35">
      <c r="A20" s="15"/>
      <c r="B20" s="35"/>
      <c r="C20" s="36"/>
      <c r="D20" s="36"/>
      <c r="E20" s="16"/>
      <c r="F20" s="15"/>
    </row>
    <row r="21" spans="1:7" x14ac:dyDescent="0.35">
      <c r="A21" s="173" t="s">
        <v>26</v>
      </c>
      <c r="B21" s="173" t="s">
        <v>18</v>
      </c>
      <c r="C21" s="171" t="s">
        <v>94</v>
      </c>
      <c r="D21" s="172"/>
      <c r="E21" s="76" t="s">
        <v>3</v>
      </c>
      <c r="F21" s="173" t="s">
        <v>30</v>
      </c>
    </row>
    <row r="22" spans="1:7" x14ac:dyDescent="0.35">
      <c r="A22" s="174"/>
      <c r="B22" s="174"/>
      <c r="C22" s="113">
        <v>2022</v>
      </c>
      <c r="D22" s="113">
        <v>2023</v>
      </c>
      <c r="E22" s="113" t="s">
        <v>310</v>
      </c>
      <c r="F22" s="174"/>
    </row>
    <row r="23" spans="1:7" x14ac:dyDescent="0.35">
      <c r="A23" s="6" t="s">
        <v>11</v>
      </c>
      <c r="B23" s="21"/>
      <c r="C23" s="57">
        <f>C7/C16</f>
        <v>18213.686675727939</v>
      </c>
      <c r="D23" s="57">
        <f>D7/D16</f>
        <v>18984.310849038993</v>
      </c>
      <c r="E23" s="7">
        <f>IFERROR((D23-C23)/C23, "")</f>
        <v>4.2310169655987863E-2</v>
      </c>
      <c r="F23" s="6"/>
    </row>
    <row r="24" spans="1:7" x14ac:dyDescent="0.35">
      <c r="A24" s="6" t="s">
        <v>21</v>
      </c>
      <c r="B24" s="21"/>
      <c r="C24" s="57">
        <f>C8/C17</f>
        <v>14360.809999999998</v>
      </c>
      <c r="D24" s="57">
        <f>D8/D17</f>
        <v>13445.19</v>
      </c>
      <c r="E24" s="7">
        <f>IFERROR((D24-C24)/C24, "")</f>
        <v>-6.3758242049020725E-2</v>
      </c>
      <c r="F24" s="6"/>
    </row>
    <row r="25" spans="1:7" x14ac:dyDescent="0.35">
      <c r="A25" s="12" t="s">
        <v>55</v>
      </c>
      <c r="B25" s="94"/>
      <c r="C25" s="120">
        <f>C9/THCE_Statewide!B28</f>
        <v>176.79686267132769</v>
      </c>
      <c r="D25" s="120">
        <f>D9/THCE_Statewide!C28</f>
        <v>137.23631840676418</v>
      </c>
      <c r="E25" s="7">
        <f>IFERROR((D25-C25)/C25, "")</f>
        <v>-0.22376270521331654</v>
      </c>
      <c r="F25" s="70" t="s">
        <v>54</v>
      </c>
    </row>
    <row r="26" spans="1:7" s="19" customFormat="1" x14ac:dyDescent="0.35">
      <c r="A26" s="12" t="s">
        <v>105</v>
      </c>
      <c r="B26" s="94"/>
      <c r="C26" s="120">
        <f>C10/C18</f>
        <v>51.704048860106354</v>
      </c>
      <c r="D26" s="120">
        <f>D10/D18</f>
        <v>52.03504736129905</v>
      </c>
      <c r="E26" s="7">
        <f t="shared" ref="E26:E27" si="1">IFERROR((D26-C26)/C26, "")</f>
        <v>6.4017907396046545E-3</v>
      </c>
      <c r="F26" s="6"/>
    </row>
    <row r="27" spans="1:7" x14ac:dyDescent="0.35">
      <c r="A27" s="12" t="s">
        <v>203</v>
      </c>
      <c r="B27" s="12"/>
      <c r="C27" s="100">
        <f>C11/THCE_Statewide!B28</f>
        <v>102.66603465219467</v>
      </c>
      <c r="D27" s="100">
        <f>D11/THCE_Statewide!C28</f>
        <v>107.86553692736324</v>
      </c>
      <c r="E27" s="69">
        <f t="shared" si="1"/>
        <v>5.0644814448937335E-2</v>
      </c>
      <c r="F27" s="70" t="s">
        <v>54</v>
      </c>
    </row>
  </sheetData>
  <mergeCells count="12">
    <mergeCell ref="A21:A22"/>
    <mergeCell ref="B21:B22"/>
    <mergeCell ref="C21:D21"/>
    <mergeCell ref="F21:F22"/>
    <mergeCell ref="F5:F6"/>
    <mergeCell ref="F14:F15"/>
    <mergeCell ref="A14:A15"/>
    <mergeCell ref="B14:B15"/>
    <mergeCell ref="C14:D14"/>
    <mergeCell ref="A5:A6"/>
    <mergeCell ref="B5:B6"/>
    <mergeCell ref="C5:D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0D00-9325-459F-AD90-CF057EF6CC29}">
  <sheetPr>
    <tabColor theme="9"/>
  </sheetPr>
  <dimension ref="A1:F25"/>
  <sheetViews>
    <sheetView topLeftCell="A5" zoomScaleNormal="100" workbookViewId="0">
      <selection activeCell="B18" sqref="B18"/>
    </sheetView>
  </sheetViews>
  <sheetFormatPr defaultRowHeight="14.5" x14ac:dyDescent="0.35"/>
  <cols>
    <col min="1" max="1" width="32.6328125" style="19" customWidth="1"/>
    <col min="2" max="3" width="19.6328125" style="19" customWidth="1"/>
    <col min="4" max="4" width="20" style="19" bestFit="1" customWidth="1"/>
    <col min="5" max="5" width="16.6328125" style="19" customWidth="1"/>
    <col min="6" max="6" width="35.36328125" style="19" customWidth="1"/>
  </cols>
  <sheetData>
    <row r="1" spans="1:6" ht="18.5" x14ac:dyDescent="0.45">
      <c r="A1" s="1" t="s">
        <v>308</v>
      </c>
      <c r="B1" s="27"/>
      <c r="C1" s="27"/>
      <c r="D1" s="27"/>
      <c r="E1" s="27"/>
    </row>
    <row r="2" spans="1:6" ht="15.5" x14ac:dyDescent="0.35">
      <c r="A2" s="28" t="s">
        <v>0</v>
      </c>
      <c r="B2" s="28"/>
      <c r="C2" s="29"/>
      <c r="D2" s="29"/>
      <c r="E2" s="29"/>
    </row>
    <row r="3" spans="1:6" ht="15.5" x14ac:dyDescent="0.35">
      <c r="A3" s="30" t="s">
        <v>311</v>
      </c>
      <c r="B3" s="30"/>
      <c r="C3" s="5"/>
      <c r="D3" s="5"/>
      <c r="E3" s="5"/>
    </row>
    <row r="5" spans="1:6" x14ac:dyDescent="0.35">
      <c r="A5" s="173" t="s">
        <v>26</v>
      </c>
      <c r="B5" s="173" t="s">
        <v>18</v>
      </c>
      <c r="C5" s="171" t="s">
        <v>2</v>
      </c>
      <c r="D5" s="172"/>
      <c r="E5" s="76" t="s">
        <v>3</v>
      </c>
      <c r="F5" s="173" t="s">
        <v>30</v>
      </c>
    </row>
    <row r="6" spans="1:6" x14ac:dyDescent="0.35">
      <c r="A6" s="174"/>
      <c r="B6" s="174"/>
      <c r="C6" s="75">
        <v>2022</v>
      </c>
      <c r="D6" s="75">
        <v>2023</v>
      </c>
      <c r="E6" s="75" t="s">
        <v>310</v>
      </c>
      <c r="F6" s="174"/>
    </row>
    <row r="7" spans="1:6" x14ac:dyDescent="0.35">
      <c r="A7" s="6" t="s">
        <v>25</v>
      </c>
      <c r="B7" s="13" t="s">
        <v>19</v>
      </c>
      <c r="C7" s="23">
        <f>SUM(TME_Comm_ServCat!H28:H29)</f>
        <v>8016754690.0210152</v>
      </c>
      <c r="D7" s="23">
        <f>SUM(TME_Comm_ServCat!I28:I29)</f>
        <v>8394144844.6591721</v>
      </c>
      <c r="E7" s="7">
        <f>IFERROR((D7-C7)/C7, "")</f>
        <v>4.7075178077722567E-2</v>
      </c>
      <c r="F7" s="6"/>
    </row>
    <row r="8" spans="1:6" x14ac:dyDescent="0.35">
      <c r="A8" s="6" t="s">
        <v>24</v>
      </c>
      <c r="B8" s="179" t="s">
        <v>19</v>
      </c>
      <c r="C8" s="9">
        <f>SUM(TME_Comm_ServCat!N28:N29)</f>
        <v>1322239065.7791858</v>
      </c>
      <c r="D8" s="9">
        <f>SUM(TME_Comm_ServCat!O28:O29)</f>
        <v>1551509915.9493284</v>
      </c>
      <c r="E8" s="7">
        <f>IFERROR((D8-C8)/C8, "")</f>
        <v>0.17339591311729624</v>
      </c>
      <c r="F8" s="6"/>
    </row>
    <row r="9" spans="1:6" s="19" customFormat="1" x14ac:dyDescent="0.35">
      <c r="A9" s="12" t="s">
        <v>117</v>
      </c>
      <c r="B9" s="80" t="s">
        <v>129</v>
      </c>
      <c r="C9" s="115">
        <f>IFERROR(SUM(THCE_NCPHI!C7:C11),"")</f>
        <v>1129197929.0837297</v>
      </c>
      <c r="D9" s="115">
        <f>IFERROR(SUM(THCE_NCPHI!D7:D11),"")</f>
        <v>1209542851.3243372</v>
      </c>
      <c r="E9" s="7">
        <f>IFERROR((D9-C9)/C9, "")</f>
        <v>7.11522047386344E-2</v>
      </c>
      <c r="F9" s="6" t="s">
        <v>120</v>
      </c>
    </row>
    <row r="10" spans="1:6" s="19" customFormat="1" x14ac:dyDescent="0.35">
      <c r="A10" s="47" t="s">
        <v>15</v>
      </c>
      <c r="B10" s="20"/>
      <c r="C10" s="48">
        <f>IFERROR(SUM(C7:C9), "")</f>
        <v>10468191684.88393</v>
      </c>
      <c r="D10" s="48">
        <f>IFERROR(SUM(D7:D9), "")</f>
        <v>11155197611.932838</v>
      </c>
      <c r="E10" s="45">
        <f>IFERROR((D10-C10)/C10, "")</f>
        <v>6.5627946805840859E-2</v>
      </c>
      <c r="F10" s="6"/>
    </row>
    <row r="13" spans="1:6" x14ac:dyDescent="0.35">
      <c r="A13" s="173" t="s">
        <v>26</v>
      </c>
      <c r="B13" s="173" t="s">
        <v>18</v>
      </c>
      <c r="C13" s="171" t="s">
        <v>46</v>
      </c>
      <c r="D13" s="172"/>
      <c r="E13" s="76" t="s">
        <v>3</v>
      </c>
      <c r="F13" s="173" t="s">
        <v>30</v>
      </c>
    </row>
    <row r="14" spans="1:6" x14ac:dyDescent="0.35">
      <c r="A14" s="174"/>
      <c r="B14" s="174"/>
      <c r="C14" s="75">
        <v>2022</v>
      </c>
      <c r="D14" s="75">
        <v>2023</v>
      </c>
      <c r="E14" s="75" t="s">
        <v>310</v>
      </c>
      <c r="F14" s="174"/>
    </row>
    <row r="15" spans="1:6" x14ac:dyDescent="0.35">
      <c r="A15" s="6" t="s">
        <v>25</v>
      </c>
      <c r="B15" s="13" t="s">
        <v>19</v>
      </c>
      <c r="C15" s="31">
        <f>TME_Comm_ServCat!H8/12</f>
        <v>1269211.4166666667</v>
      </c>
      <c r="D15" s="31">
        <f>TME_Comm_ServCat!I8/12</f>
        <v>1259509.1666666667</v>
      </c>
      <c r="E15" s="7">
        <f>IFERROR((D15-C15)/C15, "")</f>
        <v>-7.6443135261744215E-3</v>
      </c>
      <c r="F15" s="6" t="s">
        <v>47</v>
      </c>
    </row>
    <row r="16" spans="1:6" x14ac:dyDescent="0.35">
      <c r="A16" s="6" t="s">
        <v>24</v>
      </c>
      <c r="B16" s="179" t="s">
        <v>19</v>
      </c>
      <c r="C16" s="31">
        <f>TME_Comm_ServCat!N8/12</f>
        <v>192060.41666666666</v>
      </c>
      <c r="D16" s="31">
        <f>TME_Comm_ServCat!O8/12</f>
        <v>203955.75</v>
      </c>
      <c r="E16" s="7">
        <f>IFERROR((D16-C16)/C16, "")</f>
        <v>6.1935371899033559E-2</v>
      </c>
      <c r="F16" s="6" t="s">
        <v>47</v>
      </c>
    </row>
    <row r="17" spans="1:6" s="19" customFormat="1" x14ac:dyDescent="0.35">
      <c r="A17" s="47" t="s">
        <v>15</v>
      </c>
      <c r="B17" s="20"/>
      <c r="C17" s="44">
        <f>SUM(C15:C16)</f>
        <v>1461271.8333333335</v>
      </c>
      <c r="D17" s="44">
        <f t="shared" ref="D17" si="0">SUM(D15:D16)</f>
        <v>1463464.9166666667</v>
      </c>
      <c r="E17" s="45">
        <f>IFERROR((D17-C17)/C17, "")</f>
        <v>1.5008044932547382E-3</v>
      </c>
      <c r="F17" s="6"/>
    </row>
    <row r="18" spans="1:6" x14ac:dyDescent="0.35">
      <c r="D18" s="10"/>
    </row>
    <row r="19" spans="1:6" x14ac:dyDescent="0.35">
      <c r="D19" s="10"/>
    </row>
    <row r="20" spans="1:6" x14ac:dyDescent="0.35">
      <c r="A20" s="173" t="s">
        <v>26</v>
      </c>
      <c r="B20" s="173" t="s">
        <v>18</v>
      </c>
      <c r="C20" s="171" t="s">
        <v>45</v>
      </c>
      <c r="D20" s="172"/>
      <c r="E20" s="76" t="s">
        <v>3</v>
      </c>
      <c r="F20" s="173" t="s">
        <v>30</v>
      </c>
    </row>
    <row r="21" spans="1:6" x14ac:dyDescent="0.35">
      <c r="A21" s="174"/>
      <c r="B21" s="174"/>
      <c r="C21" s="75">
        <v>2022</v>
      </c>
      <c r="D21" s="75">
        <v>2023</v>
      </c>
      <c r="E21" s="75" t="s">
        <v>310</v>
      </c>
      <c r="F21" s="174"/>
    </row>
    <row r="22" spans="1:6" x14ac:dyDescent="0.35">
      <c r="A22" s="6" t="s">
        <v>25</v>
      </c>
      <c r="B22" s="20"/>
      <c r="C22" s="23">
        <f>C7/C15</f>
        <v>6316.3272759359816</v>
      </c>
      <c r="D22" s="23">
        <f t="shared" ref="C22:D23" si="1">D7/D15</f>
        <v>6664.6159208785739</v>
      </c>
      <c r="E22" s="7">
        <f>IFERROR((D22-C22)/C22, "")</f>
        <v>5.5141006747624767E-2</v>
      </c>
      <c r="F22" s="6" t="s">
        <v>42</v>
      </c>
    </row>
    <row r="23" spans="1:6" x14ac:dyDescent="0.35">
      <c r="A23" s="6" t="s">
        <v>24</v>
      </c>
      <c r="B23" s="20"/>
      <c r="C23" s="23">
        <f t="shared" si="1"/>
        <v>6884.4954557920055</v>
      </c>
      <c r="D23" s="23">
        <f t="shared" si="1"/>
        <v>7607.0908319541295</v>
      </c>
      <c r="E23" s="7">
        <f>IFERROR((D23-C23)/C23, "")</f>
        <v>0.10495981598102389</v>
      </c>
      <c r="F23" s="6" t="s">
        <v>42</v>
      </c>
    </row>
    <row r="24" spans="1:6" s="19" customFormat="1" x14ac:dyDescent="0.35">
      <c r="A24" s="116" t="s">
        <v>117</v>
      </c>
      <c r="B24" s="114"/>
      <c r="C24" s="95">
        <f>IFERROR(C9/C17, "")</f>
        <v>772.75008203497362</v>
      </c>
      <c r="D24" s="95">
        <f>IFERROR(D9/D17, "")</f>
        <v>826.49255035051499</v>
      </c>
      <c r="E24" s="7">
        <f>IFERROR((D24-C24)/C24, "")</f>
        <v>6.9547023759628748E-2</v>
      </c>
      <c r="F24" s="6" t="s">
        <v>118</v>
      </c>
    </row>
    <row r="25" spans="1:6" x14ac:dyDescent="0.35">
      <c r="A25" s="47" t="s">
        <v>15</v>
      </c>
      <c r="B25" s="20"/>
      <c r="C25" s="48">
        <f>C10/C17</f>
        <v>7163.7538246424347</v>
      </c>
      <c r="D25" s="48">
        <f t="shared" ref="D25" si="2">D10/D17</f>
        <v>7622.4564626673973</v>
      </c>
      <c r="E25" s="45">
        <f>IFERROR((D25-C25)/C25, "")</f>
        <v>6.403104423369238E-2</v>
      </c>
      <c r="F25" s="6"/>
    </row>
  </sheetData>
  <mergeCells count="12">
    <mergeCell ref="F5:F6"/>
    <mergeCell ref="F13:F14"/>
    <mergeCell ref="A20:A21"/>
    <mergeCell ref="B20:B21"/>
    <mergeCell ref="C20:D20"/>
    <mergeCell ref="F20:F21"/>
    <mergeCell ref="A5:A6"/>
    <mergeCell ref="B5:B6"/>
    <mergeCell ref="C5:D5"/>
    <mergeCell ref="A13:A14"/>
    <mergeCell ref="B13:B14"/>
    <mergeCell ref="C13:D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Q57"/>
  <sheetViews>
    <sheetView zoomScaleNormal="100" workbookViewId="0">
      <selection activeCell="H19" sqref="H19"/>
    </sheetView>
  </sheetViews>
  <sheetFormatPr defaultRowHeight="14.5" x14ac:dyDescent="0.35"/>
  <cols>
    <col min="1" max="1" width="44.6328125" customWidth="1"/>
    <col min="2" max="2" width="19.6328125" style="19" customWidth="1"/>
    <col min="3" max="4" width="20.36328125" style="19" bestFit="1" customWidth="1"/>
    <col min="5" max="5" width="20.6328125" style="19" customWidth="1"/>
    <col min="6" max="6" width="14.36328125" customWidth="1"/>
    <col min="7" max="7" width="44.6328125" customWidth="1"/>
    <col min="8" max="8" width="19.6328125" customWidth="1"/>
    <col min="9" max="9" width="20.6328125" bestFit="1" customWidth="1"/>
    <col min="10" max="10" width="16.453125" customWidth="1"/>
    <col min="11" max="11" width="52.453125" style="19" customWidth="1"/>
    <col min="13" max="13" width="44.6328125" style="19" customWidth="1"/>
    <col min="14" max="15" width="19.6328125" style="19" customWidth="1"/>
    <col min="16" max="16" width="16.453125" style="19" customWidth="1"/>
    <col min="17" max="17" width="14.6328125" style="19" customWidth="1"/>
  </cols>
  <sheetData>
    <row r="1" spans="1:17" ht="18.5" x14ac:dyDescent="0.45">
      <c r="A1" s="1" t="s">
        <v>308</v>
      </c>
      <c r="B1" s="1"/>
      <c r="C1" s="1"/>
      <c r="D1" s="1"/>
    </row>
    <row r="2" spans="1:17" ht="15.5" x14ac:dyDescent="0.35">
      <c r="A2" s="2" t="s">
        <v>133</v>
      </c>
      <c r="B2" s="3"/>
      <c r="C2" s="3"/>
      <c r="D2" s="3"/>
      <c r="G2" s="10"/>
      <c r="M2" s="10"/>
    </row>
    <row r="3" spans="1:17" ht="15.75" customHeight="1" x14ac:dyDescent="0.35">
      <c r="A3" s="4" t="s">
        <v>318</v>
      </c>
      <c r="B3" s="5"/>
      <c r="C3" s="5"/>
      <c r="D3" s="5"/>
      <c r="G3" s="10"/>
      <c r="M3" s="10"/>
    </row>
    <row r="4" spans="1:17" s="19" customFormat="1" ht="15.75" customHeight="1" x14ac:dyDescent="0.35">
      <c r="A4" s="4"/>
      <c r="B4" s="5"/>
      <c r="C4" s="5"/>
      <c r="D4" s="5"/>
      <c r="G4" s="10"/>
      <c r="M4" s="10"/>
    </row>
    <row r="5" spans="1:17" x14ac:dyDescent="0.35">
      <c r="A5" s="33" t="s">
        <v>23</v>
      </c>
      <c r="G5" s="33" t="s">
        <v>25</v>
      </c>
      <c r="H5" s="19"/>
      <c r="I5" s="19"/>
      <c r="J5" s="19"/>
      <c r="M5" s="33" t="s">
        <v>24</v>
      </c>
    </row>
    <row r="6" spans="1:17" x14ac:dyDescent="0.35">
      <c r="A6" s="170" t="s">
        <v>8</v>
      </c>
      <c r="B6" s="170" t="s">
        <v>2</v>
      </c>
      <c r="C6" s="170"/>
      <c r="D6" s="76" t="s">
        <v>3</v>
      </c>
      <c r="E6" s="173" t="s">
        <v>30</v>
      </c>
      <c r="G6" s="170" t="s">
        <v>8</v>
      </c>
      <c r="H6" s="170" t="s">
        <v>2</v>
      </c>
      <c r="I6" s="170"/>
      <c r="J6" s="76" t="s">
        <v>3</v>
      </c>
      <c r="K6" s="173" t="s">
        <v>30</v>
      </c>
      <c r="M6" s="170" t="s">
        <v>8</v>
      </c>
      <c r="N6" s="170" t="s">
        <v>2</v>
      </c>
      <c r="O6" s="170"/>
      <c r="P6" s="76" t="s">
        <v>3</v>
      </c>
      <c r="Q6" s="173" t="s">
        <v>30</v>
      </c>
    </row>
    <row r="7" spans="1:17" x14ac:dyDescent="0.35">
      <c r="A7" s="170"/>
      <c r="B7" s="75">
        <v>2022</v>
      </c>
      <c r="C7" s="75">
        <v>2023</v>
      </c>
      <c r="D7" s="75" t="s">
        <v>310</v>
      </c>
      <c r="E7" s="174"/>
      <c r="G7" s="170"/>
      <c r="H7" s="75">
        <v>2022</v>
      </c>
      <c r="I7" s="75">
        <v>2023</v>
      </c>
      <c r="J7" s="75" t="s">
        <v>310</v>
      </c>
      <c r="K7" s="174"/>
      <c r="M7" s="170"/>
      <c r="N7" s="75">
        <v>2022</v>
      </c>
      <c r="O7" s="75">
        <v>2023</v>
      </c>
      <c r="P7" s="75" t="s">
        <v>310</v>
      </c>
      <c r="Q7" s="174"/>
    </row>
    <row r="8" spans="1:17" s="19" customFormat="1" x14ac:dyDescent="0.35">
      <c r="A8" s="37" t="s">
        <v>29</v>
      </c>
      <c r="B8" s="85">
        <f>H8+N8</f>
        <v>17535262</v>
      </c>
      <c r="C8" s="85">
        <f t="shared" ref="C8:C26" si="0">I8+O8</f>
        <v>17561579</v>
      </c>
      <c r="D8" s="40">
        <f>IFERROR((C8-B8)/B8, "")</f>
        <v>1.5008044932547915E-3</v>
      </c>
      <c r="E8" s="38"/>
      <c r="G8" s="37" t="s">
        <v>29</v>
      </c>
      <c r="H8" s="85">
        <v>15230537</v>
      </c>
      <c r="I8" s="85">
        <v>15114110</v>
      </c>
      <c r="J8" s="40">
        <f t="shared" ref="J8:J29" si="1">IFERROR((I8-H8)/H8, "")</f>
        <v>-7.6443135261744215E-3</v>
      </c>
      <c r="K8" s="38"/>
      <c r="M8" s="37" t="s">
        <v>29</v>
      </c>
      <c r="N8" s="85">
        <v>2304725</v>
      </c>
      <c r="O8" s="85">
        <v>2447469</v>
      </c>
      <c r="P8" s="40">
        <f t="shared" ref="P8:P29" si="2">IFERROR((O8-N8)/N8, "")</f>
        <v>6.193537189903351E-2</v>
      </c>
      <c r="Q8" s="38"/>
    </row>
    <row r="9" spans="1:17" s="77" customFormat="1" x14ac:dyDescent="0.35">
      <c r="A9" s="37" t="s">
        <v>130</v>
      </c>
      <c r="B9" s="86">
        <f>(H8*H9+N8*N9)/(H8+N8)</f>
        <v>1.0284494649129836</v>
      </c>
      <c r="C9" s="86">
        <f>(I8*I9+O8*O9)/(I8+O8)</f>
        <v>1.0310897771606768</v>
      </c>
      <c r="D9" s="40">
        <f>IFERROR((C9-B9)/B9, "")</f>
        <v>2.5672746574053862E-3</v>
      </c>
      <c r="E9" s="38"/>
      <c r="G9" s="37" t="s">
        <v>130</v>
      </c>
      <c r="H9" s="86">
        <v>1.0244192081850501</v>
      </c>
      <c r="I9" s="86">
        <v>1.0262482166432401</v>
      </c>
      <c r="J9" s="40">
        <f t="shared" si="1"/>
        <v>1.7854101558974443E-3</v>
      </c>
      <c r="K9" s="38"/>
      <c r="M9" s="37" t="s">
        <v>130</v>
      </c>
      <c r="N9" s="86">
        <v>1.05508300002641</v>
      </c>
      <c r="O9" s="86">
        <v>1.0609883696381299</v>
      </c>
      <c r="P9" s="40">
        <f t="shared" si="2"/>
        <v>5.5970664029011252E-3</v>
      </c>
      <c r="Q9" s="38"/>
    </row>
    <row r="10" spans="1:17" x14ac:dyDescent="0.35">
      <c r="A10" s="6" t="s">
        <v>33</v>
      </c>
      <c r="B10" s="23">
        <f t="shared" ref="B10:B26" si="3">H10+N10</f>
        <v>1595911845.2456601</v>
      </c>
      <c r="C10" s="23">
        <f t="shared" si="0"/>
        <v>1621250589.5320899</v>
      </c>
      <c r="D10" s="7">
        <f t="shared" ref="D10:D17" si="4">IFERROR((C10-B10)/B10, "")</f>
        <v>1.5877283173200252E-2</v>
      </c>
      <c r="E10" s="6"/>
      <c r="G10" s="6" t="s">
        <v>33</v>
      </c>
      <c r="H10" s="23">
        <v>1392769498.54566</v>
      </c>
      <c r="I10" s="23">
        <v>1390195002.24209</v>
      </c>
      <c r="J10" s="7">
        <f t="shared" si="1"/>
        <v>-1.8484726340276261E-3</v>
      </c>
      <c r="K10" s="6"/>
      <c r="M10" s="6" t="s">
        <v>33</v>
      </c>
      <c r="N10" s="23">
        <v>203142346.69999999</v>
      </c>
      <c r="O10" s="23">
        <v>231055587.28999999</v>
      </c>
      <c r="P10" s="7">
        <f t="shared" si="2"/>
        <v>0.13740729613221508</v>
      </c>
      <c r="Q10" s="6"/>
    </row>
    <row r="11" spans="1:17" x14ac:dyDescent="0.35">
      <c r="A11" s="6" t="s">
        <v>34</v>
      </c>
      <c r="B11" s="23">
        <f t="shared" si="3"/>
        <v>2308477837.4427691</v>
      </c>
      <c r="C11" s="23">
        <f t="shared" si="0"/>
        <v>2473799091.83143</v>
      </c>
      <c r="D11" s="7">
        <f t="shared" si="4"/>
        <v>7.1614832816327398E-2</v>
      </c>
      <c r="E11" s="6"/>
      <c r="G11" s="6" t="s">
        <v>34</v>
      </c>
      <c r="H11" s="23">
        <v>1916889684.2927699</v>
      </c>
      <c r="I11" s="23">
        <v>2020760692.51143</v>
      </c>
      <c r="J11" s="7">
        <f t="shared" si="1"/>
        <v>5.4187264436650659E-2</v>
      </c>
      <c r="K11" s="6"/>
      <c r="M11" s="6" t="s">
        <v>34</v>
      </c>
      <c r="N11" s="23">
        <v>391588153.14999902</v>
      </c>
      <c r="O11" s="23">
        <v>453038399.31999999</v>
      </c>
      <c r="P11" s="7">
        <f t="shared" si="2"/>
        <v>0.1569257028735041</v>
      </c>
      <c r="Q11" s="6"/>
    </row>
    <row r="12" spans="1:17" x14ac:dyDescent="0.35">
      <c r="A12" s="6" t="s">
        <v>35</v>
      </c>
      <c r="B12" s="23">
        <f t="shared" si="3"/>
        <v>876649963.4300009</v>
      </c>
      <c r="C12" s="23">
        <f t="shared" si="0"/>
        <v>966259495.50649095</v>
      </c>
      <c r="D12" s="7">
        <f t="shared" si="4"/>
        <v>0.10221814385970167</v>
      </c>
      <c r="E12" s="6"/>
      <c r="G12" s="6" t="s">
        <v>35</v>
      </c>
      <c r="H12" s="23">
        <v>751432098.79999995</v>
      </c>
      <c r="I12" s="23">
        <v>821631717.46649098</v>
      </c>
      <c r="J12" s="7">
        <f t="shared" si="1"/>
        <v>9.3421107214605767E-2</v>
      </c>
      <c r="K12" s="6"/>
      <c r="M12" s="6" t="s">
        <v>35</v>
      </c>
      <c r="N12" s="23">
        <v>125217864.63000099</v>
      </c>
      <c r="O12" s="23">
        <v>144627778.03999999</v>
      </c>
      <c r="P12" s="7">
        <f t="shared" si="2"/>
        <v>0.15500913920990608</v>
      </c>
      <c r="Q12" s="6"/>
    </row>
    <row r="13" spans="1:17" x14ac:dyDescent="0.35">
      <c r="A13" s="6" t="s">
        <v>36</v>
      </c>
      <c r="B13" s="23">
        <f t="shared" si="3"/>
        <v>1467705432.3164301</v>
      </c>
      <c r="C13" s="23">
        <f t="shared" si="0"/>
        <v>1542045763.9461401</v>
      </c>
      <c r="D13" s="7">
        <f t="shared" si="4"/>
        <v>5.0650716412748514E-2</v>
      </c>
      <c r="E13" s="6"/>
      <c r="G13" s="6" t="s">
        <v>36</v>
      </c>
      <c r="H13" s="23">
        <v>1304586683.61643</v>
      </c>
      <c r="I13" s="23">
        <v>1349235375.29614</v>
      </c>
      <c r="J13" s="7">
        <f t="shared" si="1"/>
        <v>3.4224396309135839E-2</v>
      </c>
      <c r="K13" s="6"/>
      <c r="M13" s="6" t="s">
        <v>36</v>
      </c>
      <c r="N13" s="23">
        <v>163118748.69999999</v>
      </c>
      <c r="O13" s="23">
        <v>192810388.65000001</v>
      </c>
      <c r="P13" s="7">
        <f t="shared" si="2"/>
        <v>0.18202469174532124</v>
      </c>
      <c r="Q13" s="6"/>
    </row>
    <row r="14" spans="1:17" x14ac:dyDescent="0.35">
      <c r="A14" s="6" t="s">
        <v>37</v>
      </c>
      <c r="B14" s="23">
        <f t="shared" si="3"/>
        <v>370472116.08163494</v>
      </c>
      <c r="C14" s="23">
        <f t="shared" si="0"/>
        <v>446385675.97627687</v>
      </c>
      <c r="D14" s="7">
        <f t="shared" si="4"/>
        <v>0.20491032010062019</v>
      </c>
      <c r="E14" s="6"/>
      <c r="G14" s="6" t="s">
        <v>37</v>
      </c>
      <c r="H14" s="24">
        <v>329395323.74163502</v>
      </c>
      <c r="I14" s="24">
        <v>390210231.27627701</v>
      </c>
      <c r="J14" s="7">
        <f t="shared" si="1"/>
        <v>0.18462589827881967</v>
      </c>
      <c r="K14" s="6"/>
      <c r="M14" s="6" t="s">
        <v>37</v>
      </c>
      <c r="N14" s="24">
        <v>41076792.339999899</v>
      </c>
      <c r="O14" s="24">
        <v>56175444.699999899</v>
      </c>
      <c r="P14" s="7">
        <f t="shared" si="2"/>
        <v>0.36757135842121691</v>
      </c>
      <c r="Q14" s="6"/>
    </row>
    <row r="15" spans="1:17" x14ac:dyDescent="0.35">
      <c r="A15" s="6" t="s">
        <v>38</v>
      </c>
      <c r="B15" s="23">
        <f t="shared" si="3"/>
        <v>786012958.67853808</v>
      </c>
      <c r="C15" s="23">
        <f t="shared" si="0"/>
        <v>867539486.04611492</v>
      </c>
      <c r="D15" s="7">
        <f t="shared" si="4"/>
        <v>0.10372160721706293</v>
      </c>
      <c r="E15" s="6"/>
      <c r="G15" s="6" t="s">
        <v>38</v>
      </c>
      <c r="H15" s="25">
        <v>711543107.21853805</v>
      </c>
      <c r="I15" s="25">
        <v>775643937.38611495</v>
      </c>
      <c r="J15" s="7">
        <f t="shared" si="1"/>
        <v>9.0087065024283139E-2</v>
      </c>
      <c r="K15" s="6"/>
      <c r="M15" s="6" t="s">
        <v>38</v>
      </c>
      <c r="N15" s="25">
        <v>74469851.460000098</v>
      </c>
      <c r="O15" s="25">
        <v>91895548.659999996</v>
      </c>
      <c r="P15" s="7">
        <f t="shared" si="2"/>
        <v>0.23399666923412279</v>
      </c>
      <c r="Q15" s="6"/>
    </row>
    <row r="16" spans="1:17" x14ac:dyDescent="0.35">
      <c r="A16" s="6" t="s">
        <v>39</v>
      </c>
      <c r="B16" s="23">
        <f t="shared" si="3"/>
        <v>48974287.660439104</v>
      </c>
      <c r="C16" s="23">
        <f t="shared" si="0"/>
        <v>50303616.735194005</v>
      </c>
      <c r="D16" s="7">
        <f t="shared" si="4"/>
        <v>2.7143408066937925E-2</v>
      </c>
      <c r="E16" s="6"/>
      <c r="G16" s="6" t="s">
        <v>39</v>
      </c>
      <c r="H16" s="25">
        <v>47724283.710439101</v>
      </c>
      <c r="I16" s="25">
        <v>48048023.135194004</v>
      </c>
      <c r="J16" s="7">
        <f t="shared" si="1"/>
        <v>6.7835365894467828E-3</v>
      </c>
      <c r="K16" s="6"/>
      <c r="M16" s="6" t="s">
        <v>39</v>
      </c>
      <c r="N16" s="25">
        <v>1250003.95</v>
      </c>
      <c r="O16" s="25">
        <v>2255593.6</v>
      </c>
      <c r="P16" s="7">
        <f t="shared" si="2"/>
        <v>0.80446917787739802</v>
      </c>
      <c r="Q16" s="6"/>
    </row>
    <row r="17" spans="1:17" x14ac:dyDescent="0.35">
      <c r="A17" s="12" t="s">
        <v>60</v>
      </c>
      <c r="B17" s="23">
        <f t="shared" si="3"/>
        <v>1799306243.305248</v>
      </c>
      <c r="C17" s="23">
        <f t="shared" si="0"/>
        <v>2000439740.472753</v>
      </c>
      <c r="D17" s="7">
        <f t="shared" si="4"/>
        <v>0.11178391555960561</v>
      </c>
      <c r="E17" s="6"/>
      <c r="G17" s="12" t="s">
        <v>60</v>
      </c>
      <c r="H17" s="25">
        <v>1540195766.93519</v>
      </c>
      <c r="I17" s="25">
        <v>1696700547.7827599</v>
      </c>
      <c r="J17" s="7">
        <f t="shared" si="1"/>
        <v>0.10161356381273286</v>
      </c>
      <c r="K17" s="6"/>
      <c r="M17" s="12" t="s">
        <v>60</v>
      </c>
      <c r="N17" s="25">
        <v>259110476.370058</v>
      </c>
      <c r="O17" s="25">
        <v>303739192.68999302</v>
      </c>
      <c r="P17" s="7">
        <f t="shared" si="2"/>
        <v>0.1722381778813023</v>
      </c>
      <c r="Q17" s="6"/>
    </row>
    <row r="18" spans="1:17" s="19" customFormat="1" x14ac:dyDescent="0.35">
      <c r="A18" s="12" t="s">
        <v>61</v>
      </c>
      <c r="B18" s="23">
        <f t="shared" si="3"/>
        <v>1369787879.567378</v>
      </c>
      <c r="C18" s="23">
        <f t="shared" si="0"/>
        <v>1456659910.803973</v>
      </c>
      <c r="D18" s="7">
        <f t="shared" ref="D18:D24" si="5">IFERROR((C18-B18)/B18, "")</f>
        <v>6.342006126089525E-2</v>
      </c>
      <c r="E18" s="6"/>
      <c r="G18" s="12" t="s">
        <v>61</v>
      </c>
      <c r="H18" s="25">
        <v>1114458037.0173199</v>
      </c>
      <c r="I18" s="25">
        <v>1157845336.37398</v>
      </c>
      <c r="J18" s="7">
        <f t="shared" si="1"/>
        <v>3.8931299264330976E-2</v>
      </c>
      <c r="K18" s="6"/>
      <c r="M18" s="12" t="s">
        <v>61</v>
      </c>
      <c r="N18" s="25">
        <v>255329842.55005801</v>
      </c>
      <c r="O18" s="25">
        <v>298814574.42999297</v>
      </c>
      <c r="P18" s="7">
        <f t="shared" si="2"/>
        <v>0.17030806679563781</v>
      </c>
      <c r="Q18" s="6"/>
    </row>
    <row r="19" spans="1:17" s="77" customFormat="1" x14ac:dyDescent="0.35">
      <c r="A19" s="146" t="s">
        <v>334</v>
      </c>
      <c r="B19" s="147">
        <f>H19+N19</f>
        <v>693643380.48000002</v>
      </c>
      <c r="C19" s="147">
        <f>I19+O19</f>
        <v>767015501.16999984</v>
      </c>
      <c r="D19" s="148">
        <f t="shared" si="5"/>
        <v>0.10577787196531226</v>
      </c>
      <c r="E19" s="146"/>
      <c r="G19" s="146" t="s">
        <v>334</v>
      </c>
      <c r="H19" s="150">
        <f>TME_Comm_MedPharm!H18</f>
        <v>591516049.40999997</v>
      </c>
      <c r="I19" s="150">
        <f>TME_Comm_MedPharm!I18</f>
        <v>647155976.2299999</v>
      </c>
      <c r="J19" s="148">
        <f t="shared" si="1"/>
        <v>9.4063258089949142E-2</v>
      </c>
      <c r="K19" s="146"/>
      <c r="M19" s="146" t="s">
        <v>334</v>
      </c>
      <c r="N19" s="150">
        <f>TME_Comm_MedPharm!N18</f>
        <v>102127331.06999999</v>
      </c>
      <c r="O19" s="150">
        <f>TME_Comm_MedPharm!O18</f>
        <v>119859524.93999998</v>
      </c>
      <c r="P19" s="148">
        <f t="shared" si="2"/>
        <v>0.17362829013759315</v>
      </c>
      <c r="Q19" s="146"/>
    </row>
    <row r="20" spans="1:17" x14ac:dyDescent="0.35">
      <c r="A20" s="12" t="s">
        <v>40</v>
      </c>
      <c r="B20" s="23">
        <f t="shared" si="3"/>
        <v>421625306.59218198</v>
      </c>
      <c r="C20" s="23">
        <f t="shared" si="0"/>
        <v>448892173.47351706</v>
      </c>
      <c r="D20" s="7">
        <f t="shared" si="5"/>
        <v>6.4670849816206633E-2</v>
      </c>
      <c r="E20" s="6"/>
      <c r="G20" s="12" t="s">
        <v>40</v>
      </c>
      <c r="H20" s="25">
        <v>354865545.78218198</v>
      </c>
      <c r="I20" s="25">
        <v>370348990.94351703</v>
      </c>
      <c r="J20" s="7">
        <f t="shared" si="1"/>
        <v>4.3631863801279987E-2</v>
      </c>
      <c r="K20" s="6"/>
      <c r="M20" s="12" t="s">
        <v>40</v>
      </c>
      <c r="N20" s="25">
        <v>66759760.810000002</v>
      </c>
      <c r="O20" s="25">
        <v>78543182.530000001</v>
      </c>
      <c r="P20" s="7">
        <f t="shared" si="2"/>
        <v>0.17650485227974258</v>
      </c>
      <c r="Q20" s="6"/>
    </row>
    <row r="21" spans="1:17" x14ac:dyDescent="0.35">
      <c r="A21" s="12" t="s">
        <v>48</v>
      </c>
      <c r="B21" s="23">
        <f t="shared" si="3"/>
        <v>33544554.213313498</v>
      </c>
      <c r="C21" s="23">
        <f t="shared" si="0"/>
        <v>40435193.324600019</v>
      </c>
      <c r="D21" s="7">
        <f t="shared" si="5"/>
        <v>0.20541751926313259</v>
      </c>
      <c r="E21" s="6"/>
      <c r="G21" s="12" t="s">
        <v>48</v>
      </c>
      <c r="H21" s="25">
        <v>33398145.7741853</v>
      </c>
      <c r="I21" s="25">
        <v>40290916.525264204</v>
      </c>
      <c r="J21" s="7">
        <f t="shared" si="1"/>
        <v>0.20638183920996564</v>
      </c>
      <c r="K21" s="6"/>
      <c r="M21" s="12" t="s">
        <v>48</v>
      </c>
      <c r="N21" s="25">
        <v>146408.439128197</v>
      </c>
      <c r="O21" s="25">
        <v>144276.79933581801</v>
      </c>
      <c r="P21" s="7">
        <f t="shared" si="2"/>
        <v>-1.4559541820622118E-2</v>
      </c>
      <c r="Q21" s="6"/>
    </row>
    <row r="22" spans="1:17" x14ac:dyDescent="0.35">
      <c r="A22" s="12" t="s">
        <v>49</v>
      </c>
      <c r="B22" s="23">
        <f t="shared" si="3"/>
        <v>31943672.760989401</v>
      </c>
      <c r="C22" s="23">
        <f t="shared" si="0"/>
        <v>20988511.300199799</v>
      </c>
      <c r="D22" s="7">
        <f t="shared" si="5"/>
        <v>-0.34295246957852582</v>
      </c>
      <c r="E22" s="6"/>
      <c r="G22" s="12" t="s">
        <v>49</v>
      </c>
      <c r="H22" s="25">
        <v>31729275.670989402</v>
      </c>
      <c r="I22" s="25">
        <v>18687458.2601998</v>
      </c>
      <c r="J22" s="7">
        <f t="shared" si="1"/>
        <v>-0.41103419901620852</v>
      </c>
      <c r="K22" s="6"/>
      <c r="M22" s="12" t="s">
        <v>49</v>
      </c>
      <c r="N22" s="25">
        <v>214397.09</v>
      </c>
      <c r="O22" s="25">
        <v>2301053.04</v>
      </c>
      <c r="P22" s="7">
        <f t="shared" si="2"/>
        <v>9.7326691794184335</v>
      </c>
      <c r="Q22" s="6"/>
    </row>
    <row r="23" spans="1:17" x14ac:dyDescent="0.35">
      <c r="A23" s="12" t="s">
        <v>50</v>
      </c>
      <c r="B23" s="23">
        <f t="shared" si="3"/>
        <v>19507476.151936002</v>
      </c>
      <c r="C23" s="23">
        <f t="shared" si="0"/>
        <v>20780035.1899997</v>
      </c>
      <c r="D23" s="7">
        <f t="shared" si="5"/>
        <v>6.5234427465256886E-2</v>
      </c>
      <c r="E23" s="6"/>
      <c r="G23" s="12" t="s">
        <v>50</v>
      </c>
      <c r="H23" s="25">
        <v>19251399.391936</v>
      </c>
      <c r="I23" s="25">
        <v>20540971.8999997</v>
      </c>
      <c r="J23" s="7">
        <f t="shared" si="1"/>
        <v>6.6985910053056943E-2</v>
      </c>
      <c r="K23" s="6"/>
      <c r="M23" s="12" t="s">
        <v>50</v>
      </c>
      <c r="N23" s="25">
        <v>256076.76</v>
      </c>
      <c r="O23" s="25">
        <v>239063.29</v>
      </c>
      <c r="P23" s="7">
        <f t="shared" si="2"/>
        <v>-6.6438945884819856E-2</v>
      </c>
      <c r="Q23" s="6"/>
    </row>
    <row r="24" spans="1:17" x14ac:dyDescent="0.35">
      <c r="A24" s="12" t="s">
        <v>51</v>
      </c>
      <c r="B24" s="23">
        <f t="shared" si="3"/>
        <v>0</v>
      </c>
      <c r="C24" s="23">
        <f t="shared" si="0"/>
        <v>0</v>
      </c>
      <c r="D24" s="7" t="str">
        <f t="shared" si="5"/>
        <v/>
      </c>
      <c r="E24" s="6"/>
      <c r="G24" s="12" t="s">
        <v>51</v>
      </c>
      <c r="H24" s="25">
        <v>0</v>
      </c>
      <c r="I24" s="25">
        <v>0</v>
      </c>
      <c r="J24" s="7" t="str">
        <f t="shared" si="1"/>
        <v/>
      </c>
      <c r="K24" s="6"/>
      <c r="M24" s="12" t="s">
        <v>51</v>
      </c>
      <c r="N24" s="25">
        <v>0</v>
      </c>
      <c r="O24" s="25">
        <v>0</v>
      </c>
      <c r="P24" s="7" t="str">
        <f t="shared" si="2"/>
        <v/>
      </c>
      <c r="Q24" s="6"/>
    </row>
    <row r="25" spans="1:17" x14ac:dyDescent="0.35">
      <c r="A25" s="12" t="s">
        <v>52</v>
      </c>
      <c r="B25" s="23">
        <f t="shared" si="3"/>
        <v>-9915689.7678588703</v>
      </c>
      <c r="C25" s="23">
        <f t="shared" si="0"/>
        <v>-16109937.6625585</v>
      </c>
      <c r="D25" s="7">
        <f>IFERROR((C25-B25)/B25, "")</f>
        <v>0.62469157867140246</v>
      </c>
      <c r="E25" s="6"/>
      <c r="G25" s="12" t="s">
        <v>52</v>
      </c>
      <c r="H25" s="25">
        <v>-9584508.9678588696</v>
      </c>
      <c r="I25" s="25">
        <v>-15718963.262558499</v>
      </c>
      <c r="J25" s="7">
        <f t="shared" si="1"/>
        <v>0.6400384532239668</v>
      </c>
      <c r="K25" s="6"/>
      <c r="M25" s="12" t="s">
        <v>52</v>
      </c>
      <c r="N25" s="25">
        <v>-331180.79999999999</v>
      </c>
      <c r="O25" s="25">
        <v>-390974.4</v>
      </c>
      <c r="P25" s="7">
        <f t="shared" si="2"/>
        <v>0.1805466983593253</v>
      </c>
      <c r="Q25" s="6"/>
    </row>
    <row r="26" spans="1:17" x14ac:dyDescent="0.35">
      <c r="A26" s="12" t="s">
        <v>53</v>
      </c>
      <c r="B26" s="23">
        <f t="shared" si="3"/>
        <v>18296115.426789802</v>
      </c>
      <c r="C26" s="23">
        <f t="shared" si="0"/>
        <v>6425154.6050349101</v>
      </c>
      <c r="D26" s="7">
        <f>IFERROR((C26-B26)/B26, "")</f>
        <v>-0.64882411073844792</v>
      </c>
      <c r="E26" s="6"/>
      <c r="G26" s="12" t="s">
        <v>53</v>
      </c>
      <c r="H26" s="25">
        <v>18296115.426789802</v>
      </c>
      <c r="I26" s="25">
        <v>6425154.6050349101</v>
      </c>
      <c r="J26" s="7">
        <f t="shared" si="1"/>
        <v>-0.64882411073844792</v>
      </c>
      <c r="K26" s="6"/>
      <c r="M26" s="12" t="s">
        <v>53</v>
      </c>
      <c r="N26" s="25">
        <v>0</v>
      </c>
      <c r="O26" s="25">
        <v>0</v>
      </c>
      <c r="P26" s="7" t="str">
        <f t="shared" si="2"/>
        <v/>
      </c>
      <c r="Q26" s="6"/>
    </row>
    <row r="27" spans="1:17" x14ac:dyDescent="0.35">
      <c r="A27" s="37" t="s">
        <v>62</v>
      </c>
      <c r="B27" s="39">
        <f>SUM(B10:B16) + B17 +B20</f>
        <v>9675135990.752903</v>
      </c>
      <c r="C27" s="39">
        <f t="shared" ref="C27" si="6">SUM(C10:C16) + C17 +C20</f>
        <v>10416915633.520006</v>
      </c>
      <c r="D27" s="40">
        <f>IFERROR((C27-B27)/B27, "")</f>
        <v>7.6668652872276491E-2</v>
      </c>
      <c r="E27" s="38"/>
      <c r="G27" s="37" t="s">
        <v>62</v>
      </c>
      <c r="H27" s="39">
        <f>SUM(H10:H16) + H17 +H20</f>
        <v>8349401992.6428442</v>
      </c>
      <c r="I27" s="39">
        <f t="shared" ref="I27" si="7">SUM(I10:I20)</f>
        <v>10667775830.643993</v>
      </c>
      <c r="J27" s="40">
        <f t="shared" si="1"/>
        <v>0.27766944746989142</v>
      </c>
      <c r="K27" s="38"/>
      <c r="M27" s="37" t="s">
        <v>62</v>
      </c>
      <c r="N27" s="39">
        <f>SUM(N10:N16) + N17 +N20</f>
        <v>1325733998.1100578</v>
      </c>
      <c r="O27" s="39">
        <f t="shared" ref="O27" si="8">SUM(O10:O20)</f>
        <v>1972815214.8499856</v>
      </c>
      <c r="P27" s="40">
        <f t="shared" si="2"/>
        <v>0.48809279814985129</v>
      </c>
      <c r="Q27" s="38"/>
    </row>
    <row r="28" spans="1:17" s="19" customFormat="1" x14ac:dyDescent="0.35">
      <c r="A28" s="37" t="s">
        <v>63</v>
      </c>
      <c r="B28" s="39">
        <f>SUM(B10:B16) + B18 +B20</f>
        <v>9245617627.0150337</v>
      </c>
      <c r="C28" s="39">
        <f t="shared" ref="C28" si="9">SUM(C10:C16) + C18 +C20</f>
        <v>9873135803.8512249</v>
      </c>
      <c r="D28" s="40">
        <f>IFERROR((C28-B28)/B28, "")</f>
        <v>6.7871958602595456E-2</v>
      </c>
      <c r="E28" s="38"/>
      <c r="G28" s="37" t="s">
        <v>63</v>
      </c>
      <c r="H28" s="39">
        <f>SUM(H10:H16) + H18 +H20</f>
        <v>7923664262.7249737</v>
      </c>
      <c r="I28" s="39">
        <f t="shared" ref="I28" si="10">SUM(I10:I16) + I18 +I20</f>
        <v>8323919306.6312323</v>
      </c>
      <c r="J28" s="40">
        <f t="shared" si="1"/>
        <v>5.0513882294226535E-2</v>
      </c>
      <c r="K28" s="38"/>
      <c r="M28" s="37" t="s">
        <v>63</v>
      </c>
      <c r="N28" s="39">
        <f>SUM(N10:N16) + N18 +N20</f>
        <v>1321953364.2900577</v>
      </c>
      <c r="O28" s="39">
        <f t="shared" ref="O28" si="11">SUM(O10:O16) + O18 +O20</f>
        <v>1549216497.2199926</v>
      </c>
      <c r="P28" s="40">
        <f t="shared" si="2"/>
        <v>0.171914637133954</v>
      </c>
      <c r="Q28" s="38"/>
    </row>
    <row r="29" spans="1:17" x14ac:dyDescent="0.35">
      <c r="A29" s="37" t="s">
        <v>56</v>
      </c>
      <c r="B29" s="39">
        <f>SUM(B21:B26)</f>
        <v>93376128.785169855</v>
      </c>
      <c r="C29" s="39">
        <f t="shared" ref="C29" si="12">SUM(C21:C26)</f>
        <v>72518956.757275939</v>
      </c>
      <c r="D29" s="40">
        <f>IFERROR((C29-B29)/B29, "")</f>
        <v>-0.22336728133032738</v>
      </c>
      <c r="E29" s="38"/>
      <c r="G29" s="37" t="s">
        <v>56</v>
      </c>
      <c r="H29" s="39">
        <f>SUM(H21:H26)</f>
        <v>93090427.296041638</v>
      </c>
      <c r="I29" s="39">
        <f t="shared" ref="I29" si="13">SUM(I21:I26)</f>
        <v>70225538.027940109</v>
      </c>
      <c r="J29" s="40">
        <f t="shared" si="1"/>
        <v>-0.24562019889958955</v>
      </c>
      <c r="K29" s="38"/>
      <c r="M29" s="37" t="s">
        <v>56</v>
      </c>
      <c r="N29" s="39">
        <f>SUM(N21:N26)</f>
        <v>285701.48912819702</v>
      </c>
      <c r="O29" s="39">
        <f t="shared" ref="O29" si="14">SUM(O21:O26)</f>
        <v>2293418.729335818</v>
      </c>
      <c r="P29" s="40">
        <f t="shared" si="2"/>
        <v>7.0273250809229726</v>
      </c>
      <c r="Q29" s="38"/>
    </row>
    <row r="30" spans="1:17" s="19" customFormat="1" x14ac:dyDescent="0.35">
      <c r="A30" s="17"/>
      <c r="B30" s="55"/>
      <c r="C30" s="55"/>
      <c r="D30" s="56"/>
      <c r="E30" s="14"/>
      <c r="F30" s="13"/>
      <c r="G30" s="17"/>
      <c r="H30" s="55"/>
      <c r="I30" s="55"/>
      <c r="J30" s="56"/>
      <c r="K30" s="14"/>
      <c r="L30" s="13"/>
      <c r="M30" s="17"/>
      <c r="N30" s="55"/>
      <c r="O30" s="55"/>
      <c r="P30" s="56"/>
      <c r="Q30" s="14"/>
    </row>
    <row r="31" spans="1:17" s="19" customFormat="1" x14ac:dyDescent="0.35">
      <c r="A31" s="17"/>
      <c r="B31" s="55"/>
      <c r="C31" s="55"/>
      <c r="D31" s="56"/>
      <c r="E31" s="14"/>
      <c r="F31" s="13"/>
      <c r="G31" s="17"/>
      <c r="H31" s="55"/>
      <c r="I31" s="55"/>
      <c r="J31" s="56"/>
      <c r="K31" s="14"/>
      <c r="L31" s="13"/>
      <c r="M31" s="17"/>
      <c r="N31" s="55"/>
      <c r="O31" s="55"/>
      <c r="P31" s="56"/>
      <c r="Q31" s="14"/>
    </row>
    <row r="32" spans="1:17" s="19" customFormat="1" x14ac:dyDescent="0.35">
      <c r="A32" s="170" t="s">
        <v>8</v>
      </c>
      <c r="B32" s="170" t="s">
        <v>66</v>
      </c>
      <c r="C32" s="170"/>
      <c r="D32" s="76" t="s">
        <v>3</v>
      </c>
      <c r="E32" s="173" t="s">
        <v>30</v>
      </c>
      <c r="G32" s="170" t="s">
        <v>8</v>
      </c>
      <c r="H32" s="170" t="s">
        <v>66</v>
      </c>
      <c r="I32" s="170"/>
      <c r="J32" s="76" t="s">
        <v>3</v>
      </c>
      <c r="K32" s="173" t="s">
        <v>30</v>
      </c>
      <c r="M32" s="170" t="s">
        <v>8</v>
      </c>
      <c r="N32" s="170" t="s">
        <v>66</v>
      </c>
      <c r="O32" s="170"/>
      <c r="P32" s="76" t="s">
        <v>3</v>
      </c>
      <c r="Q32" s="173" t="s">
        <v>30</v>
      </c>
    </row>
    <row r="33" spans="1:17" s="19" customFormat="1" x14ac:dyDescent="0.35">
      <c r="A33" s="170"/>
      <c r="B33" s="75">
        <v>2022</v>
      </c>
      <c r="C33" s="75">
        <v>2023</v>
      </c>
      <c r="D33" s="75" t="s">
        <v>310</v>
      </c>
      <c r="E33" s="174"/>
      <c r="G33" s="170"/>
      <c r="H33" s="75">
        <v>2022</v>
      </c>
      <c r="I33" s="75">
        <v>2023</v>
      </c>
      <c r="J33" s="75" t="s">
        <v>310</v>
      </c>
      <c r="K33" s="174"/>
      <c r="M33" s="170"/>
      <c r="N33" s="75">
        <v>2022</v>
      </c>
      <c r="O33" s="75">
        <v>2023</v>
      </c>
      <c r="P33" s="75" t="s">
        <v>310</v>
      </c>
      <c r="Q33" s="174"/>
    </row>
    <row r="34" spans="1:17" s="19" customFormat="1" x14ac:dyDescent="0.35">
      <c r="A34" s="6" t="s">
        <v>33</v>
      </c>
      <c r="B34" s="23">
        <f t="shared" ref="B34:B53" si="15">B10/($B$8/12)</f>
        <v>1092.1389223011279</v>
      </c>
      <c r="C34" s="23">
        <f t="shared" ref="C34:C53" si="16">C10/($C$8/12)</f>
        <v>1107.8165052462014</v>
      </c>
      <c r="D34" s="7">
        <f t="shared" ref="D34:D57" si="17">IFERROR((C34-B34)/B34, "")</f>
        <v>1.4354934729403235E-2</v>
      </c>
      <c r="E34" s="46"/>
      <c r="G34" s="6" t="s">
        <v>33</v>
      </c>
      <c r="H34" s="23">
        <f t="shared" ref="H34:H50" si="18">H10/($H$8/12)</f>
        <v>1097.3502761293262</v>
      </c>
      <c r="I34" s="23">
        <f t="shared" ref="I34:I50" si="19">I10/($I$8/12)</f>
        <v>1103.7593366003739</v>
      </c>
      <c r="J34" s="7">
        <f t="shared" ref="J34:J57" si="20">IFERROR((I34-H34)/H34, "")</f>
        <v>5.8404874090471322E-3</v>
      </c>
      <c r="K34" s="6"/>
      <c r="M34" s="6" t="s">
        <v>33</v>
      </c>
      <c r="N34" s="23">
        <f t="shared" ref="N34:N53" si="21">N10/($N$8/12)</f>
        <v>1057.7002290511882</v>
      </c>
      <c r="O34" s="23">
        <f t="shared" ref="O34:O53" si="22">O10/($O$8/12)</f>
        <v>1132.8711609748682</v>
      </c>
      <c r="P34" s="7">
        <f t="shared" ref="P34:P57" si="23">IFERROR((O34-N34)/N34, "")</f>
        <v>7.107016700857878E-2</v>
      </c>
      <c r="Q34" s="6"/>
    </row>
    <row r="35" spans="1:17" s="19" customFormat="1" x14ac:dyDescent="0.35">
      <c r="A35" s="6" t="s">
        <v>34</v>
      </c>
      <c r="B35" s="23">
        <f t="shared" si="15"/>
        <v>1579.7730338624669</v>
      </c>
      <c r="C35" s="23">
        <f t="shared" si="16"/>
        <v>1690.371298729867</v>
      </c>
      <c r="D35" s="7">
        <f t="shared" si="17"/>
        <v>7.0008958563492374E-2</v>
      </c>
      <c r="E35" s="6"/>
      <c r="G35" s="6" t="s">
        <v>34</v>
      </c>
      <c r="H35" s="23">
        <f t="shared" si="18"/>
        <v>1510.2997492152272</v>
      </c>
      <c r="I35" s="23">
        <f t="shared" si="19"/>
        <v>1604.4033231289939</v>
      </c>
      <c r="J35" s="7">
        <f t="shared" si="20"/>
        <v>6.2307878924474577E-2</v>
      </c>
      <c r="K35" s="6"/>
      <c r="M35" s="6" t="s">
        <v>34</v>
      </c>
      <c r="N35" s="23">
        <f t="shared" si="21"/>
        <v>2038.8800563190787</v>
      </c>
      <c r="O35" s="23">
        <f t="shared" si="22"/>
        <v>2221.2582843092191</v>
      </c>
      <c r="P35" s="7">
        <f t="shared" si="23"/>
        <v>8.9450199596046651E-2</v>
      </c>
      <c r="Q35" s="6"/>
    </row>
    <row r="36" spans="1:17" s="19" customFormat="1" x14ac:dyDescent="0.35">
      <c r="A36" s="6" t="s">
        <v>35</v>
      </c>
      <c r="B36" s="23">
        <f t="shared" si="15"/>
        <v>599.922576643566</v>
      </c>
      <c r="C36" s="23">
        <f t="shared" si="16"/>
        <v>660.25463576355469</v>
      </c>
      <c r="D36" s="7">
        <f t="shared" si="17"/>
        <v>0.10056640884817704</v>
      </c>
      <c r="E36" s="6"/>
      <c r="G36" s="6" t="s">
        <v>35</v>
      </c>
      <c r="H36" s="23">
        <f t="shared" si="18"/>
        <v>592.04643838887614</v>
      </c>
      <c r="I36" s="23">
        <f t="shared" si="19"/>
        <v>652.34278496040395</v>
      </c>
      <c r="J36" s="7">
        <f t="shared" si="20"/>
        <v>0.10184394780857228</v>
      </c>
      <c r="K36" s="6"/>
      <c r="M36" s="6" t="s">
        <v>35</v>
      </c>
      <c r="N36" s="23">
        <f t="shared" si="21"/>
        <v>651.97122240614908</v>
      </c>
      <c r="O36" s="23">
        <f t="shared" si="22"/>
        <v>709.11351133763083</v>
      </c>
      <c r="P36" s="7">
        <f t="shared" si="23"/>
        <v>8.764541588291859E-2</v>
      </c>
      <c r="Q36" s="6"/>
    </row>
    <row r="37" spans="1:17" s="19" customFormat="1" x14ac:dyDescent="0.35">
      <c r="A37" s="6" t="s">
        <v>36</v>
      </c>
      <c r="B37" s="23">
        <f t="shared" si="15"/>
        <v>1004.4027393372943</v>
      </c>
      <c r="C37" s="23">
        <f t="shared" si="16"/>
        <v>1053.6950673600409</v>
      </c>
      <c r="D37" s="7">
        <f t="shared" si="17"/>
        <v>4.9076258050898679E-2</v>
      </c>
      <c r="E37" s="6"/>
      <c r="G37" s="6" t="s">
        <v>36</v>
      </c>
      <c r="H37" s="23">
        <f t="shared" si="18"/>
        <v>1027.8718474205577</v>
      </c>
      <c r="I37" s="23">
        <f t="shared" si="19"/>
        <v>1071.2390278722121</v>
      </c>
      <c r="J37" s="7">
        <f t="shared" si="20"/>
        <v>4.2191232847250557E-2</v>
      </c>
      <c r="K37" s="6"/>
      <c r="M37" s="6" t="s">
        <v>36</v>
      </c>
      <c r="N37" s="23">
        <f t="shared" si="21"/>
        <v>849.30956378743667</v>
      </c>
      <c r="O37" s="23">
        <f t="shared" si="22"/>
        <v>945.35402237985443</v>
      </c>
      <c r="P37" s="7">
        <f t="shared" si="23"/>
        <v>0.11308533741703579</v>
      </c>
      <c r="Q37" s="6"/>
    </row>
    <row r="38" spans="1:17" s="19" customFormat="1" x14ac:dyDescent="0.35">
      <c r="A38" s="6" t="s">
        <v>37</v>
      </c>
      <c r="B38" s="23">
        <f t="shared" si="15"/>
        <v>253.52717244713079</v>
      </c>
      <c r="C38" s="23">
        <f t="shared" si="16"/>
        <v>305.01973152387507</v>
      </c>
      <c r="D38" s="7">
        <f t="shared" si="17"/>
        <v>0.20310469516825561</v>
      </c>
      <c r="E38" s="6"/>
      <c r="G38" s="6" t="s">
        <v>37</v>
      </c>
      <c r="H38" s="23">
        <f t="shared" si="18"/>
        <v>259.52754554219723</v>
      </c>
      <c r="I38" s="23">
        <f t="shared" si="19"/>
        <v>309.8113468351973</v>
      </c>
      <c r="J38" s="7">
        <f t="shared" si="20"/>
        <v>0.19375130754598185</v>
      </c>
      <c r="K38" s="6"/>
      <c r="M38" s="6" t="s">
        <v>37</v>
      </c>
      <c r="N38" s="23">
        <f t="shared" si="21"/>
        <v>213.87432690668032</v>
      </c>
      <c r="O38" s="23">
        <f t="shared" si="22"/>
        <v>275.42957087505454</v>
      </c>
      <c r="P38" s="7">
        <f t="shared" si="23"/>
        <v>0.28781034572341441</v>
      </c>
      <c r="Q38" s="6"/>
    </row>
    <row r="39" spans="1:17" s="19" customFormat="1" x14ac:dyDescent="0.35">
      <c r="A39" s="6" t="s">
        <v>38</v>
      </c>
      <c r="B39" s="23">
        <f t="shared" si="15"/>
        <v>537.8964685068554</v>
      </c>
      <c r="C39" s="23">
        <f t="shared" si="16"/>
        <v>592.79828041392966</v>
      </c>
      <c r="D39" s="7">
        <f t="shared" si="17"/>
        <v>0.10206761918232328</v>
      </c>
      <c r="E39" s="6"/>
      <c r="G39" s="6" t="s">
        <v>38</v>
      </c>
      <c r="H39" s="23">
        <f t="shared" si="18"/>
        <v>560.61826885174537</v>
      </c>
      <c r="I39" s="23">
        <f t="shared" si="19"/>
        <v>615.83032336230042</v>
      </c>
      <c r="J39" s="7">
        <f t="shared" si="20"/>
        <v>9.8484222827129791E-2</v>
      </c>
      <c r="K39" s="6"/>
      <c r="M39" s="6" t="s">
        <v>38</v>
      </c>
      <c r="N39" s="23">
        <f t="shared" si="21"/>
        <v>387.7417989217808</v>
      </c>
      <c r="O39" s="23">
        <f t="shared" si="22"/>
        <v>450.56610887410625</v>
      </c>
      <c r="P39" s="7">
        <f t="shared" si="23"/>
        <v>0.16202614762459233</v>
      </c>
      <c r="Q39" s="6"/>
    </row>
    <row r="40" spans="1:17" s="19" customFormat="1" x14ac:dyDescent="0.35">
      <c r="A40" s="6" t="s">
        <v>39</v>
      </c>
      <c r="B40" s="23">
        <f t="shared" si="15"/>
        <v>33.514837241968173</v>
      </c>
      <c r="C40" s="23">
        <f t="shared" si="16"/>
        <v>34.372957057126129</v>
      </c>
      <c r="D40" s="7">
        <f t="shared" si="17"/>
        <v>2.5604176710230152E-2</v>
      </c>
      <c r="E40" s="6"/>
      <c r="G40" s="6" t="s">
        <v>39</v>
      </c>
      <c r="H40" s="23">
        <f t="shared" si="18"/>
        <v>37.601524130453782</v>
      </c>
      <c r="I40" s="23">
        <f t="shared" si="19"/>
        <v>38.148212340807895</v>
      </c>
      <c r="J40" s="7">
        <f t="shared" si="20"/>
        <v>1.4538990719031657E-2</v>
      </c>
      <c r="K40" s="6"/>
      <c r="M40" s="6" t="s">
        <v>39</v>
      </c>
      <c r="N40" s="23">
        <f t="shared" si="21"/>
        <v>6.5083892438360325</v>
      </c>
      <c r="O40" s="23">
        <f t="shared" si="22"/>
        <v>11.059230249698771</v>
      </c>
      <c r="P40" s="7">
        <f t="shared" si="23"/>
        <v>0.69922692625871308</v>
      </c>
      <c r="Q40" s="6"/>
    </row>
    <row r="41" spans="1:17" s="19" customFormat="1" x14ac:dyDescent="0.35">
      <c r="A41" s="12" t="s">
        <v>60</v>
      </c>
      <c r="B41" s="23">
        <f t="shared" si="15"/>
        <v>1231.3289028508943</v>
      </c>
      <c r="C41" s="23">
        <f t="shared" si="16"/>
        <v>1366.9201889917208</v>
      </c>
      <c r="D41" s="7">
        <f t="shared" si="17"/>
        <v>0.11011784570872342</v>
      </c>
      <c r="E41" s="6"/>
      <c r="G41" s="12" t="s">
        <v>60</v>
      </c>
      <c r="H41" s="23">
        <f t="shared" si="18"/>
        <v>1213.5060768522003</v>
      </c>
      <c r="I41" s="23">
        <f t="shared" si="19"/>
        <v>1347.1125043679792</v>
      </c>
      <c r="J41" s="7">
        <f t="shared" si="20"/>
        <v>0.11009951253177912</v>
      </c>
      <c r="K41" s="6"/>
      <c r="M41" s="12" t="s">
        <v>60</v>
      </c>
      <c r="N41" s="23">
        <f t="shared" si="21"/>
        <v>1349.1092067125996</v>
      </c>
      <c r="O41" s="23">
        <f t="shared" si="22"/>
        <v>1489.2406450418437</v>
      </c>
      <c r="P41" s="7">
        <f t="shared" si="23"/>
        <v>0.10386960346279527</v>
      </c>
      <c r="Q41" s="6"/>
    </row>
    <row r="42" spans="1:17" s="19" customFormat="1" x14ac:dyDescent="0.35">
      <c r="A42" s="12" t="s">
        <v>61</v>
      </c>
      <c r="B42" s="23">
        <f t="shared" si="15"/>
        <v>937.39429469651134</v>
      </c>
      <c r="C42" s="23">
        <f t="shared" si="16"/>
        <v>995.3500724307122</v>
      </c>
      <c r="D42" s="7">
        <f t="shared" si="17"/>
        <v>6.1826467327672927E-2</v>
      </c>
      <c r="E42" s="46"/>
      <c r="G42" s="12" t="s">
        <v>61</v>
      </c>
      <c r="H42" s="23">
        <f t="shared" si="18"/>
        <v>878.07123571597231</v>
      </c>
      <c r="I42" s="23">
        <f t="shared" si="19"/>
        <v>919.28297706499154</v>
      </c>
      <c r="J42" s="7">
        <f t="shared" si="20"/>
        <v>4.6934394013505645E-2</v>
      </c>
      <c r="K42" s="46"/>
      <c r="M42" s="12" t="s">
        <v>61</v>
      </c>
      <c r="N42" s="23">
        <f t="shared" si="21"/>
        <v>1329.424599724781</v>
      </c>
      <c r="O42" s="23">
        <f t="shared" si="22"/>
        <v>1465.0951220055967</v>
      </c>
      <c r="P42" s="7">
        <f t="shared" si="23"/>
        <v>0.10205206245536781</v>
      </c>
      <c r="Q42" s="46"/>
    </row>
    <row r="43" spans="1:17" s="77" customFormat="1" x14ac:dyDescent="0.35">
      <c r="A43" s="146" t="s">
        <v>334</v>
      </c>
      <c r="B43" s="147">
        <f t="shared" si="15"/>
        <v>474.68469908005943</v>
      </c>
      <c r="C43" s="147">
        <f t="shared" si="16"/>
        <v>524.10925088455872</v>
      </c>
      <c r="D43" s="148">
        <f t="shared" si="17"/>
        <v>0.1041208025038183</v>
      </c>
      <c r="E43" s="149"/>
      <c r="G43" s="146" t="s">
        <v>334</v>
      </c>
      <c r="H43" s="147">
        <f t="shared" si="18"/>
        <v>466.05005410643099</v>
      </c>
      <c r="I43" s="147">
        <f t="shared" si="19"/>
        <v>513.81601131393109</v>
      </c>
      <c r="J43" s="148">
        <f t="shared" si="20"/>
        <v>0.10249104530002237</v>
      </c>
      <c r="K43" s="149"/>
      <c r="M43" s="146" t="s">
        <v>334</v>
      </c>
      <c r="N43" s="147">
        <f t="shared" si="21"/>
        <v>531.7458581132239</v>
      </c>
      <c r="O43" s="147">
        <f t="shared" si="22"/>
        <v>587.67416432240805</v>
      </c>
      <c r="P43" s="148">
        <f t="shared" si="23"/>
        <v>0.10517864005115656</v>
      </c>
      <c r="Q43" s="149"/>
    </row>
    <row r="44" spans="1:17" s="19" customFormat="1" x14ac:dyDescent="0.35">
      <c r="A44" s="12" t="s">
        <v>40</v>
      </c>
      <c r="B44" s="23">
        <f t="shared" si="15"/>
        <v>288.53310997612607</v>
      </c>
      <c r="C44" s="23">
        <f t="shared" si="16"/>
        <v>306.73244596526342</v>
      </c>
      <c r="D44" s="7">
        <f t="shared" si="17"/>
        <v>6.3075381506972325E-2</v>
      </c>
      <c r="E44" s="6"/>
      <c r="G44" s="12" t="s">
        <v>40</v>
      </c>
      <c r="H44" s="23">
        <f t="shared" si="18"/>
        <v>279.59529919307397</v>
      </c>
      <c r="I44" s="23">
        <f t="shared" si="19"/>
        <v>294.04231485163228</v>
      </c>
      <c r="J44" s="7">
        <f t="shared" si="20"/>
        <v>5.1671167935416387E-2</v>
      </c>
      <c r="K44" s="6"/>
      <c r="M44" s="12" t="s">
        <v>40</v>
      </c>
      <c r="N44" s="23">
        <f t="shared" si="21"/>
        <v>347.59770893273605</v>
      </c>
      <c r="O44" s="23">
        <f t="shared" si="22"/>
        <v>385.09913316981749</v>
      </c>
      <c r="P44" s="7">
        <f t="shared" si="23"/>
        <v>0.10788743214742641</v>
      </c>
      <c r="Q44" s="6"/>
    </row>
    <row r="45" spans="1:17" s="19" customFormat="1" x14ac:dyDescent="0.35">
      <c r="A45" s="12" t="s">
        <v>48</v>
      </c>
      <c r="B45" s="23">
        <f t="shared" si="15"/>
        <v>22.955724902186347</v>
      </c>
      <c r="C45" s="23">
        <f t="shared" si="16"/>
        <v>27.629766087388852</v>
      </c>
      <c r="D45" s="7">
        <f t="shared" si="17"/>
        <v>0.20361113426469665</v>
      </c>
      <c r="E45" s="6"/>
      <c r="G45" s="12" t="s">
        <v>48</v>
      </c>
      <c r="H45" s="23">
        <f t="shared" si="18"/>
        <v>26.314091833414906</v>
      </c>
      <c r="I45" s="23">
        <f t="shared" si="19"/>
        <v>31.989379348381771</v>
      </c>
      <c r="J45" s="7">
        <f t="shared" si="20"/>
        <v>0.21567483882381644</v>
      </c>
      <c r="K45" s="6"/>
      <c r="M45" s="12" t="s">
        <v>48</v>
      </c>
      <c r="N45" s="23">
        <f t="shared" si="21"/>
        <v>0.76230407946213286</v>
      </c>
      <c r="O45" s="23">
        <f t="shared" si="22"/>
        <v>0.70739265421944719</v>
      </c>
      <c r="P45" s="7">
        <f t="shared" si="23"/>
        <v>-7.2033492568254531E-2</v>
      </c>
      <c r="Q45" s="6"/>
    </row>
    <row r="46" spans="1:17" s="19" customFormat="1" x14ac:dyDescent="0.35">
      <c r="A46" s="12" t="s">
        <v>49</v>
      </c>
      <c r="B46" s="23">
        <f t="shared" si="15"/>
        <v>21.860185101988943</v>
      </c>
      <c r="C46" s="23">
        <f t="shared" si="16"/>
        <v>14.341656613132429</v>
      </c>
      <c r="D46" s="7">
        <f t="shared" si="17"/>
        <v>-0.34393709173910164</v>
      </c>
      <c r="E46" s="6"/>
      <c r="G46" s="12" t="s">
        <v>49</v>
      </c>
      <c r="H46" s="23">
        <f t="shared" si="18"/>
        <v>24.999204430669305</v>
      </c>
      <c r="I46" s="23">
        <f t="shared" si="19"/>
        <v>14.837095874146581</v>
      </c>
      <c r="J46" s="7">
        <f t="shared" si="20"/>
        <v>-0.40649727813160869</v>
      </c>
      <c r="K46" s="6"/>
      <c r="M46" s="12" t="s">
        <v>49</v>
      </c>
      <c r="N46" s="23">
        <f t="shared" si="21"/>
        <v>1.1163002440638254</v>
      </c>
      <c r="O46" s="23">
        <f t="shared" si="22"/>
        <v>11.282118989045419</v>
      </c>
      <c r="P46" s="7">
        <f t="shared" si="23"/>
        <v>9.1067065505365541</v>
      </c>
      <c r="Q46" s="6"/>
    </row>
    <row r="47" spans="1:17" s="19" customFormat="1" x14ac:dyDescent="0.35">
      <c r="A47" s="12" t="s">
        <v>50</v>
      </c>
      <c r="B47" s="23">
        <f t="shared" si="15"/>
        <v>13.349655900392708</v>
      </c>
      <c r="C47" s="23">
        <f t="shared" si="16"/>
        <v>14.199202832501358</v>
      </c>
      <c r="D47" s="7">
        <f t="shared" si="17"/>
        <v>6.3638114603662463E-2</v>
      </c>
      <c r="E47" s="6"/>
      <c r="G47" s="12" t="s">
        <v>50</v>
      </c>
      <c r="H47" s="23">
        <f t="shared" si="18"/>
        <v>15.168000491593434</v>
      </c>
      <c r="I47" s="23">
        <f t="shared" si="19"/>
        <v>16.308711713755979</v>
      </c>
      <c r="J47" s="7">
        <f t="shared" si="20"/>
        <v>7.5205115057502964E-2</v>
      </c>
      <c r="K47" s="6"/>
      <c r="M47" s="12" t="s">
        <v>50</v>
      </c>
      <c r="N47" s="23">
        <f t="shared" si="21"/>
        <v>1.3333135710334205</v>
      </c>
      <c r="O47" s="23">
        <f t="shared" si="22"/>
        <v>1.1721331220129858</v>
      </c>
      <c r="P47" s="7">
        <f t="shared" si="23"/>
        <v>-0.12088712852109311</v>
      </c>
      <c r="Q47" s="6"/>
    </row>
    <row r="48" spans="1:17" s="19" customFormat="1" x14ac:dyDescent="0.35">
      <c r="A48" s="12" t="s">
        <v>51</v>
      </c>
      <c r="B48" s="23">
        <f t="shared" si="15"/>
        <v>0</v>
      </c>
      <c r="C48" s="23">
        <f t="shared" si="16"/>
        <v>0</v>
      </c>
      <c r="D48" s="7" t="str">
        <f t="shared" si="17"/>
        <v/>
      </c>
      <c r="E48" s="6"/>
      <c r="G48" s="12" t="s">
        <v>51</v>
      </c>
      <c r="H48" s="23">
        <f t="shared" si="18"/>
        <v>0</v>
      </c>
      <c r="I48" s="23">
        <f t="shared" si="19"/>
        <v>0</v>
      </c>
      <c r="J48" s="7" t="str">
        <f t="shared" si="20"/>
        <v/>
      </c>
      <c r="K48" s="6"/>
      <c r="M48" s="12" t="s">
        <v>51</v>
      </c>
      <c r="N48" s="23">
        <f t="shared" si="21"/>
        <v>0</v>
      </c>
      <c r="O48" s="23">
        <f t="shared" si="22"/>
        <v>0</v>
      </c>
      <c r="P48" s="7" t="str">
        <f t="shared" si="23"/>
        <v/>
      </c>
      <c r="Q48" s="6"/>
    </row>
    <row r="49" spans="1:17" s="19" customFormat="1" x14ac:dyDescent="0.35">
      <c r="A49" s="12" t="s">
        <v>52</v>
      </c>
      <c r="B49" s="23">
        <f t="shared" si="15"/>
        <v>-6.7856572211071864</v>
      </c>
      <c r="C49" s="23">
        <f t="shared" si="16"/>
        <v>-11.008079168205887</v>
      </c>
      <c r="D49" s="7">
        <f t="shared" si="17"/>
        <v>0.62225688824431158</v>
      </c>
      <c r="E49" s="6"/>
      <c r="G49" s="12" t="s">
        <v>52</v>
      </c>
      <c r="H49" s="23">
        <f t="shared" si="18"/>
        <v>-7.5515464500238192</v>
      </c>
      <c r="I49" s="23">
        <f t="shared" si="19"/>
        <v>-12.480229345340346</v>
      </c>
      <c r="J49" s="7">
        <f t="shared" si="20"/>
        <v>0.65267199611822302</v>
      </c>
      <c r="K49" s="6"/>
      <c r="M49" s="12" t="s">
        <v>52</v>
      </c>
      <c r="N49" s="23">
        <f t="shared" si="21"/>
        <v>-1.7243573962186378</v>
      </c>
      <c r="O49" s="23">
        <f t="shared" si="22"/>
        <v>-1.9169569869935024</v>
      </c>
      <c r="P49" s="7">
        <f t="shared" si="23"/>
        <v>0.11169354519963107</v>
      </c>
      <c r="Q49" s="6"/>
    </row>
    <row r="50" spans="1:17" s="19" customFormat="1" x14ac:dyDescent="0.35">
      <c r="A50" s="12" t="s">
        <v>53</v>
      </c>
      <c r="B50" s="23">
        <f t="shared" si="15"/>
        <v>12.520678910955402</v>
      </c>
      <c r="C50" s="23">
        <f t="shared" si="16"/>
        <v>4.3903714614966525</v>
      </c>
      <c r="D50" s="7">
        <f t="shared" si="17"/>
        <v>-0.64935036728278805</v>
      </c>
      <c r="E50" s="6"/>
      <c r="G50" s="12" t="s">
        <v>53</v>
      </c>
      <c r="H50" s="23">
        <f t="shared" si="18"/>
        <v>14.415341042898067</v>
      </c>
      <c r="I50" s="23">
        <f t="shared" si="19"/>
        <v>5.1013162707178203</v>
      </c>
      <c r="J50" s="7">
        <f t="shared" si="20"/>
        <v>-0.64611893291063971</v>
      </c>
      <c r="K50" s="6"/>
      <c r="M50" s="12" t="s">
        <v>53</v>
      </c>
      <c r="N50" s="23">
        <f t="shared" si="21"/>
        <v>0</v>
      </c>
      <c r="O50" s="23">
        <f t="shared" si="22"/>
        <v>0</v>
      </c>
      <c r="P50" s="7" t="str">
        <f t="shared" si="23"/>
        <v/>
      </c>
      <c r="Q50" s="6"/>
    </row>
    <row r="51" spans="1:17" s="19" customFormat="1" x14ac:dyDescent="0.35">
      <c r="A51" s="37" t="s">
        <v>62</v>
      </c>
      <c r="B51" s="53">
        <f t="shared" si="15"/>
        <v>6621.0377631674301</v>
      </c>
      <c r="C51" s="53">
        <f t="shared" si="16"/>
        <v>7117.9811110515784</v>
      </c>
      <c r="D51" s="40">
        <f t="shared" si="17"/>
        <v>7.5055205189830582E-2</v>
      </c>
      <c r="E51" s="38"/>
      <c r="G51" s="37" t="s">
        <v>62</v>
      </c>
      <c r="H51" s="39">
        <f>SUM(H34:H40) + H41 +H44</f>
        <v>6578.4170257236583</v>
      </c>
      <c r="I51" s="39">
        <f>SUM(I34:I40) + I41 +I44</f>
        <v>7036.6891743199012</v>
      </c>
      <c r="J51" s="40">
        <f t="shared" si="20"/>
        <v>6.9662982265225229E-2</v>
      </c>
      <c r="K51" s="38"/>
      <c r="M51" s="37" t="s">
        <v>62</v>
      </c>
      <c r="N51" s="53">
        <f t="shared" si="21"/>
        <v>6902.6925022814848</v>
      </c>
      <c r="O51" s="53">
        <f t="shared" si="22"/>
        <v>9672.760953540097</v>
      </c>
      <c r="P51" s="40">
        <f t="shared" si="23"/>
        <v>0.4013026004480203</v>
      </c>
      <c r="Q51" s="37"/>
    </row>
    <row r="52" spans="1:17" s="19" customFormat="1" x14ac:dyDescent="0.35">
      <c r="A52" s="37" t="s">
        <v>63</v>
      </c>
      <c r="B52" s="53">
        <f t="shared" si="15"/>
        <v>6327.1031550130483</v>
      </c>
      <c r="C52" s="53">
        <f t="shared" si="16"/>
        <v>6746.4109944905695</v>
      </c>
      <c r="D52" s="40">
        <f t="shared" si="17"/>
        <v>6.627169325432887E-2</v>
      </c>
      <c r="E52" s="38"/>
      <c r="G52" s="37" t="s">
        <v>63</v>
      </c>
      <c r="H52" s="39">
        <f>SUM(H34:H40) + H42 +H44</f>
        <v>6242.9821845874303</v>
      </c>
      <c r="I52" s="39">
        <f>SUM(I34:I40) + I42 +I44</f>
        <v>6608.8596470169132</v>
      </c>
      <c r="J52" s="40">
        <f t="shared" si="20"/>
        <v>5.8606199987684578E-2</v>
      </c>
      <c r="K52" s="38"/>
      <c r="M52" s="37" t="s">
        <v>63</v>
      </c>
      <c r="N52" s="53">
        <f t="shared" si="21"/>
        <v>6883.0078952936656</v>
      </c>
      <c r="O52" s="53">
        <f t="shared" si="22"/>
        <v>7595.8461441758454</v>
      </c>
      <c r="P52" s="40">
        <f t="shared" si="23"/>
        <v>0.10356493261755388</v>
      </c>
      <c r="Q52" s="37"/>
    </row>
    <row r="53" spans="1:17" s="19" customFormat="1" x14ac:dyDescent="0.35">
      <c r="A53" s="37" t="s">
        <v>56</v>
      </c>
      <c r="B53" s="53">
        <f t="shared" si="15"/>
        <v>63.90058759441623</v>
      </c>
      <c r="C53" s="53">
        <f t="shared" si="16"/>
        <v>49.552917826313411</v>
      </c>
      <c r="D53" s="40">
        <f t="shared" si="17"/>
        <v>-0.2245311085270294</v>
      </c>
      <c r="E53" s="38"/>
      <c r="G53" s="37" t="s">
        <v>56</v>
      </c>
      <c r="H53" s="39">
        <f>SUM(H45:H50)</f>
        <v>73.34509134855189</v>
      </c>
      <c r="I53" s="39">
        <f t="shared" ref="I53" si="24">SUM(I45:I50)</f>
        <v>55.756273861661796</v>
      </c>
      <c r="J53" s="40">
        <f t="shared" si="20"/>
        <v>-0.239809061022287</v>
      </c>
      <c r="K53" s="38"/>
      <c r="M53" s="37" t="s">
        <v>56</v>
      </c>
      <c r="N53" s="53">
        <f t="shared" si="21"/>
        <v>1.4875604983407411</v>
      </c>
      <c r="O53" s="53">
        <f t="shared" si="22"/>
        <v>11.244687778284348</v>
      </c>
      <c r="P53" s="40">
        <f t="shared" si="23"/>
        <v>6.5591465293861519</v>
      </c>
      <c r="Q53" s="37"/>
    </row>
    <row r="54" spans="1:17" x14ac:dyDescent="0.35">
      <c r="A54" s="37" t="s">
        <v>192</v>
      </c>
      <c r="B54" s="53">
        <f>B51+B53</f>
        <v>6684.9383507618459</v>
      </c>
      <c r="C54" s="53">
        <f>C51+C53</f>
        <v>7167.5340288778916</v>
      </c>
      <c r="D54" s="40">
        <f t="shared" si="17"/>
        <v>7.2191492695074286E-2</v>
      </c>
      <c r="E54" s="38"/>
      <c r="G54" s="37" t="s">
        <v>192</v>
      </c>
      <c r="H54" s="53">
        <f>H51+H53</f>
        <v>6651.7621170722105</v>
      </c>
      <c r="I54" s="53">
        <f>I51+I53</f>
        <v>7092.4454481815628</v>
      </c>
      <c r="J54" s="40">
        <f t="shared" si="20"/>
        <v>6.6250615002949056E-2</v>
      </c>
      <c r="K54" s="38"/>
      <c r="M54" s="37" t="s">
        <v>192</v>
      </c>
      <c r="N54" s="53">
        <f>N51+N53</f>
        <v>6904.1800627798257</v>
      </c>
      <c r="O54" s="53">
        <f>O51+O53</f>
        <v>9684.0056413183811</v>
      </c>
      <c r="P54" s="40">
        <f t="shared" si="23"/>
        <v>0.402629356891268</v>
      </c>
      <c r="Q54" s="38"/>
    </row>
    <row r="55" spans="1:17" x14ac:dyDescent="0.35">
      <c r="A55" s="37" t="s">
        <v>193</v>
      </c>
      <c r="B55" s="53">
        <f>B51/B9+B53</f>
        <v>6501.7840121607669</v>
      </c>
      <c r="C55" s="53">
        <f>C51/C9+C53</f>
        <v>6952.9101896367665</v>
      </c>
      <c r="D55" s="40">
        <f t="shared" si="17"/>
        <v>6.9384983664825678E-2</v>
      </c>
      <c r="E55" s="38"/>
      <c r="G55" s="37" t="s">
        <v>193</v>
      </c>
      <c r="H55" s="53">
        <f>H51/H9+H53</f>
        <v>6494.9515715497118</v>
      </c>
      <c r="I55" s="53">
        <f>I51/I9+I53</f>
        <v>6912.4689679272742</v>
      </c>
      <c r="J55" s="40">
        <f t="shared" si="20"/>
        <v>6.4283373290486542E-2</v>
      </c>
      <c r="K55" s="82"/>
      <c r="M55" s="37" t="s">
        <v>193</v>
      </c>
      <c r="N55" s="53">
        <f>N51/N9+N53</f>
        <v>6543.8093513988697</v>
      </c>
      <c r="O55" s="53">
        <f>O51/O9+O53</f>
        <v>9127.9901963451448</v>
      </c>
      <c r="P55" s="40">
        <f t="shared" si="23"/>
        <v>0.39490466579590294</v>
      </c>
      <c r="Q55" s="38"/>
    </row>
    <row r="56" spans="1:17" x14ac:dyDescent="0.35">
      <c r="A56" s="37" t="s">
        <v>194</v>
      </c>
      <c r="B56" s="53">
        <f>B52+B53</f>
        <v>6391.0037426074641</v>
      </c>
      <c r="C56" s="53">
        <f>C52+C53</f>
        <v>6795.9639123168827</v>
      </c>
      <c r="D56" s="40">
        <f t="shared" si="17"/>
        <v>6.3364095221793593E-2</v>
      </c>
      <c r="E56" s="38"/>
      <c r="G56" s="37" t="s">
        <v>194</v>
      </c>
      <c r="H56" s="53">
        <f>H52+H53</f>
        <v>6316.3272759359825</v>
      </c>
      <c r="I56" s="53">
        <f>I52+I53</f>
        <v>6664.6159208785748</v>
      </c>
      <c r="J56" s="40">
        <f t="shared" si="20"/>
        <v>5.514100674762476E-2</v>
      </c>
      <c r="K56" s="38"/>
      <c r="M56" s="37" t="s">
        <v>194</v>
      </c>
      <c r="N56" s="53">
        <f>N52+N53</f>
        <v>6884.4954557920064</v>
      </c>
      <c r="O56" s="53">
        <f>O52+O53</f>
        <v>7607.0908319541295</v>
      </c>
      <c r="P56" s="40">
        <f t="shared" si="23"/>
        <v>0.10495981598102373</v>
      </c>
      <c r="Q56" s="38"/>
    </row>
    <row r="57" spans="1:17" x14ac:dyDescent="0.35">
      <c r="A57" s="37" t="s">
        <v>195</v>
      </c>
      <c r="B57" s="53">
        <f>B52/B9+B53</f>
        <v>6215.9803648427614</v>
      </c>
      <c r="C57" s="53">
        <f>C52/C9+C53</f>
        <v>6592.5437843134532</v>
      </c>
      <c r="D57" s="40">
        <f t="shared" si="17"/>
        <v>6.0579892047361264E-2</v>
      </c>
      <c r="E57" s="38"/>
      <c r="G57" s="37" t="s">
        <v>195</v>
      </c>
      <c r="H57" s="53">
        <f>H52/H9+H53</f>
        <v>6167.5125324765249</v>
      </c>
      <c r="I57" s="53">
        <f>I52/I9+I53</f>
        <v>6495.5819805838246</v>
      </c>
      <c r="J57" s="40">
        <f t="shared" si="20"/>
        <v>5.3193154676179549E-2</v>
      </c>
      <c r="K57" s="82"/>
      <c r="M57" s="37" t="s">
        <v>195</v>
      </c>
      <c r="N57" s="53">
        <f>N52/N9+N53</f>
        <v>6525.152423946407</v>
      </c>
      <c r="O57" s="53">
        <f>O52/O9+O53</f>
        <v>7170.4618493825647</v>
      </c>
      <c r="P57" s="40">
        <f t="shared" si="23"/>
        <v>9.8895686033013006E-2</v>
      </c>
      <c r="Q57" s="38"/>
    </row>
  </sheetData>
  <mergeCells count="18">
    <mergeCell ref="N6:O6"/>
    <mergeCell ref="Q6:Q7"/>
    <mergeCell ref="H6:I6"/>
    <mergeCell ref="K6:K7"/>
    <mergeCell ref="M6:M7"/>
    <mergeCell ref="G6:G7"/>
    <mergeCell ref="A6:A7"/>
    <mergeCell ref="B6:C6"/>
    <mergeCell ref="E6:E7"/>
    <mergeCell ref="A32:A33"/>
    <mergeCell ref="B32:C32"/>
    <mergeCell ref="E32:E33"/>
    <mergeCell ref="G32:G33"/>
    <mergeCell ref="Q32:Q33"/>
    <mergeCell ref="H32:I32"/>
    <mergeCell ref="K32:K33"/>
    <mergeCell ref="M32:M33"/>
    <mergeCell ref="N32:O3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7A23F-EFDD-4F3B-B0E6-FEED281C4220}">
  <sheetPr>
    <tabColor theme="9"/>
  </sheetPr>
  <dimension ref="A1:Q31"/>
  <sheetViews>
    <sheetView zoomScaleNormal="100" workbookViewId="0">
      <selection activeCell="E34" sqref="E34"/>
    </sheetView>
  </sheetViews>
  <sheetFormatPr defaultColWidth="9.08984375" defaultRowHeight="14.5" x14ac:dyDescent="0.35"/>
  <cols>
    <col min="1" max="1" width="39" style="77" customWidth="1"/>
    <col min="2" max="2" width="19.6328125" style="77" customWidth="1"/>
    <col min="3" max="3" width="20" style="77" bestFit="1" customWidth="1"/>
    <col min="4" max="4" width="16.453125" style="77" customWidth="1"/>
    <col min="5" max="5" width="20.6328125" style="77" customWidth="1"/>
    <col min="6" max="6" width="14.36328125" style="77" customWidth="1"/>
    <col min="7" max="7" width="38.453125" style="77" customWidth="1"/>
    <col min="8" max="9" width="19.6328125" style="77" customWidth="1"/>
    <col min="10" max="10" width="16.453125" style="77" customWidth="1"/>
    <col min="11" max="11" width="52.453125" style="77" customWidth="1"/>
    <col min="12" max="12" width="9.08984375" style="77"/>
    <col min="13" max="13" width="38.36328125" style="77" customWidth="1"/>
    <col min="14" max="15" width="19.6328125" style="77" customWidth="1"/>
    <col min="16" max="16" width="16.453125" style="77" customWidth="1"/>
    <col min="17" max="17" width="14.6328125" style="77" customWidth="1"/>
    <col min="18" max="16384" width="9.08984375" style="77"/>
  </cols>
  <sheetData>
    <row r="1" spans="1:17" ht="18.5" x14ac:dyDescent="0.45">
      <c r="A1" s="1" t="s">
        <v>308</v>
      </c>
      <c r="B1" s="1"/>
      <c r="C1" s="1"/>
      <c r="D1" s="1"/>
      <c r="E1" s="142"/>
    </row>
    <row r="2" spans="1:17" ht="15.5" x14ac:dyDescent="0.35">
      <c r="A2" s="2" t="s">
        <v>415</v>
      </c>
      <c r="B2" s="3"/>
      <c r="C2" s="3"/>
      <c r="D2" s="3"/>
      <c r="G2" s="10"/>
      <c r="M2" s="10"/>
    </row>
    <row r="3" spans="1:17" ht="15.75" customHeight="1" x14ac:dyDescent="0.35">
      <c r="B3" s="5"/>
      <c r="C3" s="5"/>
      <c r="D3" s="5"/>
      <c r="G3" s="10"/>
      <c r="M3" s="10"/>
    </row>
    <row r="4" spans="1:17" ht="15.75" customHeight="1" x14ac:dyDescent="0.35">
      <c r="A4" s="4"/>
      <c r="B4" s="5"/>
      <c r="C4" s="5"/>
      <c r="D4" s="5"/>
      <c r="G4" s="10"/>
      <c r="M4" s="10"/>
    </row>
    <row r="5" spans="1:17" x14ac:dyDescent="0.35">
      <c r="A5" s="33" t="s">
        <v>23</v>
      </c>
      <c r="G5" s="33" t="s">
        <v>25</v>
      </c>
      <c r="M5" s="33" t="s">
        <v>24</v>
      </c>
    </row>
    <row r="6" spans="1:17" x14ac:dyDescent="0.35">
      <c r="A6" s="170" t="s">
        <v>8</v>
      </c>
      <c r="B6" s="170" t="s">
        <v>2</v>
      </c>
      <c r="C6" s="170"/>
      <c r="D6" s="126" t="s">
        <v>3</v>
      </c>
      <c r="E6" s="173" t="s">
        <v>30</v>
      </c>
      <c r="G6" s="170" t="s">
        <v>8</v>
      </c>
      <c r="H6" s="170" t="s">
        <v>2</v>
      </c>
      <c r="I6" s="170"/>
      <c r="J6" s="126" t="s">
        <v>3</v>
      </c>
      <c r="K6" s="173" t="s">
        <v>30</v>
      </c>
      <c r="M6" s="170" t="s">
        <v>8</v>
      </c>
      <c r="N6" s="170" t="s">
        <v>2</v>
      </c>
      <c r="O6" s="170"/>
      <c r="P6" s="126" t="s">
        <v>3</v>
      </c>
      <c r="Q6" s="173" t="s">
        <v>30</v>
      </c>
    </row>
    <row r="7" spans="1:17" x14ac:dyDescent="0.35">
      <c r="A7" s="170"/>
      <c r="B7" s="125">
        <v>2022</v>
      </c>
      <c r="C7" s="125">
        <v>2023</v>
      </c>
      <c r="D7" s="125" t="s">
        <v>310</v>
      </c>
      <c r="E7" s="174"/>
      <c r="G7" s="170"/>
      <c r="H7" s="125">
        <v>2022</v>
      </c>
      <c r="I7" s="125">
        <v>2023</v>
      </c>
      <c r="J7" s="125" t="s">
        <v>310</v>
      </c>
      <c r="K7" s="174"/>
      <c r="M7" s="170"/>
      <c r="N7" s="125">
        <v>2022</v>
      </c>
      <c r="O7" s="125">
        <v>2023</v>
      </c>
      <c r="P7" s="125" t="s">
        <v>310</v>
      </c>
      <c r="Q7" s="174"/>
    </row>
    <row r="8" spans="1:17" x14ac:dyDescent="0.35">
      <c r="A8" s="37" t="s">
        <v>29</v>
      </c>
      <c r="B8" s="85">
        <f>H8+N8</f>
        <v>17535262</v>
      </c>
      <c r="C8" s="85">
        <f t="shared" ref="C8:C17" si="0">I8+O8</f>
        <v>17561579</v>
      </c>
      <c r="D8" s="40">
        <f>IFERROR((C8-B8)/B8, "")</f>
        <v>1.5008044932547915E-3</v>
      </c>
      <c r="E8" s="38"/>
      <c r="G8" s="37" t="s">
        <v>29</v>
      </c>
      <c r="H8" s="85">
        <v>15230537</v>
      </c>
      <c r="I8" s="85">
        <v>15114110</v>
      </c>
      <c r="J8" s="40">
        <f t="shared" ref="J8:J18" si="1">IFERROR((I8-H8)/H8, "")</f>
        <v>-7.6443135261744215E-3</v>
      </c>
      <c r="K8" s="38"/>
      <c r="M8" s="37" t="s">
        <v>29</v>
      </c>
      <c r="N8" s="85">
        <v>2304725</v>
      </c>
      <c r="O8" s="85">
        <v>2447469</v>
      </c>
      <c r="P8" s="40">
        <f t="shared" ref="P8:P18" si="2">IFERROR((O8-N8)/N8, "")</f>
        <v>6.193537189903351E-2</v>
      </c>
      <c r="Q8" s="38"/>
    </row>
    <row r="9" spans="1:17" x14ac:dyDescent="0.35">
      <c r="A9" s="37" t="s">
        <v>130</v>
      </c>
      <c r="B9" s="86">
        <f>(H8*H9+N8*N9)/(H8+N8)</f>
        <v>1.0284494649129836</v>
      </c>
      <c r="C9" s="86">
        <f>(I8*I9+O8*O9)/(I8+O8)</f>
        <v>1.0310897771606768</v>
      </c>
      <c r="D9" s="40">
        <f>IFERROR((C9-B9)/B9, "")</f>
        <v>2.5672746574053862E-3</v>
      </c>
      <c r="E9" s="38"/>
      <c r="G9" s="37" t="s">
        <v>130</v>
      </c>
      <c r="H9" s="86">
        <v>1.0244192081850501</v>
      </c>
      <c r="I9" s="86">
        <v>1.0262482166432401</v>
      </c>
      <c r="J9" s="40">
        <f t="shared" si="1"/>
        <v>1.7854101558974443E-3</v>
      </c>
      <c r="K9" s="38"/>
      <c r="M9" s="37" t="s">
        <v>130</v>
      </c>
      <c r="N9" s="86">
        <v>1.05508300002641</v>
      </c>
      <c r="O9" s="86">
        <v>1.0609883696381299</v>
      </c>
      <c r="P9" s="40">
        <f t="shared" si="2"/>
        <v>5.5970664029011252E-3</v>
      </c>
      <c r="Q9" s="38"/>
    </row>
    <row r="10" spans="1:17" x14ac:dyDescent="0.35">
      <c r="A10" s="6" t="s">
        <v>33</v>
      </c>
      <c r="B10" s="23">
        <f t="shared" ref="B10:B17" si="3">H10+N10</f>
        <v>11397097.200000001</v>
      </c>
      <c r="C10" s="23">
        <f t="shared" si="0"/>
        <v>11483900.899999999</v>
      </c>
      <c r="D10" s="7">
        <f t="shared" ref="D10:D17" si="4">IFERROR((C10-B10)/B10, "")</f>
        <v>7.6162989993625203E-3</v>
      </c>
      <c r="E10" s="6"/>
      <c r="G10" s="6" t="s">
        <v>33</v>
      </c>
      <c r="H10" s="23">
        <v>8813462.3000000007</v>
      </c>
      <c r="I10" s="23">
        <v>7239408.2999999998</v>
      </c>
      <c r="J10" s="7">
        <f t="shared" si="1"/>
        <v>-0.17859655450049419</v>
      </c>
      <c r="K10" s="6"/>
      <c r="M10" s="6" t="s">
        <v>33</v>
      </c>
      <c r="N10" s="23">
        <v>2583634.9</v>
      </c>
      <c r="O10" s="23">
        <v>4244492.5999999996</v>
      </c>
      <c r="P10" s="7">
        <f t="shared" si="2"/>
        <v>0.64283761610434964</v>
      </c>
      <c r="Q10" s="6"/>
    </row>
    <row r="11" spans="1:17" x14ac:dyDescent="0.35">
      <c r="A11" s="6" t="s">
        <v>34</v>
      </c>
      <c r="B11" s="23">
        <f t="shared" si="3"/>
        <v>209449624</v>
      </c>
      <c r="C11" s="23">
        <f t="shared" si="0"/>
        <v>221170423</v>
      </c>
      <c r="D11" s="7">
        <f t="shared" si="4"/>
        <v>5.5959990646724675E-2</v>
      </c>
      <c r="E11" s="6"/>
      <c r="G11" s="6" t="s">
        <v>34</v>
      </c>
      <c r="H11" s="23">
        <v>153267680</v>
      </c>
      <c r="I11" s="23">
        <v>157952772</v>
      </c>
      <c r="J11" s="7">
        <f t="shared" si="1"/>
        <v>3.056803626178722E-2</v>
      </c>
      <c r="K11" s="6"/>
      <c r="M11" s="6" t="s">
        <v>34</v>
      </c>
      <c r="N11" s="23">
        <v>56181944</v>
      </c>
      <c r="O11" s="23">
        <v>63217651</v>
      </c>
      <c r="P11" s="7">
        <f t="shared" si="2"/>
        <v>0.12523075029230032</v>
      </c>
      <c r="Q11" s="6"/>
    </row>
    <row r="12" spans="1:17" x14ac:dyDescent="0.35">
      <c r="A12" s="6" t="s">
        <v>35</v>
      </c>
      <c r="B12" s="23">
        <f t="shared" si="3"/>
        <v>88216701.100000009</v>
      </c>
      <c r="C12" s="23">
        <f t="shared" si="0"/>
        <v>118196385.8</v>
      </c>
      <c r="D12" s="7">
        <f t="shared" si="4"/>
        <v>0.33984137160168626</v>
      </c>
      <c r="E12" s="6"/>
      <c r="G12" s="6" t="s">
        <v>35</v>
      </c>
      <c r="H12" s="23">
        <v>77178755.700000003</v>
      </c>
      <c r="I12" s="23">
        <v>104499914.59999999</v>
      </c>
      <c r="J12" s="7">
        <f t="shared" si="1"/>
        <v>0.35399843716319451</v>
      </c>
      <c r="K12" s="6"/>
      <c r="M12" s="6" t="s">
        <v>35</v>
      </c>
      <c r="N12" s="23">
        <v>11037945.4</v>
      </c>
      <c r="O12" s="23">
        <v>13696471.199999999</v>
      </c>
      <c r="P12" s="7">
        <f t="shared" si="2"/>
        <v>0.24085332040145793</v>
      </c>
      <c r="Q12" s="6"/>
    </row>
    <row r="13" spans="1:17" x14ac:dyDescent="0.35">
      <c r="A13" s="6" t="s">
        <v>36</v>
      </c>
      <c r="B13" s="23">
        <f t="shared" si="3"/>
        <v>193572831.87</v>
      </c>
      <c r="C13" s="23">
        <f t="shared" si="0"/>
        <v>203037859.78</v>
      </c>
      <c r="D13" s="7">
        <f t="shared" si="4"/>
        <v>4.8896468675710326E-2</v>
      </c>
      <c r="E13" s="6"/>
      <c r="G13" s="6" t="s">
        <v>36</v>
      </c>
      <c r="H13" s="23">
        <v>178444181.15000001</v>
      </c>
      <c r="I13" s="23">
        <v>184963535.06</v>
      </c>
      <c r="J13" s="7">
        <f t="shared" si="1"/>
        <v>3.6534415793137202E-2</v>
      </c>
      <c r="K13" s="6"/>
      <c r="M13" s="6" t="s">
        <v>36</v>
      </c>
      <c r="N13" s="23">
        <v>15128650.720000001</v>
      </c>
      <c r="O13" s="23">
        <v>18074324.719999999</v>
      </c>
      <c r="P13" s="7">
        <f t="shared" si="2"/>
        <v>0.19470830905665842</v>
      </c>
      <c r="Q13" s="6"/>
    </row>
    <row r="14" spans="1:17" x14ac:dyDescent="0.35">
      <c r="A14" s="6" t="s">
        <v>37</v>
      </c>
      <c r="B14" s="23">
        <f t="shared" si="3"/>
        <v>467148.37</v>
      </c>
      <c r="C14" s="23">
        <f t="shared" si="0"/>
        <v>1500662.8699999999</v>
      </c>
      <c r="D14" s="7">
        <f t="shared" si="4"/>
        <v>2.212390251945008</v>
      </c>
      <c r="E14" s="6"/>
      <c r="G14" s="6" t="s">
        <v>37</v>
      </c>
      <c r="H14" s="24">
        <v>457888.71</v>
      </c>
      <c r="I14" s="24">
        <v>1485049.63</v>
      </c>
      <c r="J14" s="7">
        <f t="shared" si="1"/>
        <v>2.2432545235718955</v>
      </c>
      <c r="K14" s="6"/>
      <c r="M14" s="6" t="s">
        <v>37</v>
      </c>
      <c r="N14" s="24">
        <v>9259.66</v>
      </c>
      <c r="O14" s="24">
        <v>15613.24</v>
      </c>
      <c r="P14" s="7">
        <f t="shared" si="2"/>
        <v>0.68615694312750142</v>
      </c>
      <c r="Q14" s="6"/>
    </row>
    <row r="15" spans="1:17" x14ac:dyDescent="0.35">
      <c r="A15" s="6" t="s">
        <v>38</v>
      </c>
      <c r="B15" s="23">
        <f t="shared" si="3"/>
        <v>124107591</v>
      </c>
      <c r="C15" s="23">
        <f t="shared" si="0"/>
        <v>141478263</v>
      </c>
      <c r="D15" s="7">
        <f t="shared" si="4"/>
        <v>0.13996462150328903</v>
      </c>
      <c r="E15" s="6"/>
      <c r="G15" s="6" t="s">
        <v>38</v>
      </c>
      <c r="H15" s="25">
        <v>114796710</v>
      </c>
      <c r="I15" s="25">
        <v>131804427</v>
      </c>
      <c r="J15" s="7">
        <f t="shared" si="1"/>
        <v>0.14815509085582679</v>
      </c>
      <c r="K15" s="6"/>
      <c r="M15" s="6" t="s">
        <v>38</v>
      </c>
      <c r="N15" s="25">
        <v>9310881</v>
      </c>
      <c r="O15" s="25">
        <v>9673836</v>
      </c>
      <c r="P15" s="7">
        <f t="shared" si="2"/>
        <v>3.8981810636394131E-2</v>
      </c>
      <c r="Q15" s="6"/>
    </row>
    <row r="16" spans="1:17" x14ac:dyDescent="0.35">
      <c r="A16" s="6" t="s">
        <v>39</v>
      </c>
      <c r="B16" s="23">
        <f t="shared" si="3"/>
        <v>22995813.939999998</v>
      </c>
      <c r="C16" s="23">
        <f t="shared" si="0"/>
        <v>22618117.719999999</v>
      </c>
      <c r="D16" s="7">
        <f t="shared" si="4"/>
        <v>-1.6424564096120829E-2</v>
      </c>
      <c r="E16" s="6"/>
      <c r="G16" s="6" t="s">
        <v>39</v>
      </c>
      <c r="H16" s="25">
        <v>22951902.649999999</v>
      </c>
      <c r="I16" s="25">
        <v>22581698.34</v>
      </c>
      <c r="J16" s="7">
        <f t="shared" si="1"/>
        <v>-1.6129569545729958E-2</v>
      </c>
      <c r="K16" s="6"/>
      <c r="M16" s="6" t="s">
        <v>39</v>
      </c>
      <c r="N16" s="25">
        <v>43911.29</v>
      </c>
      <c r="O16" s="25">
        <v>36419.379999999997</v>
      </c>
      <c r="P16" s="7">
        <f t="shared" si="2"/>
        <v>-0.17061466424693975</v>
      </c>
      <c r="Q16" s="6"/>
    </row>
    <row r="17" spans="1:17" x14ac:dyDescent="0.35">
      <c r="A17" s="12" t="s">
        <v>40</v>
      </c>
      <c r="B17" s="23">
        <f t="shared" si="3"/>
        <v>43436573</v>
      </c>
      <c r="C17" s="23">
        <f t="shared" si="0"/>
        <v>47529888.099999994</v>
      </c>
      <c r="D17" s="7">
        <f t="shared" si="4"/>
        <v>9.4236603334245411E-2</v>
      </c>
      <c r="E17" s="6"/>
      <c r="G17" s="12" t="s">
        <v>40</v>
      </c>
      <c r="H17" s="25">
        <v>35605468.899999999</v>
      </c>
      <c r="I17" s="25">
        <v>36629171.299999997</v>
      </c>
      <c r="J17" s="7">
        <f t="shared" si="1"/>
        <v>2.8751268600762579E-2</v>
      </c>
      <c r="K17" s="6"/>
      <c r="M17" s="12" t="s">
        <v>40</v>
      </c>
      <c r="N17" s="25">
        <v>7831104.0999999996</v>
      </c>
      <c r="O17" s="25">
        <v>10900716.800000001</v>
      </c>
      <c r="P17" s="7">
        <f t="shared" si="2"/>
        <v>0.39197700104637878</v>
      </c>
      <c r="Q17" s="6"/>
    </row>
    <row r="18" spans="1:17" x14ac:dyDescent="0.35">
      <c r="A18" s="37" t="s">
        <v>320</v>
      </c>
      <c r="B18" s="39">
        <f>SUM(B10:B17)</f>
        <v>693643380.48000002</v>
      </c>
      <c r="C18" s="39">
        <f>SUM(C10:C17)</f>
        <v>767015501.17000008</v>
      </c>
      <c r="D18" s="40">
        <f>IFERROR((C18-B18)/B18, "")</f>
        <v>0.1057778719653126</v>
      </c>
      <c r="E18" s="38"/>
      <c r="G18" s="37" t="s">
        <v>320</v>
      </c>
      <c r="H18" s="39">
        <f>SUM(H10:H17)</f>
        <v>591516049.40999997</v>
      </c>
      <c r="I18" s="39">
        <f>SUM(I10:I17)</f>
        <v>647155976.2299999</v>
      </c>
      <c r="J18" s="40">
        <f t="shared" si="1"/>
        <v>9.4063258089949142E-2</v>
      </c>
      <c r="K18" s="38"/>
      <c r="M18" s="37" t="s">
        <v>320</v>
      </c>
      <c r="N18" s="39">
        <f>SUM(N10:N17)</f>
        <v>102127331.06999999</v>
      </c>
      <c r="O18" s="39">
        <f>SUM(O10:O17)</f>
        <v>119859524.93999998</v>
      </c>
      <c r="P18" s="40">
        <f t="shared" si="2"/>
        <v>0.17362829013759315</v>
      </c>
      <c r="Q18" s="38"/>
    </row>
    <row r="19" spans="1:17" x14ac:dyDescent="0.35">
      <c r="A19" s="17"/>
      <c r="B19" s="55"/>
      <c r="C19" s="55"/>
      <c r="D19" s="56"/>
      <c r="E19" s="14"/>
      <c r="F19" s="13"/>
      <c r="G19" s="17"/>
      <c r="H19" s="55"/>
      <c r="I19" s="55"/>
      <c r="J19" s="56"/>
      <c r="K19" s="14"/>
      <c r="L19" s="13"/>
      <c r="M19" s="17"/>
      <c r="N19" s="55"/>
      <c r="O19" s="55"/>
      <c r="P19" s="56"/>
      <c r="Q19" s="14"/>
    </row>
    <row r="20" spans="1:17" x14ac:dyDescent="0.35">
      <c r="A20" s="17"/>
      <c r="B20" s="55"/>
      <c r="C20" s="55"/>
      <c r="D20" s="56"/>
      <c r="E20" s="14"/>
      <c r="F20" s="13"/>
      <c r="G20" s="17"/>
      <c r="H20" s="55"/>
      <c r="I20" s="55"/>
      <c r="J20" s="56"/>
      <c r="K20" s="14"/>
      <c r="L20" s="13"/>
      <c r="M20" s="17"/>
      <c r="N20" s="55"/>
      <c r="O20" s="55"/>
      <c r="P20" s="56"/>
      <c r="Q20" s="14"/>
    </row>
    <row r="21" spans="1:17" x14ac:dyDescent="0.35">
      <c r="A21" s="170" t="s">
        <v>8</v>
      </c>
      <c r="B21" s="170" t="s">
        <v>66</v>
      </c>
      <c r="C21" s="170"/>
      <c r="D21" s="126" t="s">
        <v>3</v>
      </c>
      <c r="E21" s="173" t="s">
        <v>30</v>
      </c>
      <c r="G21" s="170" t="s">
        <v>8</v>
      </c>
      <c r="H21" s="170" t="s">
        <v>66</v>
      </c>
      <c r="I21" s="170"/>
      <c r="J21" s="126" t="s">
        <v>3</v>
      </c>
      <c r="K21" s="173" t="s">
        <v>30</v>
      </c>
      <c r="M21" s="170" t="s">
        <v>8</v>
      </c>
      <c r="N21" s="170" t="s">
        <v>66</v>
      </c>
      <c r="O21" s="170"/>
      <c r="P21" s="126" t="s">
        <v>3</v>
      </c>
      <c r="Q21" s="173" t="s">
        <v>30</v>
      </c>
    </row>
    <row r="22" spans="1:17" x14ac:dyDescent="0.35">
      <c r="A22" s="170"/>
      <c r="B22" s="125">
        <v>2022</v>
      </c>
      <c r="C22" s="125">
        <v>2023</v>
      </c>
      <c r="D22" s="125" t="s">
        <v>310</v>
      </c>
      <c r="E22" s="174"/>
      <c r="G22" s="170"/>
      <c r="H22" s="125">
        <v>2022</v>
      </c>
      <c r="I22" s="125">
        <v>2023</v>
      </c>
      <c r="J22" s="125" t="s">
        <v>310</v>
      </c>
      <c r="K22" s="174"/>
      <c r="M22" s="170"/>
      <c r="N22" s="125">
        <v>2022</v>
      </c>
      <c r="O22" s="125">
        <v>2023</v>
      </c>
      <c r="P22" s="125" t="s">
        <v>310</v>
      </c>
      <c r="Q22" s="174"/>
    </row>
    <row r="23" spans="1:17" x14ac:dyDescent="0.35">
      <c r="A23" s="6" t="s">
        <v>33</v>
      </c>
      <c r="B23" s="23">
        <f t="shared" ref="B23:B30" si="5">B10/($B$8/12)</f>
        <v>7.7994367235573678</v>
      </c>
      <c r="C23" s="23">
        <f t="shared" ref="C23:C30" si="6">C10/($C$8/12)</f>
        <v>7.8470626587734493</v>
      </c>
      <c r="D23" s="7">
        <f t="shared" ref="D23:D31" si="7">IFERROR((C23-B23)/B23, "")</f>
        <v>6.1063300984585756E-3</v>
      </c>
      <c r="E23" s="46"/>
      <c r="G23" s="6" t="s">
        <v>33</v>
      </c>
      <c r="H23" s="23">
        <f t="shared" ref="H23:H30" si="8">H10/($H$8/12)</f>
        <v>6.94404587310349</v>
      </c>
      <c r="I23" s="23">
        <f t="shared" ref="I23:I30" si="9">I10/($I$8/12)</f>
        <v>5.7478012003353154</v>
      </c>
      <c r="J23" s="7">
        <f t="shared" ref="J23:J31" si="10">IFERROR((I23-H23)/H23, "")</f>
        <v>-0.17226912013954468</v>
      </c>
      <c r="K23" s="6"/>
      <c r="M23" s="6" t="s">
        <v>33</v>
      </c>
      <c r="N23" s="23">
        <f t="shared" ref="N23:N30" si="11">N10/($N$8/12)</f>
        <v>13.452198765579407</v>
      </c>
      <c r="O23" s="23">
        <f t="shared" ref="O23:O30" si="12">O10/($O$8/12)</f>
        <v>20.810850392793533</v>
      </c>
      <c r="P23" s="7">
        <f t="shared" ref="P23:P31" si="13">IFERROR((O23-N23)/N23, "")</f>
        <v>0.54702221959750963</v>
      </c>
      <c r="Q23" s="6"/>
    </row>
    <row r="24" spans="1:17" x14ac:dyDescent="0.35">
      <c r="A24" s="6" t="s">
        <v>34</v>
      </c>
      <c r="B24" s="23">
        <f t="shared" si="5"/>
        <v>143.33378583108711</v>
      </c>
      <c r="C24" s="23">
        <f t="shared" si="6"/>
        <v>151.12792966964986</v>
      </c>
      <c r="D24" s="7">
        <f t="shared" si="7"/>
        <v>5.4377576043012077E-2</v>
      </c>
      <c r="E24" s="6"/>
      <c r="G24" s="6" t="s">
        <v>34</v>
      </c>
      <c r="H24" s="23">
        <f t="shared" si="8"/>
        <v>120.75819519692575</v>
      </c>
      <c r="I24" s="23">
        <f t="shared" si="9"/>
        <v>125.40819565293623</v>
      </c>
      <c r="J24" s="7">
        <f t="shared" si="10"/>
        <v>3.8506707130124891E-2</v>
      </c>
      <c r="K24" s="6"/>
      <c r="M24" s="6" t="s">
        <v>34</v>
      </c>
      <c r="N24" s="23">
        <f t="shared" si="11"/>
        <v>292.52224365162874</v>
      </c>
      <c r="O24" s="23">
        <f t="shared" si="12"/>
        <v>309.95767954568578</v>
      </c>
      <c r="P24" s="7">
        <f t="shared" si="13"/>
        <v>5.9603795172654579E-2</v>
      </c>
      <c r="Q24" s="6"/>
    </row>
    <row r="25" spans="1:17" x14ac:dyDescent="0.35">
      <c r="A25" s="6" t="s">
        <v>35</v>
      </c>
      <c r="B25" s="23">
        <f t="shared" si="5"/>
        <v>60.369808743091504</v>
      </c>
      <c r="C25" s="23">
        <f t="shared" si="6"/>
        <v>80.764755242111193</v>
      </c>
      <c r="D25" s="7">
        <f t="shared" si="7"/>
        <v>0.33783354500611384</v>
      </c>
      <c r="E25" s="6"/>
      <c r="G25" s="6" t="s">
        <v>35</v>
      </c>
      <c r="H25" s="23">
        <f t="shared" si="8"/>
        <v>60.808431665935352</v>
      </c>
      <c r="I25" s="23">
        <f t="shared" si="9"/>
        <v>82.968760661395208</v>
      </c>
      <c r="J25" s="7">
        <f t="shared" si="10"/>
        <v>0.3644285568357124</v>
      </c>
      <c r="K25" s="6"/>
      <c r="M25" s="6" t="s">
        <v>35</v>
      </c>
      <c r="N25" s="23">
        <f t="shared" si="11"/>
        <v>57.471214483289771</v>
      </c>
      <c r="O25" s="23">
        <f t="shared" si="12"/>
        <v>67.154131226994082</v>
      </c>
      <c r="P25" s="7">
        <f t="shared" si="13"/>
        <v>0.16848289758205298</v>
      </c>
      <c r="Q25" s="6"/>
    </row>
    <row r="26" spans="1:17" x14ac:dyDescent="0.35">
      <c r="A26" s="6" t="s">
        <v>36</v>
      </c>
      <c r="B26" s="23">
        <f t="shared" si="5"/>
        <v>132.4687354223735</v>
      </c>
      <c r="C26" s="23">
        <f t="shared" si="6"/>
        <v>138.73777052507634</v>
      </c>
      <c r="D26" s="7">
        <f t="shared" si="7"/>
        <v>4.7324639151375386E-2</v>
      </c>
      <c r="E26" s="6"/>
      <c r="G26" s="6" t="s">
        <v>36</v>
      </c>
      <c r="H26" s="23">
        <f t="shared" si="8"/>
        <v>140.59452886001327</v>
      </c>
      <c r="I26" s="23">
        <f t="shared" si="9"/>
        <v>146.85366328020638</v>
      </c>
      <c r="J26" s="7">
        <f t="shared" si="10"/>
        <v>4.451904687148376E-2</v>
      </c>
      <c r="K26" s="6"/>
      <c r="M26" s="6" t="s">
        <v>36</v>
      </c>
      <c r="N26" s="23">
        <f t="shared" si="11"/>
        <v>78.770269181789587</v>
      </c>
      <c r="O26" s="23">
        <f t="shared" si="12"/>
        <v>88.618853452280703</v>
      </c>
      <c r="P26" s="7">
        <f t="shared" si="13"/>
        <v>0.12502920673994536</v>
      </c>
      <c r="Q26" s="6"/>
    </row>
    <row r="27" spans="1:17" x14ac:dyDescent="0.35">
      <c r="A27" s="6" t="s">
        <v>37</v>
      </c>
      <c r="B27" s="23">
        <f t="shared" si="5"/>
        <v>0.31968615239395909</v>
      </c>
      <c r="C27" s="23">
        <f t="shared" si="6"/>
        <v>1.0254177280983674</v>
      </c>
      <c r="D27" s="7">
        <f t="shared" si="7"/>
        <v>2.2075763070109886</v>
      </c>
      <c r="E27" s="6"/>
      <c r="G27" s="6" t="s">
        <v>37</v>
      </c>
      <c r="H27" s="23">
        <f t="shared" si="8"/>
        <v>0.36076630259327036</v>
      </c>
      <c r="I27" s="23">
        <f t="shared" si="9"/>
        <v>1.179070124539255</v>
      </c>
      <c r="J27" s="7">
        <f t="shared" si="10"/>
        <v>2.2682379592102433</v>
      </c>
      <c r="K27" s="6"/>
      <c r="M27" s="6" t="s">
        <v>37</v>
      </c>
      <c r="N27" s="23">
        <f t="shared" si="11"/>
        <v>4.8212224885832371E-2</v>
      </c>
      <c r="O27" s="23">
        <f t="shared" si="12"/>
        <v>7.6552095246150212E-2</v>
      </c>
      <c r="P27" s="7">
        <f t="shared" si="13"/>
        <v>0.58781502881120484</v>
      </c>
      <c r="Q27" s="6"/>
    </row>
    <row r="28" spans="1:17" x14ac:dyDescent="0.35">
      <c r="A28" s="6" t="s">
        <v>38</v>
      </c>
      <c r="B28" s="23">
        <f t="shared" si="5"/>
        <v>84.931214144390893</v>
      </c>
      <c r="C28" s="23">
        <f t="shared" si="6"/>
        <v>96.673491375690077</v>
      </c>
      <c r="D28" s="7">
        <f t="shared" si="7"/>
        <v>0.13825632130180349</v>
      </c>
      <c r="E28" s="6"/>
      <c r="G28" s="6" t="s">
        <v>38</v>
      </c>
      <c r="H28" s="23">
        <f t="shared" si="8"/>
        <v>90.447271819765774</v>
      </c>
      <c r="I28" s="23">
        <f t="shared" si="9"/>
        <v>104.6474535384485</v>
      </c>
      <c r="J28" s="7">
        <f t="shared" si="10"/>
        <v>0.15699955822857126</v>
      </c>
      <c r="K28" s="6"/>
      <c r="M28" s="6" t="s">
        <v>38</v>
      </c>
      <c r="N28" s="23">
        <f t="shared" si="11"/>
        <v>48.478917007452083</v>
      </c>
      <c r="O28" s="23">
        <f t="shared" si="12"/>
        <v>47.431053059303302</v>
      </c>
      <c r="P28" s="7">
        <f t="shared" si="13"/>
        <v>-2.1614838219007757E-2</v>
      </c>
      <c r="Q28" s="6"/>
    </row>
    <row r="29" spans="1:17" x14ac:dyDescent="0.35">
      <c r="A29" s="6" t="s">
        <v>39</v>
      </c>
      <c r="B29" s="23">
        <f t="shared" si="5"/>
        <v>15.736848829518486</v>
      </c>
      <c r="C29" s="23">
        <f t="shared" si="6"/>
        <v>15.455182739547507</v>
      </c>
      <c r="D29" s="7">
        <f t="shared" si="7"/>
        <v>-1.7898506430502319E-2</v>
      </c>
      <c r="E29" s="6"/>
      <c r="G29" s="6" t="s">
        <v>39</v>
      </c>
      <c r="H29" s="23">
        <f t="shared" si="8"/>
        <v>18.083592968521067</v>
      </c>
      <c r="I29" s="23">
        <f t="shared" si="9"/>
        <v>17.92896704337867</v>
      </c>
      <c r="J29" s="7">
        <f t="shared" si="10"/>
        <v>-8.5506196369030188E-3</v>
      </c>
      <c r="K29" s="6"/>
      <c r="M29" s="6" t="s">
        <v>39</v>
      </c>
      <c r="N29" s="23">
        <f t="shared" si="11"/>
        <v>0.22863269153586654</v>
      </c>
      <c r="O29" s="23">
        <f t="shared" si="12"/>
        <v>0.17856510542115139</v>
      </c>
      <c r="P29" s="7">
        <f t="shared" si="13"/>
        <v>-0.21898699515970507</v>
      </c>
      <c r="Q29" s="6"/>
    </row>
    <row r="30" spans="1:17" x14ac:dyDescent="0.35">
      <c r="A30" s="12" t="s">
        <v>40</v>
      </c>
      <c r="B30" s="23">
        <f t="shared" si="5"/>
        <v>29.725183233646582</v>
      </c>
      <c r="C30" s="23">
        <f t="shared" si="6"/>
        <v>32.477640945612002</v>
      </c>
      <c r="D30" s="7">
        <f t="shared" si="7"/>
        <v>9.2596829103810299E-2</v>
      </c>
      <c r="E30" s="6"/>
      <c r="G30" s="12" t="s">
        <v>40</v>
      </c>
      <c r="H30" s="23">
        <f t="shared" si="8"/>
        <v>28.053221419573056</v>
      </c>
      <c r="I30" s="23">
        <f t="shared" si="9"/>
        <v>29.082099812691581</v>
      </c>
      <c r="J30" s="7">
        <f t="shared" si="10"/>
        <v>3.66759445459146E-2</v>
      </c>
      <c r="K30" s="6"/>
      <c r="M30" s="12" t="s">
        <v>40</v>
      </c>
      <c r="N30" s="23">
        <f t="shared" si="11"/>
        <v>40.774170107062666</v>
      </c>
      <c r="O30" s="23">
        <f t="shared" si="12"/>
        <v>53.446479444683469</v>
      </c>
      <c r="P30" s="7">
        <f t="shared" si="13"/>
        <v>0.31079257540610933</v>
      </c>
      <c r="Q30" s="6"/>
    </row>
    <row r="31" spans="1:17" x14ac:dyDescent="0.35">
      <c r="A31" s="37" t="s">
        <v>320</v>
      </c>
      <c r="B31" s="39">
        <f>SUM(B23:B30)</f>
        <v>474.68469908005937</v>
      </c>
      <c r="C31" s="39">
        <f>SUM(C23:C30)</f>
        <v>524.10925088455883</v>
      </c>
      <c r="D31" s="40">
        <f t="shared" si="7"/>
        <v>0.10412080250381867</v>
      </c>
      <c r="E31" s="38"/>
      <c r="G31" s="37" t="s">
        <v>320</v>
      </c>
      <c r="H31" s="39">
        <f>SUM(H23:H30)</f>
        <v>466.05005410643105</v>
      </c>
      <c r="I31" s="39">
        <f>SUM(I23:I30)</f>
        <v>513.81601131393109</v>
      </c>
      <c r="J31" s="40">
        <f t="shared" si="10"/>
        <v>0.10249104530002223</v>
      </c>
      <c r="K31" s="38"/>
      <c r="M31" s="37" t="s">
        <v>320</v>
      </c>
      <c r="N31" s="39">
        <f>SUM(N23:N30)</f>
        <v>531.74585811322402</v>
      </c>
      <c r="O31" s="39">
        <f>SUM(O23:O30)</f>
        <v>587.67416432240827</v>
      </c>
      <c r="P31" s="40">
        <f t="shared" si="13"/>
        <v>0.10517864005115675</v>
      </c>
      <c r="Q31" s="37"/>
    </row>
  </sheetData>
  <mergeCells count="18">
    <mergeCell ref="N21:O21"/>
    <mergeCell ref="Q21:Q22"/>
    <mergeCell ref="M6:M7"/>
    <mergeCell ref="N6:O6"/>
    <mergeCell ref="Q6:Q7"/>
    <mergeCell ref="K21:K22"/>
    <mergeCell ref="M21:M22"/>
    <mergeCell ref="A6:A7"/>
    <mergeCell ref="B6:C6"/>
    <mergeCell ref="E6:E7"/>
    <mergeCell ref="G6:G7"/>
    <mergeCell ref="H6:I6"/>
    <mergeCell ref="K6:K7"/>
    <mergeCell ref="A21:A22"/>
    <mergeCell ref="B21:C21"/>
    <mergeCell ref="E21:E22"/>
    <mergeCell ref="G21:G22"/>
    <mergeCell ref="H21:I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C55DD-9122-4680-A728-3FDEC3135DC5}">
  <sheetPr>
    <tabColor theme="7"/>
  </sheetPr>
  <dimension ref="A1:F40"/>
  <sheetViews>
    <sheetView zoomScaleNormal="100" workbookViewId="0">
      <selection activeCell="B12" sqref="B12"/>
    </sheetView>
  </sheetViews>
  <sheetFormatPr defaultRowHeight="14.5" x14ac:dyDescent="0.35"/>
  <cols>
    <col min="1" max="1" width="32.6328125" style="19" customWidth="1"/>
    <col min="2" max="2" width="19.36328125" style="19" customWidth="1"/>
    <col min="3" max="3" width="19.6328125" style="19" customWidth="1"/>
    <col min="4" max="4" width="20" style="19" bestFit="1" customWidth="1"/>
    <col min="5" max="5" width="16.6328125" style="19" customWidth="1"/>
    <col min="6" max="6" width="33.36328125" customWidth="1"/>
  </cols>
  <sheetData>
    <row r="1" spans="1:6" ht="18.5" x14ac:dyDescent="0.45">
      <c r="A1" s="1" t="s">
        <v>308</v>
      </c>
      <c r="B1" s="27"/>
      <c r="C1" s="27"/>
      <c r="D1" s="27"/>
      <c r="E1" s="27"/>
    </row>
    <row r="2" spans="1:6" ht="15.5" x14ac:dyDescent="0.35">
      <c r="A2" s="28" t="s">
        <v>0</v>
      </c>
      <c r="B2" s="28"/>
      <c r="C2" s="29"/>
      <c r="D2" s="29"/>
      <c r="E2" s="29"/>
    </row>
    <row r="3" spans="1:6" ht="15.5" x14ac:dyDescent="0.35">
      <c r="A3" s="30" t="s">
        <v>314</v>
      </c>
      <c r="B3" s="30"/>
      <c r="C3" s="5"/>
      <c r="D3" s="5"/>
      <c r="E3" s="5"/>
    </row>
    <row r="5" spans="1:6" x14ac:dyDescent="0.35">
      <c r="A5" s="173" t="s">
        <v>26</v>
      </c>
      <c r="B5" s="175" t="s">
        <v>18</v>
      </c>
      <c r="C5" s="171" t="s">
        <v>2</v>
      </c>
      <c r="D5" s="172"/>
      <c r="E5" s="76" t="s">
        <v>3</v>
      </c>
      <c r="F5" s="173" t="s">
        <v>30</v>
      </c>
    </row>
    <row r="6" spans="1:6" x14ac:dyDescent="0.35">
      <c r="A6" s="174"/>
      <c r="B6" s="176"/>
      <c r="C6" s="75">
        <v>2022</v>
      </c>
      <c r="D6" s="75">
        <v>2023</v>
      </c>
      <c r="E6" s="75" t="s">
        <v>310</v>
      </c>
      <c r="F6" s="174"/>
    </row>
    <row r="7" spans="1:6" x14ac:dyDescent="0.35">
      <c r="A7" s="6" t="s">
        <v>12</v>
      </c>
      <c r="B7" s="13" t="s">
        <v>19</v>
      </c>
      <c r="C7" s="23">
        <f>SUM(TME_Mcare_ServCat!N28:N29)</f>
        <v>4925084980.1415062</v>
      </c>
      <c r="D7" s="23">
        <f>SUM(TME_Mcare_ServCat!O28:O29)</f>
        <v>5492064774.6693935</v>
      </c>
      <c r="E7" s="7">
        <f t="shared" ref="E7:E12" si="0">IFERROR((D7-C7)/C7, "")</f>
        <v>0.11512081452685859</v>
      </c>
      <c r="F7" s="26"/>
    </row>
    <row r="8" spans="1:6" s="19" customFormat="1" x14ac:dyDescent="0.35">
      <c r="A8" s="6" t="s">
        <v>98</v>
      </c>
      <c r="B8" s="13" t="s">
        <v>19</v>
      </c>
      <c r="C8" s="9">
        <f>SUM(TME_Mcare_ServCat!T28:T29)</f>
        <v>1429803607.9327686</v>
      </c>
      <c r="D8" s="9">
        <f>SUM(TME_Mcare_ServCat!U28:U29)</f>
        <v>1700311758.7581162</v>
      </c>
      <c r="E8" s="7">
        <f t="shared" si="0"/>
        <v>0.18919252219292718</v>
      </c>
      <c r="F8" s="6"/>
    </row>
    <row r="9" spans="1:6" x14ac:dyDescent="0.35">
      <c r="A9" s="6" t="s">
        <v>7</v>
      </c>
      <c r="B9" s="13" t="s">
        <v>20</v>
      </c>
      <c r="C9" s="9">
        <f>TME_Mcare_ServCat!H20</f>
        <v>5738302443</v>
      </c>
      <c r="D9" s="9">
        <f>TME_Mcare_ServCat!I20</f>
        <v>5974461636</v>
      </c>
      <c r="E9" s="7">
        <f t="shared" si="0"/>
        <v>4.1154887764426606E-2</v>
      </c>
      <c r="F9" s="6"/>
    </row>
    <row r="10" spans="1:6" s="77" customFormat="1" x14ac:dyDescent="0.35">
      <c r="A10" s="6" t="s">
        <v>99</v>
      </c>
      <c r="B10" s="13" t="s">
        <v>19</v>
      </c>
      <c r="C10" s="9">
        <f>THCE_Maid!C10</f>
        <v>394254720.44079423</v>
      </c>
      <c r="D10" s="9">
        <f>THCE_Maid!D10</f>
        <v>461320754.06883103</v>
      </c>
      <c r="E10" s="7">
        <f t="shared" si="0"/>
        <v>0.17010838463279274</v>
      </c>
      <c r="F10" s="6"/>
    </row>
    <row r="11" spans="1:6" s="19" customFormat="1" x14ac:dyDescent="0.35">
      <c r="A11" s="6" t="s">
        <v>122</v>
      </c>
      <c r="B11" s="20"/>
      <c r="C11" s="9">
        <f>IFERROR(THCE_NCPHI!C12, "")</f>
        <v>708047065.34684253</v>
      </c>
      <c r="D11" s="9">
        <f>IFERROR(THCE_NCPHI!D12, "")</f>
        <v>730287792.32761788</v>
      </c>
      <c r="E11" s="7">
        <f t="shared" si="0"/>
        <v>3.1411368070398765E-2</v>
      </c>
      <c r="F11" s="6"/>
    </row>
    <row r="12" spans="1:6" s="19" customFormat="1" x14ac:dyDescent="0.35">
      <c r="A12" s="47" t="s">
        <v>97</v>
      </c>
      <c r="B12" s="43"/>
      <c r="C12" s="48">
        <f>SUM(C7:C11)</f>
        <v>13195492816.861912</v>
      </c>
      <c r="D12" s="48">
        <f t="shared" ref="D12" si="1">SUM(D7:D11)</f>
        <v>14358446715.823957</v>
      </c>
      <c r="E12" s="45">
        <f t="shared" si="0"/>
        <v>8.8132661288402997E-2</v>
      </c>
      <c r="F12" s="6"/>
    </row>
    <row r="15" spans="1:6" x14ac:dyDescent="0.35">
      <c r="A15" s="173" t="s">
        <v>26</v>
      </c>
      <c r="B15" s="175" t="s">
        <v>18</v>
      </c>
      <c r="C15" s="170" t="s">
        <v>46</v>
      </c>
      <c r="D15" s="170"/>
      <c r="E15" s="76" t="s">
        <v>3</v>
      </c>
      <c r="F15" s="173" t="s">
        <v>30</v>
      </c>
    </row>
    <row r="16" spans="1:6" x14ac:dyDescent="0.35">
      <c r="A16" s="174"/>
      <c r="B16" s="176"/>
      <c r="C16" s="75">
        <v>2022</v>
      </c>
      <c r="D16" s="75">
        <v>2023</v>
      </c>
      <c r="E16" s="75" t="s">
        <v>310</v>
      </c>
      <c r="F16" s="174"/>
    </row>
    <row r="17" spans="1:6" x14ac:dyDescent="0.35">
      <c r="A17" s="6" t="s">
        <v>12</v>
      </c>
      <c r="B17" s="13" t="s">
        <v>19</v>
      </c>
      <c r="C17" s="31">
        <f>TME_Mcare_ServCat!N8/12</f>
        <v>373804.41666666669</v>
      </c>
      <c r="D17" s="31">
        <f>TME_Mcare_ServCat!O8/12</f>
        <v>385225.91666666669</v>
      </c>
      <c r="E17" s="7">
        <f>IFERROR((D17-C17)/C17, "")</f>
        <v>3.0554748662011973E-2</v>
      </c>
      <c r="F17" s="6" t="s">
        <v>47</v>
      </c>
    </row>
    <row r="18" spans="1:6" s="19" customFormat="1" x14ac:dyDescent="0.35">
      <c r="A18" s="6" t="s">
        <v>98</v>
      </c>
      <c r="B18" s="13" t="s">
        <v>19</v>
      </c>
      <c r="C18" s="31">
        <f>TME_Mcare_ServCat!T8/12</f>
        <v>72923.75</v>
      </c>
      <c r="D18" s="31">
        <f>TME_Mcare_ServCat!U8/12</f>
        <v>82490.583333333328</v>
      </c>
      <c r="E18" s="7">
        <f>IFERROR((D18-C18)/C18, "")</f>
        <v>0.13118954158738858</v>
      </c>
      <c r="F18" s="6" t="s">
        <v>47</v>
      </c>
    </row>
    <row r="19" spans="1:6" x14ac:dyDescent="0.35">
      <c r="A19" s="6" t="s">
        <v>7</v>
      </c>
      <c r="B19" s="13" t="s">
        <v>20</v>
      </c>
      <c r="C19" s="31">
        <f>TME_Mcare_ServCat!H8</f>
        <v>468657</v>
      </c>
      <c r="D19" s="31">
        <f>TME_Mcare_ServCat!I8</f>
        <v>459062</v>
      </c>
      <c r="E19" s="7">
        <f>IFERROR((D19-C19)/C19, "")</f>
        <v>-2.0473395254951916E-2</v>
      </c>
      <c r="F19" s="6" t="s">
        <v>127</v>
      </c>
    </row>
    <row r="20" spans="1:6" s="19" customFormat="1" x14ac:dyDescent="0.35">
      <c r="A20" s="47" t="s">
        <v>97</v>
      </c>
      <c r="B20" s="43"/>
      <c r="C20" s="44">
        <f>SUM(C17:C19)</f>
        <v>915385.16666666674</v>
      </c>
      <c r="D20" s="44">
        <f>SUM(D17:D19)</f>
        <v>926778.5</v>
      </c>
      <c r="E20" s="45">
        <f>IFERROR((D20-C20)/C20, "")</f>
        <v>1.2446491103653732E-2</v>
      </c>
      <c r="F20" s="42"/>
    </row>
    <row r="21" spans="1:6" x14ac:dyDescent="0.35">
      <c r="D21" s="10"/>
    </row>
    <row r="22" spans="1:6" x14ac:dyDescent="0.35">
      <c r="D22" s="10"/>
    </row>
    <row r="23" spans="1:6" x14ac:dyDescent="0.35">
      <c r="A23" s="173" t="s">
        <v>26</v>
      </c>
      <c r="B23" s="175" t="s">
        <v>18</v>
      </c>
      <c r="C23" s="171" t="s">
        <v>32</v>
      </c>
      <c r="D23" s="172"/>
      <c r="E23" s="76" t="s">
        <v>3</v>
      </c>
      <c r="F23" s="173" t="s">
        <v>30</v>
      </c>
    </row>
    <row r="24" spans="1:6" x14ac:dyDescent="0.35">
      <c r="A24" s="174"/>
      <c r="B24" s="176"/>
      <c r="C24" s="75">
        <v>2022</v>
      </c>
      <c r="D24" s="75">
        <v>2023</v>
      </c>
      <c r="E24" s="75" t="s">
        <v>310</v>
      </c>
      <c r="F24" s="174"/>
    </row>
    <row r="25" spans="1:6" x14ac:dyDescent="0.35">
      <c r="A25" s="6" t="s">
        <v>12</v>
      </c>
      <c r="B25" s="20"/>
      <c r="C25" s="71">
        <f>IFERROR(C7/C17, "")</f>
        <v>13175.566581208594</v>
      </c>
      <c r="D25" s="71">
        <f>IFERROR(D7/D17, "")</f>
        <v>14256.737506634683</v>
      </c>
      <c r="E25" s="7">
        <f>IFERROR((D25-C25)/C25, "")</f>
        <v>8.2058780452606075E-2</v>
      </c>
      <c r="F25" s="6" t="s">
        <v>42</v>
      </c>
    </row>
    <row r="26" spans="1:6" s="19" customFormat="1" x14ac:dyDescent="0.35">
      <c r="A26" s="6" t="s">
        <v>98</v>
      </c>
      <c r="B26" s="20"/>
      <c r="C26" s="71">
        <f>IFERROR(C8/C18, "")</f>
        <v>19606.830530969248</v>
      </c>
      <c r="D26" s="71">
        <f>IFERROR(D8/D18, "")</f>
        <v>20612.192204865198</v>
      </c>
      <c r="E26" s="7">
        <f>IFERROR((D26-C26)/C26, "")</f>
        <v>5.1276093415912778E-2</v>
      </c>
      <c r="F26" s="6" t="s">
        <v>42</v>
      </c>
    </row>
    <row r="27" spans="1:6" x14ac:dyDescent="0.35">
      <c r="A27" s="6" t="s">
        <v>7</v>
      </c>
      <c r="B27" s="20"/>
      <c r="C27" s="71">
        <f>C9/C19</f>
        <v>12244.141115997414</v>
      </c>
      <c r="D27" s="71">
        <f>D9/D19</f>
        <v>13014.49833791514</v>
      </c>
      <c r="E27" s="7">
        <f>IFERROR((D27-C27)/C27, "")</f>
        <v>6.2916395247293103E-2</v>
      </c>
      <c r="F27" s="6" t="s">
        <v>102</v>
      </c>
    </row>
    <row r="28" spans="1:6" s="19" customFormat="1" x14ac:dyDescent="0.35">
      <c r="A28" s="6" t="s">
        <v>122</v>
      </c>
      <c r="B28" s="20"/>
      <c r="C28" s="71">
        <f>THCE_NCPHI!C34</f>
        <v>1584.9617691000958</v>
      </c>
      <c r="D28" s="71">
        <f>THCE_NCPHI!D34</f>
        <v>1561.3898426239355</v>
      </c>
      <c r="E28" s="7">
        <f>IFERROR((D28-C28)/C28, "")</f>
        <v>-1.4872236627855024E-2</v>
      </c>
      <c r="F28" s="6"/>
    </row>
    <row r="29" spans="1:6" x14ac:dyDescent="0.35">
      <c r="A29" s="47" t="s">
        <v>97</v>
      </c>
      <c r="B29" s="6"/>
      <c r="C29" s="72">
        <f>C12/C20</f>
        <v>14415.2355722703</v>
      </c>
      <c r="D29" s="72">
        <f>D12/D20</f>
        <v>15492.856940276406</v>
      </c>
      <c r="E29" s="45">
        <f>IFERROR((D29-C29)/C29, "")</f>
        <v>7.4755723734342597E-2</v>
      </c>
      <c r="F29" s="6"/>
    </row>
    <row r="33" spans="1:1" x14ac:dyDescent="0.35">
      <c r="A33" s="61"/>
    </row>
    <row r="34" spans="1:1" x14ac:dyDescent="0.35">
      <c r="A34" s="61"/>
    </row>
    <row r="40" spans="1:1" x14ac:dyDescent="0.35">
      <c r="A40" s="34"/>
    </row>
  </sheetData>
  <mergeCells count="12">
    <mergeCell ref="B15:B16"/>
    <mergeCell ref="B23:B24"/>
    <mergeCell ref="F15:F16"/>
    <mergeCell ref="F5:F6"/>
    <mergeCell ref="A23:A24"/>
    <mergeCell ref="C23:D23"/>
    <mergeCell ref="F23:F24"/>
    <mergeCell ref="A5:A6"/>
    <mergeCell ref="C5:D5"/>
    <mergeCell ref="A15:A16"/>
    <mergeCell ref="C15:D15"/>
    <mergeCell ref="B5:B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D712A58CC08C4881FD312BDEE7828F" ma:contentTypeVersion="18" ma:contentTypeDescription="Create a new document." ma:contentTypeScope="" ma:versionID="3e465648bc2416bf3331cb4bfc901fe2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5b6704dc-846a-4f54-9541-bd5523c0ad09" targetNamespace="http://schemas.microsoft.com/office/2006/metadata/properties" ma:root="true" ma:fieldsID="95cf926887d78b97aa7756545dadeee2" ns1:_="" ns2:_="" ns3:_="">
    <xsd:import namespace="http://schemas.microsoft.com/sharepoint/v3"/>
    <xsd:import namespace="59da1016-2a1b-4f8a-9768-d7a4932f6f16"/>
    <xsd:import namespace="5b6704dc-846a-4f54-9541-bd5523c0ad0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704dc-846a-4f54-9541-bd5523c0ad0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Keywords xmlns="5b6704dc-846a-4f54-9541-bd5523c0ad09" xsi:nil="true"/>
    <IASubtopic xmlns="59da1016-2a1b-4f8a-9768-d7a4932f6f16" xsi:nil="true"/>
    <URL xmlns="http://schemas.microsoft.com/sharepoint/v3">
      <Url xsi:nil="true"/>
      <Description xsi:nil="true"/>
    </URL>
    <Meta_x0020_Description xmlns="5b6704dc-846a-4f54-9541-bd5523c0ad09" xsi:nil="true"/>
  </documentManagement>
</p:properties>
</file>

<file path=customXml/itemProps1.xml><?xml version="1.0" encoding="utf-8"?>
<ds:datastoreItem xmlns:ds="http://schemas.openxmlformats.org/officeDocument/2006/customXml" ds:itemID="{191102C7-A8CC-48A0-A8E3-7A3010014020}"/>
</file>

<file path=customXml/itemProps2.xml><?xml version="1.0" encoding="utf-8"?>
<ds:datastoreItem xmlns:ds="http://schemas.openxmlformats.org/officeDocument/2006/customXml" ds:itemID="{634EC0B9-A3E0-48EC-9BC0-428BE1263BE6}"/>
</file>

<file path=customXml/itemProps3.xml><?xml version="1.0" encoding="utf-8"?>
<ds:datastoreItem xmlns:ds="http://schemas.openxmlformats.org/officeDocument/2006/customXml" ds:itemID="{668F27F2-A910-40B9-ADD9-AF7FF72ED341}"/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Index</vt:lpstr>
      <vt:lpstr>THCE_Statewide</vt:lpstr>
      <vt:lpstr>TME_StatewideServCat</vt:lpstr>
      <vt:lpstr>THCE_NCPHI</vt:lpstr>
      <vt:lpstr>THCE_Other</vt:lpstr>
      <vt:lpstr>THCE_Comm</vt:lpstr>
      <vt:lpstr>TME_Comm_ServCat</vt:lpstr>
      <vt:lpstr>TME_Comm_MedPharm</vt:lpstr>
      <vt:lpstr>THCE_Mcare</vt:lpstr>
      <vt:lpstr>TME_Mcare_ServCat</vt:lpstr>
      <vt:lpstr>TME_Mcare_MedPharm</vt:lpstr>
      <vt:lpstr>THCE_Maid</vt:lpstr>
      <vt:lpstr>TME_Maid_ServCat</vt:lpstr>
      <vt:lpstr>TME_Maid_MedPharm</vt:lpstr>
      <vt:lpstr>TME_Payer</vt:lpstr>
      <vt:lpstr>TME_ProviderOLD</vt:lpstr>
      <vt:lpstr>Comm MM Full vs Partial</vt:lpstr>
      <vt:lpstr>APAC Price vs Utilization</vt:lpstr>
      <vt:lpstr>APAC BH in Medicaid</vt:lpstr>
      <vt:lpstr>Entity 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2019-10-04T13:40:41Z</dcterms:created>
  <dcterms:modified xsi:type="dcterms:W3CDTF">2025-06-04T23:15:29Z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a67c04-f371-4d71-a575-202b566caae1_Enabled">
    <vt:lpwstr>true</vt:lpwstr>
  </property>
  <property fmtid="{D5CDD505-2E9C-101B-9397-08002B2CF9AE}" pid="3" name="MSIP_Label_11a67c04-f371-4d71-a575-202b566caae1_SetDate">
    <vt:lpwstr>2024-03-04T22:50:22Z</vt:lpwstr>
  </property>
  <property fmtid="{D5CDD505-2E9C-101B-9397-08002B2CF9AE}" pid="4" name="MSIP_Label_11a67c04-f371-4d71-a575-202b566caae1_Method">
    <vt:lpwstr>Privileged</vt:lpwstr>
  </property>
  <property fmtid="{D5CDD505-2E9C-101B-9397-08002B2CF9AE}" pid="5" name="MSIP_Label_11a67c04-f371-4d71-a575-202b566caae1_Name">
    <vt:lpwstr>Level 2 - Limited (Items)</vt:lpwstr>
  </property>
  <property fmtid="{D5CDD505-2E9C-101B-9397-08002B2CF9AE}" pid="6" name="MSIP_Label_11a67c04-f371-4d71-a575-202b566caae1_SiteId">
    <vt:lpwstr>658e63e8-8d39-499c-8f48-13adc9452f4c</vt:lpwstr>
  </property>
  <property fmtid="{D5CDD505-2E9C-101B-9397-08002B2CF9AE}" pid="7" name="MSIP_Label_11a67c04-f371-4d71-a575-202b566caae1_ActionId">
    <vt:lpwstr>86d0baef-db80-45c0-be9b-2c4ead01a1d4</vt:lpwstr>
  </property>
  <property fmtid="{D5CDD505-2E9C-101B-9397-08002B2CF9AE}" pid="8" name="MSIP_Label_11a67c04-f371-4d71-a575-202b566caae1_ContentBits">
    <vt:lpwstr>0</vt:lpwstr>
  </property>
  <property fmtid="{D5CDD505-2E9C-101B-9397-08002B2CF9AE}" pid="9" name="ContentTypeId">
    <vt:lpwstr>0x01010024D712A58CC08C4881FD312BDEE7828F</vt:lpwstr>
  </property>
</Properties>
</file>