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4\2024 Qtr 3\"/>
    </mc:Choice>
  </mc:AlternateContent>
  <xr:revisionPtr revIDLastSave="0" documentId="13_ncr:1_{5601F9BA-6856-4B40-986E-D7E696A26FF3}" xr6:coauthVersionLast="47" xr6:coauthVersionMax="47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  <externalReference r:id="rId5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2" l="1"/>
  <c r="Q24" i="2"/>
  <c r="P24" i="2"/>
  <c r="O24" i="2"/>
  <c r="N24" i="2"/>
  <c r="M24" i="2"/>
  <c r="M25" i="2" s="1"/>
  <c r="L24" i="2"/>
  <c r="K24" i="2"/>
  <c r="J24" i="2"/>
  <c r="I24" i="2"/>
  <c r="H24" i="2"/>
  <c r="G24" i="2"/>
  <c r="F24" i="2"/>
  <c r="E24" i="2"/>
  <c r="D24" i="2"/>
  <c r="C24" i="2"/>
  <c r="B24" i="2"/>
  <c r="C23" i="2"/>
  <c r="R21" i="2"/>
  <c r="Q20" i="2"/>
  <c r="P20" i="2"/>
  <c r="O20" i="2"/>
  <c r="N20" i="2"/>
  <c r="N21" i="2" s="1"/>
  <c r="M20" i="2"/>
  <c r="L20" i="2"/>
  <c r="K20" i="2"/>
  <c r="J20" i="2"/>
  <c r="I20" i="2"/>
  <c r="H20" i="2"/>
  <c r="G20" i="2"/>
  <c r="F20" i="2"/>
  <c r="F21" i="2" s="1"/>
  <c r="E20" i="2"/>
  <c r="D20" i="2"/>
  <c r="C20" i="2"/>
  <c r="B20" i="2"/>
  <c r="P19" i="2"/>
  <c r="L19" i="2"/>
  <c r="R17" i="2"/>
  <c r="Q16" i="2"/>
  <c r="P16" i="2"/>
  <c r="O16" i="2"/>
  <c r="O17" i="2" s="1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J15" i="2"/>
  <c r="H15" i="2"/>
  <c r="R13" i="2"/>
  <c r="Q12" i="2"/>
  <c r="P12" i="2"/>
  <c r="O12" i="2"/>
  <c r="N12" i="2"/>
  <c r="M12" i="2"/>
  <c r="L12" i="2"/>
  <c r="K12" i="2"/>
  <c r="J12" i="2"/>
  <c r="I12" i="2"/>
  <c r="H12" i="2"/>
  <c r="H13" i="2" s="1"/>
  <c r="G12" i="2"/>
  <c r="F12" i="2"/>
  <c r="E12" i="2"/>
  <c r="D12" i="2"/>
  <c r="C12" i="2"/>
  <c r="B12" i="2"/>
  <c r="Q11" i="2"/>
  <c r="R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R5" i="2"/>
  <c r="Q4" i="2"/>
  <c r="P4" i="2"/>
  <c r="O4" i="2"/>
  <c r="N4" i="2"/>
  <c r="N5" i="2" s="1"/>
  <c r="M4" i="2"/>
  <c r="L4" i="2"/>
  <c r="K4" i="2"/>
  <c r="J4" i="2"/>
  <c r="I4" i="2"/>
  <c r="H4" i="2"/>
  <c r="G4" i="2"/>
  <c r="F4" i="2"/>
  <c r="F5" i="2" s="1"/>
  <c r="E4" i="2"/>
  <c r="D4" i="2"/>
  <c r="C4" i="2"/>
  <c r="B4" i="2"/>
  <c r="B5" i="2" s="1"/>
  <c r="D3" i="2"/>
  <c r="P13" i="2" l="1"/>
  <c r="Q9" i="2"/>
  <c r="H5" i="2"/>
  <c r="P5" i="2"/>
  <c r="G9" i="2"/>
  <c r="O9" i="2"/>
  <c r="F13" i="2"/>
  <c r="N13" i="2"/>
  <c r="E17" i="2"/>
  <c r="M17" i="2"/>
  <c r="D21" i="2"/>
  <c r="L21" i="2"/>
  <c r="C25" i="2"/>
  <c r="I9" i="2"/>
  <c r="I5" i="2"/>
  <c r="Q5" i="2"/>
  <c r="H9" i="2"/>
  <c r="P9" i="2"/>
  <c r="G13" i="2"/>
  <c r="O13" i="2"/>
  <c r="F17" i="2"/>
  <c r="N17" i="2"/>
  <c r="E21" i="2"/>
  <c r="M21" i="2"/>
  <c r="D25" i="2"/>
  <c r="L25" i="2"/>
  <c r="C5" i="2"/>
  <c r="K5" i="2"/>
  <c r="B9" i="2"/>
  <c r="J9" i="2"/>
  <c r="I13" i="2"/>
  <c r="Q13" i="2"/>
  <c r="H17" i="2"/>
  <c r="P17" i="2"/>
  <c r="G21" i="2"/>
  <c r="O21" i="2"/>
  <c r="F25" i="2"/>
  <c r="N25" i="2"/>
  <c r="D5" i="2"/>
  <c r="L5" i="2"/>
  <c r="C9" i="2"/>
  <c r="K9" i="2"/>
  <c r="B13" i="2"/>
  <c r="J13" i="2"/>
  <c r="I17" i="2"/>
  <c r="Q17" i="2"/>
  <c r="H21" i="2"/>
  <c r="P21" i="2"/>
  <c r="G25" i="2"/>
  <c r="O25" i="2"/>
  <c r="G17" i="2"/>
  <c r="E25" i="2"/>
  <c r="E5" i="2"/>
  <c r="M5" i="2"/>
  <c r="D9" i="2"/>
  <c r="L9" i="2"/>
  <c r="C13" i="2"/>
  <c r="K13" i="2"/>
  <c r="B17" i="2"/>
  <c r="J17" i="2"/>
  <c r="I21" i="2"/>
  <c r="Q21" i="2"/>
  <c r="H25" i="2"/>
  <c r="P25" i="2"/>
  <c r="J5" i="2"/>
  <c r="E9" i="2"/>
  <c r="M9" i="2"/>
  <c r="D13" i="2"/>
  <c r="L13" i="2"/>
  <c r="C17" i="2"/>
  <c r="K17" i="2"/>
  <c r="B21" i="2"/>
  <c r="J21" i="2"/>
  <c r="I25" i="2"/>
  <c r="Q25" i="2"/>
  <c r="G5" i="2"/>
  <c r="O5" i="2"/>
  <c r="F9" i="2"/>
  <c r="N9" i="2"/>
  <c r="E13" i="2"/>
  <c r="M13" i="2"/>
  <c r="D17" i="2"/>
  <c r="L17" i="2"/>
  <c r="C21" i="2"/>
  <c r="K21" i="2"/>
  <c r="B25" i="2"/>
  <c r="J25" i="2"/>
  <c r="S25" i="2" l="1"/>
  <c r="S29" i="2"/>
  <c r="L28" i="2"/>
  <c r="L30" i="2" s="1"/>
  <c r="O28" i="2" l="1"/>
  <c r="O30" i="2" s="1"/>
  <c r="R30" i="2" l="1"/>
  <c r="Q28" i="2"/>
  <c r="Q30" i="2" s="1"/>
  <c r="H28" i="2"/>
  <c r="H30" i="2" s="1"/>
  <c r="D28" i="2"/>
  <c r="D30" i="2" s="1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B30" i="2" s="1"/>
  <c r="S13" i="2" l="1"/>
  <c r="S4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7" i="2" l="1"/>
  <c r="S28" i="2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<sst xmlns="http://schemas.openxmlformats.org/spreadsheetml/2006/main" count="100" uniqueCount="40">
  <si>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</si>
  <si>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</si>
  <si>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</si>
  <si>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</si>
  <si>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</si>
  <si>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</si>
  <si>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</si>
  <si>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</si>
  <si>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</si>
  <si>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</si>
  <si>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</si>
  <si>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</si>
  <si>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</si>
  <si>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</si>
  <si>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</si>
  <si>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</si>
  <si>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</si>
  <si>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</si>
  <si>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</si>
  <si>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</si>
  <si>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</si>
  <si>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</si>
  <si>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</si>
  <si>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</si>
  <si>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</si>
  <si>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</si>
  <si>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</si>
  <si>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</si>
  <si>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</si>
  <si>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</si>
  <si>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</si>
  <si>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</si>
  <si>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</si>
  <si>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</si>
  <si>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</si>
  <si>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</si>
  <si>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</si>
  <si>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*Yamhill County</t>
  </si>
  <si>
    <t>CY 2024 Q3</t>
  </si>
  <si>
    <t>Enrollment Numbers: as of 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</si>
</sst>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0" xfId="1" applyFont="1" applyFill="1"/>
    <xf numFmtId="0" fontId="8" fillId="2" borderId="1" xfId="1" applyFont="1" applyFill="1" applyBorder="1" applyAlignment="1">
      <alignment horizontal="center" wrapText="1"/>
    </xf>
    <xf numFmtId="0" fontId="4" fillId="2" borderId="1" xfId="1" applyFont="1" applyFill="1" applyBorder="1"/>
    <xf numFmtId="0" fontId="5" fillId="0" borderId="1" xfId="1" applyFont="1" applyFill="1" applyBorder="1" applyAlignment="1">
      <alignment horizontal="right" wrapText="1"/>
    </xf>
    <xf numFmtId="1" fontId="4" fillId="0" borderId="1" xfId="1" applyNumberFormat="1" applyFont="1" applyFill="1" applyBorder="1"/>
    <xf numFmtId="0" fontId="4" fillId="0" borderId="1" xfId="1" applyFont="1" applyFill="1" applyBorder="1"/>
    <xf numFmtId="0" fontId="9" fillId="0" borderId="1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3" fontId="4" fillId="0" borderId="1" xfId="1" applyNumberFormat="1" applyFont="1" applyFill="1" applyBorder="1"/>
    <xf numFmtId="3" fontId="10" fillId="0" borderId="1" xfId="1" applyNumberFormat="1" applyFont="1" applyBorder="1" applyAlignment="1">
      <alignment wrapText="1"/>
    </xf>
    <xf numFmtId="2" fontId="4" fillId="0" borderId="1" xfId="1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3" fontId="12" fillId="0" borderId="0" xfId="0" applyNumberFormat="1" applyFont="1"/>
    <xf numFmtId="1" fontId="4" fillId="0" borderId="0" xfId="1" applyNumberFormat="1" applyFont="1" applyFill="1"/>
    <xf numFmtId="164" fontId="10" fillId="0" borderId="1" xfId="2" applyNumberFormat="1" applyFont="1" applyBorder="1" applyAlignment="1">
      <alignment wrapText="1"/>
    </xf>
    <xf numFmtId="1" fontId="3" fillId="0" borderId="1" xfId="2" applyNumberFormat="1" applyFont="1" applyFill="1" applyBorder="1"/>
    <xf numFmtId="164" fontId="3" fillId="0" borderId="1" xfId="2" applyNumberFormat="1" applyFont="1" applyFill="1" applyBorder="1"/>
    <xf numFmtId="0" fontId="1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1/DATA_Q1_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DMAP%20C%20&amp;%20G\Grievance%20&amp;%20Appeal%20Logs%20&amp;%20Analysis%20Reports\2024\Grievance%20and%20Appeals%20System\Z_Macro\DATA_Q1_2024.xlsm" TargetMode="External"/><Relationship Id="rId1" Type="http://schemas.openxmlformats.org/officeDocument/2006/relationships/externalLinkPath" Target="/DMAP%20C%20&amp;%20G/Grievance%20&amp;%20Appeal%20Logs%20&amp;%20Analysis%20Reports/2024/Grievance%20and%20Appeals%20System/Z_Macro/DATA_Q1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 refreshError="1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17148</v>
          </cell>
        </row>
        <row r="10">
          <cell r="C10">
            <v>75178</v>
          </cell>
        </row>
        <row r="11">
          <cell r="C11">
            <v>91213</v>
          </cell>
        </row>
        <row r="12">
          <cell r="C12">
            <v>143320</v>
          </cell>
        </row>
        <row r="14">
          <cell r="C14">
            <v>55605</v>
          </cell>
        </row>
      </sheetData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33" sqref="Q33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5" t="s">
        <v>38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37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19">
        <v>43</v>
      </c>
      <c r="C3" s="19">
        <v>11</v>
      </c>
      <c r="D3" s="19">
        <f>[3]!tblTypeA[[#Totals],[Cascade Health]]</f>
        <v>13</v>
      </c>
      <c r="E3" s="19">
        <v>16</v>
      </c>
      <c r="F3" s="19">
        <v>49</v>
      </c>
      <c r="G3" s="19">
        <v>649</v>
      </c>
      <c r="H3" s="19">
        <v>131</v>
      </c>
      <c r="I3" s="19">
        <v>33</v>
      </c>
      <c r="J3" s="19">
        <v>11</v>
      </c>
      <c r="K3" s="19">
        <v>74</v>
      </c>
      <c r="L3" s="19">
        <v>272</v>
      </c>
      <c r="M3" s="19">
        <v>130</v>
      </c>
      <c r="N3" s="19">
        <v>86</v>
      </c>
      <c r="O3" s="19">
        <v>48</v>
      </c>
      <c r="P3" s="19">
        <v>57</v>
      </c>
      <c r="Q3" s="19">
        <v>53</v>
      </c>
      <c r="R3" s="19">
        <v>13</v>
      </c>
      <c r="S3" s="8">
        <f>SUM(B3:R3)</f>
        <v>1689</v>
      </c>
    </row>
    <row r="4" spans="1:19" x14ac:dyDescent="0.35">
      <c r="A4" s="7" t="s">
        <v>19</v>
      </c>
      <c r="B4" s="19">
        <f>[3]!tblPendTypeA[[#Totals],[Advanced Health]]</f>
        <v>0</v>
      </c>
      <c r="C4" s="19">
        <f>[3]!tblPendTypeA[[#Totals],[AllCare]]</f>
        <v>0</v>
      </c>
      <c r="D4" s="19">
        <f>[3]!tblPendTypeA[[#Totals],[Cascade Health]]</f>
        <v>0</v>
      </c>
      <c r="E4" s="19">
        <f>[3]!tblPendTypeA[[#Totals],[Columbia Pacific]]</f>
        <v>0</v>
      </c>
      <c r="F4" s="19">
        <f>[3]!tblPendTypeA[[#Totals],[Eastern Oregon]]</f>
        <v>0</v>
      </c>
      <c r="G4" s="19">
        <f>[3]!tblPendTypeA[[#Totals],[Health Share]]</f>
        <v>0</v>
      </c>
      <c r="H4" s="19">
        <f>[3]!tblPendTypeA[[#Totals],[IHN]]</f>
        <v>0</v>
      </c>
      <c r="I4" s="19">
        <f>[3]!tblPendTypeA[[#Totals],[Jackson Care]]</f>
        <v>0</v>
      </c>
      <c r="J4" s="19">
        <f>[3]!tblPendTypeA[[#Totals],[PCSC CG]]</f>
        <v>0</v>
      </c>
      <c r="K4" s="19">
        <f>[3]!tblPendTypeA[[#Totals],[PCSC CO]]</f>
        <v>0</v>
      </c>
      <c r="L4" s="19">
        <f>[3]!tblPendTypeA[[#Totals],[PCSC Lane]]</f>
        <v>0</v>
      </c>
      <c r="M4" s="19">
        <f>[3]!tblPendTypeA[[#Totals],[PCSC MP]]</f>
        <v>0</v>
      </c>
      <c r="N4" s="19">
        <f>[3]!tblPendTypeA[[#Totals],[Trillium Lane]]</f>
        <v>0</v>
      </c>
      <c r="O4" s="19">
        <f>[3]!tblPendTypeA[[#Totals],[Trillium TriCo]]</f>
        <v>0</v>
      </c>
      <c r="P4" s="19">
        <f>[3]!tblPendTypeA[[#Totals],[Umpqua]]</f>
        <v>0</v>
      </c>
      <c r="Q4" s="19">
        <f>[3]!tblPendTypeA[[#Totals],[Yamhill County]]</f>
        <v>0</v>
      </c>
      <c r="R4" s="19">
        <v>0</v>
      </c>
      <c r="S4" s="8">
        <f t="shared" ref="S4:S5" si="0">SUM(B4:R4)</f>
        <v>0</v>
      </c>
    </row>
    <row r="5" spans="1:19" x14ac:dyDescent="0.35">
      <c r="A5" s="7" t="s">
        <v>20</v>
      </c>
      <c r="B5" s="19">
        <f>IF(B4="","",B3-B4)</f>
        <v>43</v>
      </c>
      <c r="C5" s="19">
        <f t="shared" ref="C5:R5" si="1">IF(C4="","",C3-C4)</f>
        <v>11</v>
      </c>
      <c r="D5" s="19">
        <f t="shared" si="1"/>
        <v>13</v>
      </c>
      <c r="E5" s="19">
        <f t="shared" si="1"/>
        <v>16</v>
      </c>
      <c r="F5" s="19">
        <f t="shared" si="1"/>
        <v>49</v>
      </c>
      <c r="G5" s="19">
        <f t="shared" si="1"/>
        <v>649</v>
      </c>
      <c r="H5" s="19">
        <f t="shared" si="1"/>
        <v>131</v>
      </c>
      <c r="I5" s="19">
        <f t="shared" si="1"/>
        <v>33</v>
      </c>
      <c r="J5" s="19">
        <f t="shared" si="1"/>
        <v>11</v>
      </c>
      <c r="K5" s="19">
        <f t="shared" si="1"/>
        <v>74</v>
      </c>
      <c r="L5" s="19">
        <f t="shared" si="1"/>
        <v>272</v>
      </c>
      <c r="M5" s="19">
        <f t="shared" si="1"/>
        <v>130</v>
      </c>
      <c r="N5" s="19">
        <f t="shared" si="1"/>
        <v>86</v>
      </c>
      <c r="O5" s="19">
        <f t="shared" si="1"/>
        <v>48</v>
      </c>
      <c r="P5" s="19">
        <f t="shared" si="1"/>
        <v>57</v>
      </c>
      <c r="Q5" s="19">
        <f t="shared" si="1"/>
        <v>53</v>
      </c>
      <c r="R5" s="19">
        <f t="shared" si="1"/>
        <v>13</v>
      </c>
      <c r="S5" s="8">
        <f t="shared" si="0"/>
        <v>1689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19">
        <v>22</v>
      </c>
      <c r="C7" s="19">
        <v>32</v>
      </c>
      <c r="D7" s="19">
        <v>9</v>
      </c>
      <c r="E7" s="19">
        <v>35</v>
      </c>
      <c r="F7" s="19">
        <v>111</v>
      </c>
      <c r="G7" s="19">
        <v>733</v>
      </c>
      <c r="H7" s="19">
        <v>103</v>
      </c>
      <c r="I7" s="19">
        <v>59</v>
      </c>
      <c r="J7" s="19">
        <v>20</v>
      </c>
      <c r="K7" s="19">
        <v>69</v>
      </c>
      <c r="L7" s="19">
        <v>194</v>
      </c>
      <c r="M7" s="19">
        <v>174</v>
      </c>
      <c r="N7" s="19">
        <v>66</v>
      </c>
      <c r="O7" s="19">
        <v>48</v>
      </c>
      <c r="P7" s="19">
        <v>38</v>
      </c>
      <c r="Q7" s="19">
        <v>15</v>
      </c>
      <c r="R7" s="19">
        <v>4</v>
      </c>
      <c r="S7" s="8">
        <f t="shared" ref="S7:S9" si="2">SUM(B7:R7)</f>
        <v>1732</v>
      </c>
    </row>
    <row r="8" spans="1:19" x14ac:dyDescent="0.35">
      <c r="A8" s="7" t="s">
        <v>19</v>
      </c>
      <c r="B8" s="19">
        <f>[3]!tblPendTypeIP[[#Totals],[Advanced Health]]</f>
        <v>0</v>
      </c>
      <c r="C8" s="19">
        <f>[3]!tblPendTypeIP[[#Totals],[AllCare]]</f>
        <v>0</v>
      </c>
      <c r="D8" s="19">
        <f>[3]!tblPendTypeIP[[#Totals],[Cascade Health]]</f>
        <v>0</v>
      </c>
      <c r="E8" s="19">
        <f>[3]!tblPendTypeIP[[#Totals],[Columbia Pacific]]</f>
        <v>0</v>
      </c>
      <c r="F8" s="19">
        <f>[3]!tblPendTypeIP[[#Totals],[Eastern Oregon]]</f>
        <v>0</v>
      </c>
      <c r="G8" s="19">
        <f>[3]!tblPendTypeIP[[#Totals],[Health Share]]</f>
        <v>0</v>
      </c>
      <c r="H8" s="19">
        <f>[3]!tblPendTypeIP[[#Totals],[IHN]]</f>
        <v>0</v>
      </c>
      <c r="I8" s="19">
        <f>[3]!tblPendTypeIP[[#Totals],[Jackson Care]]</f>
        <v>0</v>
      </c>
      <c r="J8" s="19">
        <f>[3]!tblPendTypeIP[[#Totals],[PCSC CG]]</f>
        <v>0</v>
      </c>
      <c r="K8" s="19">
        <f>[3]!tblPendTypeIP[[#Totals],[PCSC CO]]</f>
        <v>0</v>
      </c>
      <c r="L8" s="19">
        <f>[3]!tblPendTypeIP[[#Totals],[PCSC Lane]]</f>
        <v>0</v>
      </c>
      <c r="M8" s="19">
        <f>[3]!tblPendTypeIP[[#Totals],[PCSC MP]]</f>
        <v>0</v>
      </c>
      <c r="N8" s="19">
        <f>[3]!tblPendTypeIP[[#Totals],[Trillium Lane]]</f>
        <v>0</v>
      </c>
      <c r="O8" s="19">
        <f>[3]!tblPendTypeIP[[#Totals],[Trillium TriCo]]</f>
        <v>0</v>
      </c>
      <c r="P8" s="19">
        <f>[3]!tblPendTypeIP[[#Totals],[Umpqua]]</f>
        <v>0</v>
      </c>
      <c r="Q8" s="19">
        <f>[3]!tblPendTypeIP[[#Totals],[Yamhill County]]</f>
        <v>0</v>
      </c>
      <c r="R8" s="19">
        <v>0</v>
      </c>
      <c r="S8" s="8">
        <f t="shared" si="2"/>
        <v>0</v>
      </c>
    </row>
    <row r="9" spans="1:19" x14ac:dyDescent="0.35">
      <c r="A9" s="7" t="s">
        <v>20</v>
      </c>
      <c r="B9" s="19">
        <f>IF(B8="","",B7-B8)</f>
        <v>22</v>
      </c>
      <c r="C9" s="19">
        <f t="shared" ref="C9:R9" si="3">IF(C8="","",C7-C8)</f>
        <v>32</v>
      </c>
      <c r="D9" s="19">
        <f t="shared" si="3"/>
        <v>9</v>
      </c>
      <c r="E9" s="19">
        <f t="shared" si="3"/>
        <v>35</v>
      </c>
      <c r="F9" s="19">
        <f t="shared" si="3"/>
        <v>111</v>
      </c>
      <c r="G9" s="19">
        <f t="shared" si="3"/>
        <v>733</v>
      </c>
      <c r="H9" s="19">
        <f t="shared" si="3"/>
        <v>103</v>
      </c>
      <c r="I9" s="19">
        <f t="shared" si="3"/>
        <v>59</v>
      </c>
      <c r="J9" s="19">
        <f t="shared" si="3"/>
        <v>20</v>
      </c>
      <c r="K9" s="19">
        <f t="shared" si="3"/>
        <v>69</v>
      </c>
      <c r="L9" s="19">
        <f t="shared" si="3"/>
        <v>194</v>
      </c>
      <c r="M9" s="19">
        <f t="shared" si="3"/>
        <v>174</v>
      </c>
      <c r="N9" s="19">
        <f t="shared" si="3"/>
        <v>66</v>
      </c>
      <c r="O9" s="19">
        <f t="shared" si="3"/>
        <v>48</v>
      </c>
      <c r="P9" s="19">
        <f t="shared" si="3"/>
        <v>38</v>
      </c>
      <c r="Q9" s="19">
        <f t="shared" si="3"/>
        <v>15</v>
      </c>
      <c r="R9" s="19">
        <f t="shared" si="3"/>
        <v>4</v>
      </c>
      <c r="S9" s="8">
        <f t="shared" si="2"/>
        <v>1732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19">
        <v>4</v>
      </c>
      <c r="C11" s="19">
        <v>8</v>
      </c>
      <c r="D11" s="19">
        <v>0</v>
      </c>
      <c r="E11" s="19">
        <v>5</v>
      </c>
      <c r="F11" s="19">
        <v>24</v>
      </c>
      <c r="G11" s="19">
        <v>118</v>
      </c>
      <c r="H11" s="19">
        <v>24</v>
      </c>
      <c r="I11" s="19">
        <v>12</v>
      </c>
      <c r="J11" s="19">
        <v>4</v>
      </c>
      <c r="K11" s="19">
        <v>20</v>
      </c>
      <c r="L11" s="19">
        <v>32</v>
      </c>
      <c r="M11" s="19">
        <v>37</v>
      </c>
      <c r="N11" s="19">
        <v>9</v>
      </c>
      <c r="O11" s="19">
        <v>5</v>
      </c>
      <c r="P11" s="19">
        <v>13</v>
      </c>
      <c r="Q11" s="19">
        <f>[3]!tblTypeCR[[#Totals],[Yamhill County]]</f>
        <v>0</v>
      </c>
      <c r="R11" s="19">
        <v>3</v>
      </c>
      <c r="S11" s="8">
        <f t="shared" ref="S11:S13" si="4">SUM(B11:R11)</f>
        <v>318</v>
      </c>
    </row>
    <row r="12" spans="1:19" x14ac:dyDescent="0.35">
      <c r="A12" s="7" t="s">
        <v>19</v>
      </c>
      <c r="B12" s="19">
        <f>[3]!tblPendTypeCR[[#Totals],[Advanced Health]]</f>
        <v>0</v>
      </c>
      <c r="C12" s="19">
        <f>[3]!tblPendTypeCR[[#Totals],[AllCare]]</f>
        <v>0</v>
      </c>
      <c r="D12" s="19">
        <f>[3]!tblPendTypeCR[[#Totals],[Cascade Health]]</f>
        <v>0</v>
      </c>
      <c r="E12" s="19">
        <f>[3]!tblPendTypeCR[[#Totals],[Columbia Pacific]]</f>
        <v>0</v>
      </c>
      <c r="F12" s="19">
        <f>[3]!tblPendTypeCR[[#Totals],[Eastern Oregon]]</f>
        <v>0</v>
      </c>
      <c r="G12" s="19">
        <f>[3]!tblPendTypeCR[[#Totals],[Health Share]]</f>
        <v>0</v>
      </c>
      <c r="H12" s="19">
        <f>[3]!tblPendTypeCR[[#Totals],[IHN]]</f>
        <v>0</v>
      </c>
      <c r="I12" s="19">
        <f>[3]!tblPendTypeCR[[#Totals],[Jackson Care]]</f>
        <v>0</v>
      </c>
      <c r="J12" s="19">
        <f>[3]!tblPendTypeCR[[#Totals],[PCSC CG]]</f>
        <v>0</v>
      </c>
      <c r="K12" s="19">
        <f>[3]!tblPendTypeCR[[#Totals],[PCSC CO]]</f>
        <v>0</v>
      </c>
      <c r="L12" s="19">
        <f>[3]!tblPendTypeCR[[#Totals],[PCSC Lane]]</f>
        <v>0</v>
      </c>
      <c r="M12" s="19">
        <f>[3]!tblPendTypeCR[[#Totals],[PCSC MP]]</f>
        <v>0</v>
      </c>
      <c r="N12" s="19">
        <f>[3]!tblPendTypeCR[[#Totals],[Trillium Lane]]</f>
        <v>0</v>
      </c>
      <c r="O12" s="19">
        <f>[3]!tblPendTypeCR[[#Totals],[Trillium TriCo]]</f>
        <v>0</v>
      </c>
      <c r="P12" s="19">
        <f>[3]!tblPendTypeCR[[#Totals],[Umpqua]]</f>
        <v>0</v>
      </c>
      <c r="Q12" s="19">
        <f>[3]!tblPendTypeCR[[#Totals],[Yamhill County]]</f>
        <v>0</v>
      </c>
      <c r="R12" s="19">
        <v>0</v>
      </c>
      <c r="S12" s="8">
        <f t="shared" si="4"/>
        <v>0</v>
      </c>
    </row>
    <row r="13" spans="1:19" x14ac:dyDescent="0.35">
      <c r="A13" s="7" t="s">
        <v>20</v>
      </c>
      <c r="B13" s="19">
        <f>IF(B12="","",B11-B12)</f>
        <v>4</v>
      </c>
      <c r="C13" s="19">
        <f t="shared" ref="C13:R13" si="5">IF(C12="","",C11-C12)</f>
        <v>8</v>
      </c>
      <c r="D13" s="19">
        <f t="shared" si="5"/>
        <v>0</v>
      </c>
      <c r="E13" s="19">
        <f t="shared" si="5"/>
        <v>5</v>
      </c>
      <c r="F13" s="19">
        <f t="shared" si="5"/>
        <v>24</v>
      </c>
      <c r="G13" s="19">
        <f t="shared" si="5"/>
        <v>118</v>
      </c>
      <c r="H13" s="19">
        <f t="shared" si="5"/>
        <v>24</v>
      </c>
      <c r="I13" s="19">
        <f t="shared" si="5"/>
        <v>12</v>
      </c>
      <c r="J13" s="19">
        <f t="shared" si="5"/>
        <v>4</v>
      </c>
      <c r="K13" s="19">
        <f t="shared" si="5"/>
        <v>20</v>
      </c>
      <c r="L13" s="19">
        <f t="shared" si="5"/>
        <v>32</v>
      </c>
      <c r="M13" s="19">
        <f t="shared" si="5"/>
        <v>37</v>
      </c>
      <c r="N13" s="19">
        <f t="shared" si="5"/>
        <v>9</v>
      </c>
      <c r="O13" s="19">
        <f t="shared" si="5"/>
        <v>5</v>
      </c>
      <c r="P13" s="19">
        <f t="shared" si="5"/>
        <v>13</v>
      </c>
      <c r="Q13" s="19">
        <f t="shared" si="5"/>
        <v>0</v>
      </c>
      <c r="R13" s="19">
        <f t="shared" si="5"/>
        <v>3</v>
      </c>
      <c r="S13" s="8">
        <f t="shared" si="4"/>
        <v>318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19">
        <v>18</v>
      </c>
      <c r="C15" s="19">
        <v>11</v>
      </c>
      <c r="D15" s="19">
        <v>5</v>
      </c>
      <c r="E15" s="19">
        <v>10</v>
      </c>
      <c r="F15" s="19">
        <v>6</v>
      </c>
      <c r="G15" s="19">
        <v>335</v>
      </c>
      <c r="H15" s="19">
        <f>[3]!tblTypeQC[[#Totals],[IHN]]</f>
        <v>24</v>
      </c>
      <c r="I15" s="19">
        <v>15</v>
      </c>
      <c r="J15" s="19">
        <f>[3]!tblTypeQC[[#Totals],[PCSC CG]]</f>
        <v>3</v>
      </c>
      <c r="K15" s="19">
        <v>9</v>
      </c>
      <c r="L15" s="19">
        <v>31</v>
      </c>
      <c r="M15" s="19">
        <f>[3]!tblTypeQC[[#Totals],[PCSC MP]]</f>
        <v>48</v>
      </c>
      <c r="N15" s="19">
        <v>10</v>
      </c>
      <c r="O15" s="19">
        <v>7</v>
      </c>
      <c r="P15" s="19">
        <v>3</v>
      </c>
      <c r="Q15" s="19">
        <v>14</v>
      </c>
      <c r="R15" s="19">
        <v>56</v>
      </c>
      <c r="S15" s="8">
        <f t="shared" ref="S15:S17" si="6">SUM(B15:R15)</f>
        <v>605</v>
      </c>
    </row>
    <row r="16" spans="1:19" x14ac:dyDescent="0.35">
      <c r="A16" s="7" t="s">
        <v>19</v>
      </c>
      <c r="B16" s="19">
        <f>[3]!tblPendTypeQC[[#Totals],[Advanced Health]]</f>
        <v>0</v>
      </c>
      <c r="C16" s="19">
        <f>[3]!tblPendTypeQC[[#Totals],[AllCare]]</f>
        <v>0</v>
      </c>
      <c r="D16" s="19">
        <f>[3]!tblPendTypeQC[[#Totals],[Cascade Health]]</f>
        <v>0</v>
      </c>
      <c r="E16" s="19">
        <f>[3]!tblPendTypeQC[[#Totals],[Columbia Pacific]]</f>
        <v>0</v>
      </c>
      <c r="F16" s="19">
        <f>[3]!tblPendTypeQC[[#Totals],[Eastern Oregon]]</f>
        <v>0</v>
      </c>
      <c r="G16" s="19">
        <f>[3]!tblPendTypeQC[[#Totals],[Health Share]]</f>
        <v>0</v>
      </c>
      <c r="H16" s="19">
        <f>[3]!tblPendTypeQC[[#Totals],[IHN]]</f>
        <v>0</v>
      </c>
      <c r="I16" s="19">
        <f>[3]!tblPendTypeQC[[#Totals],[Jackson Care]]</f>
        <v>0</v>
      </c>
      <c r="J16" s="19">
        <f>[3]!tblPendTypeQC[[#Totals],[PCSC CG]]</f>
        <v>0</v>
      </c>
      <c r="K16" s="19">
        <f>[3]!tblPendTypeQC[[#Totals],[PCSC CO]]</f>
        <v>0</v>
      </c>
      <c r="L16" s="19">
        <f>[3]!tblPendTypeQC[[#Totals],[PCSC Lane]]</f>
        <v>0</v>
      </c>
      <c r="M16" s="19">
        <f>[3]!tblPendTypeQC[[#Totals],[PCSC MP]]</f>
        <v>0</v>
      </c>
      <c r="N16" s="19">
        <f>[3]!tblPendTypeQC[[#Totals],[Trillium Lane]]</f>
        <v>0</v>
      </c>
      <c r="O16" s="19">
        <f>[3]!tblPendTypeQC[[#Totals],[Trillium TriCo]]</f>
        <v>0</v>
      </c>
      <c r="P16" s="19">
        <f>[3]!tblPendTypeQC[[#Totals],[Umpqua]]</f>
        <v>0</v>
      </c>
      <c r="Q16" s="19">
        <f>[3]!tblPendTypeQC[[#Totals],[Yamhill County]]</f>
        <v>0</v>
      </c>
      <c r="R16" s="19">
        <v>0</v>
      </c>
      <c r="S16" s="8">
        <f t="shared" si="6"/>
        <v>0</v>
      </c>
    </row>
    <row r="17" spans="1:20" x14ac:dyDescent="0.35">
      <c r="A17" s="7" t="s">
        <v>20</v>
      </c>
      <c r="B17" s="19">
        <f>IF(B16="","",B15-B16)</f>
        <v>18</v>
      </c>
      <c r="C17" s="19">
        <f t="shared" ref="C17:R17" si="7">IF(C16="","",C15-C16)</f>
        <v>11</v>
      </c>
      <c r="D17" s="19">
        <f t="shared" si="7"/>
        <v>5</v>
      </c>
      <c r="E17" s="19">
        <f t="shared" si="7"/>
        <v>10</v>
      </c>
      <c r="F17" s="19">
        <f t="shared" si="7"/>
        <v>6</v>
      </c>
      <c r="G17" s="19">
        <f t="shared" si="7"/>
        <v>335</v>
      </c>
      <c r="H17" s="19">
        <f t="shared" si="7"/>
        <v>24</v>
      </c>
      <c r="I17" s="19">
        <f t="shared" si="7"/>
        <v>15</v>
      </c>
      <c r="J17" s="19">
        <f t="shared" si="7"/>
        <v>3</v>
      </c>
      <c r="K17" s="19">
        <f t="shared" si="7"/>
        <v>9</v>
      </c>
      <c r="L17" s="19">
        <f t="shared" si="7"/>
        <v>31</v>
      </c>
      <c r="M17" s="19">
        <f t="shared" si="7"/>
        <v>48</v>
      </c>
      <c r="N17" s="19">
        <f t="shared" si="7"/>
        <v>10</v>
      </c>
      <c r="O17" s="19">
        <f t="shared" si="7"/>
        <v>7</v>
      </c>
      <c r="P17" s="19">
        <f t="shared" si="7"/>
        <v>3</v>
      </c>
      <c r="Q17" s="19">
        <f t="shared" si="7"/>
        <v>14</v>
      </c>
      <c r="R17" s="19">
        <f t="shared" si="7"/>
        <v>56</v>
      </c>
      <c r="S17" s="8">
        <f t="shared" si="6"/>
        <v>605</v>
      </c>
    </row>
    <row r="18" spans="1:20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5">
      <c r="A19" s="7" t="s">
        <v>18</v>
      </c>
      <c r="B19" s="19">
        <v>4</v>
      </c>
      <c r="C19" s="19">
        <v>4</v>
      </c>
      <c r="D19" s="19">
        <v>1</v>
      </c>
      <c r="E19" s="19">
        <v>2</v>
      </c>
      <c r="F19" s="19">
        <v>5</v>
      </c>
      <c r="G19" s="19">
        <v>40</v>
      </c>
      <c r="H19" s="19">
        <v>17</v>
      </c>
      <c r="I19" s="19">
        <v>5</v>
      </c>
      <c r="J19" s="19">
        <v>1</v>
      </c>
      <c r="K19" s="19">
        <v>3</v>
      </c>
      <c r="L19" s="19">
        <f>[3]!tblTypeQS[[#Totals],[PCSC Lane]]</f>
        <v>9</v>
      </c>
      <c r="M19" s="19">
        <v>21</v>
      </c>
      <c r="N19" s="19">
        <v>7</v>
      </c>
      <c r="O19" s="19">
        <v>6</v>
      </c>
      <c r="P19" s="19">
        <f>[3]!tblTypeQS[[#Totals],[Umpqua]]</f>
        <v>14</v>
      </c>
      <c r="Q19" s="19">
        <v>1</v>
      </c>
      <c r="R19" s="19">
        <v>23</v>
      </c>
      <c r="S19" s="8">
        <f t="shared" ref="S19:S21" si="8">SUM(B19:R19)</f>
        <v>163</v>
      </c>
    </row>
    <row r="20" spans="1:20" x14ac:dyDescent="0.35">
      <c r="A20" s="7" t="s">
        <v>19</v>
      </c>
      <c r="B20" s="19">
        <f>[3]!tblPendTypeQS[[#Totals],[Advanced Health]]</f>
        <v>0</v>
      </c>
      <c r="C20" s="19">
        <f>[3]!tblPendTypeQS[[#Totals],[AllCare]]</f>
        <v>0</v>
      </c>
      <c r="D20" s="19">
        <f>[3]!tblPendTypeQS[[#Totals],[Cascade Health]]</f>
        <v>0</v>
      </c>
      <c r="E20" s="19">
        <f>[3]!tblPendTypeQS[[#Totals],[Columbia Pacific]]</f>
        <v>0</v>
      </c>
      <c r="F20" s="19">
        <f>[3]!tblPendTypeQS[[#Totals],[Eastern Oregon]]</f>
        <v>0</v>
      </c>
      <c r="G20" s="19">
        <f>[3]!tblPendTypeQS[[#Totals],[Health Share]]</f>
        <v>0</v>
      </c>
      <c r="H20" s="19">
        <f>[3]!tblPendTypeQS[[#Totals],[IHN]]</f>
        <v>0</v>
      </c>
      <c r="I20" s="19">
        <f>[3]!tblPendTypeQS[[#Totals],[Jackson Care]]</f>
        <v>0</v>
      </c>
      <c r="J20" s="19">
        <f>[3]!tblPendTypeQS[[#Totals],[PCSC CG]]</f>
        <v>0</v>
      </c>
      <c r="K20" s="19">
        <f>[3]!tblPendTypeQS[[#Totals],[PCSC CO]]</f>
        <v>0</v>
      </c>
      <c r="L20" s="19">
        <f>[3]!tblPendTypeQS[[#Totals],[PCSC Lane]]</f>
        <v>0</v>
      </c>
      <c r="M20" s="19">
        <f>[3]!tblPendTypeQS[[#Totals],[PCSC MP]]</f>
        <v>0</v>
      </c>
      <c r="N20" s="19">
        <f>[3]!tblPendTypeQS[[#Totals],[Trillium Lane]]</f>
        <v>0</v>
      </c>
      <c r="O20" s="19">
        <f>[3]!tblPendTypeQS[[#Totals],[Trillium TriCo]]</f>
        <v>0</v>
      </c>
      <c r="P20" s="19">
        <f>[3]!tblPendTypeQS[[#Totals],[Umpqua]]</f>
        <v>0</v>
      </c>
      <c r="Q20" s="19">
        <f>[3]!tblPendTypeQS[[#Totals],[Yamhill County]]</f>
        <v>0</v>
      </c>
      <c r="R20" s="19">
        <v>0</v>
      </c>
      <c r="S20" s="8">
        <f t="shared" si="8"/>
        <v>0</v>
      </c>
    </row>
    <row r="21" spans="1:20" x14ac:dyDescent="0.35">
      <c r="A21" s="7" t="s">
        <v>20</v>
      </c>
      <c r="B21" s="19">
        <f>IF(B20="","",B19-B20)</f>
        <v>4</v>
      </c>
      <c r="C21" s="19">
        <f t="shared" ref="C21:R21" si="9">IF(C20="","",C19-C20)</f>
        <v>4</v>
      </c>
      <c r="D21" s="19">
        <f t="shared" si="9"/>
        <v>1</v>
      </c>
      <c r="E21" s="19">
        <f t="shared" si="9"/>
        <v>2</v>
      </c>
      <c r="F21" s="19">
        <f t="shared" si="9"/>
        <v>5</v>
      </c>
      <c r="G21" s="19">
        <f t="shared" si="9"/>
        <v>40</v>
      </c>
      <c r="H21" s="19">
        <f t="shared" si="9"/>
        <v>17</v>
      </c>
      <c r="I21" s="19">
        <f t="shared" si="9"/>
        <v>5</v>
      </c>
      <c r="J21" s="19">
        <f t="shared" si="9"/>
        <v>1</v>
      </c>
      <c r="K21" s="19">
        <f t="shared" si="9"/>
        <v>3</v>
      </c>
      <c r="L21" s="19">
        <f t="shared" si="9"/>
        <v>9</v>
      </c>
      <c r="M21" s="19">
        <f t="shared" si="9"/>
        <v>21</v>
      </c>
      <c r="N21" s="19">
        <f t="shared" si="9"/>
        <v>7</v>
      </c>
      <c r="O21" s="19">
        <f t="shared" si="9"/>
        <v>6</v>
      </c>
      <c r="P21" s="19">
        <f t="shared" si="9"/>
        <v>14</v>
      </c>
      <c r="Q21" s="19">
        <f t="shared" si="9"/>
        <v>1</v>
      </c>
      <c r="R21" s="19">
        <f t="shared" si="9"/>
        <v>23</v>
      </c>
      <c r="S21" s="8">
        <f t="shared" si="8"/>
        <v>163</v>
      </c>
    </row>
    <row r="22" spans="1:2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5">
      <c r="A23" s="7" t="s">
        <v>18</v>
      </c>
      <c r="B23" s="19">
        <v>37</v>
      </c>
      <c r="C23" s="19">
        <f>[3]!tblTypeCB[[#Totals],[AllCare]]</f>
        <v>0</v>
      </c>
      <c r="D23" s="19">
        <v>0</v>
      </c>
      <c r="E23" s="19">
        <v>10</v>
      </c>
      <c r="F23" s="19">
        <v>9</v>
      </c>
      <c r="G23" s="19">
        <v>77</v>
      </c>
      <c r="H23" s="19">
        <v>11</v>
      </c>
      <c r="I23" s="19">
        <v>18</v>
      </c>
      <c r="J23" s="19">
        <v>5</v>
      </c>
      <c r="K23" s="19">
        <v>12</v>
      </c>
      <c r="L23" s="19">
        <v>15</v>
      </c>
      <c r="M23" s="19">
        <v>33</v>
      </c>
      <c r="N23" s="19">
        <v>33</v>
      </c>
      <c r="O23" s="19">
        <v>58</v>
      </c>
      <c r="P23" s="19">
        <v>2</v>
      </c>
      <c r="Q23" s="19">
        <v>0</v>
      </c>
      <c r="R23" s="19">
        <v>16</v>
      </c>
      <c r="S23" s="8">
        <f t="shared" ref="S23" si="10">SUM(B23:R23)</f>
        <v>336</v>
      </c>
    </row>
    <row r="24" spans="1:20" x14ac:dyDescent="0.35">
      <c r="A24" s="7" t="s">
        <v>19</v>
      </c>
      <c r="B24" s="19">
        <f>[3]!tblPendTypeCB[[#Totals],[Advanced Health]]</f>
        <v>0</v>
      </c>
      <c r="C24" s="19">
        <f>[3]!tblPendTypeCB[[#Totals],[AllCare]]</f>
        <v>0</v>
      </c>
      <c r="D24" s="19">
        <f>[3]!tblPendTypeCB[[#Totals],[Cascade Health]]</f>
        <v>0</v>
      </c>
      <c r="E24" s="19">
        <f>[3]!tblPendTypeCB[[#Totals],[Columbia Pacific]]</f>
        <v>0</v>
      </c>
      <c r="F24" s="19">
        <f>[3]!tblPendTypeCB[[#Totals],[Eastern Oregon]]</f>
        <v>0</v>
      </c>
      <c r="G24" s="19">
        <f>[3]!tblPendTypeCB[[#Totals],[Health Share]]</f>
        <v>0</v>
      </c>
      <c r="H24" s="19">
        <f>[3]!tblPendTypeCB[[#Totals],[IHN]]</f>
        <v>0</v>
      </c>
      <c r="I24" s="19">
        <f>[3]!tblPendTypeCB[[#Totals],[Jackson Care]]</f>
        <v>0</v>
      </c>
      <c r="J24" s="19">
        <f>[3]!tblPendTypeCB[[#Totals],[PCSC CG]]</f>
        <v>0</v>
      </c>
      <c r="K24" s="19">
        <f>[3]!tblPendTypeCB[[#Totals],[PCSC CO]]</f>
        <v>0</v>
      </c>
      <c r="L24" s="19">
        <f>[3]!tblPendTypeCB[[#Totals],[PCSC Lane]]</f>
        <v>0</v>
      </c>
      <c r="M24" s="19">
        <f>[3]!tblPendTypeCB[[#Totals],[PCSC MP]]</f>
        <v>0</v>
      </c>
      <c r="N24" s="19">
        <f>[3]!tblPendTypeCB[[#Totals],[Trillium Lane]]</f>
        <v>0</v>
      </c>
      <c r="O24" s="19">
        <f>[3]!tblPendTypeCB[[#Totals],[Trillium TriCo]]</f>
        <v>0</v>
      </c>
      <c r="P24" s="19">
        <f>[3]!tblPendTypeCB[[#Totals],[Umpqua]]</f>
        <v>0</v>
      </c>
      <c r="Q24" s="19">
        <f>[3]!tblPendTypeCB[[#Totals],[Yamhill County]]</f>
        <v>0</v>
      </c>
      <c r="R24" s="19">
        <v>0</v>
      </c>
      <c r="S24" s="8">
        <v>0</v>
      </c>
    </row>
    <row r="25" spans="1:20" x14ac:dyDescent="0.35">
      <c r="A25" s="7" t="s">
        <v>20</v>
      </c>
      <c r="B25" s="19">
        <f>IF(B24="","",B23-B24)</f>
        <v>37</v>
      </c>
      <c r="C25" s="19">
        <f t="shared" ref="C25:R25" si="11">IF(C24="","",C23-C24)</f>
        <v>0</v>
      </c>
      <c r="D25" s="19">
        <f t="shared" si="11"/>
        <v>0</v>
      </c>
      <c r="E25" s="19">
        <f t="shared" si="11"/>
        <v>10</v>
      </c>
      <c r="F25" s="19">
        <f t="shared" si="11"/>
        <v>9</v>
      </c>
      <c r="G25" s="19">
        <f t="shared" si="11"/>
        <v>77</v>
      </c>
      <c r="H25" s="19">
        <f t="shared" si="11"/>
        <v>11</v>
      </c>
      <c r="I25" s="19">
        <f t="shared" si="11"/>
        <v>18</v>
      </c>
      <c r="J25" s="19">
        <f t="shared" si="11"/>
        <v>5</v>
      </c>
      <c r="K25" s="19">
        <v>12</v>
      </c>
      <c r="L25" s="19">
        <f t="shared" si="11"/>
        <v>15</v>
      </c>
      <c r="M25" s="19">
        <f t="shared" si="11"/>
        <v>33</v>
      </c>
      <c r="N25" s="19">
        <f t="shared" si="11"/>
        <v>33</v>
      </c>
      <c r="O25" s="19">
        <f t="shared" si="11"/>
        <v>58</v>
      </c>
      <c r="P25" s="19">
        <f t="shared" si="11"/>
        <v>2</v>
      </c>
      <c r="Q25" s="19">
        <f t="shared" si="11"/>
        <v>0</v>
      </c>
      <c r="R25" s="19">
        <f t="shared" si="11"/>
        <v>16</v>
      </c>
      <c r="S25" s="8">
        <f>SUM(B25:R25)</f>
        <v>336</v>
      </c>
    </row>
    <row r="26" spans="1:20" ht="30" customHeight="1" x14ac:dyDescent="0.3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20" x14ac:dyDescent="0.35">
      <c r="A27" s="1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f>S4+S8+S12+S16+S20+S24</f>
        <v>0</v>
      </c>
      <c r="T27" s="17"/>
    </row>
    <row r="28" spans="1:20" x14ac:dyDescent="0.35">
      <c r="A28" s="1" t="s">
        <v>28</v>
      </c>
      <c r="B28" s="8">
        <f t="shared" ref="B28:Q28" si="12">SUM(B3,B7,B11,B15,B19,B23,B26)</f>
        <v>128</v>
      </c>
      <c r="C28" s="8">
        <f t="shared" si="12"/>
        <v>66</v>
      </c>
      <c r="D28" s="8">
        <f t="shared" si="12"/>
        <v>28</v>
      </c>
      <c r="E28" s="8">
        <f t="shared" si="12"/>
        <v>78</v>
      </c>
      <c r="F28" s="8">
        <f t="shared" si="12"/>
        <v>204</v>
      </c>
      <c r="G28" s="8">
        <f t="shared" si="12"/>
        <v>1952</v>
      </c>
      <c r="H28" s="8">
        <f t="shared" si="12"/>
        <v>310</v>
      </c>
      <c r="I28" s="8">
        <f t="shared" si="12"/>
        <v>142</v>
      </c>
      <c r="J28" s="8">
        <f t="shared" si="12"/>
        <v>44</v>
      </c>
      <c r="K28" s="8">
        <f t="shared" si="12"/>
        <v>187</v>
      </c>
      <c r="L28" s="8">
        <f>SUM(L3,L7,L11,L15,L19,L23,L26)</f>
        <v>553</v>
      </c>
      <c r="M28" s="8">
        <f t="shared" si="12"/>
        <v>443</v>
      </c>
      <c r="N28" s="8">
        <f t="shared" si="12"/>
        <v>211</v>
      </c>
      <c r="O28" s="8">
        <f t="shared" si="12"/>
        <v>172</v>
      </c>
      <c r="P28" s="8">
        <f t="shared" si="12"/>
        <v>127</v>
      </c>
      <c r="Q28" s="8">
        <f t="shared" si="12"/>
        <v>83</v>
      </c>
      <c r="R28" s="8">
        <v>115</v>
      </c>
      <c r="S28" s="8">
        <f t="shared" ref="S28" si="13">SUM(B28:R28)</f>
        <v>4843</v>
      </c>
    </row>
    <row r="29" spans="1:20" x14ac:dyDescent="0.35">
      <c r="A29" s="1" t="s">
        <v>39</v>
      </c>
      <c r="B29" s="20">
        <v>26870</v>
      </c>
      <c r="C29" s="20">
        <v>63404</v>
      </c>
      <c r="D29" s="20">
        <v>25677</v>
      </c>
      <c r="E29" s="20">
        <v>35801</v>
      </c>
      <c r="F29" s="20">
        <v>75850</v>
      </c>
      <c r="G29" s="20">
        <v>436837</v>
      </c>
      <c r="H29" s="20">
        <v>80526</v>
      </c>
      <c r="I29" s="20">
        <v>64046</v>
      </c>
      <c r="J29" s="20">
        <v>18036</v>
      </c>
      <c r="K29" s="20">
        <v>73809</v>
      </c>
      <c r="L29" s="18">
        <v>89921</v>
      </c>
      <c r="M29" s="20">
        <v>149227</v>
      </c>
      <c r="N29" s="20">
        <v>33788</v>
      </c>
      <c r="O29" s="20">
        <v>57479</v>
      </c>
      <c r="P29" s="20">
        <v>37660</v>
      </c>
      <c r="Q29" s="20">
        <v>35258</v>
      </c>
      <c r="R29" s="16">
        <v>111043</v>
      </c>
      <c r="S29" s="12">
        <f>SUM(B29:R29)</f>
        <v>1415232</v>
      </c>
    </row>
    <row r="30" spans="1:20" x14ac:dyDescent="0.35">
      <c r="A30" s="1" t="s">
        <v>29</v>
      </c>
      <c r="B30" s="14">
        <f t="shared" ref="B30:S30" si="14">IFERROR(B28/B29*1000,0)</f>
        <v>4.7636769631559357</v>
      </c>
      <c r="C30" s="14">
        <f t="shared" si="14"/>
        <v>1.0409437890353921</v>
      </c>
      <c r="D30" s="14">
        <f t="shared" si="14"/>
        <v>1.090470070491101</v>
      </c>
      <c r="E30" s="14">
        <f t="shared" si="14"/>
        <v>2.1787100918968747</v>
      </c>
      <c r="F30" s="14">
        <f t="shared" si="14"/>
        <v>2.6895187870797628</v>
      </c>
      <c r="G30" s="14">
        <f t="shared" si="14"/>
        <v>4.4684859570045576</v>
      </c>
      <c r="H30" s="14">
        <f t="shared" si="14"/>
        <v>3.8496882994312398</v>
      </c>
      <c r="I30" s="14">
        <f t="shared" si="14"/>
        <v>2.2171564188239703</v>
      </c>
      <c r="J30" s="14">
        <f t="shared" si="14"/>
        <v>2.4395653138168107</v>
      </c>
      <c r="K30" s="14">
        <f t="shared" si="14"/>
        <v>2.5335663672451871</v>
      </c>
      <c r="L30" s="14">
        <f t="shared" si="14"/>
        <v>6.1498426396503598</v>
      </c>
      <c r="M30" s="14">
        <f t="shared" si="14"/>
        <v>2.9686316819342347</v>
      </c>
      <c r="N30" s="14">
        <f t="shared" si="14"/>
        <v>6.2448206463833316</v>
      </c>
      <c r="O30" s="14">
        <f t="shared" si="14"/>
        <v>2.9923972233337395</v>
      </c>
      <c r="P30" s="14">
        <f t="shared" si="14"/>
        <v>3.3722782793414763</v>
      </c>
      <c r="Q30" s="14">
        <f t="shared" si="14"/>
        <v>2.3540756707697548</v>
      </c>
      <c r="R30" s="14">
        <f t="shared" si="14"/>
        <v>1.0356348441594696</v>
      </c>
      <c r="S30" s="14">
        <f t="shared" si="14"/>
        <v>3.4220537692759914</v>
      </c>
    </row>
    <row r="31" spans="1:20" ht="31.5" customHeight="1" x14ac:dyDescent="0.35"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mergeCells count="1">
    <mergeCell ref="G31:S31"/>
  </mergeCells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https://www.oregon.gov/oha/HSD/Medicaid-Policy/QuarterlyAnnualReports/Appendix-B-CY2024Q3.xlsx</Url>
      <Description>Appendix B -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FFC5CDAA-1D29-4182-BF3E-CF1E6336F4E9}"/>
</file>

<file path=customXml/itemProps2.xml><?xml version="1.0" encoding="utf-8"?>
<ds:datastoreItem xmlns:ds="http://schemas.openxmlformats.org/officeDocument/2006/customXml" ds:itemID="{89345118-4DE0-462F-9572-8BD63D709F74}"/>
</file>

<file path=customXml/itemProps3.xml><?xml version="1.0" encoding="utf-8"?>
<ds:datastoreItem xmlns:ds="http://schemas.openxmlformats.org/officeDocument/2006/customXml" ds:itemID="{C884EA06-4E92-49ED-BDB9-637B2B0A4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Complaints Summary</dc:title>
  <dc:creator>Post Andrew W</dc:creator>
  <cp:lastModifiedBy>Ann Brown</cp:lastModifiedBy>
  <dcterms:created xsi:type="dcterms:W3CDTF">2019-02-22T23:07:36Z</dcterms:created>
  <dcterms:modified xsi:type="dcterms:W3CDTF">2024-11-26T00:31:48Z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6575b2-0a46-484c-818c-2622a2b78303_Enabled">
    <vt:lpwstr>true</vt:lpwstr>
  </property>
  <property fmtid="{D5CDD505-2E9C-101B-9397-08002B2CF9AE}" pid="3" name="MSIP_Label_a76575b2-0a46-484c-818c-2622a2b78303_SetDate">
    <vt:lpwstr>2024-05-21T18:46:54Z</vt:lpwstr>
  </property>
  <property fmtid="{D5CDD505-2E9C-101B-9397-08002B2CF9AE}" pid="4" name="MSIP_Label_a76575b2-0a46-484c-818c-2622a2b78303_Method">
    <vt:lpwstr>Privileged</vt:lpwstr>
  </property>
  <property fmtid="{D5CDD505-2E9C-101B-9397-08002B2CF9AE}" pid="5" name="MSIP_Label_a76575b2-0a46-484c-818c-2622a2b78303_Name">
    <vt:lpwstr>Level 3 - Restricted (Items)</vt:lpwstr>
  </property>
  <property fmtid="{D5CDD505-2E9C-101B-9397-08002B2CF9AE}" pid="6" name="MSIP_Label_a76575b2-0a46-484c-818c-2622a2b78303_SiteId">
    <vt:lpwstr>658e63e8-8d39-499c-8f48-13adc9452f4c</vt:lpwstr>
  </property>
  <property fmtid="{D5CDD505-2E9C-101B-9397-08002B2CF9AE}" pid="7" name="MSIP_Label_a76575b2-0a46-484c-818c-2622a2b78303_ActionId">
    <vt:lpwstr>0a85f013-395a-40ad-9403-e256b02b0792</vt:lpwstr>
  </property>
  <property fmtid="{D5CDD505-2E9C-101B-9397-08002B2CF9AE}" pid="8" name="MSIP_Label_a76575b2-0a46-484c-818c-2622a2b78303_ContentBits">
    <vt:lpwstr>2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ae1f72d3-5367-4409-98bd-27ca16e357b6,3;ae1f72d3-5367-4409-98bd-27ca16e357b6,6;</vt:lpwstr>
  </property>
</Properties>
</file>