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4\2024 Qtr 1\"/>
    </mc:Choice>
  </mc:AlternateContent>
  <xr:revisionPtr revIDLastSave="0" documentId="13_ncr:1_{87E4F6DA-4B6E-4F76-BB94-4F74B9B153F5}" xr6:coauthVersionLast="47" xr6:coauthVersionMax="47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  <externalReference r:id="rId5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CSCCGEnrollment">[2]FileNames!$C$9</definedName>
    <definedName name="PCSCCOEnrollment">[2]FileNames!$C$10</definedName>
    <definedName name="PCSCLaneEnrollment">[2]FileNames!$C$11</definedName>
    <definedName name="PCSCMPEnrollment">[2]FileNames!$C$12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TrilliumTriCoEnrollment">[2]FileNames!$C$14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2" l="1"/>
  <c r="Q24" i="2"/>
  <c r="P24" i="2"/>
  <c r="O24" i="2"/>
  <c r="N24" i="2"/>
  <c r="M24" i="2"/>
  <c r="M25" i="2" s="1"/>
  <c r="L24" i="2"/>
  <c r="K24" i="2"/>
  <c r="J24" i="2"/>
  <c r="I24" i="2"/>
  <c r="H24" i="2"/>
  <c r="G24" i="2"/>
  <c r="F24" i="2"/>
  <c r="E24" i="2"/>
  <c r="D24" i="2"/>
  <c r="C24" i="2"/>
  <c r="B24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R21" i="2"/>
  <c r="Q20" i="2"/>
  <c r="P20" i="2"/>
  <c r="O20" i="2"/>
  <c r="N20" i="2"/>
  <c r="N21" i="2" s="1"/>
  <c r="M20" i="2"/>
  <c r="L20" i="2"/>
  <c r="K20" i="2"/>
  <c r="J20" i="2"/>
  <c r="I20" i="2"/>
  <c r="H20" i="2"/>
  <c r="G20" i="2"/>
  <c r="F20" i="2"/>
  <c r="F21" i="2" s="1"/>
  <c r="E20" i="2"/>
  <c r="D20" i="2"/>
  <c r="C20" i="2"/>
  <c r="B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R17" i="2"/>
  <c r="Q16" i="2"/>
  <c r="P16" i="2"/>
  <c r="O16" i="2"/>
  <c r="O17" i="2" s="1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R13" i="2"/>
  <c r="Q12" i="2"/>
  <c r="P12" i="2"/>
  <c r="P13" i="2" s="1"/>
  <c r="O12" i="2"/>
  <c r="N12" i="2"/>
  <c r="M12" i="2"/>
  <c r="L12" i="2"/>
  <c r="K12" i="2"/>
  <c r="J12" i="2"/>
  <c r="I12" i="2"/>
  <c r="H12" i="2"/>
  <c r="H13" i="2" s="1"/>
  <c r="G12" i="2"/>
  <c r="F12" i="2"/>
  <c r="E12" i="2"/>
  <c r="D12" i="2"/>
  <c r="C12" i="2"/>
  <c r="B12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R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R5" i="2"/>
  <c r="Q4" i="2"/>
  <c r="P4" i="2"/>
  <c r="O4" i="2"/>
  <c r="N4" i="2"/>
  <c r="N5" i="2" s="1"/>
  <c r="M4" i="2"/>
  <c r="L4" i="2"/>
  <c r="K4" i="2"/>
  <c r="J4" i="2"/>
  <c r="I4" i="2"/>
  <c r="H4" i="2"/>
  <c r="G4" i="2"/>
  <c r="F4" i="2"/>
  <c r="F5" i="2" s="1"/>
  <c r="E4" i="2"/>
  <c r="D4" i="2"/>
  <c r="C4" i="2"/>
  <c r="B4" i="2"/>
  <c r="B5" i="2" s="1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Q9" i="2" l="1"/>
  <c r="H5" i="2"/>
  <c r="P5" i="2"/>
  <c r="G9" i="2"/>
  <c r="O9" i="2"/>
  <c r="F13" i="2"/>
  <c r="N13" i="2"/>
  <c r="E17" i="2"/>
  <c r="M17" i="2"/>
  <c r="D21" i="2"/>
  <c r="L21" i="2"/>
  <c r="C25" i="2"/>
  <c r="K25" i="2"/>
  <c r="I9" i="2"/>
  <c r="I5" i="2"/>
  <c r="Q5" i="2"/>
  <c r="H9" i="2"/>
  <c r="P9" i="2"/>
  <c r="G13" i="2"/>
  <c r="O13" i="2"/>
  <c r="F17" i="2"/>
  <c r="N17" i="2"/>
  <c r="E21" i="2"/>
  <c r="M21" i="2"/>
  <c r="D25" i="2"/>
  <c r="L25" i="2"/>
  <c r="C5" i="2"/>
  <c r="K5" i="2"/>
  <c r="B9" i="2"/>
  <c r="J9" i="2"/>
  <c r="I13" i="2"/>
  <c r="Q13" i="2"/>
  <c r="H17" i="2"/>
  <c r="P17" i="2"/>
  <c r="G21" i="2"/>
  <c r="O21" i="2"/>
  <c r="F25" i="2"/>
  <c r="N25" i="2"/>
  <c r="D5" i="2"/>
  <c r="L5" i="2"/>
  <c r="C9" i="2"/>
  <c r="K9" i="2"/>
  <c r="B13" i="2"/>
  <c r="J13" i="2"/>
  <c r="I17" i="2"/>
  <c r="Q17" i="2"/>
  <c r="H21" i="2"/>
  <c r="P21" i="2"/>
  <c r="G25" i="2"/>
  <c r="O25" i="2"/>
  <c r="G17" i="2"/>
  <c r="E25" i="2"/>
  <c r="E5" i="2"/>
  <c r="M5" i="2"/>
  <c r="D9" i="2"/>
  <c r="L9" i="2"/>
  <c r="C13" i="2"/>
  <c r="K13" i="2"/>
  <c r="B17" i="2"/>
  <c r="J17" i="2"/>
  <c r="I21" i="2"/>
  <c r="Q21" i="2"/>
  <c r="H25" i="2"/>
  <c r="P25" i="2"/>
  <c r="J5" i="2"/>
  <c r="E9" i="2"/>
  <c r="M9" i="2"/>
  <c r="D13" i="2"/>
  <c r="L13" i="2"/>
  <c r="C17" i="2"/>
  <c r="K17" i="2"/>
  <c r="B21" i="2"/>
  <c r="J21" i="2"/>
  <c r="I25" i="2"/>
  <c r="Q25" i="2"/>
  <c r="G5" i="2"/>
  <c r="O5" i="2"/>
  <c r="F9" i="2"/>
  <c r="N9" i="2"/>
  <c r="E13" i="2"/>
  <c r="M13" i="2"/>
  <c r="D17" i="2"/>
  <c r="L17" i="2"/>
  <c r="C21" i="2"/>
  <c r="K21" i="2"/>
  <c r="B25" i="2"/>
  <c r="S25" i="2" s="1"/>
  <c r="J25" i="2"/>
  <c r="S29" i="2" l="1"/>
  <c r="L28" i="2"/>
  <c r="L30" i="2" s="1"/>
  <c r="O28" i="2" l="1"/>
  <c r="O30" i="2" s="1"/>
  <c r="R30" i="2" l="1"/>
  <c r="Q28" i="2"/>
  <c r="Q30" i="2" s="1"/>
  <c r="H28" i="2"/>
  <c r="H30" i="2" s="1"/>
  <c r="D28" i="2"/>
  <c r="D30" i="2" s="1"/>
  <c r="S26" i="2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B30" i="2" s="1"/>
  <c r="S13" i="2" l="1"/>
  <c r="S4" i="2"/>
  <c r="S9" i="2"/>
  <c r="S12" i="2"/>
  <c r="S17" i="2"/>
  <c r="S21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7" i="2" l="1"/>
  <c r="S28" i="2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<sst xmlns="http://schemas.openxmlformats.org/spreadsheetml/2006/main" count="101" uniqueCount="41">
  <si>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</si>
  <si>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</si>
  <si>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</si>
  <si>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</si>
  <si>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</si>
  <si>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</si>
  <si>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</si>
  <si>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</si>
  <si>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</si>
  <si>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</si>
  <si>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</si>
  <si>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</si>
  <si>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</si>
  <si>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</si>
  <si>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</si>
  <si>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</si>
  <si>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</si>
  <si>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</si>
  <si>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</si>
  <si>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</si>
  <si>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</si>
  <si>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</si>
  <si>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</si>
  <si>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</si>
  <si>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</si>
  <si>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</si>
  <si>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</si>
  <si>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</si>
  <si>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</si>
  <si>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</si>
  <si>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</si>
  <si>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</si>
  <si>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</si>
  <si>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</si>
  <si>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</si>
  <si>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</si>
  <si>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</si>
  <si>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Enrollment Numbers: as of 3/31/2024</t>
  </si>
  <si>
    <t>CY 2024 Q1</t>
  </si>
  <si>
    <t>*Yamhill County</t>
  </si>
  <si>
    <t xml:space="preserve">* This quarter NOTE: This quarter Yamhill Community Coordinated Care Organization received an extension to submit their report to OHA due to challenges following the implementation of a new A&amp;G system. Updated data will be provided in the next April – June 2024 reporting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</si>
</sst>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0" xfId="1" applyFont="1" applyFill="1"/>
    <xf numFmtId="0" fontId="8" fillId="2" borderId="1" xfId="1" applyFont="1" applyFill="1" applyBorder="1" applyAlignment="1">
      <alignment horizontal="center" wrapText="1"/>
    </xf>
    <xf numFmtId="0" fontId="4" fillId="2" borderId="1" xfId="1" applyFont="1" applyFill="1" applyBorder="1"/>
    <xf numFmtId="0" fontId="5" fillId="0" borderId="1" xfId="1" applyFont="1" applyFill="1" applyBorder="1" applyAlignment="1">
      <alignment horizontal="right" wrapText="1"/>
    </xf>
    <xf numFmtId="1" fontId="4" fillId="0" borderId="1" xfId="1" applyNumberFormat="1" applyFont="1" applyFill="1" applyBorder="1"/>
    <xf numFmtId="0" fontId="4" fillId="0" borderId="1" xfId="1" applyFont="1" applyFill="1" applyBorder="1"/>
    <xf numFmtId="0" fontId="9" fillId="0" borderId="1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right" wrapText="1"/>
    </xf>
    <xf numFmtId="3" fontId="4" fillId="0" borderId="1" xfId="1" applyNumberFormat="1" applyFont="1" applyFill="1" applyBorder="1"/>
    <xf numFmtId="3" fontId="10" fillId="0" borderId="1" xfId="1" applyNumberFormat="1" applyFont="1" applyBorder="1" applyAlignment="1">
      <alignment wrapText="1"/>
    </xf>
    <xf numFmtId="2" fontId="4" fillId="0" borderId="1" xfId="1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3" fontId="12" fillId="0" borderId="0" xfId="0" applyNumberFormat="1" applyFont="1"/>
    <xf numFmtId="1" fontId="4" fillId="0" borderId="0" xfId="1" applyNumberFormat="1" applyFont="1" applyFill="1"/>
    <xf numFmtId="164" fontId="10" fillId="0" borderId="1" xfId="2" applyNumberFormat="1" applyFont="1" applyBorder="1" applyAlignment="1">
      <alignment wrapText="1"/>
    </xf>
    <xf numFmtId="1" fontId="3" fillId="0" borderId="1" xfId="2" applyNumberFormat="1" applyFont="1" applyFill="1" applyBorder="1"/>
    <xf numFmtId="164" fontId="3" fillId="0" borderId="1" xfId="2" applyNumberFormat="1" applyFont="1" applyFill="1" applyBorder="1"/>
    <xf numFmtId="0" fontId="2" fillId="0" borderId="3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1/DATA_Q1_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4/Grievance%20and%20Appeals%20System/Z_Macro/DATA_Q1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 refreshError="1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1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17148</v>
          </cell>
        </row>
        <row r="10">
          <cell r="C10">
            <v>75178</v>
          </cell>
        </row>
        <row r="11">
          <cell r="C11">
            <v>91213</v>
          </cell>
        </row>
        <row r="12">
          <cell r="C12">
            <v>143320</v>
          </cell>
        </row>
        <row r="14">
          <cell r="C14">
            <v>55605</v>
          </cell>
        </row>
      </sheetData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1_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1"/>
  <sheetViews>
    <sheetView showGridLines="0" tabSelected="1" zoomScaleNormal="100" workbookViewId="0">
      <pane xSplit="1" topLeftCell="G1" activePane="topRight" state="frozen"/>
      <selection pane="topRight" activeCell="L37" sqref="L37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5" width="10.1796875" style="4" customWidth="1"/>
    <col min="16" max="16" width="10.81640625" style="4" customWidth="1"/>
    <col min="17" max="257" width="9.1796875" style="4"/>
    <col min="258" max="258" width="26.7265625" style="4" customWidth="1"/>
    <col min="259" max="513" width="9.1796875" style="4"/>
    <col min="514" max="514" width="26.7265625" style="4" customWidth="1"/>
    <col min="515" max="769" width="9.1796875" style="4"/>
    <col min="770" max="770" width="26.7265625" style="4" customWidth="1"/>
    <col min="771" max="1025" width="9.1796875" style="4"/>
    <col min="1026" max="1026" width="26.7265625" style="4" customWidth="1"/>
    <col min="1027" max="1281" width="9.1796875" style="4"/>
    <col min="1282" max="1282" width="26.7265625" style="4" customWidth="1"/>
    <col min="1283" max="1537" width="9.1796875" style="4"/>
    <col min="1538" max="1538" width="26.7265625" style="4" customWidth="1"/>
    <col min="1539" max="1793" width="9.1796875" style="4"/>
    <col min="1794" max="1794" width="26.7265625" style="4" customWidth="1"/>
    <col min="1795" max="2049" width="9.1796875" style="4"/>
    <col min="2050" max="2050" width="26.7265625" style="4" customWidth="1"/>
    <col min="2051" max="2305" width="9.1796875" style="4"/>
    <col min="2306" max="2306" width="26.7265625" style="4" customWidth="1"/>
    <col min="2307" max="2561" width="9.1796875" style="4"/>
    <col min="2562" max="2562" width="26.7265625" style="4" customWidth="1"/>
    <col min="2563" max="2817" width="9.1796875" style="4"/>
    <col min="2818" max="2818" width="26.7265625" style="4" customWidth="1"/>
    <col min="2819" max="3073" width="9.1796875" style="4"/>
    <col min="3074" max="3074" width="26.7265625" style="4" customWidth="1"/>
    <col min="3075" max="3329" width="9.1796875" style="4"/>
    <col min="3330" max="3330" width="26.7265625" style="4" customWidth="1"/>
    <col min="3331" max="3585" width="9.1796875" style="4"/>
    <col min="3586" max="3586" width="26.7265625" style="4" customWidth="1"/>
    <col min="3587" max="3841" width="9.1796875" style="4"/>
    <col min="3842" max="3842" width="26.7265625" style="4" customWidth="1"/>
    <col min="3843" max="4097" width="9.1796875" style="4"/>
    <col min="4098" max="4098" width="26.7265625" style="4" customWidth="1"/>
    <col min="4099" max="4353" width="9.1796875" style="4"/>
    <col min="4354" max="4354" width="26.7265625" style="4" customWidth="1"/>
    <col min="4355" max="4609" width="9.1796875" style="4"/>
    <col min="4610" max="4610" width="26.7265625" style="4" customWidth="1"/>
    <col min="4611" max="4865" width="9.1796875" style="4"/>
    <col min="4866" max="4866" width="26.7265625" style="4" customWidth="1"/>
    <col min="4867" max="5121" width="9.1796875" style="4"/>
    <col min="5122" max="5122" width="26.7265625" style="4" customWidth="1"/>
    <col min="5123" max="5377" width="9.1796875" style="4"/>
    <col min="5378" max="5378" width="26.7265625" style="4" customWidth="1"/>
    <col min="5379" max="5633" width="9.1796875" style="4"/>
    <col min="5634" max="5634" width="26.7265625" style="4" customWidth="1"/>
    <col min="5635" max="5889" width="9.1796875" style="4"/>
    <col min="5890" max="5890" width="26.7265625" style="4" customWidth="1"/>
    <col min="5891" max="6145" width="9.1796875" style="4"/>
    <col min="6146" max="6146" width="26.7265625" style="4" customWidth="1"/>
    <col min="6147" max="6401" width="9.1796875" style="4"/>
    <col min="6402" max="6402" width="26.7265625" style="4" customWidth="1"/>
    <col min="6403" max="6657" width="9.1796875" style="4"/>
    <col min="6658" max="6658" width="26.7265625" style="4" customWidth="1"/>
    <col min="6659" max="6913" width="9.1796875" style="4"/>
    <col min="6914" max="6914" width="26.7265625" style="4" customWidth="1"/>
    <col min="6915" max="7169" width="9.1796875" style="4"/>
    <col min="7170" max="7170" width="26.7265625" style="4" customWidth="1"/>
    <col min="7171" max="7425" width="9.1796875" style="4"/>
    <col min="7426" max="7426" width="26.7265625" style="4" customWidth="1"/>
    <col min="7427" max="7681" width="9.1796875" style="4"/>
    <col min="7682" max="7682" width="26.7265625" style="4" customWidth="1"/>
    <col min="7683" max="7937" width="9.1796875" style="4"/>
    <col min="7938" max="7938" width="26.7265625" style="4" customWidth="1"/>
    <col min="7939" max="8193" width="9.1796875" style="4"/>
    <col min="8194" max="8194" width="26.7265625" style="4" customWidth="1"/>
    <col min="8195" max="8449" width="9.1796875" style="4"/>
    <col min="8450" max="8450" width="26.7265625" style="4" customWidth="1"/>
    <col min="8451" max="8705" width="9.1796875" style="4"/>
    <col min="8706" max="8706" width="26.7265625" style="4" customWidth="1"/>
    <col min="8707" max="8961" width="9.1796875" style="4"/>
    <col min="8962" max="8962" width="26.7265625" style="4" customWidth="1"/>
    <col min="8963" max="9217" width="9.1796875" style="4"/>
    <col min="9218" max="9218" width="26.7265625" style="4" customWidth="1"/>
    <col min="9219" max="9473" width="9.1796875" style="4"/>
    <col min="9474" max="9474" width="26.7265625" style="4" customWidth="1"/>
    <col min="9475" max="9729" width="9.1796875" style="4"/>
    <col min="9730" max="9730" width="26.7265625" style="4" customWidth="1"/>
    <col min="9731" max="9985" width="9.1796875" style="4"/>
    <col min="9986" max="9986" width="26.7265625" style="4" customWidth="1"/>
    <col min="9987" max="10241" width="9.1796875" style="4"/>
    <col min="10242" max="10242" width="26.7265625" style="4" customWidth="1"/>
    <col min="10243" max="10497" width="9.1796875" style="4"/>
    <col min="10498" max="10498" width="26.7265625" style="4" customWidth="1"/>
    <col min="10499" max="10753" width="9.1796875" style="4"/>
    <col min="10754" max="10754" width="26.7265625" style="4" customWidth="1"/>
    <col min="10755" max="11009" width="9.1796875" style="4"/>
    <col min="11010" max="11010" width="26.7265625" style="4" customWidth="1"/>
    <col min="11011" max="11265" width="9.1796875" style="4"/>
    <col min="11266" max="11266" width="26.7265625" style="4" customWidth="1"/>
    <col min="11267" max="11521" width="9.1796875" style="4"/>
    <col min="11522" max="11522" width="26.7265625" style="4" customWidth="1"/>
    <col min="11523" max="11777" width="9.1796875" style="4"/>
    <col min="11778" max="11778" width="26.7265625" style="4" customWidth="1"/>
    <col min="11779" max="12033" width="9.1796875" style="4"/>
    <col min="12034" max="12034" width="26.7265625" style="4" customWidth="1"/>
    <col min="12035" max="12289" width="9.1796875" style="4"/>
    <col min="12290" max="12290" width="26.7265625" style="4" customWidth="1"/>
    <col min="12291" max="12545" width="9.1796875" style="4"/>
    <col min="12546" max="12546" width="26.7265625" style="4" customWidth="1"/>
    <col min="12547" max="12801" width="9.1796875" style="4"/>
    <col min="12802" max="12802" width="26.7265625" style="4" customWidth="1"/>
    <col min="12803" max="13057" width="9.1796875" style="4"/>
    <col min="13058" max="13058" width="26.7265625" style="4" customWidth="1"/>
    <col min="13059" max="13313" width="9.1796875" style="4"/>
    <col min="13314" max="13314" width="26.7265625" style="4" customWidth="1"/>
    <col min="13315" max="13569" width="9.1796875" style="4"/>
    <col min="13570" max="13570" width="26.7265625" style="4" customWidth="1"/>
    <col min="13571" max="13825" width="9.1796875" style="4"/>
    <col min="13826" max="13826" width="26.7265625" style="4" customWidth="1"/>
    <col min="13827" max="14081" width="9.1796875" style="4"/>
    <col min="14082" max="14082" width="26.7265625" style="4" customWidth="1"/>
    <col min="14083" max="14337" width="9.1796875" style="4"/>
    <col min="14338" max="14338" width="26.7265625" style="4" customWidth="1"/>
    <col min="14339" max="14593" width="9.1796875" style="4"/>
    <col min="14594" max="14594" width="26.7265625" style="4" customWidth="1"/>
    <col min="14595" max="14849" width="9.1796875" style="4"/>
    <col min="14850" max="14850" width="26.7265625" style="4" customWidth="1"/>
    <col min="14851" max="15105" width="9.1796875" style="4"/>
    <col min="15106" max="15106" width="26.7265625" style="4" customWidth="1"/>
    <col min="15107" max="15361" width="9.1796875" style="4"/>
    <col min="15362" max="15362" width="26.7265625" style="4" customWidth="1"/>
    <col min="15363" max="15617" width="9.1796875" style="4"/>
    <col min="15618" max="15618" width="26.7265625" style="4" customWidth="1"/>
    <col min="15619" max="15873" width="9.1796875" style="4"/>
    <col min="15874" max="15874" width="26.7265625" style="4" customWidth="1"/>
    <col min="15875" max="16129" width="9.1796875" style="4"/>
    <col min="16130" max="16130" width="26.7265625" style="4" customWidth="1"/>
    <col min="16131" max="16384" width="9.1796875" style="4"/>
  </cols>
  <sheetData>
    <row r="1" spans="1:19" ht="26" x14ac:dyDescent="0.35">
      <c r="A1" s="15" t="s">
        <v>38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39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19">
        <f>[3]!tblTypeA[[#Totals],[Advanced Health]]</f>
        <v>26</v>
      </c>
      <c r="C3" s="19">
        <f>[3]!tblTypeA[[#Totals],[AllCare]]</f>
        <v>8</v>
      </c>
      <c r="D3" s="19">
        <f>[3]!tblTypeA[[#Totals],[Cascade Health]]</f>
        <v>13</v>
      </c>
      <c r="E3" s="19">
        <f>[3]!tblTypeA[[#Totals],[Columbia Pacific]]</f>
        <v>15</v>
      </c>
      <c r="F3" s="19">
        <f>[3]!tblTypeA[[#Totals],[Eastern Oregon]]</f>
        <v>63</v>
      </c>
      <c r="G3" s="19">
        <f>[3]!tblTypeA[[#Totals],[Health Share]]</f>
        <v>678</v>
      </c>
      <c r="H3" s="19">
        <f>[3]!tblTypeA[[#Totals],[IHN]]</f>
        <v>57</v>
      </c>
      <c r="I3" s="19">
        <f>[3]!tblTypeA[[#Totals],[Jackson Care]]</f>
        <v>38</v>
      </c>
      <c r="J3" s="19">
        <f>[3]!tblTypeA[[#Totals],[PCSC CG]]</f>
        <v>15</v>
      </c>
      <c r="K3" s="19">
        <f>[3]!tblTypeA[[#Totals],[PCSC CO]]</f>
        <v>110</v>
      </c>
      <c r="L3" s="19">
        <f>[3]!tblTypeA[[#Totals],[PCSC Lane]]</f>
        <v>245</v>
      </c>
      <c r="M3" s="19">
        <f>[3]!tblTypeA[[#Totals],[PCSC MP]]</f>
        <v>245</v>
      </c>
      <c r="N3" s="19">
        <f>[3]!tblTypeA[[#Totals],[Trillium Lane]]</f>
        <v>48</v>
      </c>
      <c r="O3" s="19">
        <f>[3]!tblTypeA[[#Totals],[Trillium TriCo]]</f>
        <v>18</v>
      </c>
      <c r="P3" s="19">
        <f>[3]!tblTypeA[[#Totals],[Umpqua]]</f>
        <v>33</v>
      </c>
      <c r="Q3" s="19">
        <f>[3]!tblTypeA[[#Totals],[Yamhill County]]</f>
        <v>0</v>
      </c>
      <c r="R3" s="19">
        <v>36</v>
      </c>
      <c r="S3" s="8">
        <f>SUM(B3:R3)</f>
        <v>1648</v>
      </c>
    </row>
    <row r="4" spans="1:19" x14ac:dyDescent="0.35">
      <c r="A4" s="7" t="s">
        <v>19</v>
      </c>
      <c r="B4" s="19">
        <f>[3]!tblPendTypeA[[#Totals],[Advanced Health]]</f>
        <v>0</v>
      </c>
      <c r="C4" s="19">
        <f>[3]!tblPendTypeA[[#Totals],[AllCare]]</f>
        <v>0</v>
      </c>
      <c r="D4" s="19">
        <f>[3]!tblPendTypeA[[#Totals],[Cascade Health]]</f>
        <v>0</v>
      </c>
      <c r="E4" s="19">
        <f>[3]!tblPendTypeA[[#Totals],[Columbia Pacific]]</f>
        <v>0</v>
      </c>
      <c r="F4" s="19">
        <f>[3]!tblPendTypeA[[#Totals],[Eastern Oregon]]</f>
        <v>0</v>
      </c>
      <c r="G4" s="19">
        <f>[3]!tblPendTypeA[[#Totals],[Health Share]]</f>
        <v>0</v>
      </c>
      <c r="H4" s="19">
        <f>[3]!tblPendTypeA[[#Totals],[IHN]]</f>
        <v>0</v>
      </c>
      <c r="I4" s="19">
        <f>[3]!tblPendTypeA[[#Totals],[Jackson Care]]</f>
        <v>0</v>
      </c>
      <c r="J4" s="19">
        <f>[3]!tblPendTypeA[[#Totals],[PCSC CG]]</f>
        <v>0</v>
      </c>
      <c r="K4" s="19">
        <f>[3]!tblPendTypeA[[#Totals],[PCSC CO]]</f>
        <v>0</v>
      </c>
      <c r="L4" s="19">
        <f>[3]!tblPendTypeA[[#Totals],[PCSC Lane]]</f>
        <v>0</v>
      </c>
      <c r="M4" s="19">
        <f>[3]!tblPendTypeA[[#Totals],[PCSC MP]]</f>
        <v>0</v>
      </c>
      <c r="N4" s="19">
        <f>[3]!tblPendTypeA[[#Totals],[Trillium Lane]]</f>
        <v>0</v>
      </c>
      <c r="O4" s="19">
        <f>[3]!tblPendTypeA[[#Totals],[Trillium TriCo]]</f>
        <v>0</v>
      </c>
      <c r="P4" s="19">
        <f>[3]!tblPendTypeA[[#Totals],[Umpqua]]</f>
        <v>0</v>
      </c>
      <c r="Q4" s="19">
        <f>[3]!tblPendTypeA[[#Totals],[Yamhill County]]</f>
        <v>0</v>
      </c>
      <c r="R4" s="19">
        <v>0</v>
      </c>
      <c r="S4" s="8">
        <f t="shared" ref="S4:S5" si="0">SUM(B4:R4)</f>
        <v>0</v>
      </c>
    </row>
    <row r="5" spans="1:19" x14ac:dyDescent="0.35">
      <c r="A5" s="7" t="s">
        <v>20</v>
      </c>
      <c r="B5" s="19">
        <f>IF(B4="","",B3-B4)</f>
        <v>26</v>
      </c>
      <c r="C5" s="19">
        <f t="shared" ref="C5:R5" si="1">IF(C4="","",C3-C4)</f>
        <v>8</v>
      </c>
      <c r="D5" s="19">
        <f t="shared" si="1"/>
        <v>13</v>
      </c>
      <c r="E5" s="19">
        <f t="shared" si="1"/>
        <v>15</v>
      </c>
      <c r="F5" s="19">
        <f t="shared" si="1"/>
        <v>63</v>
      </c>
      <c r="G5" s="19">
        <f t="shared" si="1"/>
        <v>678</v>
      </c>
      <c r="H5" s="19">
        <f t="shared" si="1"/>
        <v>57</v>
      </c>
      <c r="I5" s="19">
        <f t="shared" si="1"/>
        <v>38</v>
      </c>
      <c r="J5" s="19">
        <f t="shared" si="1"/>
        <v>15</v>
      </c>
      <c r="K5" s="19">
        <f t="shared" si="1"/>
        <v>110</v>
      </c>
      <c r="L5" s="19">
        <f t="shared" si="1"/>
        <v>245</v>
      </c>
      <c r="M5" s="19">
        <f t="shared" si="1"/>
        <v>245</v>
      </c>
      <c r="N5" s="19">
        <f t="shared" si="1"/>
        <v>48</v>
      </c>
      <c r="O5" s="19">
        <f t="shared" si="1"/>
        <v>18</v>
      </c>
      <c r="P5" s="19">
        <f t="shared" si="1"/>
        <v>33</v>
      </c>
      <c r="Q5" s="19">
        <f t="shared" si="1"/>
        <v>0</v>
      </c>
      <c r="R5" s="19">
        <f t="shared" si="1"/>
        <v>36</v>
      </c>
      <c r="S5" s="8">
        <f t="shared" si="0"/>
        <v>1648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19">
        <f>[3]!tblTypeIP[[#Totals],[Advanced Health]]</f>
        <v>32</v>
      </c>
      <c r="C7" s="19">
        <f>[3]!tblTypeIP[[#Totals],[AllCare]]</f>
        <v>19</v>
      </c>
      <c r="D7" s="19">
        <f>[3]!tblTypeIP[[#Totals],[Cascade Health]]</f>
        <v>38</v>
      </c>
      <c r="E7" s="19">
        <f>[3]!tblTypeIP[[#Totals],[Columbia Pacific]]</f>
        <v>22</v>
      </c>
      <c r="F7" s="19">
        <f>[3]!tblTypeIP[[#Totals],[Eastern Oregon]]</f>
        <v>122</v>
      </c>
      <c r="G7" s="19">
        <f>[3]!tblTypeIP[[#Totals],[Health Share]]</f>
        <v>752</v>
      </c>
      <c r="H7" s="19">
        <f>[3]!tblTypeIP[[#Totals],[IHN]]</f>
        <v>102</v>
      </c>
      <c r="I7" s="19">
        <f>[3]!tblTypeIP[[#Totals],[Jackson Care]]</f>
        <v>40</v>
      </c>
      <c r="J7" s="19">
        <f>[3]!tblTypeIP[[#Totals],[PCSC CG]]</f>
        <v>10</v>
      </c>
      <c r="K7" s="19">
        <f>[3]!tblTypeIP[[#Totals],[PCSC CO]]</f>
        <v>63</v>
      </c>
      <c r="L7" s="19">
        <f>[3]!tblTypeIP[[#Totals],[PCSC Lane]]</f>
        <v>147</v>
      </c>
      <c r="M7" s="19">
        <f>[3]!tblTypeIP[[#Totals],[PCSC MP]]</f>
        <v>139</v>
      </c>
      <c r="N7" s="19">
        <f>[3]!tblTypeIP[[#Totals],[Trillium Lane]]</f>
        <v>39</v>
      </c>
      <c r="O7" s="19">
        <f>[3]!tblTypeIP[[#Totals],[Trillium TriCo]]</f>
        <v>26</v>
      </c>
      <c r="P7" s="19">
        <f>[3]!tblTypeIP[[#Totals],[Umpqua]]</f>
        <v>31</v>
      </c>
      <c r="Q7" s="19">
        <f>[3]!tblTypeIP[[#Totals],[Yamhill County]]</f>
        <v>0</v>
      </c>
      <c r="R7" s="19">
        <v>7</v>
      </c>
      <c r="S7" s="8">
        <f t="shared" ref="S7:S9" si="2">SUM(B7:R7)</f>
        <v>1589</v>
      </c>
    </row>
    <row r="8" spans="1:19" x14ac:dyDescent="0.35">
      <c r="A8" s="7" t="s">
        <v>19</v>
      </c>
      <c r="B8" s="19">
        <f>[3]!tblPendTypeIP[[#Totals],[Advanced Health]]</f>
        <v>0</v>
      </c>
      <c r="C8" s="19">
        <f>[3]!tblPendTypeIP[[#Totals],[AllCare]]</f>
        <v>0</v>
      </c>
      <c r="D8" s="19">
        <f>[3]!tblPendTypeIP[[#Totals],[Cascade Health]]</f>
        <v>0</v>
      </c>
      <c r="E8" s="19">
        <f>[3]!tblPendTypeIP[[#Totals],[Columbia Pacific]]</f>
        <v>0</v>
      </c>
      <c r="F8" s="19">
        <f>[3]!tblPendTypeIP[[#Totals],[Eastern Oregon]]</f>
        <v>0</v>
      </c>
      <c r="G8" s="19">
        <f>[3]!tblPendTypeIP[[#Totals],[Health Share]]</f>
        <v>0</v>
      </c>
      <c r="H8" s="19">
        <f>[3]!tblPendTypeIP[[#Totals],[IHN]]</f>
        <v>0</v>
      </c>
      <c r="I8" s="19">
        <f>[3]!tblPendTypeIP[[#Totals],[Jackson Care]]</f>
        <v>0</v>
      </c>
      <c r="J8" s="19">
        <f>[3]!tblPendTypeIP[[#Totals],[PCSC CG]]</f>
        <v>0</v>
      </c>
      <c r="K8" s="19">
        <f>[3]!tblPendTypeIP[[#Totals],[PCSC CO]]</f>
        <v>0</v>
      </c>
      <c r="L8" s="19">
        <f>[3]!tblPendTypeIP[[#Totals],[PCSC Lane]]</f>
        <v>0</v>
      </c>
      <c r="M8" s="19">
        <f>[3]!tblPendTypeIP[[#Totals],[PCSC MP]]</f>
        <v>0</v>
      </c>
      <c r="N8" s="19">
        <f>[3]!tblPendTypeIP[[#Totals],[Trillium Lane]]</f>
        <v>0</v>
      </c>
      <c r="O8" s="19">
        <f>[3]!tblPendTypeIP[[#Totals],[Trillium TriCo]]</f>
        <v>0</v>
      </c>
      <c r="P8" s="19">
        <f>[3]!tblPendTypeIP[[#Totals],[Umpqua]]</f>
        <v>0</v>
      </c>
      <c r="Q8" s="19">
        <f>[3]!tblPendTypeIP[[#Totals],[Yamhill County]]</f>
        <v>0</v>
      </c>
      <c r="R8" s="19">
        <v>0</v>
      </c>
      <c r="S8" s="8">
        <f t="shared" si="2"/>
        <v>0</v>
      </c>
    </row>
    <row r="9" spans="1:19" x14ac:dyDescent="0.35">
      <c r="A9" s="7" t="s">
        <v>20</v>
      </c>
      <c r="B9" s="19">
        <f>IF(B8="","",B7-B8)</f>
        <v>32</v>
      </c>
      <c r="C9" s="19">
        <f t="shared" ref="C9:R9" si="3">IF(C8="","",C7-C8)</f>
        <v>19</v>
      </c>
      <c r="D9" s="19">
        <f t="shared" si="3"/>
        <v>38</v>
      </c>
      <c r="E9" s="19">
        <f t="shared" si="3"/>
        <v>22</v>
      </c>
      <c r="F9" s="19">
        <f t="shared" si="3"/>
        <v>122</v>
      </c>
      <c r="G9" s="19">
        <f t="shared" si="3"/>
        <v>752</v>
      </c>
      <c r="H9" s="19">
        <f t="shared" si="3"/>
        <v>102</v>
      </c>
      <c r="I9" s="19">
        <f t="shared" si="3"/>
        <v>40</v>
      </c>
      <c r="J9" s="19">
        <f t="shared" si="3"/>
        <v>10</v>
      </c>
      <c r="K9" s="19">
        <f t="shared" si="3"/>
        <v>63</v>
      </c>
      <c r="L9" s="19">
        <f t="shared" si="3"/>
        <v>147</v>
      </c>
      <c r="M9" s="19">
        <f t="shared" si="3"/>
        <v>139</v>
      </c>
      <c r="N9" s="19">
        <f t="shared" si="3"/>
        <v>39</v>
      </c>
      <c r="O9" s="19">
        <f t="shared" si="3"/>
        <v>26</v>
      </c>
      <c r="P9" s="19">
        <f t="shared" si="3"/>
        <v>31</v>
      </c>
      <c r="Q9" s="19">
        <f t="shared" si="3"/>
        <v>0</v>
      </c>
      <c r="R9" s="19">
        <f t="shared" si="3"/>
        <v>7</v>
      </c>
      <c r="S9" s="8">
        <f t="shared" si="2"/>
        <v>1589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19">
        <f>[3]!tblTypeCR[[#Totals],[Advanced Health]]</f>
        <v>7</v>
      </c>
      <c r="C11" s="19">
        <f>[3]!tblTypeCR[[#Totals],[AllCare]]</f>
        <v>13</v>
      </c>
      <c r="D11" s="19">
        <f>[3]!tblTypeCR[[#Totals],[Cascade Health]]</f>
        <v>1</v>
      </c>
      <c r="E11" s="19">
        <f>[3]!tblTypeCR[[#Totals],[Columbia Pacific]]</f>
        <v>4</v>
      </c>
      <c r="F11" s="19">
        <f>[3]!tblTypeCR[[#Totals],[Eastern Oregon]]</f>
        <v>28</v>
      </c>
      <c r="G11" s="19">
        <f>[3]!tblTypeCR[[#Totals],[Health Share]]</f>
        <v>133</v>
      </c>
      <c r="H11" s="19">
        <f>[3]!tblTypeCR[[#Totals],[IHN]]</f>
        <v>28</v>
      </c>
      <c r="I11" s="19">
        <f>[3]!tblTypeCR[[#Totals],[Jackson Care]]</f>
        <v>9</v>
      </c>
      <c r="J11" s="19">
        <f>[3]!tblTypeCR[[#Totals],[PCSC CG]]</f>
        <v>1</v>
      </c>
      <c r="K11" s="19">
        <f>[3]!tblTypeCR[[#Totals],[PCSC CO]]</f>
        <v>22</v>
      </c>
      <c r="L11" s="19">
        <f>[3]!tblTypeCR[[#Totals],[PCSC Lane]]</f>
        <v>36</v>
      </c>
      <c r="M11" s="19">
        <f>[3]!tblTypeCR[[#Totals],[PCSC MP]]</f>
        <v>36</v>
      </c>
      <c r="N11" s="19">
        <f>[3]!tblTypeCR[[#Totals],[Trillium Lane]]</f>
        <v>5</v>
      </c>
      <c r="O11" s="19">
        <f>[3]!tblTypeCR[[#Totals],[Trillium TriCo]]</f>
        <v>2</v>
      </c>
      <c r="P11" s="19">
        <f>[3]!tblTypeCR[[#Totals],[Umpqua]]</f>
        <v>17</v>
      </c>
      <c r="Q11" s="19">
        <f>[3]!tblTypeCR[[#Totals],[Yamhill County]]</f>
        <v>0</v>
      </c>
      <c r="R11" s="19">
        <v>7</v>
      </c>
      <c r="S11" s="8">
        <f t="shared" ref="S11:S13" si="4">SUM(B11:R11)</f>
        <v>349</v>
      </c>
    </row>
    <row r="12" spans="1:19" x14ac:dyDescent="0.35">
      <c r="A12" s="7" t="s">
        <v>19</v>
      </c>
      <c r="B12" s="19">
        <f>[3]!tblPendTypeCR[[#Totals],[Advanced Health]]</f>
        <v>0</v>
      </c>
      <c r="C12" s="19">
        <f>[3]!tblPendTypeCR[[#Totals],[AllCare]]</f>
        <v>0</v>
      </c>
      <c r="D12" s="19">
        <f>[3]!tblPendTypeCR[[#Totals],[Cascade Health]]</f>
        <v>0</v>
      </c>
      <c r="E12" s="19">
        <f>[3]!tblPendTypeCR[[#Totals],[Columbia Pacific]]</f>
        <v>0</v>
      </c>
      <c r="F12" s="19">
        <f>[3]!tblPendTypeCR[[#Totals],[Eastern Oregon]]</f>
        <v>0</v>
      </c>
      <c r="G12" s="19">
        <f>[3]!tblPendTypeCR[[#Totals],[Health Share]]</f>
        <v>0</v>
      </c>
      <c r="H12" s="19">
        <f>[3]!tblPendTypeCR[[#Totals],[IHN]]</f>
        <v>0</v>
      </c>
      <c r="I12" s="19">
        <f>[3]!tblPendTypeCR[[#Totals],[Jackson Care]]</f>
        <v>0</v>
      </c>
      <c r="J12" s="19">
        <f>[3]!tblPendTypeCR[[#Totals],[PCSC CG]]</f>
        <v>0</v>
      </c>
      <c r="K12" s="19">
        <f>[3]!tblPendTypeCR[[#Totals],[PCSC CO]]</f>
        <v>0</v>
      </c>
      <c r="L12" s="19">
        <f>[3]!tblPendTypeCR[[#Totals],[PCSC Lane]]</f>
        <v>0</v>
      </c>
      <c r="M12" s="19">
        <f>[3]!tblPendTypeCR[[#Totals],[PCSC MP]]</f>
        <v>0</v>
      </c>
      <c r="N12" s="19">
        <f>[3]!tblPendTypeCR[[#Totals],[Trillium Lane]]</f>
        <v>0</v>
      </c>
      <c r="O12" s="19">
        <f>[3]!tblPendTypeCR[[#Totals],[Trillium TriCo]]</f>
        <v>0</v>
      </c>
      <c r="P12" s="19">
        <f>[3]!tblPendTypeCR[[#Totals],[Umpqua]]</f>
        <v>0</v>
      </c>
      <c r="Q12" s="19">
        <f>[3]!tblPendTypeCR[[#Totals],[Yamhill County]]</f>
        <v>0</v>
      </c>
      <c r="R12" s="19">
        <v>0</v>
      </c>
      <c r="S12" s="8">
        <f t="shared" si="4"/>
        <v>0</v>
      </c>
    </row>
    <row r="13" spans="1:19" x14ac:dyDescent="0.35">
      <c r="A13" s="7" t="s">
        <v>20</v>
      </c>
      <c r="B13" s="19">
        <f>IF(B12="","",B11-B12)</f>
        <v>7</v>
      </c>
      <c r="C13" s="19">
        <f t="shared" ref="C13:R13" si="5">IF(C12="","",C11-C12)</f>
        <v>13</v>
      </c>
      <c r="D13" s="19">
        <f t="shared" si="5"/>
        <v>1</v>
      </c>
      <c r="E13" s="19">
        <f t="shared" si="5"/>
        <v>4</v>
      </c>
      <c r="F13" s="19">
        <f t="shared" si="5"/>
        <v>28</v>
      </c>
      <c r="G13" s="19">
        <f t="shared" si="5"/>
        <v>133</v>
      </c>
      <c r="H13" s="19">
        <f t="shared" si="5"/>
        <v>28</v>
      </c>
      <c r="I13" s="19">
        <f t="shared" si="5"/>
        <v>9</v>
      </c>
      <c r="J13" s="19">
        <f t="shared" si="5"/>
        <v>1</v>
      </c>
      <c r="K13" s="19">
        <f t="shared" si="5"/>
        <v>22</v>
      </c>
      <c r="L13" s="19">
        <f t="shared" si="5"/>
        <v>36</v>
      </c>
      <c r="M13" s="19">
        <f t="shared" si="5"/>
        <v>36</v>
      </c>
      <c r="N13" s="19">
        <f t="shared" si="5"/>
        <v>5</v>
      </c>
      <c r="O13" s="19">
        <f t="shared" si="5"/>
        <v>2</v>
      </c>
      <c r="P13" s="19">
        <f t="shared" si="5"/>
        <v>17</v>
      </c>
      <c r="Q13" s="19">
        <f t="shared" si="5"/>
        <v>0</v>
      </c>
      <c r="R13" s="19">
        <f t="shared" si="5"/>
        <v>7</v>
      </c>
      <c r="S13" s="8">
        <f t="shared" si="4"/>
        <v>349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19">
        <f>[3]!tblTypeQC[[#Totals],[Advanced Health]]</f>
        <v>28</v>
      </c>
      <c r="C15" s="19">
        <f>[3]!tblTypeQC[[#Totals],[AllCare]]</f>
        <v>14</v>
      </c>
      <c r="D15" s="19">
        <f>[3]!tblTypeQC[[#Totals],[Cascade Health]]</f>
        <v>0</v>
      </c>
      <c r="E15" s="19">
        <f>[3]!tblTypeQC[[#Totals],[Columbia Pacific]]</f>
        <v>6</v>
      </c>
      <c r="F15" s="19">
        <f>[3]!tblTypeQC[[#Totals],[Eastern Oregon]]</f>
        <v>35</v>
      </c>
      <c r="G15" s="19">
        <f>[3]!tblTypeQC[[#Totals],[Health Share]]</f>
        <v>310</v>
      </c>
      <c r="H15" s="19">
        <f>[3]!tblTypeQC[[#Totals],[IHN]]</f>
        <v>24</v>
      </c>
      <c r="I15" s="19">
        <f>[3]!tblTypeQC[[#Totals],[Jackson Care]]</f>
        <v>16</v>
      </c>
      <c r="J15" s="19">
        <f>[3]!tblTypeQC[[#Totals],[PCSC CG]]</f>
        <v>3</v>
      </c>
      <c r="K15" s="19">
        <f>[3]!tblTypeQC[[#Totals],[PCSC CO]]</f>
        <v>13</v>
      </c>
      <c r="L15" s="19">
        <f>[3]!tblTypeQC[[#Totals],[PCSC Lane]]</f>
        <v>45</v>
      </c>
      <c r="M15" s="19">
        <f>[3]!tblTypeQC[[#Totals],[PCSC MP]]</f>
        <v>48</v>
      </c>
      <c r="N15" s="19">
        <f>[3]!tblTypeQC[[#Totals],[Trillium Lane]]</f>
        <v>11</v>
      </c>
      <c r="O15" s="19">
        <f>[3]!tblTypeQC[[#Totals],[Trillium TriCo]]</f>
        <v>1</v>
      </c>
      <c r="P15" s="19">
        <f>[3]!tblTypeQC[[#Totals],[Umpqua]]</f>
        <v>4</v>
      </c>
      <c r="Q15" s="19">
        <f>[3]!tblTypeQC[[#Totals],[Yamhill County]]</f>
        <v>0</v>
      </c>
      <c r="R15" s="19">
        <v>54</v>
      </c>
      <c r="S15" s="8">
        <f t="shared" ref="S15:S17" si="6">SUM(B15:R15)</f>
        <v>612</v>
      </c>
    </row>
    <row r="16" spans="1:19" x14ac:dyDescent="0.35">
      <c r="A16" s="7" t="s">
        <v>19</v>
      </c>
      <c r="B16" s="19">
        <f>[3]!tblPendTypeQC[[#Totals],[Advanced Health]]</f>
        <v>0</v>
      </c>
      <c r="C16" s="19">
        <f>[3]!tblPendTypeQC[[#Totals],[AllCare]]</f>
        <v>0</v>
      </c>
      <c r="D16" s="19">
        <f>[3]!tblPendTypeQC[[#Totals],[Cascade Health]]</f>
        <v>0</v>
      </c>
      <c r="E16" s="19">
        <f>[3]!tblPendTypeQC[[#Totals],[Columbia Pacific]]</f>
        <v>0</v>
      </c>
      <c r="F16" s="19">
        <f>[3]!tblPendTypeQC[[#Totals],[Eastern Oregon]]</f>
        <v>0</v>
      </c>
      <c r="G16" s="19">
        <f>[3]!tblPendTypeQC[[#Totals],[Health Share]]</f>
        <v>0</v>
      </c>
      <c r="H16" s="19">
        <f>[3]!tblPendTypeQC[[#Totals],[IHN]]</f>
        <v>0</v>
      </c>
      <c r="I16" s="19">
        <f>[3]!tblPendTypeQC[[#Totals],[Jackson Care]]</f>
        <v>0</v>
      </c>
      <c r="J16" s="19">
        <f>[3]!tblPendTypeQC[[#Totals],[PCSC CG]]</f>
        <v>0</v>
      </c>
      <c r="K16" s="19">
        <f>[3]!tblPendTypeQC[[#Totals],[PCSC CO]]</f>
        <v>0</v>
      </c>
      <c r="L16" s="19">
        <f>[3]!tblPendTypeQC[[#Totals],[PCSC Lane]]</f>
        <v>0</v>
      </c>
      <c r="M16" s="19">
        <f>[3]!tblPendTypeQC[[#Totals],[PCSC MP]]</f>
        <v>0</v>
      </c>
      <c r="N16" s="19">
        <f>[3]!tblPendTypeQC[[#Totals],[Trillium Lane]]</f>
        <v>0</v>
      </c>
      <c r="O16" s="19">
        <f>[3]!tblPendTypeQC[[#Totals],[Trillium TriCo]]</f>
        <v>0</v>
      </c>
      <c r="P16" s="19">
        <f>[3]!tblPendTypeQC[[#Totals],[Umpqua]]</f>
        <v>0</v>
      </c>
      <c r="Q16" s="19">
        <f>[3]!tblPendTypeQC[[#Totals],[Yamhill County]]</f>
        <v>0</v>
      </c>
      <c r="R16" s="19">
        <v>0</v>
      </c>
      <c r="S16" s="8">
        <f t="shared" si="6"/>
        <v>0</v>
      </c>
    </row>
    <row r="17" spans="1:20" x14ac:dyDescent="0.35">
      <c r="A17" s="7" t="s">
        <v>20</v>
      </c>
      <c r="B17" s="19">
        <f>IF(B16="","",B15-B16)</f>
        <v>28</v>
      </c>
      <c r="C17" s="19">
        <f t="shared" ref="C17:R17" si="7">IF(C16="","",C15-C16)</f>
        <v>14</v>
      </c>
      <c r="D17" s="19">
        <f t="shared" si="7"/>
        <v>0</v>
      </c>
      <c r="E17" s="19">
        <f t="shared" si="7"/>
        <v>6</v>
      </c>
      <c r="F17" s="19">
        <f t="shared" si="7"/>
        <v>35</v>
      </c>
      <c r="G17" s="19">
        <f t="shared" si="7"/>
        <v>310</v>
      </c>
      <c r="H17" s="19">
        <f t="shared" si="7"/>
        <v>24</v>
      </c>
      <c r="I17" s="19">
        <f t="shared" si="7"/>
        <v>16</v>
      </c>
      <c r="J17" s="19">
        <f t="shared" si="7"/>
        <v>3</v>
      </c>
      <c r="K17" s="19">
        <f t="shared" si="7"/>
        <v>13</v>
      </c>
      <c r="L17" s="19">
        <f t="shared" si="7"/>
        <v>45</v>
      </c>
      <c r="M17" s="19">
        <f t="shared" si="7"/>
        <v>48</v>
      </c>
      <c r="N17" s="19">
        <f t="shared" si="7"/>
        <v>11</v>
      </c>
      <c r="O17" s="19">
        <f t="shared" si="7"/>
        <v>1</v>
      </c>
      <c r="P17" s="19">
        <f t="shared" si="7"/>
        <v>4</v>
      </c>
      <c r="Q17" s="19">
        <f t="shared" si="7"/>
        <v>0</v>
      </c>
      <c r="R17" s="19">
        <f t="shared" si="7"/>
        <v>54</v>
      </c>
      <c r="S17" s="8">
        <f t="shared" si="6"/>
        <v>612</v>
      </c>
    </row>
    <row r="18" spans="1:20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5">
      <c r="A19" s="7" t="s">
        <v>18</v>
      </c>
      <c r="B19" s="19">
        <f>[3]!tblTypeQS[[#Totals],[Advanced Health]]</f>
        <v>7</v>
      </c>
      <c r="C19" s="19">
        <f>[3]!tblTypeQS[[#Totals],[AllCare]]</f>
        <v>2</v>
      </c>
      <c r="D19" s="19">
        <f>[3]!tblTypeQS[[#Totals],[Cascade Health]]</f>
        <v>2</v>
      </c>
      <c r="E19" s="19">
        <f>[3]!tblTypeQS[[#Totals],[Columbia Pacific]]</f>
        <v>3</v>
      </c>
      <c r="F19" s="19">
        <f>[3]!tblTypeQS[[#Totals],[Eastern Oregon]]</f>
        <v>9</v>
      </c>
      <c r="G19" s="19">
        <f>[3]!tblTypeQS[[#Totals],[Health Share]]</f>
        <v>57</v>
      </c>
      <c r="H19" s="19">
        <f>[3]!tblTypeQS[[#Totals],[IHN]]</f>
        <v>15</v>
      </c>
      <c r="I19" s="19">
        <f>[3]!tblTypeQS[[#Totals],[Jackson Care]]</f>
        <v>6</v>
      </c>
      <c r="J19" s="19">
        <f>[3]!tblTypeQS[[#Totals],[PCSC CG]]</f>
        <v>0</v>
      </c>
      <c r="K19" s="19">
        <f>[3]!tblTypeQS[[#Totals],[PCSC CO]]</f>
        <v>10</v>
      </c>
      <c r="L19" s="19">
        <f>[3]!tblTypeQS[[#Totals],[PCSC Lane]]</f>
        <v>9</v>
      </c>
      <c r="M19" s="19">
        <f>[3]!tblTypeQS[[#Totals],[PCSC MP]]</f>
        <v>23</v>
      </c>
      <c r="N19" s="19">
        <f>[3]!tblTypeQS[[#Totals],[Trillium Lane]]</f>
        <v>8</v>
      </c>
      <c r="O19" s="19">
        <f>[3]!tblTypeQS[[#Totals],[Trillium TriCo]]</f>
        <v>3</v>
      </c>
      <c r="P19" s="19">
        <f>[3]!tblTypeQS[[#Totals],[Umpqua]]</f>
        <v>14</v>
      </c>
      <c r="Q19" s="19">
        <f>[3]!tblTypeQS[[#Totals],[Yamhill County]]</f>
        <v>0</v>
      </c>
      <c r="R19" s="19">
        <v>30</v>
      </c>
      <c r="S19" s="8">
        <f t="shared" ref="S19:S21" si="8">SUM(B19:R19)</f>
        <v>198</v>
      </c>
    </row>
    <row r="20" spans="1:20" x14ac:dyDescent="0.35">
      <c r="A20" s="7" t="s">
        <v>19</v>
      </c>
      <c r="B20" s="19">
        <f>[3]!tblPendTypeQS[[#Totals],[Advanced Health]]</f>
        <v>0</v>
      </c>
      <c r="C20" s="19">
        <f>[3]!tblPendTypeQS[[#Totals],[AllCare]]</f>
        <v>0</v>
      </c>
      <c r="D20" s="19">
        <f>[3]!tblPendTypeQS[[#Totals],[Cascade Health]]</f>
        <v>0</v>
      </c>
      <c r="E20" s="19">
        <f>[3]!tblPendTypeQS[[#Totals],[Columbia Pacific]]</f>
        <v>0</v>
      </c>
      <c r="F20" s="19">
        <f>[3]!tblPendTypeQS[[#Totals],[Eastern Oregon]]</f>
        <v>0</v>
      </c>
      <c r="G20" s="19">
        <f>[3]!tblPendTypeQS[[#Totals],[Health Share]]</f>
        <v>0</v>
      </c>
      <c r="H20" s="19">
        <f>[3]!tblPendTypeQS[[#Totals],[IHN]]</f>
        <v>0</v>
      </c>
      <c r="I20" s="19">
        <f>[3]!tblPendTypeQS[[#Totals],[Jackson Care]]</f>
        <v>0</v>
      </c>
      <c r="J20" s="19">
        <f>[3]!tblPendTypeQS[[#Totals],[PCSC CG]]</f>
        <v>0</v>
      </c>
      <c r="K20" s="19">
        <f>[3]!tblPendTypeQS[[#Totals],[PCSC CO]]</f>
        <v>0</v>
      </c>
      <c r="L20" s="19">
        <f>[3]!tblPendTypeQS[[#Totals],[PCSC Lane]]</f>
        <v>0</v>
      </c>
      <c r="M20" s="19">
        <f>[3]!tblPendTypeQS[[#Totals],[PCSC MP]]</f>
        <v>0</v>
      </c>
      <c r="N20" s="19">
        <f>[3]!tblPendTypeQS[[#Totals],[Trillium Lane]]</f>
        <v>0</v>
      </c>
      <c r="O20" s="19">
        <f>[3]!tblPendTypeQS[[#Totals],[Trillium TriCo]]</f>
        <v>0</v>
      </c>
      <c r="P20" s="19">
        <f>[3]!tblPendTypeQS[[#Totals],[Umpqua]]</f>
        <v>0</v>
      </c>
      <c r="Q20" s="19">
        <f>[3]!tblPendTypeQS[[#Totals],[Yamhill County]]</f>
        <v>0</v>
      </c>
      <c r="R20" s="19">
        <v>0</v>
      </c>
      <c r="S20" s="8">
        <f t="shared" si="8"/>
        <v>0</v>
      </c>
    </row>
    <row r="21" spans="1:20" x14ac:dyDescent="0.35">
      <c r="A21" s="7" t="s">
        <v>20</v>
      </c>
      <c r="B21" s="19">
        <f>IF(B20="","",B19-B20)</f>
        <v>7</v>
      </c>
      <c r="C21" s="19">
        <f t="shared" ref="C21:R21" si="9">IF(C20="","",C19-C20)</f>
        <v>2</v>
      </c>
      <c r="D21" s="19">
        <f t="shared" si="9"/>
        <v>2</v>
      </c>
      <c r="E21" s="19">
        <f t="shared" si="9"/>
        <v>3</v>
      </c>
      <c r="F21" s="19">
        <f t="shared" si="9"/>
        <v>9</v>
      </c>
      <c r="G21" s="19">
        <f t="shared" si="9"/>
        <v>57</v>
      </c>
      <c r="H21" s="19">
        <f t="shared" si="9"/>
        <v>15</v>
      </c>
      <c r="I21" s="19">
        <f t="shared" si="9"/>
        <v>6</v>
      </c>
      <c r="J21" s="19">
        <f t="shared" si="9"/>
        <v>0</v>
      </c>
      <c r="K21" s="19">
        <f t="shared" si="9"/>
        <v>10</v>
      </c>
      <c r="L21" s="19">
        <f t="shared" si="9"/>
        <v>9</v>
      </c>
      <c r="M21" s="19">
        <f t="shared" si="9"/>
        <v>23</v>
      </c>
      <c r="N21" s="19">
        <f t="shared" si="9"/>
        <v>8</v>
      </c>
      <c r="O21" s="19">
        <f t="shared" si="9"/>
        <v>3</v>
      </c>
      <c r="P21" s="19">
        <f t="shared" si="9"/>
        <v>14</v>
      </c>
      <c r="Q21" s="19">
        <f t="shared" si="9"/>
        <v>0</v>
      </c>
      <c r="R21" s="19">
        <f t="shared" si="9"/>
        <v>30</v>
      </c>
      <c r="S21" s="8">
        <f t="shared" si="8"/>
        <v>198</v>
      </c>
    </row>
    <row r="22" spans="1:20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5">
      <c r="A23" s="7" t="s">
        <v>18</v>
      </c>
      <c r="B23" s="19">
        <f>[3]!tblTypeCB[[#Totals],[Advanced Health]]</f>
        <v>66</v>
      </c>
      <c r="C23" s="19">
        <f>[3]!tblTypeCB[[#Totals],[AllCare]]</f>
        <v>0</v>
      </c>
      <c r="D23" s="19">
        <f>[3]!tblTypeCB[[#Totals],[Cascade Health]]</f>
        <v>2</v>
      </c>
      <c r="E23" s="19">
        <f>[3]!tblTypeCB[[#Totals],[Columbia Pacific]]</f>
        <v>13</v>
      </c>
      <c r="F23" s="19">
        <f>[3]!tblTypeCB[[#Totals],[Eastern Oregon]]</f>
        <v>13</v>
      </c>
      <c r="G23" s="19">
        <f>[3]!tblTypeCB[[#Totals],[Health Share]]</f>
        <v>106</v>
      </c>
      <c r="H23" s="19">
        <f>[3]!tblTypeCB[[#Totals],[IHN]]</f>
        <v>20</v>
      </c>
      <c r="I23" s="19">
        <f>[3]!tblTypeCB[[#Totals],[Jackson Care]]</f>
        <v>26</v>
      </c>
      <c r="J23" s="19">
        <f>[3]!tblTypeCB[[#Totals],[PCSC CG]]</f>
        <v>2</v>
      </c>
      <c r="K23" s="19">
        <f>[3]!tblTypeCB[[#Totals],[PCSC CO]]</f>
        <v>19</v>
      </c>
      <c r="L23" s="19">
        <f>[3]!tblTypeCB[[#Totals],[PCSC Lane]]</f>
        <v>18</v>
      </c>
      <c r="M23" s="19">
        <f>[3]!tblTypeCB[[#Totals],[PCSC MP]]</f>
        <v>25</v>
      </c>
      <c r="N23" s="19">
        <f>[3]!tblTypeCB[[#Totals],[Trillium Lane]]</f>
        <v>38</v>
      </c>
      <c r="O23" s="19">
        <f>[3]!tblTypeCB[[#Totals],[Trillium TriCo]]</f>
        <v>68</v>
      </c>
      <c r="P23" s="19">
        <f>[3]!tblTypeCB[[#Totals],[Umpqua]]</f>
        <v>6</v>
      </c>
      <c r="Q23" s="19">
        <f>[3]!tblTypeCB[[#Totals],[Yamhill County]]</f>
        <v>0</v>
      </c>
      <c r="R23" s="19">
        <v>16</v>
      </c>
      <c r="S23" s="8">
        <f t="shared" ref="S23" si="10">SUM(B23:R23)</f>
        <v>438</v>
      </c>
    </row>
    <row r="24" spans="1:20" x14ac:dyDescent="0.35">
      <c r="A24" s="7" t="s">
        <v>19</v>
      </c>
      <c r="B24" s="19">
        <f>[3]!tblPendTypeCB[[#Totals],[Advanced Health]]</f>
        <v>0</v>
      </c>
      <c r="C24" s="19">
        <f>[3]!tblPendTypeCB[[#Totals],[AllCare]]</f>
        <v>0</v>
      </c>
      <c r="D24" s="19">
        <f>[3]!tblPendTypeCB[[#Totals],[Cascade Health]]</f>
        <v>0</v>
      </c>
      <c r="E24" s="19">
        <f>[3]!tblPendTypeCB[[#Totals],[Columbia Pacific]]</f>
        <v>0</v>
      </c>
      <c r="F24" s="19">
        <f>[3]!tblPendTypeCB[[#Totals],[Eastern Oregon]]</f>
        <v>0</v>
      </c>
      <c r="G24" s="19">
        <f>[3]!tblPendTypeCB[[#Totals],[Health Share]]</f>
        <v>0</v>
      </c>
      <c r="H24" s="19">
        <f>[3]!tblPendTypeCB[[#Totals],[IHN]]</f>
        <v>0</v>
      </c>
      <c r="I24" s="19">
        <f>[3]!tblPendTypeCB[[#Totals],[Jackson Care]]</f>
        <v>0</v>
      </c>
      <c r="J24" s="19">
        <f>[3]!tblPendTypeCB[[#Totals],[PCSC CG]]</f>
        <v>0</v>
      </c>
      <c r="K24" s="19">
        <f>[3]!tblPendTypeCB[[#Totals],[PCSC CO]]</f>
        <v>0</v>
      </c>
      <c r="L24" s="19">
        <f>[3]!tblPendTypeCB[[#Totals],[PCSC Lane]]</f>
        <v>0</v>
      </c>
      <c r="M24" s="19">
        <f>[3]!tblPendTypeCB[[#Totals],[PCSC MP]]</f>
        <v>0</v>
      </c>
      <c r="N24" s="19">
        <f>[3]!tblPendTypeCB[[#Totals],[Trillium Lane]]</f>
        <v>0</v>
      </c>
      <c r="O24" s="19">
        <f>[3]!tblPendTypeCB[[#Totals],[Trillium TriCo]]</f>
        <v>0</v>
      </c>
      <c r="P24" s="19">
        <f>[3]!tblPendTypeCB[[#Totals],[Umpqua]]</f>
        <v>0</v>
      </c>
      <c r="Q24" s="19">
        <f>[3]!tblPendTypeCB[[#Totals],[Yamhill County]]</f>
        <v>0</v>
      </c>
      <c r="R24" s="19">
        <v>0</v>
      </c>
      <c r="S24" s="8">
        <v>0</v>
      </c>
    </row>
    <row r="25" spans="1:20" x14ac:dyDescent="0.35">
      <c r="A25" s="7" t="s">
        <v>20</v>
      </c>
      <c r="B25" s="19">
        <f>IF(B24="","",B23-B24)</f>
        <v>66</v>
      </c>
      <c r="C25" s="19">
        <f t="shared" ref="C25:R25" si="11">IF(C24="","",C23-C24)</f>
        <v>0</v>
      </c>
      <c r="D25" s="19">
        <f t="shared" si="11"/>
        <v>2</v>
      </c>
      <c r="E25" s="19">
        <f t="shared" si="11"/>
        <v>13</v>
      </c>
      <c r="F25" s="19">
        <f t="shared" si="11"/>
        <v>13</v>
      </c>
      <c r="G25" s="19">
        <f t="shared" si="11"/>
        <v>106</v>
      </c>
      <c r="H25" s="19">
        <f t="shared" si="11"/>
        <v>20</v>
      </c>
      <c r="I25" s="19">
        <f t="shared" si="11"/>
        <v>26</v>
      </c>
      <c r="J25" s="19">
        <f t="shared" si="11"/>
        <v>2</v>
      </c>
      <c r="K25" s="19">
        <f t="shared" si="11"/>
        <v>19</v>
      </c>
      <c r="L25" s="19">
        <f t="shared" si="11"/>
        <v>18</v>
      </c>
      <c r="M25" s="19">
        <f t="shared" si="11"/>
        <v>25</v>
      </c>
      <c r="N25" s="19">
        <f t="shared" si="11"/>
        <v>38</v>
      </c>
      <c r="O25" s="19">
        <f t="shared" si="11"/>
        <v>68</v>
      </c>
      <c r="P25" s="19">
        <f t="shared" si="11"/>
        <v>6</v>
      </c>
      <c r="Q25" s="19">
        <f t="shared" si="11"/>
        <v>0</v>
      </c>
      <c r="R25" s="19">
        <f t="shared" si="11"/>
        <v>16</v>
      </c>
      <c r="S25" s="8">
        <f>SUM(B25:R25)</f>
        <v>438</v>
      </c>
    </row>
    <row r="26" spans="1:20" ht="30" customHeight="1" x14ac:dyDescent="0.3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f t="shared" ref="S26:S28" si="12">SUM(B26:R26)</f>
        <v>0</v>
      </c>
    </row>
    <row r="27" spans="1:20" x14ac:dyDescent="0.35">
      <c r="A27" s="11" t="s">
        <v>19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f>S4+S8+S12+S16+S20+S24</f>
        <v>0</v>
      </c>
      <c r="T27" s="17"/>
    </row>
    <row r="28" spans="1:20" x14ac:dyDescent="0.35">
      <c r="A28" s="1" t="s">
        <v>28</v>
      </c>
      <c r="B28" s="8">
        <f t="shared" ref="B28:Q28" si="13">SUM(B3,B7,B11,B15,B19,B23,B26)</f>
        <v>166</v>
      </c>
      <c r="C28" s="8">
        <f t="shared" si="13"/>
        <v>56</v>
      </c>
      <c r="D28" s="8">
        <f t="shared" si="13"/>
        <v>56</v>
      </c>
      <c r="E28" s="8">
        <f t="shared" si="13"/>
        <v>63</v>
      </c>
      <c r="F28" s="8">
        <f t="shared" si="13"/>
        <v>270</v>
      </c>
      <c r="G28" s="8">
        <f t="shared" si="13"/>
        <v>2036</v>
      </c>
      <c r="H28" s="8">
        <f t="shared" si="13"/>
        <v>246</v>
      </c>
      <c r="I28" s="8">
        <f t="shared" si="13"/>
        <v>135</v>
      </c>
      <c r="J28" s="8">
        <f t="shared" si="13"/>
        <v>31</v>
      </c>
      <c r="K28" s="8">
        <f t="shared" si="13"/>
        <v>237</v>
      </c>
      <c r="L28" s="8">
        <f>SUM(L3,L7,L11,L15,L19,L23,L26)</f>
        <v>500</v>
      </c>
      <c r="M28" s="8">
        <f t="shared" si="13"/>
        <v>516</v>
      </c>
      <c r="N28" s="8">
        <f t="shared" si="13"/>
        <v>149</v>
      </c>
      <c r="O28" s="8">
        <f t="shared" si="13"/>
        <v>118</v>
      </c>
      <c r="P28" s="8">
        <f t="shared" si="13"/>
        <v>105</v>
      </c>
      <c r="Q28" s="8">
        <f t="shared" si="13"/>
        <v>0</v>
      </c>
      <c r="R28" s="8">
        <v>150</v>
      </c>
      <c r="S28" s="8">
        <f t="shared" si="12"/>
        <v>4834</v>
      </c>
    </row>
    <row r="29" spans="1:20" x14ac:dyDescent="0.35">
      <c r="A29" s="1" t="s">
        <v>37</v>
      </c>
      <c r="B29" s="20">
        <v>29442</v>
      </c>
      <c r="C29" s="20">
        <v>68164</v>
      </c>
      <c r="D29" s="20">
        <v>27562</v>
      </c>
      <c r="E29" s="20">
        <v>31842</v>
      </c>
      <c r="F29" s="20">
        <v>81791</v>
      </c>
      <c r="G29" s="20">
        <v>481302</v>
      </c>
      <c r="H29" s="20">
        <v>88795</v>
      </c>
      <c r="I29" s="20">
        <v>58518</v>
      </c>
      <c r="J29" s="20">
        <v>18210</v>
      </c>
      <c r="K29" s="20">
        <v>76599</v>
      </c>
      <c r="L29" s="18">
        <v>91832</v>
      </c>
      <c r="M29" s="20">
        <v>151752</v>
      </c>
      <c r="N29" s="20">
        <v>37835</v>
      </c>
      <c r="O29" s="20">
        <v>65623</v>
      </c>
      <c r="P29" s="20">
        <v>41103</v>
      </c>
      <c r="Q29" s="20">
        <v>0</v>
      </c>
      <c r="R29" s="16">
        <v>255406</v>
      </c>
      <c r="S29" s="12">
        <f>SUM(B29:R29)</f>
        <v>1605776</v>
      </c>
    </row>
    <row r="30" spans="1:20" x14ac:dyDescent="0.35">
      <c r="A30" s="1" t="s">
        <v>29</v>
      </c>
      <c r="B30" s="14">
        <f t="shared" ref="B30:S30" si="14">IFERROR(B28/B29*1000,0)</f>
        <v>5.6382039263636976</v>
      </c>
      <c r="C30" s="14">
        <f t="shared" si="14"/>
        <v>0.82154803121882525</v>
      </c>
      <c r="D30" s="14">
        <f t="shared" si="14"/>
        <v>2.0317828894855237</v>
      </c>
      <c r="E30" s="14">
        <f t="shared" si="14"/>
        <v>1.978518937252685</v>
      </c>
      <c r="F30" s="14">
        <f t="shared" si="14"/>
        <v>3.3010966976806739</v>
      </c>
      <c r="G30" s="14">
        <f t="shared" si="14"/>
        <v>4.2301922701339283</v>
      </c>
      <c r="H30" s="14">
        <f t="shared" si="14"/>
        <v>2.7704262627400191</v>
      </c>
      <c r="I30" s="14">
        <f t="shared" si="14"/>
        <v>2.3069824669332513</v>
      </c>
      <c r="J30" s="14">
        <f t="shared" si="14"/>
        <v>1.702361339923119</v>
      </c>
      <c r="K30" s="14">
        <f t="shared" si="14"/>
        <v>3.0940351701719346</v>
      </c>
      <c r="L30" s="14">
        <f t="shared" si="14"/>
        <v>5.4447251502744143</v>
      </c>
      <c r="M30" s="14">
        <f t="shared" si="14"/>
        <v>3.4002846749960458</v>
      </c>
      <c r="N30" s="14">
        <f t="shared" si="14"/>
        <v>3.9381525042949646</v>
      </c>
      <c r="O30" s="14">
        <f t="shared" si="14"/>
        <v>1.7981500388583269</v>
      </c>
      <c r="P30" s="14">
        <f t="shared" si="14"/>
        <v>2.5545580614553685</v>
      </c>
      <c r="Q30" s="14">
        <f t="shared" si="14"/>
        <v>0</v>
      </c>
      <c r="R30" s="14">
        <f t="shared" si="14"/>
        <v>0.5873002200418157</v>
      </c>
      <c r="S30" s="14">
        <f t="shared" si="14"/>
        <v>3.0103825191060269</v>
      </c>
    </row>
    <row r="31" spans="1:20" ht="31.5" customHeight="1" x14ac:dyDescent="0.35">
      <c r="G31" s="22" t="s">
        <v>40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mergeCells count="1">
    <mergeCell ref="G31:S31"/>
  </mergeCells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https://www.oregon.gov/oha/HSD/Medicaid-Policy/QuarterlyAnnualReports/Appendix-B-DY22Q2.xlsx</Url>
      <Description>Appendix B - DY22 Q2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8DC8AF81-8CD1-4413-A5EC-11E9EBE312CB}"/>
</file>

<file path=customXml/itemProps2.xml><?xml version="1.0" encoding="utf-8"?>
<ds:datastoreItem xmlns:ds="http://schemas.openxmlformats.org/officeDocument/2006/customXml" ds:itemID="{C45699C0-AF71-492A-B60C-A3E477ACBEC9}"/>
</file>

<file path=customXml/itemProps3.xml><?xml version="1.0" encoding="utf-8"?>
<ds:datastoreItem xmlns:ds="http://schemas.openxmlformats.org/officeDocument/2006/customXml" ds:itemID="{91BE5494-F22B-4B8F-B8B9-ED6784813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DY22 Q2 CCO Complaints Summary</dc:title>
  <dc:creator>Post Andrew W</dc:creator>
  <cp:lastModifiedBy>Brown Ann L</cp:lastModifiedBy>
  <dcterms:created xsi:type="dcterms:W3CDTF">2019-02-22T23:07:36Z</dcterms:created>
  <dcterms:modified xsi:type="dcterms:W3CDTF">2024-05-22T20:06:07Z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6575b2-0a46-484c-818c-2622a2b78303_Enabled">
    <vt:lpwstr>true</vt:lpwstr>
  </property>
  <property fmtid="{D5CDD505-2E9C-101B-9397-08002B2CF9AE}" pid="3" name="MSIP_Label_a76575b2-0a46-484c-818c-2622a2b78303_SetDate">
    <vt:lpwstr>2024-05-21T18:46:54Z</vt:lpwstr>
  </property>
  <property fmtid="{D5CDD505-2E9C-101B-9397-08002B2CF9AE}" pid="4" name="MSIP_Label_a76575b2-0a46-484c-818c-2622a2b78303_Method">
    <vt:lpwstr>Privileged</vt:lpwstr>
  </property>
  <property fmtid="{D5CDD505-2E9C-101B-9397-08002B2CF9AE}" pid="5" name="MSIP_Label_a76575b2-0a46-484c-818c-2622a2b78303_Name">
    <vt:lpwstr>Level 3 - Restricted (Items)</vt:lpwstr>
  </property>
  <property fmtid="{D5CDD505-2E9C-101B-9397-08002B2CF9AE}" pid="6" name="MSIP_Label_a76575b2-0a46-484c-818c-2622a2b78303_SiteId">
    <vt:lpwstr>658e63e8-8d39-499c-8f48-13adc9452f4c</vt:lpwstr>
  </property>
  <property fmtid="{D5CDD505-2E9C-101B-9397-08002B2CF9AE}" pid="7" name="MSIP_Label_a76575b2-0a46-484c-818c-2622a2b78303_ActionId">
    <vt:lpwstr>0a85f013-395a-40ad-9403-e256b02b0792</vt:lpwstr>
  </property>
  <property fmtid="{D5CDD505-2E9C-101B-9397-08002B2CF9AE}" pid="8" name="MSIP_Label_a76575b2-0a46-484c-818c-2622a2b78303_ContentBits">
    <vt:lpwstr>2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ae1f72d3-5367-4409-98bd-27ca16e357b6,4;</vt:lpwstr>
  </property>
</Properties>
</file>