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xl/comments3.xml" ContentType="application/vnd.openxmlformats-officedocument.spreadsheetml.comments+xml"/>
  <Override PartName="/xl/comments6.xml" ContentType="application/vnd.openxmlformats-officedocument.spreadsheetml.comments+xml"/>
  <Override PartName="/xl/comments5.xml" ContentType="application/vnd.openxmlformats-officedocument.spreadsheetml.comments+xml"/>
  <Override PartName="/xl/comments7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I:\PH Modernization\PHAB\Incentives and Funding Subcommittee\funding formula guidance and framework\2021 update\"/>
    </mc:Choice>
  </mc:AlternateContent>
  <xr:revisionPtr revIDLastSave="0" documentId="8_{0A142578-5F79-4046-8B61-E050786AA1BC}" xr6:coauthVersionLast="47" xr6:coauthVersionMax="47" xr10:uidLastSave="{00000000-0000-0000-0000-000000000000}"/>
  <bookViews>
    <workbookView xWindow="-120" yWindow="-120" windowWidth="25440" windowHeight="15390" tabRatio="684" firstSheet="1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Rurality!$B$6:$H$40</definedName>
    <definedName name="_xlnm.Print_Area" localSheetId="2">'County Data'!$A$1:$P$48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2" l="1"/>
  <c r="S12" i="21" l="1"/>
  <c r="R12" i="21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G5" i="1" l="1"/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9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Q8" i="2" s="1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9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C3" i="8"/>
  <c r="C3" i="4"/>
  <c r="C2" i="9"/>
  <c r="C3" i="9" s="1"/>
  <c r="C3" i="14"/>
  <c r="C43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37" i="15" l="1"/>
  <c r="E39" i="15"/>
  <c r="E33" i="15"/>
  <c r="E16" i="15"/>
  <c r="E24" i="15"/>
  <c r="E26" i="15"/>
  <c r="E14" i="15"/>
  <c r="E27" i="15"/>
  <c r="E13" i="15"/>
  <c r="E7" i="2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P36" i="1"/>
  <c r="P9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P39" i="1"/>
  <c r="P13" i="1"/>
  <c r="P11" i="1"/>
  <c r="P29" i="1"/>
  <c r="P14" i="1"/>
  <c r="P18" i="1"/>
  <c r="P17" i="1"/>
  <c r="P26" i="1"/>
  <c r="P10" i="1"/>
  <c r="P15" i="1"/>
  <c r="P42" i="1"/>
  <c r="P41" i="1"/>
  <c r="P21" i="1"/>
  <c r="P35" i="1"/>
  <c r="P24" i="1"/>
  <c r="P38" i="1"/>
  <c r="P25" i="1"/>
  <c r="P19" i="1"/>
  <c r="P23" i="1"/>
  <c r="P37" i="1"/>
  <c r="P12" i="1"/>
  <c r="P32" i="1"/>
  <c r="P31" i="1"/>
  <c r="P34" i="1"/>
  <c r="P28" i="1"/>
  <c r="P30" i="1"/>
  <c r="P40" i="1"/>
  <c r="P20" i="1"/>
  <c r="P27" i="1"/>
  <c r="P16" i="1"/>
  <c r="P22" i="1"/>
  <c r="P33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3" i="1" s="1"/>
  <c r="D15" i="1"/>
  <c r="E41" i="21"/>
  <c r="D9" i="1" s="1"/>
  <c r="E34" i="21"/>
  <c r="F34" i="21" s="1"/>
  <c r="E18" i="21"/>
  <c r="D12" i="1" s="1"/>
  <c r="E38" i="21"/>
  <c r="D10" i="1" s="1"/>
  <c r="E19" i="21"/>
  <c r="D11" i="1" s="1"/>
  <c r="E31" i="21"/>
  <c r="D14" i="1" s="1"/>
  <c r="E28" i="21"/>
  <c r="D35" i="1" s="1"/>
  <c r="E36" i="21"/>
  <c r="D29" i="1" s="1"/>
  <c r="E8" i="21"/>
  <c r="D32" i="1" s="1"/>
  <c r="E33" i="21"/>
  <c r="D30" i="1" s="1"/>
  <c r="E42" i="21"/>
  <c r="D33" i="1" s="1"/>
  <c r="E23" i="21"/>
  <c r="D31" i="1" s="1"/>
  <c r="E16" i="21"/>
  <c r="D34" i="1" s="1"/>
  <c r="E9" i="21"/>
  <c r="D40" i="1" s="1"/>
  <c r="E32" i="21"/>
  <c r="D42" i="1" s="1"/>
  <c r="E40" i="21"/>
  <c r="D41" i="1" s="1"/>
  <c r="E26" i="21"/>
  <c r="D39" i="1" s="1"/>
  <c r="E30" i="21"/>
  <c r="D38" i="1" s="1"/>
  <c r="E21" i="21"/>
  <c r="D37" i="1" s="1"/>
  <c r="E15" i="21"/>
  <c r="D36" i="1" s="1"/>
  <c r="E10" i="21"/>
  <c r="D24" i="1" s="1"/>
  <c r="E11" i="21"/>
  <c r="D26" i="1" s="1"/>
  <c r="E39" i="21"/>
  <c r="F39" i="21" s="1"/>
  <c r="E20" i="21"/>
  <c r="D19" i="1" s="1"/>
  <c r="E14" i="21"/>
  <c r="D17" i="1" s="1"/>
  <c r="E24" i="21"/>
  <c r="D28" i="1" s="1"/>
  <c r="E29" i="21"/>
  <c r="D23" i="1" s="1"/>
  <c r="E37" i="21"/>
  <c r="D21" i="1" s="1"/>
  <c r="E12" i="21"/>
  <c r="D27" i="1" s="1"/>
  <c r="E13" i="21"/>
  <c r="D16" i="1" s="1"/>
  <c r="E22" i="21"/>
  <c r="D18" i="1" s="1"/>
  <c r="E27" i="21"/>
  <c r="D25" i="1" s="1"/>
  <c r="E35" i="21"/>
  <c r="D20" i="1" s="1"/>
  <c r="E41" i="19"/>
  <c r="F26" i="19" s="1"/>
  <c r="P43" i="1"/>
  <c r="D41" i="4"/>
  <c r="C4" i="8"/>
  <c r="G9" i="8" s="1"/>
  <c r="E45" i="21" l="1"/>
  <c r="I39" i="8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M34" i="1" s="1"/>
  <c r="X13" i="9"/>
  <c r="M15" i="1" s="1"/>
  <c r="G36" i="14"/>
  <c r="E27" i="1" s="1"/>
  <c r="X17" i="9"/>
  <c r="Y17" i="9" s="1"/>
  <c r="F41" i="17"/>
  <c r="X33" i="9"/>
  <c r="M35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J28" i="1" s="1"/>
  <c r="F41" i="16"/>
  <c r="F41" i="20"/>
  <c r="F41" i="15"/>
  <c r="F45" i="21"/>
  <c r="D22" i="1"/>
  <c r="D43" i="1" s="1"/>
  <c r="G10" i="18"/>
  <c r="K12" i="1" s="1"/>
  <c r="G33" i="15"/>
  <c r="H33" i="15" s="1"/>
  <c r="G26" i="15"/>
  <c r="F26" i="1" s="1"/>
  <c r="G27" i="15"/>
  <c r="F20" i="1" s="1"/>
  <c r="G20" i="18"/>
  <c r="K35" i="1" s="1"/>
  <c r="G29" i="18"/>
  <c r="K40" i="1" s="1"/>
  <c r="G21" i="14"/>
  <c r="E23" i="1" s="1"/>
  <c r="G34" i="20"/>
  <c r="H34" i="20" s="1"/>
  <c r="G18" i="20"/>
  <c r="J15" i="1" s="1"/>
  <c r="G25" i="14"/>
  <c r="H25" i="14" s="1"/>
  <c r="G35" i="20"/>
  <c r="J13" i="1" s="1"/>
  <c r="G7" i="19"/>
  <c r="H7" i="19" s="1"/>
  <c r="G15" i="15"/>
  <c r="F40" i="1" s="1"/>
  <c r="G40" i="18"/>
  <c r="K14" i="1" s="1"/>
  <c r="G9" i="15"/>
  <c r="F13" i="1" s="1"/>
  <c r="G7" i="15"/>
  <c r="F36" i="1" s="1"/>
  <c r="G27" i="20"/>
  <c r="J37" i="1" s="1"/>
  <c r="G28" i="15"/>
  <c r="H28" i="15" s="1"/>
  <c r="G25" i="15"/>
  <c r="H25" i="15" s="1"/>
  <c r="G29" i="16"/>
  <c r="H29" i="16" s="1"/>
  <c r="G31" i="15"/>
  <c r="F28" i="1" s="1"/>
  <c r="G10" i="15"/>
  <c r="F41" i="1" s="1"/>
  <c r="G30" i="15"/>
  <c r="F25" i="1" s="1"/>
  <c r="G22" i="15"/>
  <c r="H22" i="15" s="1"/>
  <c r="G31" i="14"/>
  <c r="H31" i="14" s="1"/>
  <c r="G8" i="15"/>
  <c r="H8" i="15" s="1"/>
  <c r="G24" i="15"/>
  <c r="F33" i="1" s="1"/>
  <c r="G16" i="19"/>
  <c r="I36" i="1" s="1"/>
  <c r="G35" i="15"/>
  <c r="H35" i="15" s="1"/>
  <c r="G39" i="15"/>
  <c r="F23" i="1" s="1"/>
  <c r="G18" i="15"/>
  <c r="H18" i="15" s="1"/>
  <c r="G25" i="20"/>
  <c r="J25" i="1" s="1"/>
  <c r="G36" i="15"/>
  <c r="H36" i="15" s="1"/>
  <c r="G29" i="15"/>
  <c r="F19" i="1" s="1"/>
  <c r="G34" i="15"/>
  <c r="H34" i="15" s="1"/>
  <c r="G39" i="14"/>
  <c r="H39" i="14" s="1"/>
  <c r="G38" i="14"/>
  <c r="E18" i="1" s="1"/>
  <c r="G40" i="14"/>
  <c r="E17" i="1" s="1"/>
  <c r="G10" i="14"/>
  <c r="H10" i="14" s="1"/>
  <c r="G11" i="14"/>
  <c r="H11" i="14" s="1"/>
  <c r="G29" i="14"/>
  <c r="H29" i="14" s="1"/>
  <c r="G35" i="14"/>
  <c r="E28" i="1" s="1"/>
  <c r="G28" i="14"/>
  <c r="E20" i="1" s="1"/>
  <c r="G7" i="17"/>
  <c r="H40" i="1" s="1"/>
  <c r="G19" i="20"/>
  <c r="J26" i="1" s="1"/>
  <c r="G22" i="14"/>
  <c r="E35" i="1" s="1"/>
  <c r="G14" i="14"/>
  <c r="H14" i="14" s="1"/>
  <c r="G17" i="17"/>
  <c r="H22" i="1" s="1"/>
  <c r="G28" i="20"/>
  <c r="J27" i="1" s="1"/>
  <c r="G17" i="18"/>
  <c r="K27" i="1" s="1"/>
  <c r="G30" i="14"/>
  <c r="H30" i="14" s="1"/>
  <c r="G27" i="14"/>
  <c r="H27" i="14" s="1"/>
  <c r="G17" i="14"/>
  <c r="E38" i="1" s="1"/>
  <c r="G12" i="14"/>
  <c r="E36" i="1" s="1"/>
  <c r="F41" i="19"/>
  <c r="G26" i="14"/>
  <c r="E26" i="1" s="1"/>
  <c r="G20" i="14"/>
  <c r="E21" i="1" s="1"/>
  <c r="G13" i="14"/>
  <c r="E33" i="1" s="1"/>
  <c r="G18" i="14"/>
  <c r="H18" i="14" s="1"/>
  <c r="G29" i="17"/>
  <c r="H25" i="1" s="1"/>
  <c r="G29" i="20"/>
  <c r="H29" i="20" s="1"/>
  <c r="G21" i="18"/>
  <c r="H21" i="18" s="1"/>
  <c r="E16" i="4"/>
  <c r="F16" i="4" s="1"/>
  <c r="E37" i="4"/>
  <c r="F37" i="4" s="1"/>
  <c r="E19" i="4"/>
  <c r="E29" i="4"/>
  <c r="E22" i="4"/>
  <c r="F22" i="4" s="1"/>
  <c r="E20" i="4"/>
  <c r="F20" i="4" s="1"/>
  <c r="E24" i="4"/>
  <c r="F24" i="4" s="1"/>
  <c r="E8" i="4"/>
  <c r="F8" i="4" s="1"/>
  <c r="E32" i="4"/>
  <c r="E14" i="4"/>
  <c r="E30" i="4"/>
  <c r="E9" i="4"/>
  <c r="F9" i="4" s="1"/>
  <c r="E26" i="4"/>
  <c r="E40" i="4"/>
  <c r="E27" i="4"/>
  <c r="F27" i="4" s="1"/>
  <c r="E23" i="4"/>
  <c r="E17" i="4"/>
  <c r="E13" i="4"/>
  <c r="E39" i="4"/>
  <c r="F39" i="4" s="1"/>
  <c r="E10" i="4"/>
  <c r="E31" i="4"/>
  <c r="E28" i="4"/>
  <c r="E38" i="4"/>
  <c r="E25" i="4"/>
  <c r="F25" i="4" s="1"/>
  <c r="E21" i="4"/>
  <c r="F21" i="4" s="1"/>
  <c r="E11" i="4"/>
  <c r="E33" i="4"/>
  <c r="E12" i="4"/>
  <c r="F12" i="4" s="1"/>
  <c r="E34" i="4"/>
  <c r="F34" i="4" s="1"/>
  <c r="E18" i="4"/>
  <c r="E7" i="4"/>
  <c r="E36" i="4"/>
  <c r="E35" i="4"/>
  <c r="E15" i="4"/>
  <c r="G32" i="20"/>
  <c r="J16" i="1" s="1"/>
  <c r="G40" i="19"/>
  <c r="I9" i="1" s="1"/>
  <c r="G24" i="20"/>
  <c r="H24" i="20" s="1"/>
  <c r="G38" i="20"/>
  <c r="J19" i="1" s="1"/>
  <c r="G12" i="20"/>
  <c r="H12" i="20" s="1"/>
  <c r="G23" i="20"/>
  <c r="H23" i="20" s="1"/>
  <c r="G19" i="18"/>
  <c r="K36" i="1" s="1"/>
  <c r="G13" i="20"/>
  <c r="H13" i="20" s="1"/>
  <c r="G20" i="20"/>
  <c r="H20" i="20" s="1"/>
  <c r="G14" i="20"/>
  <c r="J39" i="1" s="1"/>
  <c r="G30" i="20"/>
  <c r="J33" i="1" s="1"/>
  <c r="G32" i="15"/>
  <c r="F27" i="1" s="1"/>
  <c r="G14" i="15"/>
  <c r="F30" i="1" s="1"/>
  <c r="G37" i="15"/>
  <c r="H37" i="15" s="1"/>
  <c r="G31" i="18"/>
  <c r="K18" i="1" s="1"/>
  <c r="G28" i="18"/>
  <c r="K32" i="1" s="1"/>
  <c r="G9" i="19"/>
  <c r="I38" i="1" s="1"/>
  <c r="G26" i="20"/>
  <c r="H26" i="20" s="1"/>
  <c r="G10" i="20"/>
  <c r="J36" i="1" s="1"/>
  <c r="G37" i="20"/>
  <c r="H37" i="20" s="1"/>
  <c r="G40" i="20"/>
  <c r="H40" i="20" s="1"/>
  <c r="G23" i="18"/>
  <c r="H23" i="18" s="1"/>
  <c r="G17" i="20"/>
  <c r="J42" i="1" s="1"/>
  <c r="G36" i="20"/>
  <c r="H36" i="20" s="1"/>
  <c r="G15" i="20"/>
  <c r="J30" i="1" s="1"/>
  <c r="G21" i="20"/>
  <c r="J17" i="1" s="1"/>
  <c r="G32" i="19"/>
  <c r="I16" i="1" s="1"/>
  <c r="G23" i="15"/>
  <c r="F18" i="1" s="1"/>
  <c r="G21" i="15"/>
  <c r="F37" i="1" s="1"/>
  <c r="G16" i="15"/>
  <c r="F24" i="1" s="1"/>
  <c r="G38" i="15"/>
  <c r="F11" i="1" s="1"/>
  <c r="G9" i="18"/>
  <c r="K10" i="1" s="1"/>
  <c r="G12" i="18"/>
  <c r="K34" i="1" s="1"/>
  <c r="G22" i="20"/>
  <c r="J35" i="1" s="1"/>
  <c r="G16" i="20"/>
  <c r="J41" i="1" s="1"/>
  <c r="G8" i="20"/>
  <c r="H8" i="20" s="1"/>
  <c r="G39" i="20"/>
  <c r="H39" i="20" s="1"/>
  <c r="G33" i="20"/>
  <c r="H33" i="20" s="1"/>
  <c r="G34" i="19"/>
  <c r="H34" i="19" s="1"/>
  <c r="G35" i="18"/>
  <c r="K23" i="1" s="1"/>
  <c r="G27" i="18"/>
  <c r="H27" i="18" s="1"/>
  <c r="G11" i="20"/>
  <c r="J21" i="1" s="1"/>
  <c r="G7" i="20"/>
  <c r="H7" i="20" s="1"/>
  <c r="G9" i="20"/>
  <c r="H9" i="20" s="1"/>
  <c r="G20" i="19"/>
  <c r="H20" i="19" s="1"/>
  <c r="G40" i="15"/>
  <c r="F9" i="1" s="1"/>
  <c r="G19" i="15"/>
  <c r="F42" i="1" s="1"/>
  <c r="G17" i="15"/>
  <c r="F22" i="1" s="1"/>
  <c r="G11" i="15"/>
  <c r="H11" i="15" s="1"/>
  <c r="G37" i="18"/>
  <c r="H37" i="18" s="1"/>
  <c r="G22" i="18"/>
  <c r="K13" i="1" s="1"/>
  <c r="G16" i="16"/>
  <c r="G31" i="1" s="1"/>
  <c r="G37" i="16"/>
  <c r="G19" i="1" s="1"/>
  <c r="G24" i="17"/>
  <c r="H12" i="1" s="1"/>
  <c r="G27" i="16"/>
  <c r="G37" i="1" s="1"/>
  <c r="G38" i="19"/>
  <c r="H38" i="19" s="1"/>
  <c r="G20" i="17"/>
  <c r="H20" i="17" s="1"/>
  <c r="G35" i="19"/>
  <c r="H35" i="19" s="1"/>
  <c r="G13" i="15"/>
  <c r="G40" i="17"/>
  <c r="H40" i="17" s="1"/>
  <c r="G38" i="17"/>
  <c r="H13" i="1" s="1"/>
  <c r="G18" i="19"/>
  <c r="I35" i="1" s="1"/>
  <c r="G28" i="17"/>
  <c r="H29" i="1" s="1"/>
  <c r="G23" i="19"/>
  <c r="H23" i="19" s="1"/>
  <c r="G20" i="15"/>
  <c r="H20" i="15" s="1"/>
  <c r="G8" i="16"/>
  <c r="H8" i="16" s="1"/>
  <c r="G36" i="17"/>
  <c r="G22" i="17"/>
  <c r="H22" i="17" s="1"/>
  <c r="G25" i="17"/>
  <c r="H34" i="1" s="1"/>
  <c r="G15" i="17"/>
  <c r="H15" i="17" s="1"/>
  <c r="G18" i="17"/>
  <c r="H14" i="1" s="1"/>
  <c r="G33" i="16"/>
  <c r="G42" i="1" s="1"/>
  <c r="G11" i="16"/>
  <c r="H11" i="16" s="1"/>
  <c r="G7" i="16"/>
  <c r="H7" i="16" s="1"/>
  <c r="G34" i="16"/>
  <c r="G41" i="1" s="1"/>
  <c r="G32" i="17"/>
  <c r="H32" i="17" s="1"/>
  <c r="G16" i="17"/>
  <c r="H16" i="17" s="1"/>
  <c r="G9" i="17"/>
  <c r="H36" i="1" s="1"/>
  <c r="G23" i="17"/>
  <c r="H11" i="1" s="1"/>
  <c r="G39" i="17"/>
  <c r="H31" i="1" s="1"/>
  <c r="G30" i="16"/>
  <c r="G30" i="1" s="1"/>
  <c r="G20" i="16"/>
  <c r="H20" i="16" s="1"/>
  <c r="G25" i="16"/>
  <c r="G39" i="1" s="1"/>
  <c r="G12" i="16"/>
  <c r="G26" i="1" s="1"/>
  <c r="G31" i="19"/>
  <c r="I14" i="1" s="1"/>
  <c r="G25" i="19"/>
  <c r="H25" i="19" s="1"/>
  <c r="G33" i="19"/>
  <c r="H33" i="19" s="1"/>
  <c r="G30" i="18"/>
  <c r="K30" i="1" s="1"/>
  <c r="G34" i="18"/>
  <c r="H34" i="18" s="1"/>
  <c r="G8" i="18"/>
  <c r="K16" i="1" s="1"/>
  <c r="G13" i="18"/>
  <c r="K17" i="1" s="1"/>
  <c r="G22" i="16"/>
  <c r="H22" i="16" s="1"/>
  <c r="G40" i="16"/>
  <c r="H40" i="16" s="1"/>
  <c r="G12" i="17"/>
  <c r="H19" i="1" s="1"/>
  <c r="G31" i="17"/>
  <c r="H31" i="17" s="1"/>
  <c r="G18" i="16"/>
  <c r="G11" i="1" s="1"/>
  <c r="G17" i="16"/>
  <c r="H17" i="16" s="1"/>
  <c r="G26" i="17"/>
  <c r="H37" i="1" s="1"/>
  <c r="G27" i="17"/>
  <c r="H38" i="1" s="1"/>
  <c r="G13" i="17"/>
  <c r="H33" i="1" s="1"/>
  <c r="G35" i="17"/>
  <c r="H35" i="17" s="1"/>
  <c r="G9" i="16"/>
  <c r="G12" i="1" s="1"/>
  <c r="G31" i="16"/>
  <c r="H31" i="16" s="1"/>
  <c r="G35" i="16"/>
  <c r="G29" i="1" s="1"/>
  <c r="G32" i="16"/>
  <c r="H32" i="16" s="1"/>
  <c r="G39" i="16"/>
  <c r="G14" i="1" s="1"/>
  <c r="G30" i="19"/>
  <c r="I31" i="1" s="1"/>
  <c r="G22" i="19"/>
  <c r="I17" i="1" s="1"/>
  <c r="G14" i="19"/>
  <c r="I37" i="1" s="1"/>
  <c r="G18" i="18"/>
  <c r="K11" i="1" s="1"/>
  <c r="G15" i="18"/>
  <c r="K26" i="1" s="1"/>
  <c r="G36" i="18"/>
  <c r="H36" i="18" s="1"/>
  <c r="G14" i="18"/>
  <c r="K31" i="1" s="1"/>
  <c r="G8" i="17"/>
  <c r="H41" i="1" s="1"/>
  <c r="G33" i="17"/>
  <c r="H18" i="1" s="1"/>
  <c r="G19" i="17"/>
  <c r="H20" i="1" s="1"/>
  <c r="G34" i="17"/>
  <c r="H34" i="17" s="1"/>
  <c r="G28" i="16"/>
  <c r="H28" i="16" s="1"/>
  <c r="G10" i="16"/>
  <c r="G15" i="1" s="1"/>
  <c r="G21" i="16"/>
  <c r="H21" i="16" s="1"/>
  <c r="G36" i="16"/>
  <c r="G38" i="1" s="1"/>
  <c r="G21" i="19"/>
  <c r="I27" i="1" s="1"/>
  <c r="G19" i="19"/>
  <c r="H19" i="19" s="1"/>
  <c r="G28" i="19"/>
  <c r="H28" i="19" s="1"/>
  <c r="G7" i="18"/>
  <c r="H7" i="18" s="1"/>
  <c r="G16" i="18"/>
  <c r="K21" i="1" s="1"/>
  <c r="G26" i="18"/>
  <c r="K25" i="1" s="1"/>
  <c r="G24" i="18"/>
  <c r="H24" i="18" s="1"/>
  <c r="G33" i="18"/>
  <c r="K22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H17" i="1" s="1"/>
  <c r="G37" i="17"/>
  <c r="H21" i="1" s="1"/>
  <c r="G19" i="16"/>
  <c r="G24" i="1" s="1"/>
  <c r="G13" i="16"/>
  <c r="G34" i="1" s="1"/>
  <c r="G24" i="16"/>
  <c r="G40" i="1" s="1"/>
  <c r="G30" i="17"/>
  <c r="H30" i="17" s="1"/>
  <c r="G14" i="17"/>
  <c r="H42" i="1" s="1"/>
  <c r="G11" i="17"/>
  <c r="H30" i="1" s="1"/>
  <c r="G38" i="16"/>
  <c r="H38" i="16" s="1"/>
  <c r="G14" i="16"/>
  <c r="G16" i="1" s="1"/>
  <c r="G15" i="16"/>
  <c r="G36" i="1" s="1"/>
  <c r="G15" i="19"/>
  <c r="I33" i="1" s="1"/>
  <c r="G17" i="19"/>
  <c r="I29" i="1" s="1"/>
  <c r="G13" i="19"/>
  <c r="I30" i="1" s="1"/>
  <c r="G32" i="18"/>
  <c r="H32" i="18" s="1"/>
  <c r="G38" i="18"/>
  <c r="K38" i="1" s="1"/>
  <c r="G39" i="18"/>
  <c r="H39" i="18" s="1"/>
  <c r="G25" i="18"/>
  <c r="K28" i="1" s="1"/>
  <c r="G15" i="14"/>
  <c r="E14" i="1" s="1"/>
  <c r="G34" i="14"/>
  <c r="H34" i="14" s="1"/>
  <c r="G23" i="14"/>
  <c r="H23" i="14" s="1"/>
  <c r="G37" i="14"/>
  <c r="E25" i="1" s="1"/>
  <c r="G27" i="19"/>
  <c r="H27" i="19" s="1"/>
  <c r="G29" i="19"/>
  <c r="I11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E39" i="1" s="1"/>
  <c r="G26" i="19"/>
  <c r="I22" i="1" s="1"/>
  <c r="G12" i="19"/>
  <c r="H12" i="19" s="1"/>
  <c r="G37" i="19"/>
  <c r="I20" i="1" s="1"/>
  <c r="G36" i="19"/>
  <c r="I13" i="1" s="1"/>
  <c r="G8" i="14"/>
  <c r="E41" i="1" s="1"/>
  <c r="G7" i="14"/>
  <c r="H7" i="14" s="1"/>
  <c r="G16" i="14"/>
  <c r="H16" i="14" s="1"/>
  <c r="G32" i="14"/>
  <c r="E24" i="1" s="1"/>
  <c r="G11" i="19"/>
  <c r="H11" i="19" s="1"/>
  <c r="G8" i="19"/>
  <c r="H8" i="19" s="1"/>
  <c r="G10" i="19"/>
  <c r="I39" i="1" s="1"/>
  <c r="H26" i="1"/>
  <c r="H10" i="17"/>
  <c r="F32" i="1"/>
  <c r="H12" i="15"/>
  <c r="K15" i="1"/>
  <c r="H11" i="18"/>
  <c r="M19" i="1" l="1"/>
  <c r="H36" i="14"/>
  <c r="M22" i="1"/>
  <c r="M11" i="1"/>
  <c r="M13" i="1"/>
  <c r="G25" i="1"/>
  <c r="Y32" i="9"/>
  <c r="Y33" i="9"/>
  <c r="Y13" i="9"/>
  <c r="M32" i="1"/>
  <c r="H31" i="20"/>
  <c r="M42" i="1"/>
  <c r="Y26" i="9"/>
  <c r="M28" i="1"/>
  <c r="M21" i="1"/>
  <c r="Y19" i="9"/>
  <c r="Y18" i="9"/>
  <c r="M20" i="1"/>
  <c r="Y27" i="9"/>
  <c r="M30" i="1"/>
  <c r="M39" i="1"/>
  <c r="Y37" i="9"/>
  <c r="Y15" i="9"/>
  <c r="M18" i="1"/>
  <c r="Y8" i="9"/>
  <c r="M10" i="1"/>
  <c r="Y23" i="9"/>
  <c r="M25" i="1"/>
  <c r="Y22" i="9"/>
  <c r="M24" i="1"/>
  <c r="Y16" i="9"/>
  <c r="M17" i="1"/>
  <c r="Y38" i="9"/>
  <c r="M40" i="1"/>
  <c r="M27" i="1"/>
  <c r="Y25" i="9"/>
  <c r="M14" i="1"/>
  <c r="Y12" i="9"/>
  <c r="M23" i="1"/>
  <c r="Y21" i="9"/>
  <c r="M41" i="1"/>
  <c r="Y39" i="9"/>
  <c r="X7" i="9"/>
  <c r="M9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M33" i="1"/>
  <c r="M31" i="1"/>
  <c r="Y29" i="9"/>
  <c r="Y14" i="9"/>
  <c r="M16" i="1"/>
  <c r="Y10" i="9"/>
  <c r="M12" i="1"/>
  <c r="M36" i="1"/>
  <c r="Y34" i="9"/>
  <c r="M37" i="1"/>
  <c r="Y35" i="9"/>
  <c r="M29" i="1"/>
  <c r="Y28" i="9"/>
  <c r="Y36" i="9"/>
  <c r="M38" i="1"/>
  <c r="Y24" i="9"/>
  <c r="M26" i="1"/>
  <c r="H20" i="18"/>
  <c r="H27" i="15"/>
  <c r="H26" i="15"/>
  <c r="H10" i="18"/>
  <c r="E41" i="4"/>
  <c r="F41" i="4" s="1"/>
  <c r="F29" i="1"/>
  <c r="H29" i="18"/>
  <c r="H40" i="14"/>
  <c r="J38" i="1"/>
  <c r="H17" i="14"/>
  <c r="I23" i="1"/>
  <c r="H7" i="15"/>
  <c r="H15" i="1"/>
  <c r="H18" i="20"/>
  <c r="K37" i="1"/>
  <c r="H9" i="19"/>
  <c r="F16" i="1"/>
  <c r="H7" i="17"/>
  <c r="E16" i="1"/>
  <c r="H15" i="19"/>
  <c r="H26" i="14"/>
  <c r="E15" i="1"/>
  <c r="F38" i="1"/>
  <c r="H28" i="20"/>
  <c r="H15" i="15"/>
  <c r="H35" i="20"/>
  <c r="H19" i="16"/>
  <c r="I42" i="1"/>
  <c r="H21" i="14"/>
  <c r="G33" i="1"/>
  <c r="H29" i="15"/>
  <c r="F15" i="1"/>
  <c r="H27" i="20"/>
  <c r="F12" i="1"/>
  <c r="H10" i="19"/>
  <c r="H15" i="20"/>
  <c r="F35" i="1"/>
  <c r="H17" i="15"/>
  <c r="H9" i="15"/>
  <c r="G41" i="18"/>
  <c r="H41" i="18" s="1"/>
  <c r="H28" i="18"/>
  <c r="E42" i="1"/>
  <c r="H11" i="20"/>
  <c r="H9" i="16"/>
  <c r="F34" i="1"/>
  <c r="J20" i="1"/>
  <c r="H24" i="15"/>
  <c r="H16" i="1"/>
  <c r="G20" i="1"/>
  <c r="H22" i="14"/>
  <c r="H17" i="19"/>
  <c r="G13" i="1"/>
  <c r="F28" i="4"/>
  <c r="H40" i="18"/>
  <c r="E11" i="1"/>
  <c r="J29" i="1"/>
  <c r="H11" i="17"/>
  <c r="F40" i="4"/>
  <c r="I15" i="1"/>
  <c r="F10" i="1"/>
  <c r="H29" i="19"/>
  <c r="F31" i="1"/>
  <c r="H14" i="20"/>
  <c r="H23" i="1"/>
  <c r="H13" i="17"/>
  <c r="I41" i="1"/>
  <c r="H19" i="14"/>
  <c r="H37" i="14"/>
  <c r="H38" i="20"/>
  <c r="H22" i="19"/>
  <c r="H15" i="18"/>
  <c r="H15" i="14"/>
  <c r="H18" i="18"/>
  <c r="H31" i="19"/>
  <c r="K9" i="1"/>
  <c r="H28" i="17"/>
  <c r="H19" i="15"/>
  <c r="H31" i="15"/>
  <c r="H8" i="14"/>
  <c r="H19" i="17"/>
  <c r="K19" i="1"/>
  <c r="J23" i="1"/>
  <c r="H30" i="15"/>
  <c r="G28" i="1"/>
  <c r="H17" i="18"/>
  <c r="H27" i="16"/>
  <c r="F39" i="1"/>
  <c r="H10" i="15"/>
  <c r="K20" i="1"/>
  <c r="H37" i="16"/>
  <c r="H27" i="1"/>
  <c r="F17" i="1"/>
  <c r="E37" i="1"/>
  <c r="H38" i="18"/>
  <c r="J40" i="1"/>
  <c r="H16" i="19"/>
  <c r="J24" i="1"/>
  <c r="H12" i="14"/>
  <c r="H23" i="15"/>
  <c r="H35" i="14"/>
  <c r="E22" i="1"/>
  <c r="H18" i="17"/>
  <c r="H13" i="14"/>
  <c r="H39" i="15"/>
  <c r="H16" i="16"/>
  <c r="H23" i="17"/>
  <c r="I26" i="1"/>
  <c r="H30" i="20"/>
  <c r="J14" i="1"/>
  <c r="F15" i="4"/>
  <c r="H35" i="18"/>
  <c r="H39" i="1"/>
  <c r="J18" i="1"/>
  <c r="H17" i="17"/>
  <c r="I19" i="1"/>
  <c r="H19" i="18"/>
  <c r="H37" i="17"/>
  <c r="E12" i="1"/>
  <c r="H17" i="20"/>
  <c r="E10" i="1"/>
  <c r="J34" i="1"/>
  <c r="F18" i="4"/>
  <c r="H31" i="18"/>
  <c r="F35" i="4"/>
  <c r="F17" i="4"/>
  <c r="F32" i="4"/>
  <c r="K39" i="1"/>
  <c r="I32" i="1"/>
  <c r="J10" i="1"/>
  <c r="H12" i="16"/>
  <c r="H33" i="16"/>
  <c r="H38" i="15"/>
  <c r="H16" i="15"/>
  <c r="G41" i="15"/>
  <c r="H41" i="15" s="1"/>
  <c r="E40" i="1"/>
  <c r="F13" i="4"/>
  <c r="H15" i="16"/>
  <c r="H25" i="20"/>
  <c r="E31" i="1"/>
  <c r="H18" i="16"/>
  <c r="F29" i="4"/>
  <c r="H26" i="18"/>
  <c r="I24" i="1"/>
  <c r="H35" i="1"/>
  <c r="H9" i="18"/>
  <c r="H14" i="15"/>
  <c r="E13" i="1"/>
  <c r="H20" i="14"/>
  <c r="F33" i="4"/>
  <c r="J31" i="1"/>
  <c r="F30" i="4"/>
  <c r="H32" i="15"/>
  <c r="H21" i="17"/>
  <c r="E30" i="1"/>
  <c r="K24" i="1"/>
  <c r="H21" i="20"/>
  <c r="H25" i="17"/>
  <c r="J9" i="1"/>
  <c r="H38" i="17"/>
  <c r="H38" i="14"/>
  <c r="H12" i="18"/>
  <c r="H40" i="19"/>
  <c r="H29" i="17"/>
  <c r="H32" i="20"/>
  <c r="G23" i="1"/>
  <c r="F10" i="4"/>
  <c r="I12" i="1"/>
  <c r="H19" i="20"/>
  <c r="H28" i="14"/>
  <c r="H28" i="1"/>
  <c r="H22" i="18"/>
  <c r="K42" i="1"/>
  <c r="K29" i="1"/>
  <c r="G41" i="20"/>
  <c r="H41" i="20" s="1"/>
  <c r="I25" i="1"/>
  <c r="H14" i="19"/>
  <c r="G18" i="1"/>
  <c r="H10" i="20"/>
  <c r="H24" i="1"/>
  <c r="H22" i="20"/>
  <c r="H21" i="15"/>
  <c r="F19" i="4"/>
  <c r="F11" i="4"/>
  <c r="F14" i="4"/>
  <c r="F7" i="4"/>
  <c r="F36" i="4"/>
  <c r="F23" i="4"/>
  <c r="F38" i="4"/>
  <c r="F31" i="4"/>
  <c r="J32" i="1"/>
  <c r="H25" i="18"/>
  <c r="H16" i="18"/>
  <c r="H18" i="19"/>
  <c r="H40" i="15"/>
  <c r="H24" i="17"/>
  <c r="H16" i="20"/>
  <c r="H32" i="19"/>
  <c r="G32" i="1"/>
  <c r="F26" i="4"/>
  <c r="K41" i="1"/>
  <c r="G41" i="16"/>
  <c r="H41" i="16" s="1"/>
  <c r="H32" i="14"/>
  <c r="J22" i="1"/>
  <c r="I34" i="1"/>
  <c r="J12" i="1"/>
  <c r="J11" i="1"/>
  <c r="F14" i="1"/>
  <c r="H30" i="18"/>
  <c r="I21" i="1"/>
  <c r="H8" i="17"/>
  <c r="H8" i="18"/>
  <c r="H39" i="16"/>
  <c r="H12" i="17"/>
  <c r="K33" i="1"/>
  <c r="G35" i="1"/>
  <c r="H10" i="1"/>
  <c r="I18" i="1"/>
  <c r="H14" i="16"/>
  <c r="H14" i="17"/>
  <c r="H13" i="15"/>
  <c r="H36" i="16"/>
  <c r="G41" i="17"/>
  <c r="H41" i="17" s="1"/>
  <c r="H25" i="16"/>
  <c r="H24" i="16"/>
  <c r="H33" i="18"/>
  <c r="H32" i="1"/>
  <c r="F21" i="1"/>
  <c r="H13" i="19"/>
  <c r="H9" i="17"/>
  <c r="G9" i="1"/>
  <c r="H21" i="19"/>
  <c r="G10" i="1"/>
  <c r="H27" i="17"/>
  <c r="H26" i="17"/>
  <c r="G21" i="1"/>
  <c r="E9" i="1"/>
  <c r="G17" i="1"/>
  <c r="H34" i="16"/>
  <c r="H36" i="17"/>
  <c r="G22" i="1"/>
  <c r="H30" i="16"/>
  <c r="H9" i="1"/>
  <c r="E32" i="1"/>
  <c r="I28" i="1"/>
  <c r="G27" i="1"/>
  <c r="H35" i="16"/>
  <c r="E19" i="1"/>
  <c r="H13" i="16"/>
  <c r="E29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E34" i="1"/>
  <c r="G41" i="19"/>
  <c r="H41" i="19" s="1"/>
  <c r="I40" i="1"/>
  <c r="I10" i="1"/>
  <c r="L13" i="8" l="1"/>
  <c r="L15" i="1"/>
  <c r="N15" i="1" s="1"/>
  <c r="L18" i="1"/>
  <c r="N18" i="1" s="1"/>
  <c r="L16" i="8"/>
  <c r="L36" i="8"/>
  <c r="L38" i="1"/>
  <c r="N38" i="1" s="1"/>
  <c r="L35" i="8"/>
  <c r="L37" i="1"/>
  <c r="N37" i="1" s="1"/>
  <c r="L10" i="8"/>
  <c r="L12" i="1"/>
  <c r="N12" i="1" s="1"/>
  <c r="L27" i="8"/>
  <c r="L29" i="1"/>
  <c r="N29" i="1" s="1"/>
  <c r="L31" i="8"/>
  <c r="L33" i="1"/>
  <c r="N33" i="1" s="1"/>
  <c r="L23" i="1"/>
  <c r="N23" i="1" s="1"/>
  <c r="L21" i="8"/>
  <c r="L19" i="1"/>
  <c r="N19" i="1" s="1"/>
  <c r="L17" i="8"/>
  <c r="L40" i="8"/>
  <c r="L42" i="1"/>
  <c r="N42" i="1" s="1"/>
  <c r="L40" i="1"/>
  <c r="N40" i="1" s="1"/>
  <c r="L38" i="8"/>
  <c r="L35" i="1"/>
  <c r="N35" i="1" s="1"/>
  <c r="L33" i="8"/>
  <c r="L24" i="8"/>
  <c r="L26" i="1"/>
  <c r="N26" i="1" s="1"/>
  <c r="L34" i="8"/>
  <c r="L36" i="1"/>
  <c r="N36" i="1" s="1"/>
  <c r="L25" i="1"/>
  <c r="N25" i="1" s="1"/>
  <c r="L23" i="8"/>
  <c r="L32" i="8"/>
  <c r="L34" i="1"/>
  <c r="N34" i="1" s="1"/>
  <c r="L39" i="1"/>
  <c r="N39" i="1" s="1"/>
  <c r="L37" i="8"/>
  <c r="L8" i="8"/>
  <c r="L10" i="1"/>
  <c r="N10" i="1" s="1"/>
  <c r="X41" i="9"/>
  <c r="Y41" i="9" s="1"/>
  <c r="M43" i="1"/>
  <c r="Y7" i="9"/>
  <c r="L12" i="8"/>
  <c r="L14" i="1"/>
  <c r="N14" i="1" s="1"/>
  <c r="L21" i="1"/>
  <c r="N21" i="1" s="1"/>
  <c r="L19" i="8"/>
  <c r="L13" i="1"/>
  <c r="N13" i="1" s="1"/>
  <c r="L11" i="8"/>
  <c r="L28" i="1"/>
  <c r="N28" i="1" s="1"/>
  <c r="L26" i="8"/>
  <c r="L31" i="1"/>
  <c r="N31" i="1" s="1"/>
  <c r="L29" i="8"/>
  <c r="L14" i="8"/>
  <c r="L16" i="1"/>
  <c r="N16" i="1" s="1"/>
  <c r="L20" i="8"/>
  <c r="L22" i="1"/>
  <c r="N22" i="1" s="1"/>
  <c r="L28" i="8"/>
  <c r="L30" i="1"/>
  <c r="N30" i="1" s="1"/>
  <c r="L15" i="8"/>
  <c r="L17" i="1"/>
  <c r="N17" i="1" s="1"/>
  <c r="L20" i="1"/>
  <c r="N20" i="1" s="1"/>
  <c r="L18" i="8"/>
  <c r="J41" i="8"/>
  <c r="L22" i="8"/>
  <c r="L24" i="1"/>
  <c r="N24" i="1" s="1"/>
  <c r="L32" i="1"/>
  <c r="N32" i="1" s="1"/>
  <c r="L30" i="8"/>
  <c r="L25" i="8"/>
  <c r="L27" i="1"/>
  <c r="N27" i="1" s="1"/>
  <c r="L11" i="1"/>
  <c r="N11" i="1" s="1"/>
  <c r="L9" i="8"/>
  <c r="L41" i="1"/>
  <c r="N41" i="1" s="1"/>
  <c r="L39" i="8"/>
  <c r="F43" i="21"/>
  <c r="E44" i="21"/>
  <c r="F43" i="1"/>
  <c r="J43" i="1"/>
  <c r="K43" i="1"/>
  <c r="G43" i="1"/>
  <c r="H43" i="1"/>
  <c r="I43" i="1"/>
  <c r="E43" i="1"/>
  <c r="R42" i="1" l="1"/>
  <c r="R35" i="1"/>
  <c r="R38" i="1"/>
  <c r="R28" i="1"/>
  <c r="Q32" i="1"/>
  <c r="Q31" i="1"/>
  <c r="Q40" i="1"/>
  <c r="Q34" i="1"/>
  <c r="Q30" i="1"/>
  <c r="Q23" i="1"/>
  <c r="Q33" i="1"/>
  <c r="Q22" i="1"/>
  <c r="Q13" i="1"/>
  <c r="Q10" i="1"/>
  <c r="Q42" i="1"/>
  <c r="Q24" i="1"/>
  <c r="Q41" i="1"/>
  <c r="Q18" i="1"/>
  <c r="Q37" i="1"/>
  <c r="Q27" i="1"/>
  <c r="Q15" i="1"/>
  <c r="Q35" i="1"/>
  <c r="Q28" i="1"/>
  <c r="Q38" i="1"/>
  <c r="Q25" i="1"/>
  <c r="Q11" i="1"/>
  <c r="Q20" i="1"/>
  <c r="Q21" i="1"/>
  <c r="Q26" i="1"/>
  <c r="Q12" i="1"/>
  <c r="Q17" i="1"/>
  <c r="Q14" i="1"/>
  <c r="Q19" i="1"/>
  <c r="Q36" i="1"/>
  <c r="Q29" i="1"/>
  <c r="Q16" i="1"/>
  <c r="Q39" i="1"/>
  <c r="L9" i="1"/>
  <c r="K41" i="8"/>
  <c r="L41" i="8" s="1"/>
  <c r="L7" i="8"/>
  <c r="L43" i="1" l="1"/>
  <c r="N9" i="1"/>
  <c r="R15" i="1" s="1"/>
  <c r="Q9" i="1" l="1"/>
  <c r="N43" i="1"/>
  <c r="O9" i="1" l="1"/>
  <c r="R43" i="1"/>
  <c r="O42" i="1"/>
  <c r="O29" i="1"/>
  <c r="O28" i="1"/>
  <c r="O10" i="1"/>
  <c r="O26" i="1"/>
  <c r="O20" i="1"/>
  <c r="O17" i="1"/>
  <c r="O39" i="1"/>
  <c r="O31" i="1"/>
  <c r="O34" i="1"/>
  <c r="O12" i="1"/>
  <c r="O24" i="1"/>
  <c r="O27" i="1"/>
  <c r="O37" i="1"/>
  <c r="O35" i="1"/>
  <c r="O40" i="1"/>
  <c r="O19" i="1"/>
  <c r="O36" i="1"/>
  <c r="O21" i="1"/>
  <c r="O14" i="1"/>
  <c r="O25" i="1"/>
  <c r="O23" i="1"/>
  <c r="O32" i="1"/>
  <c r="Q43" i="1"/>
  <c r="O33" i="1"/>
  <c r="O22" i="1"/>
  <c r="O15" i="1"/>
  <c r="O41" i="1"/>
  <c r="O13" i="1"/>
  <c r="O30" i="1"/>
  <c r="O18" i="1"/>
  <c r="O11" i="1"/>
  <c r="O16" i="1"/>
  <c r="O38" i="1"/>
  <c r="O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<sst xmlns="http://schemas.openxmlformats.org/spreadsheetml/2006/main" count="342" uniqueCount="150">
  <si>
    <t>PHAB Funding and Incentives Subcommittee</t>
  </si>
  <si>
    <t>Subcommittee Members: Carrie Brogoitti, Bob Dannenhoffer, Jeff Luck, Alejandro Queral, Akiko Saito</t>
  </si>
  <si>
    <t>Updated March, 2021</t>
  </si>
  <si>
    <t>Total Funding:</t>
  </si>
  <si>
    <t>Base Funding:</t>
  </si>
  <si>
    <t>Extra Small County Floor:</t>
  </si>
  <si>
    <t>Small County Floor:</t>
  </si>
  <si>
    <t>Medium County Floor:</t>
  </si>
  <si>
    <t>Large County Floor:</t>
  </si>
  <si>
    <t>Extra Large County Floor:</t>
  </si>
  <si>
    <t>Indicator Allocations:</t>
  </si>
  <si>
    <t>County Population:</t>
  </si>
  <si>
    <t>Burden of Disease:</t>
  </si>
  <si>
    <t>Health Status:</t>
  </si>
  <si>
    <t>Racial/Ethinic Diversity:</t>
  </si>
  <si>
    <t>Rurality:</t>
  </si>
  <si>
    <t>Poverty:</t>
  </si>
  <si>
    <t>Education:</t>
  </si>
  <si>
    <t>Limited English Proficiency:</t>
  </si>
  <si>
    <t>Matching Funds:</t>
  </si>
  <si>
    <t>Maintenance % Split</t>
  </si>
  <si>
    <t>Incentives:</t>
  </si>
  <si>
    <t>Floor % Split</t>
  </si>
  <si>
    <t>Incentive 1:</t>
  </si>
  <si>
    <t>Incentive 2:</t>
  </si>
  <si>
    <t>Incentive 3:</t>
  </si>
  <si>
    <t>Incentive 4:</t>
  </si>
  <si>
    <t>Public Health Modernization LPHA Funding Formula</t>
  </si>
  <si>
    <t>Total biennial funds available to LPHAs through the funding formula =</t>
  </si>
  <si>
    <t>Base component</t>
  </si>
  <si>
    <t>Matching and Incentive fund components</t>
  </si>
  <si>
    <t>Total county allocation</t>
  </si>
  <si>
    <t>County Group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</si>
  <si>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</si>
  <si>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Floor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</si>
  <si>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</si>
  <si>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</si>
  <si>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</si>
  <si>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</si>
  <si>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</si>
  <si>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</si>
  <si>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</si>
  <si>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Matching Funds</t>
  </si>
  <si>
    <t>Incentives</t>
  </si>
  <si>
    <t>Total Award</t>
  </si>
  <si>
    <t>Award Percentage</t>
  </si>
  <si>
    <t>% of Total Population</t>
  </si>
  <si>
    <t>Award Per Capita</t>
  </si>
  <si>
    <t>Avg Award Per Capita</t>
  </si>
  <si>
    <t>Wheeler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</si>
  <si>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</si>
  <si>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</si>
  <si>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</si>
  <si>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</si>
  <si>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</si>
  <si>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</si>
  <si>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</si>
  <si>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</si>
  <si>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</si>
  <si>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</si>
  <si>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</si>
  <si>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</si>
  <si>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Gilliam, Sherman, Wasco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</si>
  <si>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</si>
  <si>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</si>
  <si>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</si>
  <si>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</si>
  <si>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</si>
  <si>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</si>
  <si>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</si>
  <si>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</si>
  <si>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</si>
  <si>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</si>
  <si>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</si>
  <si>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</si>
  <si>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</si>
  <si>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</si>
  <si>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</si>
  <si>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</si>
  <si>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</si>
  <si>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</si>
  <si>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</si>
  <si>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</si>
  <si>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</si>
  <si>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>1</t>
    </r>
    <r>
      <rPr>
        <sz val="11"/>
        <rFont val="Calibri"/>
        <family val="2"/>
      </rPr>
      <t xml:space="preserve"> Source: Portland State University Certified Population estimate July 1, 2020</t>
    </r>
  </si>
  <si>
    <t>County Size Bands</t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</si>
  <si>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</si>
  <si>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t>Extra Small</t>
  </si>
  <si>
    <t>Small</t>
  </si>
  <si>
    <t>Medium</t>
  </si>
  <si>
    <t>Large</t>
  </si>
  <si>
    <t>Extra Large</t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</si>
  <si>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</si>
  <si>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up to 20,000</t>
  </si>
  <si>
    <t>20,000-75,000</t>
  </si>
  <si>
    <t>75,000-150,000</t>
  </si>
  <si>
    <t>150,000-375,000</t>
  </si>
  <si>
    <t>above 375,000</t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</si>
  <si>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</si>
  <si>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</si>
  <si>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Total Pool:</t>
  </si>
  <si>
    <t>County Population</t>
  </si>
  <si>
    <t>Burden of Disease Rank</t>
  </si>
  <si>
    <t>Health Status Rank</t>
  </si>
  <si>
    <t>% Non-white Population</t>
  </si>
  <si>
    <t>Population below 150% FPL</t>
  </si>
  <si>
    <t>Rurality</t>
  </si>
  <si>
    <t>High School Education</t>
  </si>
  <si>
    <t>Limited English Proficiency</t>
  </si>
  <si>
    <t>Matching
(New Funds)</t>
  </si>
  <si>
    <t>Incentive 1</t>
  </si>
  <si>
    <t>Incentive 2</t>
  </si>
  <si>
    <t>Incentive 3</t>
  </si>
  <si>
    <t>Incentive 4</t>
  </si>
  <si>
    <t>Category Weight</t>
  </si>
  <si>
    <t>Category Dollars</t>
  </si>
  <si>
    <t>Y</t>
  </si>
  <si>
    <t>Gilliam</t>
  </si>
  <si>
    <t>Sherman</t>
  </si>
  <si>
    <t>Wasco</t>
  </si>
  <si>
    <t>Total Pool</t>
  </si>
  <si>
    <t>Indicator Pool</t>
  </si>
  <si>
    <t>% Split</t>
  </si>
  <si>
    <t>Weighted Payout</t>
  </si>
  <si>
    <t>Weighted Per Capita</t>
  </si>
  <si>
    <t>Band</t>
  </si>
  <si>
    <t>Floor Payment</t>
  </si>
  <si>
    <t>#</t>
  </si>
  <si>
    <t>Factor</t>
  </si>
  <si>
    <t>for cell C8 calculation on 'Input' page</t>
  </si>
  <si>
    <t>factor</t>
  </si>
  <si>
    <t>extra small</t>
  </si>
  <si>
    <t>small</t>
  </si>
  <si>
    <t>medium</t>
  </si>
  <si>
    <t>large</t>
  </si>
  <si>
    <t>extra large</t>
  </si>
  <si>
    <t>Rank</t>
  </si>
  <si>
    <t>Weight</t>
  </si>
  <si>
    <t>Weighted Average</t>
  </si>
  <si>
    <t>2017 Funding</t>
  </si>
  <si>
    <t>2018 Funding</t>
  </si>
  <si>
    <t>Increase Funding</t>
  </si>
  <si>
    <t>Maintenance Payout</t>
  </si>
  <si>
    <t>Population Payout</t>
  </si>
  <si>
    <t>Total Payout</t>
  </si>
  <si>
    <t>Payout Per Capita</t>
  </si>
  <si>
    <t>Met? (Y/N)</t>
  </si>
  <si>
    <t>Floor Payout</t>
  </si>
  <si>
    <t>Qualified Population</t>
  </si>
  <si>
    <t>Grand Total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</si>
</sst>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18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7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/>
    <xf numFmtId="0" fontId="2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928687</xdr:colOff>
      <xdr:row>19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2000" b="0" cap="none" spc="0">
            <a:ln w="0"/>
            <a:solidFill>
              <a:schemeClr val="bg1">
                <a:lumMod val="65000"/>
                <a:alpha val="39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workbookViewId="0">
      <selection activeCell="C6" sqref="C6"/>
    </sheetView>
  </sheetViews>
  <sheetFormatPr defaultRowHeight="1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8" ht="18.75">
      <c r="B1" s="24" t="s">
        <v>0</v>
      </c>
      <c r="C1" s="24"/>
    </row>
    <row r="2" spans="2:8" ht="15.75">
      <c r="B2" s="206" t="s">
        <v>1</v>
      </c>
      <c r="C2" s="207"/>
      <c r="D2" s="208"/>
      <c r="E2" s="208"/>
      <c r="F2" s="208"/>
      <c r="G2" s="208"/>
      <c r="H2" s="208"/>
    </row>
    <row r="3" spans="2:8" ht="15.75">
      <c r="B3" s="23" t="s">
        <v>2</v>
      </c>
    </row>
    <row r="4" spans="2:8" ht="15.75">
      <c r="B4" s="23"/>
    </row>
    <row r="5" spans="2:8">
      <c r="B5" s="30" t="s">
        <v>3</v>
      </c>
      <c r="C5" s="52">
        <v>10000000</v>
      </c>
    </row>
    <row r="6" spans="2:8">
      <c r="C6" s="9"/>
    </row>
    <row r="7" spans="2:8">
      <c r="B7" s="30" t="s">
        <v>4</v>
      </c>
      <c r="C7" s="49">
        <f>IF(C5&lt;10000000,1860000/C5,18.45%)</f>
        <v>0.1845</v>
      </c>
    </row>
    <row r="8" spans="2:8">
      <c r="B8" t="s">
        <v>5</v>
      </c>
      <c r="C8" s="34">
        <f>IF(C5&lt;10000000,30000/C5,C7*Floor!S12)</f>
        <v>2.975806451612903E-3</v>
      </c>
      <c r="D8" s="6"/>
    </row>
    <row r="9" spans="2:8">
      <c r="B9" t="s">
        <v>6</v>
      </c>
      <c r="C9" s="34">
        <f>C8*1.5</f>
        <v>4.4637096774193547E-3</v>
      </c>
      <c r="D9" s="6"/>
    </row>
    <row r="10" spans="2:8">
      <c r="B10" t="s">
        <v>7</v>
      </c>
      <c r="C10" s="34">
        <f>C8*2</f>
        <v>5.951612903225806E-3</v>
      </c>
      <c r="D10" s="6"/>
    </row>
    <row r="11" spans="2:8">
      <c r="B11" t="s">
        <v>8</v>
      </c>
      <c r="C11" s="34">
        <f>C8*2.5</f>
        <v>7.4395161290322573E-3</v>
      </c>
      <c r="D11" s="6"/>
    </row>
    <row r="12" spans="2:8">
      <c r="B12" t="s">
        <v>9</v>
      </c>
      <c r="C12" s="34">
        <f>C8*3</f>
        <v>8.9274193548387094E-3</v>
      </c>
      <c r="D12" s="47"/>
    </row>
    <row r="14" spans="2:8">
      <c r="B14" s="30" t="s">
        <v>10</v>
      </c>
      <c r="C14" s="50">
        <f>1-C7-C25-C28</f>
        <v>0.8155</v>
      </c>
      <c r="D14" s="22">
        <f>SUM(D15:D22)-1</f>
        <v>0</v>
      </c>
    </row>
    <row r="15" spans="2:8">
      <c r="B15" t="s">
        <v>11</v>
      </c>
      <c r="C15" s="34">
        <f>$C$14*D15</f>
        <v>0</v>
      </c>
      <c r="D15" s="53">
        <v>0</v>
      </c>
    </row>
    <row r="16" spans="2:8">
      <c r="B16" t="s">
        <v>12</v>
      </c>
      <c r="C16" s="34">
        <f t="shared" ref="C16:C22" si="0">$C$14*D16</f>
        <v>0.13591666666666666</v>
      </c>
      <c r="D16" s="53">
        <f>1/6</f>
        <v>0.16666666666666666</v>
      </c>
    </row>
    <row r="17" spans="2:4">
      <c r="B17" t="s">
        <v>13</v>
      </c>
      <c r="C17" s="34">
        <f t="shared" si="0"/>
        <v>0.13591666666666666</v>
      </c>
      <c r="D17" s="53">
        <f>1/6</f>
        <v>0.16666666666666666</v>
      </c>
    </row>
    <row r="18" spans="2:4">
      <c r="B18" t="s">
        <v>14</v>
      </c>
      <c r="C18" s="34">
        <f t="shared" si="0"/>
        <v>0.13591666666666666</v>
      </c>
      <c r="D18" s="53">
        <f>1/6</f>
        <v>0.16666666666666666</v>
      </c>
    </row>
    <row r="19" spans="2:4">
      <c r="B19" t="s">
        <v>15</v>
      </c>
      <c r="C19" s="34">
        <f t="shared" si="0"/>
        <v>0.13591666666666666</v>
      </c>
      <c r="D19" s="53">
        <f>1/6</f>
        <v>0.16666666666666666</v>
      </c>
    </row>
    <row r="20" spans="2:4">
      <c r="B20" t="s">
        <v>16</v>
      </c>
      <c r="C20" s="34">
        <f t="shared" si="0"/>
        <v>6.7958333333333329E-2</v>
      </c>
      <c r="D20" s="53">
        <f>1/12</f>
        <v>8.3333333333333329E-2</v>
      </c>
    </row>
    <row r="21" spans="2:4">
      <c r="B21" t="s">
        <v>17</v>
      </c>
      <c r="C21" s="34">
        <f t="shared" si="0"/>
        <v>6.7958333333333329E-2</v>
      </c>
      <c r="D21" s="53">
        <f>1/12</f>
        <v>8.3333333333333329E-2</v>
      </c>
    </row>
    <row r="22" spans="2:4">
      <c r="B22" t="s">
        <v>18</v>
      </c>
      <c r="C22" s="34">
        <f t="shared" si="0"/>
        <v>0.13591666666666666</v>
      </c>
      <c r="D22" s="53">
        <f>1/6</f>
        <v>0.16666666666666666</v>
      </c>
    </row>
    <row r="23" spans="2:4">
      <c r="C23" s="29"/>
      <c r="D23" s="22"/>
    </row>
    <row r="24" spans="2:4">
      <c r="C24" s="29"/>
    </row>
    <row r="25" spans="2:4">
      <c r="B25" s="30" t="s">
        <v>19</v>
      </c>
      <c r="C25" s="49">
        <f>IF($C$5&gt;=15000000,0.05,0)</f>
        <v>0</v>
      </c>
    </row>
    <row r="26" spans="2:4">
      <c r="B26" s="89" t="s">
        <v>20</v>
      </c>
      <c r="C26" s="90">
        <v>0.5</v>
      </c>
    </row>
    <row r="27" spans="2:4">
      <c r="B27" s="30"/>
      <c r="C27" s="88"/>
    </row>
    <row r="28" spans="2:4">
      <c r="B28" s="30" t="s">
        <v>21</v>
      </c>
      <c r="C28" s="49">
        <f>IF($C$5&gt;=15000000,0.01,0)</f>
        <v>0</v>
      </c>
    </row>
    <row r="29" spans="2:4">
      <c r="B29" s="91" t="s">
        <v>22</v>
      </c>
      <c r="C29" s="90">
        <v>0.24</v>
      </c>
    </row>
    <row r="30" spans="2:4">
      <c r="B30" s="30"/>
      <c r="C30" s="88"/>
    </row>
    <row r="31" spans="2:4">
      <c r="B31" s="71" t="s">
        <v>23</v>
      </c>
      <c r="C31" s="34">
        <f>$C$28*D31</f>
        <v>0</v>
      </c>
      <c r="D31" s="53">
        <v>1</v>
      </c>
    </row>
    <row r="32" spans="2:4">
      <c r="B32" s="71" t="s">
        <v>24</v>
      </c>
      <c r="C32" s="34">
        <f t="shared" ref="C32:C34" si="1">$C$28*D32</f>
        <v>0</v>
      </c>
      <c r="D32" s="53">
        <v>0</v>
      </c>
    </row>
    <row r="33" spans="2:4">
      <c r="B33" s="71" t="s">
        <v>25</v>
      </c>
      <c r="C33" s="34">
        <f t="shared" si="1"/>
        <v>0</v>
      </c>
      <c r="D33" s="53">
        <v>0</v>
      </c>
    </row>
    <row r="34" spans="2:4">
      <c r="B34" s="71" t="s">
        <v>26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120</v>
      </c>
      <c r="C3" s="1">
        <f>'County Data'!C5</f>
        <v>10000000</v>
      </c>
    </row>
    <row r="4" spans="2:8">
      <c r="B4" t="s">
        <v>121</v>
      </c>
      <c r="C4" s="14">
        <f>'County Data'!H9</f>
        <v>679583.33333333326</v>
      </c>
      <c r="D4" s="9"/>
    </row>
    <row r="6" spans="2:8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>
      <c r="B7" s="20" t="str">
        <f>+'County Data'!$B$12</f>
        <v>Clackamas</v>
      </c>
      <c r="C7" s="15">
        <f>VLOOKUP($B7,'County Data'!$B$10:$L$46,2,FALSE)</f>
        <v>426515</v>
      </c>
      <c r="D7" s="29">
        <f>VLOOKUP($B7,'County Data'!$B$10:$L$46,7,FALSE)</f>
        <v>0.13811687940583775</v>
      </c>
      <c r="E7" s="31">
        <f t="shared" ref="E7:E40" si="0">C7*D7</f>
        <v>58908.920819780891</v>
      </c>
      <c r="F7" s="6">
        <f t="shared" ref="F7:F40" si="1">E7/$E$41</f>
        <v>5.9280959726502651E-2</v>
      </c>
      <c r="G7" s="14">
        <f t="shared" ref="G7:G40" si="2">$C$4*F7</f>
        <v>40286.352214135753</v>
      </c>
      <c r="H7" s="10">
        <f t="shared" ref="H7:H40" si="3">G7/C7</f>
        <v>9.4454713700891535E-2</v>
      </c>
    </row>
    <row r="8" spans="2:8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Data'!$B$10:$L$46,7,FALSE)</f>
        <v>0.16330220782308263</v>
      </c>
      <c r="E8" s="31">
        <f t="shared" si="0"/>
        <v>101260.43302693708</v>
      </c>
      <c r="F8" s="6">
        <f t="shared" si="1"/>
        <v>0.10189994263385664</v>
      </c>
      <c r="G8" s="14">
        <f t="shared" si="2"/>
        <v>69249.502681591737</v>
      </c>
      <c r="H8" s="10">
        <f t="shared" si="3"/>
        <v>0.11167833615274116</v>
      </c>
    </row>
    <row r="9" spans="2:8">
      <c r="B9" s="20" t="str">
        <f>+'County Data'!$B$18</f>
        <v>Deschutes</v>
      </c>
      <c r="C9" s="15">
        <f>VLOOKUP($B9,'County Data'!$B$10:$L$46,2,FALSE)</f>
        <v>197015</v>
      </c>
      <c r="D9" s="29">
        <f>VLOOKUP($B9,'County Data'!$B$10:$L$46,7,FALSE)</f>
        <v>0.18767801513128615</v>
      </c>
      <c r="E9" s="31">
        <f t="shared" si="0"/>
        <v>36975.384151090344</v>
      </c>
      <c r="F9" s="6">
        <f t="shared" si="1"/>
        <v>3.7208901949477333E-2</v>
      </c>
      <c r="G9" s="14">
        <f t="shared" si="2"/>
        <v>25286.549616498967</v>
      </c>
      <c r="H9" s="10">
        <f t="shared" si="3"/>
        <v>0.1283483471639163</v>
      </c>
    </row>
    <row r="10" spans="2:8">
      <c r="B10" s="20" t="str">
        <f>+'County Data'!$B$14</f>
        <v>Columbia</v>
      </c>
      <c r="C10" s="15">
        <f>VLOOKUP($B10,'County Data'!$B$10:$L$46,2,FALSE)</f>
        <v>53280</v>
      </c>
      <c r="D10" s="29">
        <f>VLOOKUP($B10,'County Data'!$B$10:$L$46,7,FALSE)</f>
        <v>0.21043750992536128</v>
      </c>
      <c r="E10" s="31">
        <f t="shared" si="0"/>
        <v>11212.110528823248</v>
      </c>
      <c r="F10" s="6">
        <f t="shared" si="1"/>
        <v>1.1282920540025936E-2</v>
      </c>
      <c r="G10" s="14">
        <f t="shared" si="2"/>
        <v>7667.6847503259578</v>
      </c>
      <c r="H10" s="10">
        <f t="shared" si="3"/>
        <v>0.14391300207068239</v>
      </c>
    </row>
    <row r="11" spans="2:8">
      <c r="B11" s="20" t="str">
        <f>+'County Data'!$B$37</f>
        <v>Polk</v>
      </c>
      <c r="C11" s="15">
        <f>VLOOKUP($B11,'County Data'!$B$10:$L$46,2,FALSE)</f>
        <v>83805</v>
      </c>
      <c r="D11" s="29">
        <f>VLOOKUP($B11,'County Data'!$B$10:$L$46,7,FALSE)</f>
        <v>0.23463420155701728</v>
      </c>
      <c r="E11" s="31">
        <f t="shared" si="0"/>
        <v>19663.519261485832</v>
      </c>
      <c r="F11" s="6">
        <f t="shared" si="1"/>
        <v>1.9787704089633099E-2</v>
      </c>
      <c r="G11" s="14">
        <f t="shared" si="2"/>
        <v>13447.393904246492</v>
      </c>
      <c r="H11" s="10">
        <f t="shared" si="3"/>
        <v>0.16046052030602578</v>
      </c>
    </row>
    <row r="12" spans="2:8">
      <c r="B12" s="20" t="str">
        <f>+'County Data'!$B$23</f>
        <v>Hood River</v>
      </c>
      <c r="C12" s="15">
        <f>VLOOKUP($B12,'County Data'!$B$10:$L$46,2,FALSE)</f>
        <v>25640</v>
      </c>
      <c r="D12" s="29">
        <f>VLOOKUP($B12,'County Data'!$B$10:$L$46,7,FALSE)</f>
        <v>0.2071000743234381</v>
      </c>
      <c r="E12" s="31">
        <f t="shared" si="0"/>
        <v>5310.0459056529526</v>
      </c>
      <c r="F12" s="6">
        <f t="shared" si="1"/>
        <v>5.3435814660721496E-3</v>
      </c>
      <c r="G12" s="14">
        <f t="shared" si="2"/>
        <v>3631.4089046515314</v>
      </c>
      <c r="H12" s="10">
        <f t="shared" si="3"/>
        <v>0.14163061250590997</v>
      </c>
    </row>
    <row r="13" spans="2:8">
      <c r="B13" s="20" t="str">
        <f>+'County Data'!$B$46</f>
        <v>Yamhill</v>
      </c>
      <c r="C13" s="15">
        <f>VLOOKUP($B13,'County Data'!$B$10:$L$46,2,FALSE)</f>
        <v>108605</v>
      </c>
      <c r="D13" s="29">
        <f>VLOOKUP($B13,'County Data'!$B$10:$L$46,7,FALSE)</f>
        <v>0.21567317522496532</v>
      </c>
      <c r="E13" s="31">
        <f t="shared" si="0"/>
        <v>23423.18519530736</v>
      </c>
      <c r="F13" s="6">
        <f t="shared" si="1"/>
        <v>2.3571114169234127E-2</v>
      </c>
      <c r="G13" s="14">
        <f t="shared" si="2"/>
        <v>16018.536337508691</v>
      </c>
      <c r="H13" s="10">
        <f t="shared" si="3"/>
        <v>0.14749354392070982</v>
      </c>
    </row>
    <row r="14" spans="2:8">
      <c r="B14" s="20" t="str">
        <f>+'County Data'!$B$35</f>
        <v>Multnomah</v>
      </c>
      <c r="C14" s="15">
        <f>VLOOKUP($B14,'County Data'!$B$10:$L$46,2,FALSE)</f>
        <v>829560</v>
      </c>
      <c r="D14" s="29">
        <f>VLOOKUP($B14,'County Data'!$B$10:$L$46,7,FALSE)</f>
        <v>0.23381795591069882</v>
      </c>
      <c r="E14" s="31">
        <f t="shared" si="0"/>
        <v>193966.0235052793</v>
      </c>
      <c r="F14" s="6">
        <f t="shared" si="1"/>
        <v>0.19519101466658131</v>
      </c>
      <c r="G14" s="14">
        <f t="shared" si="2"/>
        <v>132648.56038383086</v>
      </c>
      <c r="H14" s="10">
        <f t="shared" si="3"/>
        <v>0.15990231012082412</v>
      </c>
    </row>
    <row r="15" spans="2:8">
      <c r="B15" s="20" t="str">
        <f>+'County Data'!$B$42</f>
        <v>Wallowa</v>
      </c>
      <c r="C15" s="15">
        <f>VLOOKUP($B15,'County Data'!$B$10:$L$46,2,FALSE)</f>
        <v>7160</v>
      </c>
      <c r="D15" s="29">
        <f>VLOOKUP($B15,'County Data'!$B$10:$L$46,7,FALSE)</f>
        <v>0.25040316669110102</v>
      </c>
      <c r="E15" s="31">
        <f t="shared" si="0"/>
        <v>1792.8866735082834</v>
      </c>
      <c r="F15" s="6">
        <f t="shared" si="1"/>
        <v>1.8042096376469179E-3</v>
      </c>
      <c r="G15" s="14">
        <f t="shared" si="2"/>
        <v>1226.1107995842178</v>
      </c>
      <c r="H15" s="10">
        <f t="shared" si="3"/>
        <v>0.17124452508159466</v>
      </c>
    </row>
    <row r="16" spans="2:8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Data'!$B$10:$L$46,7,FALSE)</f>
        <v>0.22943563260789376</v>
      </c>
      <c r="E16" s="31">
        <f t="shared" si="0"/>
        <v>9052.3828845444477</v>
      </c>
      <c r="F16" s="6">
        <f t="shared" si="1"/>
        <v>9.1095531498408683E-3</v>
      </c>
      <c r="G16" s="14">
        <f t="shared" si="2"/>
        <v>6190.7004947460227</v>
      </c>
      <c r="H16" s="10">
        <f t="shared" si="3"/>
        <v>0.15690534773149215</v>
      </c>
    </row>
    <row r="17" spans="2:8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Data'!$B$10:$L$46,7,FALSE)</f>
        <v>0.23854671280276818</v>
      </c>
      <c r="E17" s="31">
        <f t="shared" si="0"/>
        <v>7414.0318339100349</v>
      </c>
      <c r="F17" s="6">
        <f t="shared" si="1"/>
        <v>7.4608551037901039E-3</v>
      </c>
      <c r="G17" s="14">
        <f t="shared" si="2"/>
        <v>5070.2727809506905</v>
      </c>
      <c r="H17" s="10">
        <f t="shared" si="3"/>
        <v>0.16313618986327832</v>
      </c>
    </row>
    <row r="18" spans="2:8">
      <c r="B18" s="20" t="str">
        <f>+'County Data'!$B$34</f>
        <v>Morrow</v>
      </c>
      <c r="C18" s="15">
        <f>VLOOKUP($B18,'County Data'!$B$10:$L$46,2,FALSE)</f>
        <v>12825</v>
      </c>
      <c r="D18" s="29">
        <f>VLOOKUP($B18,'County Data'!$B$10:$L$46,7,FALSE)</f>
        <v>0.29377013963480131</v>
      </c>
      <c r="E18" s="31">
        <f t="shared" si="0"/>
        <v>3767.6020408163267</v>
      </c>
      <c r="F18" s="6">
        <f t="shared" si="1"/>
        <v>3.7913963070279953E-3</v>
      </c>
      <c r="G18" s="14">
        <f t="shared" si="2"/>
        <v>2576.5697403177746</v>
      </c>
      <c r="H18" s="10">
        <f t="shared" si="3"/>
        <v>0.20090212400138593</v>
      </c>
    </row>
    <row r="19" spans="2:8">
      <c r="B19" s="20" t="str">
        <f>+'County Data'!$B$39</f>
        <v>Tillamook</v>
      </c>
      <c r="C19" s="15">
        <f>VLOOKUP($B19,'County Data'!$B$10:$L$46,2,FALSE)</f>
        <v>26530</v>
      </c>
      <c r="D19" s="29">
        <f>VLOOKUP($B19,'County Data'!$B$10:$L$46,7,FALSE)</f>
        <v>0.25437453094758461</v>
      </c>
      <c r="E19" s="31">
        <f t="shared" si="0"/>
        <v>6748.5563060394197</v>
      </c>
      <c r="F19" s="6">
        <f t="shared" si="1"/>
        <v>6.7911767695466394E-3</v>
      </c>
      <c r="G19" s="14">
        <f t="shared" si="2"/>
        <v>4615.1705463044036</v>
      </c>
      <c r="H19" s="10">
        <f t="shared" si="3"/>
        <v>0.17396044275553726</v>
      </c>
    </row>
    <row r="20" spans="2:8">
      <c r="B20" s="20" t="str">
        <f>+'County Data'!$B$10</f>
        <v>Baker</v>
      </c>
      <c r="C20" s="15">
        <f>VLOOKUP($B20,'County Data'!$B$10:$L$46,2,FALSE)</f>
        <v>16910</v>
      </c>
      <c r="D20" s="29">
        <f>VLOOKUP($B20,'County Data'!$B$10:$L$46,7,FALSE)</f>
        <v>0.26671850699844479</v>
      </c>
      <c r="E20" s="31">
        <f t="shared" si="0"/>
        <v>4510.2099533437013</v>
      </c>
      <c r="F20" s="6">
        <f t="shared" si="1"/>
        <v>4.5386941550024104E-3</v>
      </c>
      <c r="G20" s="14">
        <f t="shared" si="2"/>
        <v>3084.4209028370542</v>
      </c>
      <c r="H20" s="10">
        <f t="shared" si="3"/>
        <v>0.18240218230851887</v>
      </c>
    </row>
    <row r="21" spans="2:8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Data'!$B$10:$L$46,7,FALSE)</f>
        <v>0.24108864278348205</v>
      </c>
      <c r="E21" s="31">
        <f t="shared" si="0"/>
        <v>5546.2442272340049</v>
      </c>
      <c r="F21" s="6">
        <f t="shared" si="1"/>
        <v>5.5812714966186295E-3</v>
      </c>
      <c r="G21" s="14">
        <f t="shared" si="2"/>
        <v>3792.9390879104099</v>
      </c>
      <c r="H21" s="10">
        <f t="shared" si="3"/>
        <v>0.16487455283244554</v>
      </c>
    </row>
    <row r="22" spans="2:8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Data'!$B$10:$L$46,7,FALSE)</f>
        <v>0.25578581775085596</v>
      </c>
      <c r="E22" s="31">
        <f t="shared" si="0"/>
        <v>32566.65031603898</v>
      </c>
      <c r="F22" s="6">
        <f t="shared" si="1"/>
        <v>3.2772324784533069E-2</v>
      </c>
      <c r="G22" s="14">
        <f t="shared" si="2"/>
        <v>22271.525718155597</v>
      </c>
      <c r="H22" s="10">
        <f t="shared" si="3"/>
        <v>0.17492558685324849</v>
      </c>
    </row>
    <row r="23" spans="2:8">
      <c r="B23" s="20" t="str">
        <f>+'County Data'!$B$22</f>
        <v>Harney</v>
      </c>
      <c r="C23" s="15">
        <f>VLOOKUP($B23,'County Data'!$B$10:$L$46,2,FALSE)</f>
        <v>7280</v>
      </c>
      <c r="D23" s="29">
        <f>VLOOKUP($B23,'County Data'!$B$10:$L$46,7,FALSE)</f>
        <v>0.27595435976898153</v>
      </c>
      <c r="E23" s="31">
        <f t="shared" si="0"/>
        <v>2008.9477391181856</v>
      </c>
      <c r="F23" s="6">
        <f t="shared" si="1"/>
        <v>2.0216352355129884E-3</v>
      </c>
      <c r="G23" s="14">
        <f t="shared" si="2"/>
        <v>1373.8696121340349</v>
      </c>
      <c r="H23" s="10">
        <f t="shared" si="3"/>
        <v>0.18871835331511469</v>
      </c>
    </row>
    <row r="24" spans="2:8">
      <c r="B24" s="20" t="str">
        <f>+'County Data'!$B$21</f>
        <v>Grant</v>
      </c>
      <c r="C24" s="15">
        <f>VLOOKUP($B24,'County Data'!$B$10:$L$46,2,FALSE)</f>
        <v>7315</v>
      </c>
      <c r="D24" s="29">
        <f>VLOOKUP($B24,'County Data'!$B$10:$L$46,7,FALSE)</f>
        <v>0.27554486272289841</v>
      </c>
      <c r="E24" s="31">
        <f t="shared" si="0"/>
        <v>2015.6106708180018</v>
      </c>
      <c r="F24" s="6">
        <f t="shared" si="1"/>
        <v>2.0283402469146671E-3</v>
      </c>
      <c r="G24" s="14">
        <f t="shared" si="2"/>
        <v>1378.4262261324257</v>
      </c>
      <c r="H24" s="10">
        <f t="shared" si="3"/>
        <v>0.1884383084254854</v>
      </c>
    </row>
    <row r="25" spans="2:8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Data'!$B$10:$L$46,7,FALSE)</f>
        <v>0.27764111677500819</v>
      </c>
      <c r="E25" s="31">
        <f t="shared" si="0"/>
        <v>31242.954870691672</v>
      </c>
      <c r="F25" s="6">
        <f t="shared" si="1"/>
        <v>3.1440269549200373E-2</v>
      </c>
      <c r="G25" s="14">
        <f t="shared" si="2"/>
        <v>21366.283181144085</v>
      </c>
      <c r="H25" s="10">
        <f t="shared" si="3"/>
        <v>0.18987188466314836</v>
      </c>
    </row>
    <row r="26" spans="2:8">
      <c r="B26" s="20" t="str">
        <f>+'County Data'!$B$24</f>
        <v>Jackson</v>
      </c>
      <c r="C26" s="15">
        <f>VLOOKUP($B26,'County Data'!$B$10:$L$46,2,FALSE)</f>
        <v>223240</v>
      </c>
      <c r="D26" s="29">
        <f>VLOOKUP($B26,'County Data'!$B$10:$L$46,7,FALSE)</f>
        <v>0.26824137573224915</v>
      </c>
      <c r="E26" s="31">
        <f t="shared" si="0"/>
        <v>59882.204718467299</v>
      </c>
      <c r="F26" s="6">
        <f t="shared" si="1"/>
        <v>6.0260390393328048E-2</v>
      </c>
      <c r="G26" s="14">
        <f t="shared" si="2"/>
        <v>40951.95697146585</v>
      </c>
      <c r="H26" s="10">
        <f t="shared" si="3"/>
        <v>0.18344363452546966</v>
      </c>
    </row>
    <row r="27" spans="2:8">
      <c r="B27" s="20" t="str">
        <f>+'County Data'!$B$33</f>
        <v>Marion</v>
      </c>
      <c r="C27" s="15">
        <f>VLOOKUP($B27,'County Data'!$B$10:$L$46,2,FALSE)</f>
        <v>349120</v>
      </c>
      <c r="D27" s="29">
        <f>VLOOKUP($B27,'County Data'!$B$10:$L$46,7,FALSE)</f>
        <v>0.27417406553517121</v>
      </c>
      <c r="E27" s="31">
        <f t="shared" si="0"/>
        <v>95719.649759638967</v>
      </c>
      <c r="F27" s="6">
        <f t="shared" si="1"/>
        <v>9.63241665858309E-2</v>
      </c>
      <c r="G27" s="14">
        <f t="shared" si="2"/>
        <v>65460.298208954242</v>
      </c>
      <c r="H27" s="10">
        <f t="shared" si="3"/>
        <v>0.18750085417321907</v>
      </c>
    </row>
    <row r="28" spans="2:8">
      <c r="B28" s="20" t="str">
        <f>+'County Data'!$B$40</f>
        <v>Umatilla</v>
      </c>
      <c r="C28" s="15">
        <f>VLOOKUP($B28,'County Data'!$B$10:$L$46,2,FALSE)</f>
        <v>81495</v>
      </c>
      <c r="D28" s="29">
        <f>VLOOKUP($B28,'County Data'!$B$10:$L$46,7,FALSE)</f>
        <v>0.2947186267045061</v>
      </c>
      <c r="E28" s="31">
        <f t="shared" si="0"/>
        <v>24018.094483283727</v>
      </c>
      <c r="F28" s="6">
        <f t="shared" si="1"/>
        <v>2.4169780602953744E-2</v>
      </c>
      <c r="G28" s="14">
        <f t="shared" si="2"/>
        <v>16425.380068090646</v>
      </c>
      <c r="H28" s="10">
        <f t="shared" si="3"/>
        <v>0.20155077082140802</v>
      </c>
    </row>
    <row r="29" spans="2:8">
      <c r="B29" s="20" t="str">
        <f>+'County Data'!$B$30</f>
        <v>Lincoln</v>
      </c>
      <c r="C29" s="15">
        <f>VLOOKUP($B29,'County Data'!$B$10:$L$46,2,FALSE)</f>
        <v>48305</v>
      </c>
      <c r="D29" s="29">
        <f>VLOOKUP($B29,'County Data'!$B$10:$L$46,7,FALSE)</f>
        <v>0.28095601322145947</v>
      </c>
      <c r="E29" s="31">
        <f t="shared" si="0"/>
        <v>13571.580218662599</v>
      </c>
      <c r="F29" s="6">
        <f t="shared" si="1"/>
        <v>1.365729144536262E-2</v>
      </c>
      <c r="G29" s="14">
        <f t="shared" si="2"/>
        <v>9281.2676447443464</v>
      </c>
      <c r="H29" s="10">
        <f t="shared" si="3"/>
        <v>0.19213886025762025</v>
      </c>
    </row>
    <row r="30" spans="2:8">
      <c r="B30" s="20" t="str">
        <f>+'County Data'!$B$11</f>
        <v>Benton</v>
      </c>
      <c r="C30" s="15">
        <f>VLOOKUP($B30,'County Data'!$B$10:$L$46,2,FALSE)</f>
        <v>94665</v>
      </c>
      <c r="D30" s="29">
        <f>VLOOKUP($B30,'County Data'!$B$10:$L$46,7,FALSE)</f>
        <v>0.2787920514707628</v>
      </c>
      <c r="E30" s="31">
        <f t="shared" si="0"/>
        <v>26391.849552479762</v>
      </c>
      <c r="F30" s="6">
        <f t="shared" si="1"/>
        <v>2.6558527106867631E-2</v>
      </c>
      <c r="G30" s="14">
        <f t="shared" si="2"/>
        <v>18048.732379708792</v>
      </c>
      <c r="H30" s="10">
        <f t="shared" si="3"/>
        <v>0.19065898040150839</v>
      </c>
    </row>
    <row r="31" spans="2:8">
      <c r="B31" s="20" t="str">
        <f>+'County Data'!$B$29</f>
        <v>Lane</v>
      </c>
      <c r="C31" s="15">
        <f>VLOOKUP($B31,'County Data'!$B$10:$L$46,2,FALSE)</f>
        <v>381365</v>
      </c>
      <c r="D31" s="29">
        <f>VLOOKUP($B31,'County Data'!$B$10:$L$46,7,FALSE)</f>
        <v>0.28730761886047818</v>
      </c>
      <c r="E31" s="31">
        <f t="shared" si="0"/>
        <v>109569.07006672626</v>
      </c>
      <c r="F31" s="6">
        <f t="shared" si="1"/>
        <v>0.11026105281689161</v>
      </c>
      <c r="G31" s="14">
        <f t="shared" si="2"/>
        <v>74931.573810145914</v>
      </c>
      <c r="H31" s="10">
        <f t="shared" si="3"/>
        <v>0.196482566072256</v>
      </c>
    </row>
    <row r="32" spans="2:8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Data'!$B$10:$L$46,7,FALSE)</f>
        <v>0.26902958152958151</v>
      </c>
      <c r="E32" s="31">
        <f t="shared" si="0"/>
        <v>6306.0533910533904</v>
      </c>
      <c r="F32" s="6">
        <f t="shared" si="1"/>
        <v>6.3458792302758388E-3</v>
      </c>
      <c r="G32" s="14">
        <f t="shared" si="2"/>
        <v>4312.5537602416216</v>
      </c>
      <c r="H32" s="10">
        <f t="shared" si="3"/>
        <v>0.1839826689522876</v>
      </c>
    </row>
    <row r="33" spans="2:8">
      <c r="B33" s="20" t="str">
        <f>+'County Data'!$B$25</f>
        <v>Jefferson</v>
      </c>
      <c r="C33" s="15">
        <f>VLOOKUP($B33,'County Data'!$B$10:$L$46,2,FALSE)</f>
        <v>24105</v>
      </c>
      <c r="D33" s="29">
        <f>VLOOKUP($B33,'County Data'!$B$10:$L$46,7,FALSE)</f>
        <v>0.30349789583239062</v>
      </c>
      <c r="E33" s="31">
        <f t="shared" si="0"/>
        <v>7315.8167790397756</v>
      </c>
      <c r="F33" s="6">
        <f t="shared" si="1"/>
        <v>7.3620197723788883E-3</v>
      </c>
      <c r="G33" s="14">
        <f t="shared" si="2"/>
        <v>5003.1059369791519</v>
      </c>
      <c r="H33" s="10">
        <f t="shared" si="3"/>
        <v>0.20755469558096462</v>
      </c>
    </row>
    <row r="34" spans="2:8">
      <c r="B34" s="20" t="str">
        <f>+'County Data'!$B$15</f>
        <v>Coos</v>
      </c>
      <c r="C34" s="15">
        <f>VLOOKUP($B34,'County Data'!$B$10:$L$46,2,FALSE)</f>
        <v>63315</v>
      </c>
      <c r="D34" s="29">
        <f>VLOOKUP($B34,'County Data'!$B$10:$L$46,7,FALSE)</f>
        <v>0.29889760747123673</v>
      </c>
      <c r="E34" s="31">
        <f t="shared" si="0"/>
        <v>18924.702017041353</v>
      </c>
      <c r="F34" s="6">
        <f t="shared" si="1"/>
        <v>1.9044220849681229E-2</v>
      </c>
      <c r="G34" s="14">
        <f t="shared" si="2"/>
        <v>12942.135085762533</v>
      </c>
      <c r="H34" s="10">
        <f t="shared" si="3"/>
        <v>0.20440867228559634</v>
      </c>
    </row>
    <row r="35" spans="2:8">
      <c r="B35" s="20" t="str">
        <f>+'County Data'!$B$27</f>
        <v>Klamath</v>
      </c>
      <c r="C35" s="15">
        <f>VLOOKUP($B35,'County Data'!$B$10:$L$46,2,FALSE)</f>
        <v>68075</v>
      </c>
      <c r="D35" s="29">
        <f>VLOOKUP($B35,'County Data'!$B$10:$L$46,7,FALSE)</f>
        <v>0.33197549770290963</v>
      </c>
      <c r="E35" s="31">
        <f t="shared" si="0"/>
        <v>22599.232006125574</v>
      </c>
      <c r="F35" s="6">
        <f t="shared" si="1"/>
        <v>2.2741957309039069E-2</v>
      </c>
      <c r="G35" s="14">
        <f t="shared" si="2"/>
        <v>15455.055154601132</v>
      </c>
      <c r="H35" s="10">
        <f t="shared" si="3"/>
        <v>0.22702982232245511</v>
      </c>
    </row>
    <row r="36" spans="2:8">
      <c r="B36" s="20" t="str">
        <f>'County Data'!$B$45</f>
        <v>Wheeler</v>
      </c>
      <c r="C36" s="15">
        <f>VLOOKUP($B36,'County Data'!$B$10:$L$46,2,FALSE)</f>
        <v>1440</v>
      </c>
      <c r="D36" s="29">
        <f>VLOOKUP($B36,'County Data'!$B$10:$L$46,7,FALSE)</f>
        <v>0.3383084577114428</v>
      </c>
      <c r="E36" s="31">
        <f t="shared" si="0"/>
        <v>487.16417910447763</v>
      </c>
      <c r="F36" s="6">
        <f t="shared" si="1"/>
        <v>4.9024086131263609E-4</v>
      </c>
      <c r="G36" s="14">
        <f t="shared" si="2"/>
        <v>333.15951866704557</v>
      </c>
      <c r="H36" s="10">
        <f t="shared" si="3"/>
        <v>0.23136077685211498</v>
      </c>
    </row>
    <row r="37" spans="2:8">
      <c r="B37" s="20" t="str">
        <f>+'County Data'!$B$41</f>
        <v>Union</v>
      </c>
      <c r="C37" s="15">
        <f>VLOOKUP($B37,'County Data'!$B$10:$L$46,2,FALSE)</f>
        <v>26840</v>
      </c>
      <c r="D37" s="29">
        <f>VLOOKUP($B37,'County Data'!$B$10:$L$46,7,FALSE)</f>
        <v>0.30462135000395663</v>
      </c>
      <c r="E37" s="31">
        <f t="shared" si="0"/>
        <v>8176.0370341061962</v>
      </c>
      <c r="F37" s="6">
        <f t="shared" si="1"/>
        <v>8.2276727428775599E-3</v>
      </c>
      <c r="G37" s="14">
        <f t="shared" si="2"/>
        <v>5591.389268180541</v>
      </c>
      <c r="H37" s="10">
        <f t="shared" si="3"/>
        <v>0.2083229980693197</v>
      </c>
    </row>
    <row r="38" spans="2:8">
      <c r="B38" s="20" t="str">
        <f>+'County Data'!$B$28</f>
        <v>Lake</v>
      </c>
      <c r="C38" s="15">
        <f>VLOOKUP($B38,'County Data'!$B$10:$L$46,2,FALSE)</f>
        <v>8075</v>
      </c>
      <c r="D38" s="29">
        <f>VLOOKUP($B38,'County Data'!$B$10:$L$46,7,FALSE)</f>
        <v>0.32648275862068965</v>
      </c>
      <c r="E38" s="31">
        <f t="shared" si="0"/>
        <v>2636.3482758620689</v>
      </c>
      <c r="F38" s="6">
        <f t="shared" si="1"/>
        <v>2.6529981162706235E-3</v>
      </c>
      <c r="G38" s="14">
        <f t="shared" si="2"/>
        <v>1802.9333031822443</v>
      </c>
      <c r="H38" s="10">
        <f t="shared" si="3"/>
        <v>0.22327347407829651</v>
      </c>
    </row>
    <row r="39" spans="2:8">
      <c r="B39" s="20" t="str">
        <f>+'County Data'!$B$26</f>
        <v>Josephine</v>
      </c>
      <c r="C39" s="15">
        <f>VLOOKUP($B39,'County Data'!$B$10:$L$46,2,FALSE)</f>
        <v>86560</v>
      </c>
      <c r="D39" s="29">
        <f>VLOOKUP($B39,'County Data'!$B$10:$L$46,7,FALSE)</f>
        <v>0.33520512729383611</v>
      </c>
      <c r="E39" s="31">
        <f t="shared" si="0"/>
        <v>29015.355818554453</v>
      </c>
      <c r="F39" s="6">
        <f t="shared" si="1"/>
        <v>2.9198602109721496E-2</v>
      </c>
      <c r="G39" s="14">
        <f t="shared" si="2"/>
        <v>19842.883350398231</v>
      </c>
      <c r="H39" s="10">
        <f t="shared" si="3"/>
        <v>0.22923848602585759</v>
      </c>
    </row>
    <row r="40" spans="2:8">
      <c r="B40" s="20" t="str">
        <f>+'County Data'!$B$32</f>
        <v>Malheur</v>
      </c>
      <c r="C40" s="15">
        <f>VLOOKUP($B40,'County Data'!$B$10:$L$46,2,FALSE)</f>
        <v>32105</v>
      </c>
      <c r="D40" s="29">
        <f>VLOOKUP($B40,'County Data'!$B$10:$L$46,7,FALSE)</f>
        <v>0.36521673972500096</v>
      </c>
      <c r="E40" s="31">
        <f t="shared" si="0"/>
        <v>11725.283428871157</v>
      </c>
      <c r="F40" s="6">
        <f t="shared" si="1"/>
        <v>1.179933438019015E-2</v>
      </c>
      <c r="G40" s="14">
        <f t="shared" si="2"/>
        <v>8018.6309892042218</v>
      </c>
      <c r="H40" s="10">
        <f t="shared" si="3"/>
        <v>0.24976268460377579</v>
      </c>
    </row>
    <row r="41" spans="2:8">
      <c r="B41" s="4" t="s">
        <v>83</v>
      </c>
      <c r="C41" s="5">
        <f>SUM(C7:C40)</f>
        <v>4268055</v>
      </c>
      <c r="D41" s="5"/>
      <c r="E41" s="5">
        <f>SUM(E7:E40)</f>
        <v>993724.14163943718</v>
      </c>
      <c r="F41" s="8">
        <f>SUM(F7:F40)</f>
        <v>1.0000000000000002</v>
      </c>
      <c r="G41" s="11">
        <f>SUM(G7:G40)</f>
        <v>679583.33333333337</v>
      </c>
      <c r="H41" s="12">
        <f t="shared" ref="H41" si="4">G41/C41</f>
        <v>0.15922553325421845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120</v>
      </c>
      <c r="C3" s="1">
        <f>'County Data'!C5</f>
        <v>10000000</v>
      </c>
    </row>
    <row r="4" spans="2:8">
      <c r="B4" t="s">
        <v>121</v>
      </c>
      <c r="C4" s="14">
        <f>'County Data'!J9</f>
        <v>679583.33333333326</v>
      </c>
      <c r="D4" s="9"/>
    </row>
    <row r="6" spans="2:8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>
      <c r="B7" s="20" t="str">
        <f>+'County Data'!$B$11</f>
        <v>Benton</v>
      </c>
      <c r="C7" s="15">
        <f>VLOOKUP($B7,'County Data'!$B$10:$L$46,2,FALSE)</f>
        <v>94665</v>
      </c>
      <c r="D7" s="29">
        <f>VLOOKUP($B7,'County Data'!$B$10:$L$46,9,FALSE)</f>
        <v>4.5600029431241265E-2</v>
      </c>
      <c r="E7" s="31">
        <f t="shared" ref="E7:E40" si="0">C7*D7</f>
        <v>4316.7267861084547</v>
      </c>
      <c r="F7" s="6">
        <f t="shared" ref="F7:F40" si="1">E7/$E$41</f>
        <v>1.0481257389999639E-2</v>
      </c>
      <c r="G7" s="14">
        <f t="shared" ref="G7:G40" si="2">$C$4*F7</f>
        <v>7122.8878346205875</v>
      </c>
      <c r="H7" s="10">
        <f t="shared" ref="H7:H40" si="3">G7/C7</f>
        <v>7.5243097603344286E-2</v>
      </c>
    </row>
    <row r="8" spans="2:8">
      <c r="B8" s="20" t="str">
        <f>+'County Data'!$B$12</f>
        <v>Clackamas</v>
      </c>
      <c r="C8" s="15">
        <f>VLOOKUP($B8,'County Data'!$B$10:$L$46,2,FALSE)</f>
        <v>426515</v>
      </c>
      <c r="D8" s="29">
        <f>VLOOKUP($B8,'County Data'!$B$10:$L$46,9,FALSE)</f>
        <v>6.7258416497069859E-2</v>
      </c>
      <c r="E8" s="31">
        <f t="shared" si="0"/>
        <v>28686.72351224775</v>
      </c>
      <c r="F8" s="6">
        <f t="shared" si="1"/>
        <v>6.9652991191198568E-2</v>
      </c>
      <c r="G8" s="14">
        <f t="shared" si="2"/>
        <v>47335.011930352019</v>
      </c>
      <c r="H8" s="10">
        <f t="shared" si="3"/>
        <v>0.11098088444803118</v>
      </c>
    </row>
    <row r="9" spans="2:8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Data'!$B$10:$L$46,9,FALSE)</f>
        <v>7.5023041474654384E-2</v>
      </c>
      <c r="E9" s="31">
        <f t="shared" si="0"/>
        <v>537.16497695852536</v>
      </c>
      <c r="F9" s="6">
        <f t="shared" si="1"/>
        <v>1.3042670206772904E-3</v>
      </c>
      <c r="G9" s="14">
        <f t="shared" si="2"/>
        <v>886.35812946860847</v>
      </c>
      <c r="H9" s="10">
        <f t="shared" si="3"/>
        <v>0.12379303484198442</v>
      </c>
    </row>
    <row r="10" spans="2:8">
      <c r="B10" s="20" t="str">
        <f>+'County Data'!$B$18</f>
        <v>Deschutes</v>
      </c>
      <c r="C10" s="15">
        <f>VLOOKUP($B10,'County Data'!$B$10:$L$46,2,FALSE)</f>
        <v>197015</v>
      </c>
      <c r="D10" s="29">
        <f>VLOOKUP($B10,'County Data'!$B$10:$L$46,9,FALSE)</f>
        <v>6.4709260039046049E-2</v>
      </c>
      <c r="E10" s="31">
        <f t="shared" si="0"/>
        <v>12748.694866592657</v>
      </c>
      <c r="F10" s="6">
        <f t="shared" si="1"/>
        <v>3.0954553972081657E-2</v>
      </c>
      <c r="G10" s="14">
        <f t="shared" si="2"/>
        <v>21036.198970193826</v>
      </c>
      <c r="H10" s="10">
        <f t="shared" si="3"/>
        <v>0.10677460584317856</v>
      </c>
    </row>
    <row r="11" spans="2:8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Data'!$B$10:$L$46,9,FALSE)</f>
        <v>7.6918634867471275E-2</v>
      </c>
      <c r="E11" s="31">
        <f t="shared" si="0"/>
        <v>2064.496159842929</v>
      </c>
      <c r="F11" s="6">
        <f t="shared" si="1"/>
        <v>5.0127137306011389E-3</v>
      </c>
      <c r="G11" s="14">
        <f t="shared" si="2"/>
        <v>3406.5567060876901</v>
      </c>
      <c r="H11" s="10">
        <f t="shared" si="3"/>
        <v>0.1269208906888111</v>
      </c>
    </row>
    <row r="12" spans="2:8">
      <c r="B12" s="20" t="str">
        <f>+'County Data'!$B$13</f>
        <v>Clatsop</v>
      </c>
      <c r="C12" s="15">
        <f>VLOOKUP($B12,'County Data'!$B$10:$L$46,2,FALSE)</f>
        <v>39455</v>
      </c>
      <c r="D12" s="29">
        <f>VLOOKUP($B12,'County Data'!$B$10:$L$46,9,FALSE)</f>
        <v>8.4374440665831399E-2</v>
      </c>
      <c r="E12" s="31">
        <f t="shared" si="0"/>
        <v>3328.9935564703778</v>
      </c>
      <c r="F12" s="6">
        <f t="shared" si="1"/>
        <v>8.0829851051267554E-3</v>
      </c>
      <c r="G12" s="14">
        <f t="shared" si="2"/>
        <v>5493.0619610257236</v>
      </c>
      <c r="H12" s="10">
        <f t="shared" si="3"/>
        <v>0.13922346878787792</v>
      </c>
    </row>
    <row r="13" spans="2:8">
      <c r="B13" s="20" t="str">
        <f>'County Data'!$B$45</f>
        <v>Wheeler</v>
      </c>
      <c r="C13" s="15">
        <f>VLOOKUP($B13,'County Data'!$B$10:$L$46,2,FALSE)</f>
        <v>1440</v>
      </c>
      <c r="D13" s="29">
        <f>VLOOKUP($B13,'County Data'!$B$10:$L$46,9,FALSE)</f>
        <v>7.9234972677595633E-2</v>
      </c>
      <c r="E13" s="31">
        <f t="shared" si="0"/>
        <v>114.09836065573771</v>
      </c>
      <c r="F13" s="6">
        <f t="shared" si="1"/>
        <v>2.7703728891489515E-4</v>
      </c>
      <c r="G13" s="14">
        <f t="shared" si="2"/>
        <v>188.26992425841414</v>
      </c>
      <c r="H13" s="10">
        <f t="shared" si="3"/>
        <v>0.13074300295723204</v>
      </c>
    </row>
    <row r="14" spans="2:8">
      <c r="B14" s="20" t="str">
        <f>+'County Data'!$B$29</f>
        <v>Lane</v>
      </c>
      <c r="C14" s="15">
        <f>VLOOKUP($B14,'County Data'!$B$10:$L$46,2,FALSE)</f>
        <v>381365</v>
      </c>
      <c r="D14" s="29">
        <f>VLOOKUP($B14,'County Data'!$B$10:$L$46,9,FALSE)</f>
        <v>8.6174325107355759E-2</v>
      </c>
      <c r="E14" s="31">
        <f t="shared" si="0"/>
        <v>32863.871494566731</v>
      </c>
      <c r="F14" s="6">
        <f t="shared" si="1"/>
        <v>7.9795343331643467E-2</v>
      </c>
      <c r="G14" s="14">
        <f t="shared" si="2"/>
        <v>54227.585405796031</v>
      </c>
      <c r="H14" s="10">
        <f t="shared" si="3"/>
        <v>0.14219339846550164</v>
      </c>
    </row>
    <row r="15" spans="2:8">
      <c r="B15" s="20" t="str">
        <f>+'County Data'!$B$37</f>
        <v>Polk</v>
      </c>
      <c r="C15" s="15">
        <f>VLOOKUP($B15,'County Data'!$B$10:$L$46,2,FALSE)</f>
        <v>83805</v>
      </c>
      <c r="D15" s="29">
        <f>VLOOKUP($B15,'County Data'!$B$10:$L$46,9,FALSE)</f>
        <v>9.566050387968196E-2</v>
      </c>
      <c r="E15" s="31">
        <f t="shared" si="0"/>
        <v>8016.8285276367469</v>
      </c>
      <c r="F15" s="6">
        <f t="shared" si="1"/>
        <v>1.9465314209844337E-2</v>
      </c>
      <c r="G15" s="14">
        <f t="shared" si="2"/>
        <v>13228.303115106713</v>
      </c>
      <c r="H15" s="10">
        <f t="shared" si="3"/>
        <v>0.15784622773231566</v>
      </c>
    </row>
    <row r="16" spans="2:8">
      <c r="B16" s="20" t="str">
        <f>+'County Data'!$B$44</f>
        <v>Washington</v>
      </c>
      <c r="C16" s="15">
        <f>VLOOKUP($B16,'County Data'!$B$10:$L$46,2,FALSE)</f>
        <v>620080</v>
      </c>
      <c r="D16" s="29">
        <f>VLOOKUP($B16,'County Data'!$B$10:$L$46,9,FALSE)</f>
        <v>8.3950044504063362E-2</v>
      </c>
      <c r="E16" s="31">
        <f t="shared" si="0"/>
        <v>52055.743596079607</v>
      </c>
      <c r="F16" s="6">
        <f t="shared" si="1"/>
        <v>0.1263942969506775</v>
      </c>
      <c r="G16" s="14">
        <f t="shared" si="2"/>
        <v>85895.457636064573</v>
      </c>
      <c r="H16" s="10">
        <f t="shared" si="3"/>
        <v>0.13852318674375011</v>
      </c>
    </row>
    <row r="17" spans="2:8">
      <c r="B17" s="20" t="str">
        <f>+'County Data'!$B$35</f>
        <v>Multnomah</v>
      </c>
      <c r="C17" s="15">
        <f>VLOOKUP($B17,'County Data'!$B$10:$L$46,2,FALSE)</f>
        <v>829560</v>
      </c>
      <c r="D17" s="29">
        <f>VLOOKUP($B17,'County Data'!$B$10:$L$46,9,FALSE)</f>
        <v>8.7056662281201555E-2</v>
      </c>
      <c r="E17" s="31">
        <f t="shared" si="0"/>
        <v>72218.724761993566</v>
      </c>
      <c r="F17" s="6">
        <f t="shared" si="1"/>
        <v>0.17535115843881841</v>
      </c>
      <c r="G17" s="14">
        <f t="shared" si="2"/>
        <v>119165.72475571366</v>
      </c>
      <c r="H17" s="10">
        <f t="shared" si="3"/>
        <v>0.14364931379974161</v>
      </c>
    </row>
    <row r="18" spans="2:8">
      <c r="B18" s="20" t="str">
        <f>+'County Data'!$B$10</f>
        <v>Baker</v>
      </c>
      <c r="C18" s="15">
        <f>VLOOKUP($B18,'County Data'!$B$10:$L$46,2,FALSE)</f>
        <v>16910</v>
      </c>
      <c r="D18" s="29">
        <f>VLOOKUP($B18,'County Data'!$B$10:$L$46,9,FALSE)</f>
        <v>0.10388846896783405</v>
      </c>
      <c r="E18" s="31">
        <f t="shared" si="0"/>
        <v>1756.7540102460737</v>
      </c>
      <c r="F18" s="6">
        <f t="shared" si="1"/>
        <v>4.2654983427622807E-3</v>
      </c>
      <c r="G18" s="14">
        <f t="shared" si="2"/>
        <v>2898.7615821021996</v>
      </c>
      <c r="H18" s="10">
        <f t="shared" si="3"/>
        <v>0.17142292028989944</v>
      </c>
    </row>
    <row r="19" spans="2:8">
      <c r="B19" s="20" t="str">
        <f>+'County Data'!$B$14</f>
        <v>Columbia</v>
      </c>
      <c r="C19" s="15">
        <f>VLOOKUP($B19,'County Data'!$B$10:$L$46,2,FALSE)</f>
        <v>53280</v>
      </c>
      <c r="D19" s="29">
        <f>VLOOKUP($B19,'County Data'!$B$10:$L$46,9,FALSE)</f>
        <v>9.5876003321339609E-2</v>
      </c>
      <c r="E19" s="31">
        <f t="shared" si="0"/>
        <v>5108.2734569609747</v>
      </c>
      <c r="F19" s="6">
        <f t="shared" si="1"/>
        <v>1.2403177586594203E-2</v>
      </c>
      <c r="G19" s="14">
        <f t="shared" si="2"/>
        <v>8428.9927682229772</v>
      </c>
      <c r="H19" s="10">
        <f t="shared" si="3"/>
        <v>0.15820181622040122</v>
      </c>
    </row>
    <row r="20" spans="2:8">
      <c r="B20" s="20" t="str">
        <f>+'County Data'!$B$39</f>
        <v>Tillamook</v>
      </c>
      <c r="C20" s="15">
        <f>VLOOKUP($B20,'County Data'!$B$10:$L$46,2,FALSE)</f>
        <v>26530</v>
      </c>
      <c r="D20" s="29">
        <f>VLOOKUP($B20,'County Data'!$B$10:$L$46,9,FALSE)</f>
        <v>9.6828904764352158E-2</v>
      </c>
      <c r="E20" s="31">
        <f t="shared" si="0"/>
        <v>2568.8708433982629</v>
      </c>
      <c r="F20" s="6">
        <f t="shared" si="1"/>
        <v>6.2373640597244359E-3</v>
      </c>
      <c r="G20" s="14">
        <f t="shared" si="2"/>
        <v>4238.8086589210643</v>
      </c>
      <c r="H20" s="10">
        <f t="shared" si="3"/>
        <v>0.15977416731703975</v>
      </c>
    </row>
    <row r="21" spans="2:8">
      <c r="B21" s="20" t="str">
        <f>+'County Data'!$B$17</f>
        <v>Curry</v>
      </c>
      <c r="C21" s="15">
        <f>VLOOKUP($B21,'County Data'!$B$10:$L$46,2,FALSE)</f>
        <v>23005</v>
      </c>
      <c r="D21" s="29">
        <f>VLOOKUP($B21,'County Data'!$B$10:$L$46,9,FALSE)</f>
        <v>0.10947055258663435</v>
      </c>
      <c r="E21" s="31">
        <f t="shared" si="0"/>
        <v>2518.3700622555234</v>
      </c>
      <c r="F21" s="6">
        <f t="shared" si="1"/>
        <v>6.1147452997750091E-3</v>
      </c>
      <c r="G21" s="14">
        <f t="shared" si="2"/>
        <v>4155.4789933054326</v>
      </c>
      <c r="H21" s="10">
        <f t="shared" si="3"/>
        <v>0.18063373150643044</v>
      </c>
    </row>
    <row r="22" spans="2:8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Data'!$B$10:$L$46,9,FALSE)</f>
        <v>0.10089543820066277</v>
      </c>
      <c r="E22" s="31">
        <f t="shared" si="0"/>
        <v>12846.007191708384</v>
      </c>
      <c r="F22" s="6">
        <f t="shared" si="1"/>
        <v>3.1190833814956947E-2</v>
      </c>
      <c r="G22" s="14">
        <f t="shared" si="2"/>
        <v>21196.770813414489</v>
      </c>
      <c r="H22" s="10">
        <f t="shared" si="3"/>
        <v>0.16648421939533842</v>
      </c>
    </row>
    <row r="23" spans="2:8">
      <c r="B23" s="20" t="str">
        <f>+'County Data'!$B$21</f>
        <v>Grant</v>
      </c>
      <c r="C23" s="15">
        <f>VLOOKUP($B23,'County Data'!$B$10:$L$46,2,FALSE)</f>
        <v>7315</v>
      </c>
      <c r="D23" s="29">
        <f>VLOOKUP($B23,'County Data'!$B$10:$L$46,9,FALSE)</f>
        <v>0.11228389444949954</v>
      </c>
      <c r="E23" s="31">
        <f t="shared" si="0"/>
        <v>821.35668789808915</v>
      </c>
      <c r="F23" s="6">
        <f t="shared" si="1"/>
        <v>1.9943006081740893E-3</v>
      </c>
      <c r="G23" s="14">
        <f t="shared" si="2"/>
        <v>1355.2934549716413</v>
      </c>
      <c r="H23" s="10">
        <f t="shared" si="3"/>
        <v>0.18527593369400427</v>
      </c>
    </row>
    <row r="24" spans="2:8">
      <c r="B24" s="20" t="str">
        <f>+'County Data'!$B$22</f>
        <v>Harney</v>
      </c>
      <c r="C24" s="15">
        <f>VLOOKUP($B24,'County Data'!$B$10:$L$46,2,FALSE)</f>
        <v>7280</v>
      </c>
      <c r="D24" s="29">
        <f>VLOOKUP($B24,'County Data'!$B$10:$L$46,9,FALSE)</f>
        <v>0.1021883920076118</v>
      </c>
      <c r="E24" s="31">
        <f t="shared" si="0"/>
        <v>743.93149381541389</v>
      </c>
      <c r="F24" s="6">
        <f t="shared" si="1"/>
        <v>1.8063078470239729E-3</v>
      </c>
      <c r="G24" s="14">
        <f t="shared" si="2"/>
        <v>1227.5367077067081</v>
      </c>
      <c r="H24" s="10">
        <f t="shared" si="3"/>
        <v>0.16861767963004232</v>
      </c>
    </row>
    <row r="25" spans="2:8">
      <c r="B25" s="20" t="str">
        <f>+'County Data'!$B$30</f>
        <v>Lincoln</v>
      </c>
      <c r="C25" s="15">
        <f>VLOOKUP($B25,'County Data'!$B$10:$L$46,2,FALSE)</f>
        <v>48305</v>
      </c>
      <c r="D25" s="29">
        <f>VLOOKUP($B25,'County Data'!$B$10:$L$46,9,FALSE)</f>
        <v>9.4152142042677966E-2</v>
      </c>
      <c r="E25" s="31">
        <f t="shared" si="0"/>
        <v>4548.0192213715591</v>
      </c>
      <c r="F25" s="6">
        <f t="shared" si="1"/>
        <v>1.1042848536827321E-2</v>
      </c>
      <c r="G25" s="14">
        <f t="shared" si="2"/>
        <v>7504.5358181522333</v>
      </c>
      <c r="H25" s="10">
        <f t="shared" si="3"/>
        <v>0.15535732984478282</v>
      </c>
    </row>
    <row r="26" spans="2:8">
      <c r="B26" s="20" t="str">
        <f>+'County Data'!$B$19</f>
        <v>Douglas</v>
      </c>
      <c r="C26" s="15">
        <f>VLOOKUP($B26,'County Data'!$B$10:$L$46,2,FALSE)</f>
        <v>112530</v>
      </c>
      <c r="D26" s="29">
        <f>VLOOKUP($B26,'County Data'!$B$10:$L$46,9,FALSE)</f>
        <v>0.10892266853651207</v>
      </c>
      <c r="E26" s="31">
        <f t="shared" si="0"/>
        <v>12257.067890413704</v>
      </c>
      <c r="F26" s="6">
        <f t="shared" si="1"/>
        <v>2.9760855799248215E-2</v>
      </c>
      <c r="G26" s="14">
        <f t="shared" si="2"/>
        <v>20224.981586905764</v>
      </c>
      <c r="H26" s="10">
        <f t="shared" si="3"/>
        <v>0.17972968618951182</v>
      </c>
    </row>
    <row r="27" spans="2:8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Data'!$B$10:$L$46,9,FALSE)</f>
        <v>0.10373965023348289</v>
      </c>
      <c r="E27" s="31">
        <f t="shared" si="0"/>
        <v>23158.839518122721</v>
      </c>
      <c r="F27" s="6">
        <f t="shared" si="1"/>
        <v>5.6230975428946436E-2</v>
      </c>
      <c r="G27" s="14">
        <f t="shared" si="2"/>
        <v>38213.633718588178</v>
      </c>
      <c r="H27" s="10">
        <f t="shared" si="3"/>
        <v>0.17117735942746901</v>
      </c>
    </row>
    <row r="28" spans="2:8">
      <c r="B28" s="20" t="str">
        <f>+'County Data'!$B$15</f>
        <v>Coos</v>
      </c>
      <c r="C28" s="15">
        <f>VLOOKUP($B28,'County Data'!$B$10:$L$46,2,FALSE)</f>
        <v>63315</v>
      </c>
      <c r="D28" s="29">
        <f>VLOOKUP($B28,'County Data'!$B$10:$L$46,9,FALSE)</f>
        <v>0.11153339844579388</v>
      </c>
      <c r="E28" s="31">
        <f t="shared" si="0"/>
        <v>7061.7371225954394</v>
      </c>
      <c r="F28" s="6">
        <f t="shared" si="1"/>
        <v>1.7146298125845446E-2</v>
      </c>
      <c r="G28" s="14">
        <f t="shared" si="2"/>
        <v>11652.338434689133</v>
      </c>
      <c r="H28" s="10">
        <f t="shared" si="3"/>
        <v>0.18403756510604333</v>
      </c>
    </row>
    <row r="29" spans="2:8">
      <c r="B29" s="20" t="str">
        <f>+'County Data'!$B$26</f>
        <v>Josephine</v>
      </c>
      <c r="C29" s="15">
        <f>VLOOKUP($B29,'County Data'!$B$10:$L$46,2,FALSE)</f>
        <v>86560</v>
      </c>
      <c r="D29" s="29">
        <f>VLOOKUP($B29,'County Data'!$B$10:$L$46,9,FALSE)</f>
        <v>9.7927181538266198E-2</v>
      </c>
      <c r="E29" s="31">
        <f t="shared" si="0"/>
        <v>8476.576833952322</v>
      </c>
      <c r="F29" s="6">
        <f t="shared" si="1"/>
        <v>2.058160916476643E-2</v>
      </c>
      <c r="G29" s="14">
        <f t="shared" si="2"/>
        <v>13986.918561555851</v>
      </c>
      <c r="H29" s="10">
        <f t="shared" si="3"/>
        <v>0.16158639743017389</v>
      </c>
    </row>
    <row r="30" spans="2:8">
      <c r="B30" s="20" t="str">
        <f>+'County Data'!$B$46</f>
        <v>Yamhill</v>
      </c>
      <c r="C30" s="15">
        <f>VLOOKUP($B30,'County Data'!$B$10:$L$46,2,FALSE)</f>
        <v>108605</v>
      </c>
      <c r="D30" s="29">
        <f>VLOOKUP($B30,'County Data'!$B$10:$L$46,9,FALSE)</f>
        <v>0.11749373577949944</v>
      </c>
      <c r="E30" s="31">
        <f t="shared" si="0"/>
        <v>12760.407174332537</v>
      </c>
      <c r="F30" s="6">
        <f t="shared" si="1"/>
        <v>3.0982992119348147E-2</v>
      </c>
      <c r="G30" s="14">
        <f t="shared" si="2"/>
        <v>21055.525061107008</v>
      </c>
      <c r="H30" s="10">
        <f t="shared" si="3"/>
        <v>0.19387252024406804</v>
      </c>
    </row>
    <row r="31" spans="2:8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Data'!$B$10:$L$46,9,FALSE)</f>
        <v>0.12596828136800087</v>
      </c>
      <c r="E31" s="31">
        <f t="shared" si="0"/>
        <v>8575.2907541266595</v>
      </c>
      <c r="F31" s="6">
        <f t="shared" si="1"/>
        <v>2.0821292159912817E-2</v>
      </c>
      <c r="G31" s="14">
        <f t="shared" si="2"/>
        <v>14149.80313034075</v>
      </c>
      <c r="H31" s="10">
        <f t="shared" si="3"/>
        <v>0.20785608711481088</v>
      </c>
    </row>
    <row r="32" spans="2:8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Data'!$B$10:$L$46,9,FALSE)</f>
        <v>0.12438408845090734</v>
      </c>
      <c r="E32" s="31">
        <f t="shared" si="0"/>
        <v>2915.5630332892683</v>
      </c>
      <c r="F32" s="6">
        <f t="shared" si="1"/>
        <v>7.0791523538189334E-3</v>
      </c>
      <c r="G32" s="14">
        <f t="shared" si="2"/>
        <v>4810.8739537827832</v>
      </c>
      <c r="H32" s="10">
        <f t="shared" si="3"/>
        <v>0.20524206287469213</v>
      </c>
    </row>
    <row r="33" spans="2:8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Data'!$B$10:$L$46,9,FALSE)</f>
        <v>0.13515598630599354</v>
      </c>
      <c r="E33" s="31">
        <f t="shared" si="0"/>
        <v>4200.648054390279</v>
      </c>
      <c r="F33" s="6">
        <f t="shared" si="1"/>
        <v>1.0199411647860436E-2</v>
      </c>
      <c r="G33" s="14">
        <f t="shared" si="2"/>
        <v>6931.3501656918206</v>
      </c>
      <c r="H33" s="10">
        <f t="shared" si="3"/>
        <v>0.22301641459754892</v>
      </c>
    </row>
    <row r="34" spans="2:8">
      <c r="B34" s="20" t="str">
        <f>+'County Data'!$B$33</f>
        <v>Marion</v>
      </c>
      <c r="C34" s="15">
        <f>VLOOKUP($B34,'County Data'!$B$10:$L$46,2,FALSE)</f>
        <v>349120</v>
      </c>
      <c r="D34" s="29">
        <f>VLOOKUP($B34,'County Data'!$B$10:$L$46,9,FALSE)</f>
        <v>0.14741470645743621</v>
      </c>
      <c r="E34" s="31">
        <f t="shared" si="0"/>
        <v>51465.422318420126</v>
      </c>
      <c r="F34" s="6">
        <f t="shared" si="1"/>
        <v>0.1249609634179986</v>
      </c>
      <c r="G34" s="14">
        <f t="shared" si="2"/>
        <v>84921.388056148207</v>
      </c>
      <c r="H34" s="10">
        <f t="shared" si="3"/>
        <v>0.24324412252563074</v>
      </c>
    </row>
    <row r="35" spans="2:8">
      <c r="B35" s="20" t="str">
        <f>+'County Data'!$B$28</f>
        <v>Lake</v>
      </c>
      <c r="C35" s="15">
        <f>VLOOKUP($B35,'County Data'!$B$10:$L$46,2,FALSE)</f>
        <v>8075</v>
      </c>
      <c r="D35" s="29">
        <f>VLOOKUP($B35,'County Data'!$B$10:$L$46,9,FALSE)</f>
        <v>0.13104736038024103</v>
      </c>
      <c r="E35" s="31">
        <f t="shared" si="0"/>
        <v>1058.2074350704463</v>
      </c>
      <c r="F35" s="6">
        <f t="shared" si="1"/>
        <v>2.5693876514671816E-3</v>
      </c>
      <c r="G35" s="14">
        <f t="shared" si="2"/>
        <v>1746.1130248095719</v>
      </c>
      <c r="H35" s="10">
        <f t="shared" si="3"/>
        <v>0.21623690709716062</v>
      </c>
    </row>
    <row r="36" spans="2:8">
      <c r="B36" s="20" t="str">
        <f>+'County Data'!$B$25</f>
        <v>Jefferson</v>
      </c>
      <c r="C36" s="15">
        <f>VLOOKUP($B36,'County Data'!$B$10:$L$46,2,FALSE)</f>
        <v>24105</v>
      </c>
      <c r="D36" s="29">
        <f>VLOOKUP($B36,'County Data'!$B$10:$L$46,9,FALSE)</f>
        <v>0.14004805260495701</v>
      </c>
      <c r="E36" s="31">
        <f t="shared" si="0"/>
        <v>3375.8583080424887</v>
      </c>
      <c r="F36" s="6">
        <f t="shared" si="1"/>
        <v>8.1967753791200981E-3</v>
      </c>
      <c r="G36" s="14">
        <f t="shared" si="2"/>
        <v>5570.391934727033</v>
      </c>
      <c r="H36" s="10">
        <f t="shared" si="3"/>
        <v>0.23108865109840418</v>
      </c>
    </row>
    <row r="37" spans="2:8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Data'!$B$10:$L$46,9,FALSE)</f>
        <v>0.1782276866667995</v>
      </c>
      <c r="E37" s="31">
        <f t="shared" si="0"/>
        <v>14524.665324910826</v>
      </c>
      <c r="F37" s="6">
        <f t="shared" si="1"/>
        <v>3.5266710940312973E-2</v>
      </c>
      <c r="G37" s="14">
        <f t="shared" si="2"/>
        <v>23966.668976521021</v>
      </c>
      <c r="H37" s="10">
        <f t="shared" si="3"/>
        <v>0.29408760017818297</v>
      </c>
    </row>
    <row r="38" spans="2:8">
      <c r="B38" s="20" t="str">
        <f>+'County Data'!$B$23</f>
        <v>Hood River</v>
      </c>
      <c r="C38" s="15">
        <f>VLOOKUP($B38,'County Data'!$B$10:$L$46,2,FALSE)</f>
        <v>25640</v>
      </c>
      <c r="D38" s="29">
        <f>VLOOKUP($B38,'County Data'!$B$10:$L$46,9,FALSE)</f>
        <v>0.18945337620578778</v>
      </c>
      <c r="E38" s="31">
        <f t="shared" si="0"/>
        <v>4857.5845659163988</v>
      </c>
      <c r="F38" s="6">
        <f t="shared" si="1"/>
        <v>1.1794490745372893E-2</v>
      </c>
      <c r="G38" s="14">
        <f t="shared" si="2"/>
        <v>8015.3393357096611</v>
      </c>
      <c r="H38" s="10">
        <f t="shared" si="3"/>
        <v>0.31261073852221766</v>
      </c>
    </row>
    <row r="39" spans="2:8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Data'!$B$10:$L$46,9,FALSE)</f>
        <v>0.1910630959626699</v>
      </c>
      <c r="E39" s="31">
        <f t="shared" si="0"/>
        <v>6134.0806958815174</v>
      </c>
      <c r="F39" s="6">
        <f t="shared" si="1"/>
        <v>1.4893895724756431E-2</v>
      </c>
      <c r="G39" s="14">
        <f t="shared" si="2"/>
        <v>10121.643302949056</v>
      </c>
      <c r="H39" s="10">
        <f t="shared" si="3"/>
        <v>0.31526688375483747</v>
      </c>
    </row>
    <row r="40" spans="2:8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Data'!$B$10:$L$46,9,FALSE)</f>
        <v>0.24689265536723165</v>
      </c>
      <c r="E40" s="31">
        <f t="shared" si="0"/>
        <v>3166.398305084746</v>
      </c>
      <c r="F40" s="6">
        <f t="shared" si="1"/>
        <v>7.6881946158030498E-3</v>
      </c>
      <c r="G40" s="14">
        <f t="shared" si="2"/>
        <v>5224.7689243228224</v>
      </c>
      <c r="H40" s="10">
        <f t="shared" si="3"/>
        <v>0.40738938981074641</v>
      </c>
    </row>
    <row r="41" spans="2:8">
      <c r="B41" s="4" t="s">
        <v>83</v>
      </c>
      <c r="C41" s="5">
        <f>SUM(C6:C40)</f>
        <v>4268055</v>
      </c>
      <c r="D41" s="5"/>
      <c r="E41" s="5">
        <f>SUM(E6:E40)</f>
        <v>411851.99690135685</v>
      </c>
      <c r="F41" s="8">
        <f>SUM(F6:F40)</f>
        <v>0.99999999999999989</v>
      </c>
      <c r="G41" s="11">
        <f>SUM(G6:G40)</f>
        <v>679583.33333333326</v>
      </c>
      <c r="H41" s="12">
        <f t="shared" ref="H41" si="4">G41/C41</f>
        <v>0.15922553325421843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>
      <c r="B3" t="s">
        <v>120</v>
      </c>
      <c r="C3" s="1">
        <f>'County Data'!C5</f>
        <v>10000000</v>
      </c>
    </row>
    <row r="4" spans="2:10">
      <c r="B4" t="s">
        <v>121</v>
      </c>
      <c r="C4" s="14">
        <f>'County Data'!K9</f>
        <v>1359166.6666666665</v>
      </c>
      <c r="D4" s="9"/>
    </row>
    <row r="6" spans="2:10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0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Data'!$B$10:$L$46,10,FALSE)</f>
        <v>7.3637702503681884E-4</v>
      </c>
      <c r="E7" s="31">
        <f t="shared" ref="E7:E40" si="0">C7*D7</f>
        <v>1.0603829160530192</v>
      </c>
      <c r="F7" s="6">
        <f t="shared" ref="F7:F40" si="1">E7/$E$41</f>
        <v>4.2378203483932266E-6</v>
      </c>
      <c r="G7" s="14">
        <f t="shared" ref="G7:G40" si="2">$C$4*F7</f>
        <v>5.7599041568577931</v>
      </c>
      <c r="H7" s="10">
        <f t="shared" ref="H7:H40" si="3">G7/C7</f>
        <v>3.9999334422623567E-3</v>
      </c>
      <c r="J7" s="32"/>
    </row>
    <row r="8" spans="2:10">
      <c r="B8" s="20" t="str">
        <f>+'County Data'!$B$16</f>
        <v>Crook</v>
      </c>
      <c r="C8" s="15">
        <f>VLOOKUP($B8,'County Data'!$B$10:$L$46,2,FALSE)</f>
        <v>23440</v>
      </c>
      <c r="D8" s="29">
        <f>VLOOKUP($B8,'County Data'!$B$10:$L$46,10,FALSE)</f>
        <v>1.2850082372322899E-2</v>
      </c>
      <c r="E8" s="31">
        <f t="shared" si="0"/>
        <v>301.20593080724876</v>
      </c>
      <c r="F8" s="6">
        <f t="shared" si="1"/>
        <v>1.2037695093984882E-3</v>
      </c>
      <c r="G8" s="14">
        <f t="shared" si="2"/>
        <v>1636.1233915241116</v>
      </c>
      <c r="H8" s="10">
        <f t="shared" si="3"/>
        <v>6.9800485986523539E-2</v>
      </c>
      <c r="J8" s="32"/>
    </row>
    <row r="9" spans="2:10">
      <c r="B9" s="20" t="str">
        <f>+'County Data'!$B$42</f>
        <v>Wallowa</v>
      </c>
      <c r="C9" s="15">
        <f>VLOOKUP($B9,'County Data'!$B$10:$L$46,2,FALSE)</f>
        <v>7160</v>
      </c>
      <c r="D9" s="29">
        <f>VLOOKUP($B9,'County Data'!$B$10:$L$46,10,FALSE)</f>
        <v>1.0912397696271597E-2</v>
      </c>
      <c r="E9" s="31">
        <f t="shared" si="0"/>
        <v>78.132767505304628</v>
      </c>
      <c r="F9" s="6">
        <f t="shared" si="1"/>
        <v>3.1225760713189519E-4</v>
      </c>
      <c r="G9" s="14">
        <f t="shared" si="2"/>
        <v>424.41013102676749</v>
      </c>
      <c r="H9" s="10">
        <f t="shared" si="3"/>
        <v>5.9275157964632327E-2</v>
      </c>
      <c r="J9" s="32"/>
    </row>
    <row r="10" spans="2:10">
      <c r="B10" s="20" t="str">
        <f>+'County Data'!$B$21</f>
        <v>Grant</v>
      </c>
      <c r="C10" s="15">
        <f>VLOOKUP($B10,'County Data'!$B$10:$L$46,2,FALSE)</f>
        <v>7315</v>
      </c>
      <c r="D10" s="29">
        <f>VLOOKUP($B10,'County Data'!$B$10:$L$46,10,FALSE)</f>
        <v>6.2718786464410732E-3</v>
      </c>
      <c r="E10" s="31">
        <f t="shared" si="0"/>
        <v>45.878792298716448</v>
      </c>
      <c r="F10" s="6">
        <f t="shared" si="1"/>
        <v>1.8335459447696887E-4</v>
      </c>
      <c r="G10" s="14">
        <f t="shared" si="2"/>
        <v>249.20945299328017</v>
      </c>
      <c r="H10" s="10">
        <f t="shared" si="3"/>
        <v>3.4068277921159282E-2</v>
      </c>
      <c r="J10" s="32"/>
    </row>
    <row r="11" spans="2:10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Data'!$B$10:$L$46,10,FALSE)</f>
        <v>1.370043472533263E-2</v>
      </c>
      <c r="E11" s="31">
        <f t="shared" si="0"/>
        <v>231.67435120537476</v>
      </c>
      <c r="F11" s="6">
        <f t="shared" si="1"/>
        <v>9.2588654992046887E-4</v>
      </c>
      <c r="G11" s="14">
        <f t="shared" si="2"/>
        <v>1258.4341357669039</v>
      </c>
      <c r="H11" s="10">
        <f t="shared" si="3"/>
        <v>7.441952310862826E-2</v>
      </c>
      <c r="J11" s="32"/>
    </row>
    <row r="12" spans="2:10">
      <c r="B12" s="20" t="str">
        <f>+'County Data'!$B$19</f>
        <v>Douglas</v>
      </c>
      <c r="C12" s="15">
        <f>VLOOKUP($B12,'County Data'!$B$10:$L$46,2,FALSE)</f>
        <v>112530</v>
      </c>
      <c r="D12" s="29">
        <f>VLOOKUP($B12,'County Data'!$B$10:$L$46,10,FALSE)</f>
        <v>1.1854937610714216E-2</v>
      </c>
      <c r="E12" s="31">
        <f t="shared" si="0"/>
        <v>1334.0361293336707</v>
      </c>
      <c r="F12" s="6">
        <f t="shared" si="1"/>
        <v>5.331475421562995E-3</v>
      </c>
      <c r="G12" s="14">
        <f t="shared" si="2"/>
        <v>7246.3636771410365</v>
      </c>
      <c r="H12" s="10">
        <f t="shared" si="3"/>
        <v>6.4394949588030187E-2</v>
      </c>
      <c r="J12" s="32"/>
    </row>
    <row r="13" spans="2:10">
      <c r="B13" s="20" t="str">
        <f>+'County Data'!$B$17</f>
        <v>Curry</v>
      </c>
      <c r="C13" s="15">
        <f>VLOOKUP($B13,'County Data'!$B$10:$L$46,2,FALSE)</f>
        <v>23005</v>
      </c>
      <c r="D13" s="29">
        <f>VLOOKUP($B13,'County Data'!$B$10:$L$46,10,FALSE)</f>
        <v>1.3102458447150332E-2</v>
      </c>
      <c r="E13" s="31">
        <f t="shared" si="0"/>
        <v>301.42205657669336</v>
      </c>
      <c r="F13" s="6">
        <f t="shared" si="1"/>
        <v>1.2046332560410441E-3</v>
      </c>
      <c r="G13" s="14">
        <f t="shared" si="2"/>
        <v>1637.2973671691191</v>
      </c>
      <c r="H13" s="10">
        <f t="shared" si="3"/>
        <v>7.1171370013871721E-2</v>
      </c>
      <c r="J13" s="32"/>
    </row>
    <row r="14" spans="2:10">
      <c r="B14" s="20" t="str">
        <f>+'County Data'!$B$26</f>
        <v>Josephine</v>
      </c>
      <c r="C14" s="15">
        <f>VLOOKUP($B14,'County Data'!$B$10:$L$46,2,FALSE)</f>
        <v>86560</v>
      </c>
      <c r="D14" s="29">
        <f>VLOOKUP($B14,'County Data'!$B$10:$L$46,10,FALSE)</f>
        <v>1.3108498984552895E-2</v>
      </c>
      <c r="E14" s="31">
        <f t="shared" si="0"/>
        <v>1134.6716721028986</v>
      </c>
      <c r="F14" s="6">
        <f t="shared" si="1"/>
        <v>4.5347153636551086E-3</v>
      </c>
      <c r="G14" s="14">
        <f t="shared" si="2"/>
        <v>6163.4339651012342</v>
      </c>
      <c r="H14" s="10">
        <f t="shared" si="3"/>
        <v>7.1204181667066019E-2</v>
      </c>
      <c r="J14" s="32"/>
    </row>
    <row r="15" spans="2:10">
      <c r="B15" s="20" t="str">
        <f>+'County Data'!$B$14</f>
        <v>Columbia</v>
      </c>
      <c r="C15" s="15">
        <f>VLOOKUP($B15,'County Data'!$B$10:$L$46,2,FALSE)</f>
        <v>53280</v>
      </c>
      <c r="D15" s="29">
        <f>VLOOKUP($B15,'County Data'!$B$10:$L$46,10,FALSE)</f>
        <v>1.3475133196508903E-2</v>
      </c>
      <c r="E15" s="31">
        <f t="shared" si="0"/>
        <v>717.95509670999434</v>
      </c>
      <c r="F15" s="6">
        <f t="shared" si="1"/>
        <v>2.8693075605134635E-3</v>
      </c>
      <c r="G15" s="14">
        <f t="shared" si="2"/>
        <v>3899.8671926645488</v>
      </c>
      <c r="H15" s="10">
        <f t="shared" si="3"/>
        <v>7.3195705568028319E-2</v>
      </c>
      <c r="J15" s="32"/>
    </row>
    <row r="16" spans="2:10">
      <c r="B16" s="20" t="str">
        <f>+'County Data'!$B$41</f>
        <v>Union</v>
      </c>
      <c r="C16" s="15">
        <f>VLOOKUP($B16,'County Data'!$B$10:$L$46,2,FALSE)</f>
        <v>26840</v>
      </c>
      <c r="D16" s="29">
        <f>VLOOKUP($B16,'County Data'!$B$10:$L$46,10,FALSE)</f>
        <v>1.6070990431013329E-2</v>
      </c>
      <c r="E16" s="31">
        <f t="shared" si="0"/>
        <v>431.34538316839775</v>
      </c>
      <c r="F16" s="6">
        <f t="shared" si="1"/>
        <v>1.723871833752847E-3</v>
      </c>
      <c r="G16" s="14">
        <f t="shared" si="2"/>
        <v>2343.029134042411</v>
      </c>
      <c r="H16" s="10">
        <f t="shared" si="3"/>
        <v>8.729616743824184E-2</v>
      </c>
      <c r="J16" s="32"/>
    </row>
    <row r="17" spans="2:10">
      <c r="B17" s="20" t="str">
        <f>+'County Data'!$B$15</f>
        <v>Coos</v>
      </c>
      <c r="C17" s="15">
        <f>VLOOKUP($B17,'County Data'!$B$10:$L$46,2,FALSE)</f>
        <v>63315</v>
      </c>
      <c r="D17" s="29">
        <f>VLOOKUP($B17,'County Data'!$B$10:$L$46,10,FALSE)</f>
        <v>1.4799926913941166E-2</v>
      </c>
      <c r="E17" s="31">
        <f t="shared" si="0"/>
        <v>937.05737255618487</v>
      </c>
      <c r="F17" s="6">
        <f t="shared" si="1"/>
        <v>3.7449498109718123E-3</v>
      </c>
      <c r="G17" s="14">
        <f t="shared" si="2"/>
        <v>5090.0109514125206</v>
      </c>
      <c r="H17" s="10">
        <f t="shared" si="3"/>
        <v>8.0391865299100071E-2</v>
      </c>
      <c r="J17" s="32"/>
    </row>
    <row r="18" spans="2:10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Data'!$B$10:$L$46,10,FALSE)</f>
        <v>1.5169194865810968E-2</v>
      </c>
      <c r="E18" s="31">
        <f t="shared" si="0"/>
        <v>110.43173862310385</v>
      </c>
      <c r="F18" s="6">
        <f t="shared" si="1"/>
        <v>4.4134044594701133E-4</v>
      </c>
      <c r="G18" s="14">
        <f t="shared" si="2"/>
        <v>599.85522278297947</v>
      </c>
      <c r="H18" s="10">
        <f t="shared" si="3"/>
        <v>8.239769543722246E-2</v>
      </c>
      <c r="J18" s="32"/>
    </row>
    <row r="19" spans="2:10">
      <c r="B19" s="20" t="str">
        <f>+'County Data'!$B$18</f>
        <v>Deschutes</v>
      </c>
      <c r="C19" s="15">
        <f>VLOOKUP($B19,'County Data'!$B$10:$L$46,2,FALSE)</f>
        <v>197015</v>
      </c>
      <c r="D19" s="29">
        <f>VLOOKUP($B19,'County Data'!$B$10:$L$46,10,FALSE)</f>
        <v>2.1095839220861116E-2</v>
      </c>
      <c r="E19" s="31">
        <f t="shared" si="0"/>
        <v>4156.1967640979528</v>
      </c>
      <c r="F19" s="6">
        <f t="shared" si="1"/>
        <v>1.6610240463304227E-2</v>
      </c>
      <c r="G19" s="14">
        <f t="shared" si="2"/>
        <v>22576.085163040992</v>
      </c>
      <c r="H19" s="10">
        <f t="shared" si="3"/>
        <v>0.11459069189168841</v>
      </c>
      <c r="J19" s="32"/>
    </row>
    <row r="20" spans="2:10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Data'!$B$10:$L$46,10,FALSE)</f>
        <v>2.4106299860542066E-2</v>
      </c>
      <c r="E20" s="31">
        <f t="shared" si="0"/>
        <v>3069.2140982442156</v>
      </c>
      <c r="F20" s="6">
        <f t="shared" si="1"/>
        <v>1.2266114214220674E-2</v>
      </c>
      <c r="G20" s="14">
        <f t="shared" si="2"/>
        <v>16671.693569494932</v>
      </c>
      <c r="H20" s="10">
        <f t="shared" si="3"/>
        <v>0.13094324198472299</v>
      </c>
      <c r="J20" s="32"/>
    </row>
    <row r="21" spans="2:10">
      <c r="B21" s="20" t="str">
        <f>+'County Data'!$B$39</f>
        <v>Tillamook</v>
      </c>
      <c r="C21" s="15">
        <f>VLOOKUP($B21,'County Data'!$B$10:$L$46,2,FALSE)</f>
        <v>26530</v>
      </c>
      <c r="D21" s="29">
        <f>VLOOKUP($B21,'County Data'!$B$10:$L$46,10,FALSE)</f>
        <v>3.1383278345537939E-2</v>
      </c>
      <c r="E21" s="31">
        <f t="shared" si="0"/>
        <v>832.59837450712155</v>
      </c>
      <c r="F21" s="6">
        <f t="shared" si="1"/>
        <v>3.3274794228663187E-3</v>
      </c>
      <c r="G21" s="14">
        <f t="shared" si="2"/>
        <v>4522.599115579138</v>
      </c>
      <c r="H21" s="10">
        <f t="shared" si="3"/>
        <v>0.17047113138255326</v>
      </c>
      <c r="J21" s="32"/>
    </row>
    <row r="22" spans="2:10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Data'!$B$10:$L$46,10,FALSE)</f>
        <v>1.7890772128060263E-2</v>
      </c>
      <c r="E22" s="31">
        <f t="shared" si="0"/>
        <v>144.46798493408662</v>
      </c>
      <c r="F22" s="6">
        <f t="shared" si="1"/>
        <v>5.7736630511164033E-4</v>
      </c>
      <c r="G22" s="14">
        <f t="shared" si="2"/>
        <v>784.73703636423772</v>
      </c>
      <c r="H22" s="10">
        <f t="shared" si="3"/>
        <v>9.7181057134890114E-2</v>
      </c>
      <c r="J22" s="32"/>
    </row>
    <row r="23" spans="2:10">
      <c r="B23" s="20" t="str">
        <f>+'County Data'!$B$29</f>
        <v>Lane</v>
      </c>
      <c r="C23" s="15">
        <f>VLOOKUP($B23,'County Data'!$B$10:$L$46,2,FALSE)</f>
        <v>381365</v>
      </c>
      <c r="D23" s="29">
        <f>VLOOKUP($B23,'County Data'!$B$10:$L$46,10,FALSE)</f>
        <v>2.5791358183192822E-2</v>
      </c>
      <c r="E23" s="31">
        <f t="shared" si="0"/>
        <v>9835.9213135333302</v>
      </c>
      <c r="F23" s="6">
        <f t="shared" si="1"/>
        <v>3.9309259755748498E-2</v>
      </c>
      <c r="G23" s="14">
        <f t="shared" si="2"/>
        <v>53427.83555135483</v>
      </c>
      <c r="H23" s="10">
        <f t="shared" si="3"/>
        <v>0.14009632648867837</v>
      </c>
      <c r="J23" s="32"/>
    </row>
    <row r="24" spans="2:10">
      <c r="B24" s="20" t="str">
        <f>+'County Data'!$B$13</f>
        <v>Clatsop</v>
      </c>
      <c r="C24" s="15">
        <f>VLOOKUP($B24,'County Data'!$B$10:$L$46,2,FALSE)</f>
        <v>39455</v>
      </c>
      <c r="D24" s="29">
        <f>VLOOKUP($B24,'County Data'!$B$10:$L$46,10,FALSE)</f>
        <v>3.0615877536489856E-2</v>
      </c>
      <c r="E24" s="31">
        <f t="shared" si="0"/>
        <v>1207.9494482022073</v>
      </c>
      <c r="F24" s="6">
        <f t="shared" si="1"/>
        <v>4.8275699975212829E-3</v>
      </c>
      <c r="G24" s="14">
        <f t="shared" si="2"/>
        <v>6561.4722216310092</v>
      </c>
      <c r="H24" s="10">
        <f t="shared" si="3"/>
        <v>0.16630267954963907</v>
      </c>
      <c r="J24" s="32"/>
    </row>
    <row r="25" spans="2:10">
      <c r="B25" s="20" t="str">
        <f>+'County Data'!$B$27</f>
        <v>Klamath</v>
      </c>
      <c r="C25" s="15">
        <f>VLOOKUP($B25,'County Data'!$B$10:$L$46,2,FALSE)</f>
        <v>68075</v>
      </c>
      <c r="D25" s="29">
        <f>VLOOKUP($B25,'County Data'!$B$10:$L$46,10,FALSE)</f>
        <v>3.3411008437123343E-2</v>
      </c>
      <c r="E25" s="31">
        <f t="shared" si="0"/>
        <v>2274.4543993571715</v>
      </c>
      <c r="F25" s="6">
        <f t="shared" si="1"/>
        <v>9.0898570593402322E-3</v>
      </c>
      <c r="G25" s="14">
        <f t="shared" si="2"/>
        <v>12354.63071981993</v>
      </c>
      <c r="H25" s="10">
        <f t="shared" si="3"/>
        <v>0.18148557796283407</v>
      </c>
      <c r="J25" s="32"/>
    </row>
    <row r="26" spans="2:10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Data'!$B$10:$L$46,10,FALSE)</f>
        <v>1.9758771929824562E-2</v>
      </c>
      <c r="E26" s="31">
        <f t="shared" si="0"/>
        <v>954.44747807017552</v>
      </c>
      <c r="F26" s="6">
        <f t="shared" si="1"/>
        <v>3.8144493680584242E-3</v>
      </c>
      <c r="G26" s="14">
        <f t="shared" si="2"/>
        <v>5184.472432752741</v>
      </c>
      <c r="H26" s="10">
        <f t="shared" si="3"/>
        <v>0.1073278632181501</v>
      </c>
      <c r="J26" s="32"/>
    </row>
    <row r="27" spans="2:10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Data'!$B$10:$L$46,10,FALSE)</f>
        <v>3.5138513530205188E-2</v>
      </c>
      <c r="E27" s="31">
        <f t="shared" si="0"/>
        <v>7844.3217604830061</v>
      </c>
      <c r="F27" s="6">
        <f t="shared" si="1"/>
        <v>3.1349832096178851E-2</v>
      </c>
      <c r="G27" s="14">
        <f t="shared" si="2"/>
        <v>42609.646790723084</v>
      </c>
      <c r="H27" s="10">
        <f t="shared" si="3"/>
        <v>0.1908692294872025</v>
      </c>
      <c r="J27" s="32"/>
    </row>
    <row r="28" spans="2:10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Data'!$B$10:$L$46,10,FALSE)</f>
        <v>4.7645036926935759E-2</v>
      </c>
      <c r="E28" s="31">
        <f t="shared" si="0"/>
        <v>4510.3174206883732</v>
      </c>
      <c r="F28" s="6">
        <f t="shared" si="1"/>
        <v>1.8025483675512127E-2</v>
      </c>
      <c r="G28" s="14">
        <f t="shared" si="2"/>
        <v>24499.636562300231</v>
      </c>
      <c r="H28" s="10">
        <f t="shared" si="3"/>
        <v>0.25880353417102658</v>
      </c>
      <c r="J28" s="32"/>
    </row>
    <row r="29" spans="2:10">
      <c r="B29" s="20" t="str">
        <f>+'County Data'!$B$12</f>
        <v>Clackamas</v>
      </c>
      <c r="C29" s="15">
        <f>VLOOKUP($B29,'County Data'!$B$10:$L$46,2,FALSE)</f>
        <v>426515</v>
      </c>
      <c r="D29" s="29">
        <f>VLOOKUP($B29,'County Data'!$B$10:$L$46,10,FALSE)</f>
        <v>4.0874504898895145E-2</v>
      </c>
      <c r="E29" s="31">
        <f t="shared" si="0"/>
        <v>17433.589456952264</v>
      </c>
      <c r="F29" s="6">
        <f t="shared" si="1"/>
        <v>6.9673340665658098E-2</v>
      </c>
      <c r="G29" s="14">
        <f t="shared" si="2"/>
        <v>94697.682188073624</v>
      </c>
      <c r="H29" s="10">
        <f t="shared" si="3"/>
        <v>0.22202661615200783</v>
      </c>
      <c r="J29" s="32"/>
    </row>
    <row r="30" spans="2:10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Data'!$B$10:$L$46,10,FALSE)</f>
        <v>5.112740819862184E-2</v>
      </c>
      <c r="E30" s="31">
        <f t="shared" si="0"/>
        <v>4284.7324440855036</v>
      </c>
      <c r="F30" s="6">
        <f t="shared" si="1"/>
        <v>1.7123933311330618E-2</v>
      </c>
      <c r="G30" s="14">
        <f t="shared" si="2"/>
        <v>23274.279358983531</v>
      </c>
      <c r="H30" s="10">
        <f t="shared" si="3"/>
        <v>0.2777194601632782</v>
      </c>
      <c r="J30" s="32"/>
    </row>
    <row r="31" spans="2:10">
      <c r="B31" s="20" t="str">
        <f>+'County Data'!$B$25</f>
        <v>Jefferson</v>
      </c>
      <c r="C31" s="15">
        <f>VLOOKUP($B31,'County Data'!$B$10:$L$46,2,FALSE)</f>
        <v>24105</v>
      </c>
      <c r="D31" s="29">
        <f>VLOOKUP($B31,'County Data'!$B$10:$L$46,10,FALSE)</f>
        <v>4.9472082622527551E-2</v>
      </c>
      <c r="E31" s="31">
        <f t="shared" si="0"/>
        <v>1192.5245516160267</v>
      </c>
      <c r="F31" s="6">
        <f t="shared" si="1"/>
        <v>4.7659243979598608E-3</v>
      </c>
      <c r="G31" s="14">
        <f t="shared" si="2"/>
        <v>6477.6855775604436</v>
      </c>
      <c r="H31" s="10">
        <f t="shared" si="3"/>
        <v>0.26872788125121111</v>
      </c>
      <c r="J31" s="32"/>
    </row>
    <row r="32" spans="2:10">
      <c r="B32" s="20" t="str">
        <f>+'County Data'!$B$46</f>
        <v>Yamhill</v>
      </c>
      <c r="C32" s="15">
        <f>VLOOKUP($B32,'County Data'!$B$10:$L$46,2,FALSE)</f>
        <v>108605</v>
      </c>
      <c r="D32" s="29">
        <f>VLOOKUP($B32,'County Data'!$B$10:$L$46,10,FALSE)</f>
        <v>5.2806933273375781E-2</v>
      </c>
      <c r="E32" s="31">
        <f t="shared" si="0"/>
        <v>5735.0969881549763</v>
      </c>
      <c r="F32" s="6">
        <f t="shared" si="1"/>
        <v>2.2920315245060635E-2</v>
      </c>
      <c r="G32" s="14">
        <f t="shared" si="2"/>
        <v>31152.528470578243</v>
      </c>
      <c r="H32" s="10">
        <f t="shared" si="3"/>
        <v>0.28684248856478289</v>
      </c>
      <c r="J32" s="32"/>
    </row>
    <row r="33" spans="2:10">
      <c r="B33" s="20" t="str">
        <f>+'County Data'!$B$36</f>
        <v>Gilliam, Sherman, Wasco</v>
      </c>
      <c r="C33" s="15">
        <f>VLOOKUP($B33,'County Data'!$B$10:$L$46,2,FALSE)</f>
        <v>31080</v>
      </c>
      <c r="D33" s="29">
        <f>VLOOKUP($B33,'County Data'!$B$10:$L$46,10,FALSE)</f>
        <v>5.4470336679592647E-2</v>
      </c>
      <c r="E33" s="31">
        <f t="shared" si="0"/>
        <v>1692.9380640017396</v>
      </c>
      <c r="F33" s="6">
        <f t="shared" si="1"/>
        <v>6.7658270117181788E-3</v>
      </c>
      <c r="G33" s="14">
        <f t="shared" si="2"/>
        <v>9195.88654676029</v>
      </c>
      <c r="H33" s="10">
        <f t="shared" si="3"/>
        <v>0.29587794551995783</v>
      </c>
      <c r="J33" s="32"/>
    </row>
    <row r="34" spans="2:10">
      <c r="B34" s="20" t="str">
        <f>+'County Data'!$B$35</f>
        <v>Multnomah</v>
      </c>
      <c r="C34" s="15">
        <f>VLOOKUP($B34,'County Data'!$B$10:$L$46,2,FALSE)</f>
        <v>829560</v>
      </c>
      <c r="D34" s="29">
        <f>VLOOKUP($B34,'County Data'!$B$10:$L$46,10,FALSE)</f>
        <v>8.4254448034793039E-2</v>
      </c>
      <c r="E34" s="31">
        <f t="shared" si="0"/>
        <v>69894.119911742921</v>
      </c>
      <c r="F34" s="6">
        <f t="shared" si="1"/>
        <v>0.27933185183474835</v>
      </c>
      <c r="G34" s="14">
        <f t="shared" si="2"/>
        <v>379658.54195206211</v>
      </c>
      <c r="H34" s="10">
        <f t="shared" si="3"/>
        <v>0.45766254635235798</v>
      </c>
      <c r="J34" s="32"/>
    </row>
    <row r="35" spans="2:10">
      <c r="B35" s="20" t="str">
        <f>+'County Data'!$B$32</f>
        <v>Malheur</v>
      </c>
      <c r="C35" s="15">
        <f>VLOOKUP($B35,'County Data'!$B$10:$L$46,2,FALSE)</f>
        <v>32105</v>
      </c>
      <c r="D35" s="29">
        <f>VLOOKUP($B35,'County Data'!$B$10:$L$46,10,FALSE)</f>
        <v>7.8250132298465336E-2</v>
      </c>
      <c r="E35" s="31">
        <f t="shared" si="0"/>
        <v>2512.2204974422298</v>
      </c>
      <c r="F35" s="6">
        <f t="shared" si="1"/>
        <v>1.0040089275805457E-2</v>
      </c>
      <c r="G35" s="14">
        <f t="shared" si="2"/>
        <v>13646.154674032248</v>
      </c>
      <c r="H35" s="10">
        <f t="shared" si="3"/>
        <v>0.42504764597515177</v>
      </c>
      <c r="J35" s="32"/>
    </row>
    <row r="36" spans="2:10">
      <c r="B36" s="20" t="str">
        <f>+'County Data'!$B$44</f>
        <v>Washington</v>
      </c>
      <c r="C36" s="15">
        <f>VLOOKUP($B36,'County Data'!$B$10:$L$46,2,FALSE)</f>
        <v>620080</v>
      </c>
      <c r="D36" s="29">
        <f>VLOOKUP($B36,'County Data'!$B$10:$L$46,10,FALSE)</f>
        <v>9.0625859571268771E-2</v>
      </c>
      <c r="E36" s="31">
        <f t="shared" si="0"/>
        <v>56195.283002952339</v>
      </c>
      <c r="F36" s="6">
        <f t="shared" si="1"/>
        <v>0.22458444981371256</v>
      </c>
      <c r="G36" s="14">
        <f t="shared" si="2"/>
        <v>305247.69803847093</v>
      </c>
      <c r="H36" s="10">
        <f t="shared" si="3"/>
        <v>0.49227147793586462</v>
      </c>
      <c r="J36" s="32"/>
    </row>
    <row r="37" spans="2:10">
      <c r="B37" s="20" t="str">
        <f>+'County Data'!$B$40</f>
        <v>Umatilla</v>
      </c>
      <c r="C37" s="15">
        <f>VLOOKUP($B37,'County Data'!$B$10:$L$46,2,FALSE)</f>
        <v>81495</v>
      </c>
      <c r="D37" s="29">
        <f>VLOOKUP($B37,'County Data'!$B$10:$L$46,10,FALSE)</f>
        <v>0.10513829579390996</v>
      </c>
      <c r="E37" s="31">
        <f t="shared" si="0"/>
        <v>8568.2454157246921</v>
      </c>
      <c r="F37" s="6">
        <f t="shared" si="1"/>
        <v>3.424299300100149E-2</v>
      </c>
      <c r="G37" s="14">
        <f t="shared" si="2"/>
        <v>46541.934653861186</v>
      </c>
      <c r="H37" s="10">
        <f t="shared" si="3"/>
        <v>0.57110171978478663</v>
      </c>
      <c r="J37" s="32"/>
    </row>
    <row r="38" spans="2:10">
      <c r="B38" s="20" t="str">
        <f>+'County Data'!$B$33</f>
        <v>Marion</v>
      </c>
      <c r="C38" s="15">
        <f>VLOOKUP($B38,'County Data'!$B$10:$L$46,2,FALSE)</f>
        <v>349120</v>
      </c>
      <c r="D38" s="29">
        <f>VLOOKUP($B38,'County Data'!$B$10:$L$46,10,FALSE)</f>
        <v>0.10408129343246751</v>
      </c>
      <c r="E38" s="31">
        <f t="shared" si="0"/>
        <v>36336.861163143054</v>
      </c>
      <c r="F38" s="6">
        <f t="shared" si="1"/>
        <v>0.14522026647419861</v>
      </c>
      <c r="G38" s="14">
        <f t="shared" si="2"/>
        <v>197378.54551618159</v>
      </c>
      <c r="H38" s="10">
        <f t="shared" si="3"/>
        <v>0.56536017849502063</v>
      </c>
      <c r="J38" s="32"/>
    </row>
    <row r="39" spans="2:10">
      <c r="B39" s="20" t="str">
        <f>+'County Data'!$B$23</f>
        <v>Hood River</v>
      </c>
      <c r="C39" s="15">
        <f>VLOOKUP($B39,'County Data'!$B$10:$L$46,2,FALSE)</f>
        <v>25640</v>
      </c>
      <c r="D39" s="29">
        <f>VLOOKUP($B39,'County Data'!$B$10:$L$46,10,FALSE)</f>
        <v>0.15446440944154463</v>
      </c>
      <c r="E39" s="31">
        <f t="shared" si="0"/>
        <v>3960.4674580812043</v>
      </c>
      <c r="F39" s="6">
        <f t="shared" si="1"/>
        <v>1.5828008287306791E-2</v>
      </c>
      <c r="G39" s="14">
        <f t="shared" si="2"/>
        <v>21512.901263831143</v>
      </c>
      <c r="H39" s="10">
        <f t="shared" si="3"/>
        <v>0.83903671075784492</v>
      </c>
      <c r="J39" s="32"/>
    </row>
    <row r="40" spans="2:10">
      <c r="B40" s="20" t="str">
        <f>+'County Data'!$B$34</f>
        <v>Morrow</v>
      </c>
      <c r="C40" s="15">
        <f>VLOOKUP($B40,'County Data'!$B$10:$L$46,2,FALSE)</f>
        <v>12825</v>
      </c>
      <c r="D40" s="29">
        <f>VLOOKUP($B40,'County Data'!$B$10:$L$46,10,FALSE)</f>
        <v>0.15267839876232836</v>
      </c>
      <c r="E40" s="31">
        <f t="shared" si="0"/>
        <v>1958.1004641268612</v>
      </c>
      <c r="F40" s="6">
        <f t="shared" si="1"/>
        <v>7.8255485499165948E-3</v>
      </c>
      <c r="G40" s="14">
        <f t="shared" si="2"/>
        <v>10636.224737428303</v>
      </c>
      <c r="H40" s="10">
        <f t="shared" si="3"/>
        <v>0.82933526217764553</v>
      </c>
      <c r="J40" s="32"/>
    </row>
    <row r="41" spans="2:10">
      <c r="B41" s="4" t="s">
        <v>83</v>
      </c>
      <c r="C41" s="5">
        <f>SUM(C7:C40)</f>
        <v>4268055</v>
      </c>
      <c r="D41" s="5"/>
      <c r="E41" s="5">
        <f>SUM(E7:E40)</f>
        <v>250218.94013394509</v>
      </c>
      <c r="F41" s="33">
        <f>SUM(F7:F40)</f>
        <v>1</v>
      </c>
      <c r="G41" s="11">
        <f>SUM(G7:G40)</f>
        <v>1359166.6666666665</v>
      </c>
      <c r="H41" s="12">
        <f t="shared" ref="H41" si="4">G41/C41</f>
        <v>0.31845106650843685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>
      <c r="B3" t="s">
        <v>120</v>
      </c>
      <c r="C3" s="1">
        <f>'County Data'!C5</f>
        <v>10000000</v>
      </c>
    </row>
    <row r="4" spans="2:14">
      <c r="B4" t="s">
        <v>121</v>
      </c>
      <c r="C4" s="14">
        <f>'County Data'!L9</f>
        <v>0</v>
      </c>
    </row>
    <row r="6" spans="2:14" s="2" customFormat="1" ht="30">
      <c r="B6" s="3" t="s">
        <v>32</v>
      </c>
      <c r="C6" s="3" t="s">
        <v>101</v>
      </c>
      <c r="D6" s="3" t="s">
        <v>139</v>
      </c>
      <c r="E6" s="3" t="s">
        <v>140</v>
      </c>
      <c r="F6" s="3" t="s">
        <v>141</v>
      </c>
      <c r="G6" s="3" t="s">
        <v>142</v>
      </c>
      <c r="H6" s="3" t="s">
        <v>137</v>
      </c>
      <c r="I6" s="3" t="s">
        <v>138</v>
      </c>
      <c r="J6" s="3" t="s">
        <v>143</v>
      </c>
      <c r="K6" s="13" t="s">
        <v>144</v>
      </c>
      <c r="L6" s="3" t="s">
        <v>145</v>
      </c>
    </row>
    <row r="7" spans="2:14">
      <c r="B7" s="20" t="str">
        <f>'County Data'!$B$45</f>
        <v>Wheeler</v>
      </c>
      <c r="C7" s="15">
        <f>VLOOKUP($B7,'County Data'!$B$10:$P$46,2,FALSE)</f>
        <v>1440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>H7/$H$41</f>
        <v>0</v>
      </c>
      <c r="J7" s="75">
        <f>($C$4-$G$41)*I7</f>
        <v>0</v>
      </c>
      <c r="K7" s="77">
        <f>G7+J7</f>
        <v>0</v>
      </c>
      <c r="L7" s="46">
        <f>K7/C7</f>
        <v>0</v>
      </c>
      <c r="N7" s="158"/>
    </row>
    <row r="8" spans="2:14">
      <c r="B8" s="20" t="str">
        <f>+'County Data'!$B$42</f>
        <v>Wallowa</v>
      </c>
      <c r="C8" s="15">
        <f>VLOOKUP($B8,'County Data'!$B$10:$P$46,2,FALSE)</f>
        <v>7160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5">
        <f t="shared" ref="J8:J40" si="2">($C$4-$G$41)*I8</f>
        <v>0</v>
      </c>
      <c r="K8" s="77">
        <f t="shared" ref="K8:K40" si="3">G8+J8</f>
        <v>0</v>
      </c>
      <c r="L8" s="46">
        <f t="shared" ref="L8:L40" si="4">K8/C8</f>
        <v>0</v>
      </c>
      <c r="N8" s="158"/>
    </row>
    <row r="9" spans="2:14">
      <c r="B9" s="20" t="str">
        <f>+'County Data'!$B$22</f>
        <v>Harney</v>
      </c>
      <c r="C9" s="15">
        <f>VLOOKUP($B9,'County Data'!$B$10:$P$46,2,FALSE)</f>
        <v>7280</v>
      </c>
      <c r="D9" s="47">
        <v>96952</v>
      </c>
      <c r="E9" s="47">
        <f>VLOOKUP($B9,'County Data'!$B$10:$P$46,11,FALSE)</f>
        <v>172270</v>
      </c>
      <c r="F9" s="38">
        <f t="shared" ref="F9:F41" si="5">IFERROR((E9-D9)/D9,-1)</f>
        <v>0.77685865170393598</v>
      </c>
      <c r="G9" s="75">
        <f>IF(F9&lt;0,0,$C$4*Input!$C$26/36)</f>
        <v>0</v>
      </c>
      <c r="H9" s="31">
        <f>IF(F9&lt;0,0,C9*F9)</f>
        <v>5655.5309844046542</v>
      </c>
      <c r="I9" s="38">
        <f t="shared" si="1"/>
        <v>1.4072825184141408E-3</v>
      </c>
      <c r="J9" s="75">
        <f t="shared" si="2"/>
        <v>0</v>
      </c>
      <c r="K9" s="77">
        <f t="shared" si="3"/>
        <v>0</v>
      </c>
      <c r="L9" s="46">
        <f t="shared" si="4"/>
        <v>0</v>
      </c>
      <c r="N9" s="6"/>
    </row>
    <row r="10" spans="2:14">
      <c r="B10" s="20" t="str">
        <f>+'County Data'!$B$21</f>
        <v>Grant</v>
      </c>
      <c r="C10" s="15">
        <f>VLOOKUP($B10,'County Data'!$B$10:$P$46,2,FALSE)</f>
        <v>7315</v>
      </c>
      <c r="D10" s="47">
        <v>73636</v>
      </c>
      <c r="E10" s="47">
        <f>VLOOKUP($B10,'County Data'!$B$10:$P$46,11,FALSE)</f>
        <v>0</v>
      </c>
      <c r="F10" s="38">
        <f t="shared" si="5"/>
        <v>-1</v>
      </c>
      <c r="G10" s="75">
        <f>IF(F10&lt;0,0,$C$4*Input!$C$26/36)</f>
        <v>0</v>
      </c>
      <c r="H10" s="31">
        <f t="shared" si="0"/>
        <v>0</v>
      </c>
      <c r="I10" s="38">
        <f t="shared" si="1"/>
        <v>0</v>
      </c>
      <c r="J10" s="75">
        <f t="shared" si="2"/>
        <v>0</v>
      </c>
      <c r="K10" s="77">
        <f t="shared" si="3"/>
        <v>0</v>
      </c>
      <c r="L10" s="46">
        <f t="shared" si="4"/>
        <v>0</v>
      </c>
      <c r="N10" s="158"/>
    </row>
    <row r="11" spans="2:14">
      <c r="B11" s="20" t="str">
        <f>+'County Data'!$B$28</f>
        <v>Lake</v>
      </c>
      <c r="C11" s="15">
        <f>VLOOKUP($B11,'County Data'!$B$10:$P$46,2,FALSE)</f>
        <v>8075</v>
      </c>
      <c r="D11" s="47">
        <v>151267</v>
      </c>
      <c r="E11" s="47">
        <f>VLOOKUP($B11,'County Data'!$B$10:$P$46,11,FALSE)</f>
        <v>187877</v>
      </c>
      <c r="F11" s="38">
        <f t="shared" si="5"/>
        <v>0.24202238426094258</v>
      </c>
      <c r="G11" s="75">
        <f>IF(F11&lt;0,0,$C$4*Input!$C$26/36)</f>
        <v>0</v>
      </c>
      <c r="H11" s="31">
        <f t="shared" si="0"/>
        <v>1954.3307529071114</v>
      </c>
      <c r="I11" s="38">
        <f t="shared" si="1"/>
        <v>4.8630190716828712E-4</v>
      </c>
      <c r="J11" s="75">
        <f t="shared" si="2"/>
        <v>0</v>
      </c>
      <c r="K11" s="77">
        <f t="shared" si="3"/>
        <v>0</v>
      </c>
      <c r="L11" s="46">
        <f t="shared" si="4"/>
        <v>0</v>
      </c>
      <c r="N11" s="6"/>
    </row>
    <row r="12" spans="2:14">
      <c r="B12" s="20" t="str">
        <f>+'County Data'!$B$34</f>
        <v>Morrow</v>
      </c>
      <c r="C12" s="15">
        <f>VLOOKUP($B12,'County Data'!$B$10:$P$46,2,FALSE)</f>
        <v>12825</v>
      </c>
      <c r="D12" s="47">
        <v>621474</v>
      </c>
      <c r="E12" s="47">
        <f>VLOOKUP($B12,'County Data'!$B$10:$P$46,11,FALSE)</f>
        <v>712823</v>
      </c>
      <c r="F12" s="38">
        <f t="shared" si="5"/>
        <v>0.14698764550085763</v>
      </c>
      <c r="G12" s="75">
        <f>IF(F12&lt;0,0,$C$4*Input!$C$26/36)</f>
        <v>0</v>
      </c>
      <c r="H12" s="31">
        <f t="shared" si="0"/>
        <v>1885.116553548499</v>
      </c>
      <c r="I12" s="38">
        <f t="shared" si="1"/>
        <v>4.6907913302877632E-4</v>
      </c>
      <c r="J12" s="75">
        <f t="shared" si="2"/>
        <v>0</v>
      </c>
      <c r="K12" s="77">
        <f t="shared" si="3"/>
        <v>0</v>
      </c>
      <c r="L12" s="46">
        <f t="shared" si="4"/>
        <v>0</v>
      </c>
      <c r="N12" s="6"/>
    </row>
    <row r="13" spans="2:14">
      <c r="B13" s="20" t="str">
        <f>+'County Data'!$B$10</f>
        <v>Baker</v>
      </c>
      <c r="C13" s="15">
        <f>VLOOKUP($B13,'County Data'!$B$10:$P$46,2,FALSE)</f>
        <v>16910</v>
      </c>
      <c r="D13" s="47">
        <v>246676</v>
      </c>
      <c r="E13" s="47">
        <f>VLOOKUP($B13,'County Data'!$B$10:$P$46,11,FALSE)</f>
        <v>361764</v>
      </c>
      <c r="F13" s="38">
        <f t="shared" si="5"/>
        <v>0.46655531952845025</v>
      </c>
      <c r="G13" s="75">
        <f>IF(F13&lt;0,0,$C$4*Input!$C$26/36)</f>
        <v>0</v>
      </c>
      <c r="H13" s="31">
        <f t="shared" si="0"/>
        <v>7889.4504532260935</v>
      </c>
      <c r="I13" s="38">
        <f t="shared" si="1"/>
        <v>1.9631553135038404E-3</v>
      </c>
      <c r="J13" s="75">
        <f t="shared" si="2"/>
        <v>0</v>
      </c>
      <c r="K13" s="77">
        <f t="shared" si="3"/>
        <v>0</v>
      </c>
      <c r="L13" s="46">
        <f t="shared" si="4"/>
        <v>0</v>
      </c>
      <c r="N13" s="6"/>
    </row>
    <row r="14" spans="2:14">
      <c r="B14" s="20" t="str">
        <f>+'County Data'!$B$16</f>
        <v>Crook</v>
      </c>
      <c r="C14" s="15">
        <f>VLOOKUP($B14,'County Data'!$B$10:$P$46,2,FALSE)</f>
        <v>23440</v>
      </c>
      <c r="D14" s="47">
        <v>622139</v>
      </c>
      <c r="E14" s="47">
        <f>VLOOKUP($B14,'County Data'!$B$10:$P$46,11,FALSE)</f>
        <v>1584688</v>
      </c>
      <c r="F14" s="38">
        <f t="shared" si="5"/>
        <v>1.5471606827413167</v>
      </c>
      <c r="G14" s="75">
        <f>IF(F14&lt;0,0,$C$4*Input!$C$26/36)</f>
        <v>0</v>
      </c>
      <c r="H14" s="31">
        <f t="shared" si="0"/>
        <v>36265.446403456466</v>
      </c>
      <c r="I14" s="38">
        <f t="shared" si="1"/>
        <v>9.0240383947682822E-3</v>
      </c>
      <c r="J14" s="75">
        <f t="shared" si="2"/>
        <v>0</v>
      </c>
      <c r="K14" s="77">
        <f t="shared" si="3"/>
        <v>0</v>
      </c>
      <c r="L14" s="46">
        <f t="shared" si="4"/>
        <v>0</v>
      </c>
      <c r="N14" s="6"/>
    </row>
    <row r="15" spans="2:14">
      <c r="B15" s="20" t="str">
        <f>+'County Data'!$B$17</f>
        <v>Curry</v>
      </c>
      <c r="C15" s="15">
        <f>VLOOKUP($B15,'County Data'!$B$10:$P$46,2,FALSE)</f>
        <v>23005</v>
      </c>
      <c r="D15" s="47">
        <v>144795</v>
      </c>
      <c r="E15" s="47">
        <f>VLOOKUP($B15,'County Data'!$B$10:$P$46,11,FALSE)</f>
        <v>703878</v>
      </c>
      <c r="F15" s="38">
        <f t="shared" si="5"/>
        <v>3.8612037708484408</v>
      </c>
      <c r="G15" s="75">
        <f>IF(F15&lt;0,0,$C$4*Input!$C$26/36)</f>
        <v>0</v>
      </c>
      <c r="H15" s="31">
        <f t="shared" si="0"/>
        <v>88826.992748368386</v>
      </c>
      <c r="I15" s="38">
        <f t="shared" si="1"/>
        <v>2.2103083583625251E-2</v>
      </c>
      <c r="J15" s="75">
        <f t="shared" si="2"/>
        <v>0</v>
      </c>
      <c r="K15" s="77">
        <f t="shared" si="3"/>
        <v>0</v>
      </c>
      <c r="L15" s="46">
        <f t="shared" si="4"/>
        <v>0</v>
      </c>
      <c r="N15" s="6"/>
    </row>
    <row r="16" spans="2:14">
      <c r="B16" s="20" t="str">
        <f>+'County Data'!$B$25</f>
        <v>Jefferson</v>
      </c>
      <c r="C16" s="15">
        <f>VLOOKUP($B16,'County Data'!$B$10:$P$46,2,FALSE)</f>
        <v>24105</v>
      </c>
      <c r="D16" s="47">
        <v>566944</v>
      </c>
      <c r="E16" s="47">
        <f>VLOOKUP($B16,'County Data'!$B$10:$P$46,11,FALSE)</f>
        <v>261557</v>
      </c>
      <c r="F16" s="38">
        <f t="shared" si="5"/>
        <v>-0.53865461139019022</v>
      </c>
      <c r="G16" s="75">
        <f>IF(F16&lt;0,0,$C$4*Input!$C$26/36)</f>
        <v>0</v>
      </c>
      <c r="H16" s="31">
        <f t="shared" si="0"/>
        <v>0</v>
      </c>
      <c r="I16" s="38">
        <f t="shared" si="1"/>
        <v>0</v>
      </c>
      <c r="J16" s="75">
        <f t="shared" si="2"/>
        <v>0</v>
      </c>
      <c r="K16" s="77">
        <f t="shared" si="3"/>
        <v>0</v>
      </c>
      <c r="L16" s="46">
        <f t="shared" si="4"/>
        <v>0</v>
      </c>
      <c r="N16" s="158"/>
    </row>
    <row r="17" spans="2:14">
      <c r="B17" s="20" t="str">
        <f>+'County Data'!$B$23</f>
        <v>Hood River</v>
      </c>
      <c r="C17" s="15">
        <f>VLOOKUP($B17,'County Data'!$B$10:$P$46,2,FALSE)</f>
        <v>25640</v>
      </c>
      <c r="D17" s="47">
        <v>822751</v>
      </c>
      <c r="E17" s="47">
        <f>VLOOKUP($B17,'County Data'!$B$10:$P$46,11,FALSE)</f>
        <v>729676</v>
      </c>
      <c r="F17" s="38">
        <f t="shared" si="5"/>
        <v>-0.11312657170881592</v>
      </c>
      <c r="G17" s="75">
        <f>IF(F17&lt;0,0,$C$4*Input!$C$26/36)</f>
        <v>0</v>
      </c>
      <c r="H17" s="31">
        <f t="shared" si="0"/>
        <v>0</v>
      </c>
      <c r="I17" s="38">
        <f t="shared" si="1"/>
        <v>0</v>
      </c>
      <c r="J17" s="75">
        <f t="shared" si="2"/>
        <v>0</v>
      </c>
      <c r="K17" s="77">
        <f t="shared" si="3"/>
        <v>0</v>
      </c>
      <c r="L17" s="46">
        <f t="shared" si="4"/>
        <v>0</v>
      </c>
      <c r="N17" s="158"/>
    </row>
    <row r="18" spans="2:14">
      <c r="B18" s="20" t="str">
        <f>+'County Data'!$B$39</f>
        <v>Tillamook</v>
      </c>
      <c r="C18" s="15">
        <f>VLOOKUP($B18,'County Data'!$B$10:$P$46,2,FALSE)</f>
        <v>26530</v>
      </c>
      <c r="D18" s="47">
        <v>146840</v>
      </c>
      <c r="E18" s="47">
        <f>VLOOKUP($B18,'County Data'!$B$10:$P$46,11,FALSE)</f>
        <v>119798</v>
      </c>
      <c r="F18" s="38">
        <f t="shared" si="5"/>
        <v>-0.18415962952873877</v>
      </c>
      <c r="G18" s="75">
        <f>IF(F18&lt;0,0,$C$4*Input!$C$26/36)</f>
        <v>0</v>
      </c>
      <c r="H18" s="31">
        <f t="shared" si="0"/>
        <v>0</v>
      </c>
      <c r="I18" s="38">
        <f t="shared" si="1"/>
        <v>0</v>
      </c>
      <c r="J18" s="75">
        <f t="shared" si="2"/>
        <v>0</v>
      </c>
      <c r="K18" s="77">
        <f t="shared" si="3"/>
        <v>0</v>
      </c>
      <c r="L18" s="46">
        <f t="shared" si="4"/>
        <v>0</v>
      </c>
      <c r="N18" s="158"/>
    </row>
    <row r="19" spans="2:14">
      <c r="B19" s="20" t="str">
        <f>+'County Data'!$B$41</f>
        <v>Union</v>
      </c>
      <c r="C19" s="15">
        <f>VLOOKUP($B19,'County Data'!$B$10:$P$46,2,FALSE)</f>
        <v>26840</v>
      </c>
      <c r="D19" s="47">
        <v>145000</v>
      </c>
      <c r="E19" s="47">
        <f>VLOOKUP($B19,'County Data'!$B$10:$P$46,11,FALSE)</f>
        <v>153290</v>
      </c>
      <c r="F19" s="38">
        <f t="shared" si="5"/>
        <v>5.7172413793103449E-2</v>
      </c>
      <c r="G19" s="75">
        <f>IF(F19&lt;0,0,$C$4*Input!$C$26/36)</f>
        <v>0</v>
      </c>
      <c r="H19" s="31">
        <f t="shared" si="0"/>
        <v>1534.5075862068966</v>
      </c>
      <c r="I19" s="38">
        <f t="shared" si="1"/>
        <v>3.8183606568467421E-4</v>
      </c>
      <c r="J19" s="75">
        <f t="shared" si="2"/>
        <v>0</v>
      </c>
      <c r="K19" s="77">
        <f t="shared" si="3"/>
        <v>0</v>
      </c>
      <c r="L19" s="46">
        <f t="shared" si="4"/>
        <v>0</v>
      </c>
      <c r="N19" s="6"/>
    </row>
    <row r="20" spans="2:14">
      <c r="B20" s="20" t="str">
        <f>+'County Data'!$B$36</f>
        <v>Gilliam, Sherman, Wasco</v>
      </c>
      <c r="C20" s="15">
        <f>VLOOKUP($B20,'County Data'!$B$10:$P$46,2,FALSE)</f>
        <v>31080</v>
      </c>
      <c r="D20" s="47">
        <v>545643</v>
      </c>
      <c r="E20" s="47">
        <f>VLOOKUP($B20,'County Data'!$B$10:$P$46,11,FALSE)</f>
        <v>772441</v>
      </c>
      <c r="F20" s="38">
        <f t="shared" si="5"/>
        <v>0.41565272531673642</v>
      </c>
      <c r="G20" s="75">
        <f>IF(F20&lt;0,0,$C$4*Input!$C$26/36*3)</f>
        <v>0</v>
      </c>
      <c r="H20" s="31">
        <f t="shared" si="0"/>
        <v>12918.486702844168</v>
      </c>
      <c r="I20" s="38">
        <f t="shared" si="1"/>
        <v>3.2145452922829128E-3</v>
      </c>
      <c r="J20" s="75">
        <f t="shared" si="2"/>
        <v>0</v>
      </c>
      <c r="K20" s="77">
        <f t="shared" si="3"/>
        <v>0</v>
      </c>
      <c r="L20" s="46">
        <f t="shared" si="4"/>
        <v>0</v>
      </c>
      <c r="N20" s="6"/>
    </row>
    <row r="21" spans="2:14">
      <c r="B21" s="20" t="str">
        <f>+'County Data'!$B$32</f>
        <v>Malheur</v>
      </c>
      <c r="C21" s="15">
        <f>VLOOKUP($B21,'County Data'!$B$10:$P$46,2,FALSE)</f>
        <v>32105</v>
      </c>
      <c r="D21" s="47">
        <v>489035</v>
      </c>
      <c r="E21" s="47">
        <f>VLOOKUP($B21,'County Data'!$B$10:$P$46,11,FALSE)</f>
        <v>474185</v>
      </c>
      <c r="F21" s="38">
        <f t="shared" si="5"/>
        <v>-3.0365924729313851E-2</v>
      </c>
      <c r="G21" s="75">
        <f>IF(F21&lt;0,0,$C$4*Input!$C$26/36)</f>
        <v>0</v>
      </c>
      <c r="H21" s="31">
        <f t="shared" si="0"/>
        <v>0</v>
      </c>
      <c r="I21" s="38">
        <f t="shared" si="1"/>
        <v>0</v>
      </c>
      <c r="J21" s="75">
        <f t="shared" si="2"/>
        <v>0</v>
      </c>
      <c r="K21" s="77">
        <f t="shared" si="3"/>
        <v>0</v>
      </c>
      <c r="L21" s="46">
        <f t="shared" si="4"/>
        <v>0</v>
      </c>
      <c r="N21" s="158"/>
    </row>
    <row r="22" spans="2:14">
      <c r="B22" s="20" t="str">
        <f>+'County Data'!$B$13</f>
        <v>Clatsop</v>
      </c>
      <c r="C22" s="15">
        <f>VLOOKUP($B22,'County Data'!$B$10:$P$46,2,FALSE)</f>
        <v>39455</v>
      </c>
      <c r="D22" s="47">
        <v>431075</v>
      </c>
      <c r="E22" s="47">
        <f>VLOOKUP($B22,'County Data'!$B$10:$P$46,11,FALSE)</f>
        <v>446000</v>
      </c>
      <c r="F22" s="38">
        <f t="shared" si="5"/>
        <v>3.4622745461926577E-2</v>
      </c>
      <c r="G22" s="75">
        <f>IF(F22&lt;0,0,$C$4*Input!$C$26/36)</f>
        <v>0</v>
      </c>
      <c r="H22" s="31">
        <f t="shared" si="0"/>
        <v>1366.0404222003131</v>
      </c>
      <c r="I22" s="38">
        <f t="shared" si="1"/>
        <v>3.3991588250699683E-4</v>
      </c>
      <c r="J22" s="75">
        <f t="shared" si="2"/>
        <v>0</v>
      </c>
      <c r="K22" s="77">
        <f t="shared" si="3"/>
        <v>0</v>
      </c>
      <c r="L22" s="46">
        <f t="shared" si="4"/>
        <v>0</v>
      </c>
      <c r="N22" s="6"/>
    </row>
    <row r="23" spans="2:14">
      <c r="B23" s="20" t="str">
        <f>+'County Data'!$B$30</f>
        <v>Lincoln</v>
      </c>
      <c r="C23" s="15">
        <f>VLOOKUP($B23,'County Data'!$B$10:$P$46,2,FALSE)</f>
        <v>48305</v>
      </c>
      <c r="D23" s="47">
        <v>307500</v>
      </c>
      <c r="E23" s="47">
        <f>VLOOKUP($B23,'County Data'!$B$10:$P$46,11,FALSE)</f>
        <v>1458472</v>
      </c>
      <c r="F23" s="38">
        <f t="shared" si="5"/>
        <v>3.74299837398374</v>
      </c>
      <c r="G23" s="75">
        <f>IF(F23&lt;0,0,$C$4*Input!$C$26/36)</f>
        <v>0</v>
      </c>
      <c r="H23" s="31">
        <f t="shared" si="0"/>
        <v>180805.53645528457</v>
      </c>
      <c r="I23" s="38">
        <f t="shared" si="1"/>
        <v>4.4990376922636105E-2</v>
      </c>
      <c r="J23" s="75">
        <f t="shared" si="2"/>
        <v>0</v>
      </c>
      <c r="K23" s="77">
        <f t="shared" si="3"/>
        <v>0</v>
      </c>
      <c r="L23" s="46">
        <f t="shared" si="4"/>
        <v>0</v>
      </c>
      <c r="N23" s="6"/>
    </row>
    <row r="24" spans="2:14">
      <c r="B24" s="20" t="str">
        <f>+'County Data'!$B$14</f>
        <v>Columbia</v>
      </c>
      <c r="C24" s="15">
        <f>VLOOKUP($B24,'County Data'!$B$10:$P$46,2,FALSE)</f>
        <v>53280</v>
      </c>
      <c r="D24" s="47">
        <v>144489</v>
      </c>
      <c r="E24" s="47">
        <f>VLOOKUP($B24,'County Data'!$B$10:$P$46,11,FALSE)</f>
        <v>615328</v>
      </c>
      <c r="F24" s="38">
        <f t="shared" si="5"/>
        <v>3.258649447362775</v>
      </c>
      <c r="G24" s="75">
        <f>IF(F24&lt;0,0,$C$4*Input!$C$26/36)</f>
        <v>0</v>
      </c>
      <c r="H24" s="31">
        <f t="shared" si="0"/>
        <v>173620.84255548866</v>
      </c>
      <c r="I24" s="38">
        <f t="shared" si="1"/>
        <v>4.3202588268799587E-2</v>
      </c>
      <c r="J24" s="75">
        <f t="shared" si="2"/>
        <v>0</v>
      </c>
      <c r="K24" s="77">
        <f t="shared" si="3"/>
        <v>0</v>
      </c>
      <c r="L24" s="46">
        <f t="shared" si="4"/>
        <v>0</v>
      </c>
      <c r="N24" s="6"/>
    </row>
    <row r="25" spans="2:14">
      <c r="B25" s="20" t="str">
        <f>+'County Data'!$B$15</f>
        <v>Coos</v>
      </c>
      <c r="C25" s="15">
        <f>VLOOKUP($B25,'County Data'!$B$10:$P$46,2,FALSE)</f>
        <v>63315</v>
      </c>
      <c r="D25" s="47">
        <v>52178</v>
      </c>
      <c r="E25" s="47">
        <f>VLOOKUP($B25,'County Data'!$B$10:$P$46,11,FALSE)</f>
        <v>332653</v>
      </c>
      <c r="F25" s="38">
        <f t="shared" si="5"/>
        <v>5.3753497642684653</v>
      </c>
      <c r="G25" s="75">
        <f>IF(F25&lt;0,0,$C$4*Input!$C$26/36)</f>
        <v>0</v>
      </c>
      <c r="H25" s="31">
        <f t="shared" si="0"/>
        <v>340340.2703246579</v>
      </c>
      <c r="I25" s="38">
        <f t="shared" si="1"/>
        <v>8.4687877064235126E-2</v>
      </c>
      <c r="J25" s="75">
        <f t="shared" si="2"/>
        <v>0</v>
      </c>
      <c r="K25" s="77">
        <f t="shared" si="3"/>
        <v>0</v>
      </c>
      <c r="L25" s="46">
        <f t="shared" si="4"/>
        <v>0</v>
      </c>
      <c r="N25" s="6"/>
    </row>
    <row r="26" spans="2:14">
      <c r="B26" s="20" t="str">
        <f>+'County Data'!$B$27</f>
        <v>Klamath</v>
      </c>
      <c r="C26" s="15">
        <f>VLOOKUP($B26,'County Data'!$B$10:$P$46,2,FALSE)</f>
        <v>68075</v>
      </c>
      <c r="D26" s="47">
        <v>232280</v>
      </c>
      <c r="E26" s="47">
        <f>VLOOKUP($B26,'County Data'!$B$10:$P$46,11,FALSE)</f>
        <v>542426</v>
      </c>
      <c r="F26" s="38">
        <f t="shared" si="5"/>
        <v>1.3352247287756156</v>
      </c>
      <c r="G26" s="75">
        <f>IF(F26&lt;0,0,$C$4*Input!$C$26/36)</f>
        <v>0</v>
      </c>
      <c r="H26" s="31">
        <f t="shared" si="0"/>
        <v>90895.423411400028</v>
      </c>
      <c r="I26" s="38">
        <f t="shared" si="1"/>
        <v>2.2617777309229981E-2</v>
      </c>
      <c r="J26" s="75">
        <f t="shared" si="2"/>
        <v>0</v>
      </c>
      <c r="K26" s="77">
        <f t="shared" si="3"/>
        <v>0</v>
      </c>
      <c r="L26" s="46">
        <f t="shared" si="4"/>
        <v>0</v>
      </c>
      <c r="N26" s="6"/>
    </row>
    <row r="27" spans="2:14">
      <c r="B27" s="20" t="str">
        <f>+'County Data'!$B$40</f>
        <v>Umatilla</v>
      </c>
      <c r="C27" s="15">
        <f>VLOOKUP($B27,'County Data'!$B$10:$P$46,2,FALSE)</f>
        <v>81495</v>
      </c>
      <c r="D27" s="47">
        <v>386278</v>
      </c>
      <c r="E27" s="47">
        <f>VLOOKUP($B27,'County Data'!$B$10:$P$46,11,FALSE)</f>
        <v>532317</v>
      </c>
      <c r="F27" s="38">
        <f t="shared" si="5"/>
        <v>0.37806709157653295</v>
      </c>
      <c r="G27" s="75">
        <f>IF(F27&lt;0,0,$C$4*Input!$C$26/36)</f>
        <v>0</v>
      </c>
      <c r="H27" s="31">
        <f t="shared" si="0"/>
        <v>30810.577628029554</v>
      </c>
      <c r="I27" s="38">
        <f t="shared" si="1"/>
        <v>7.6666872478875023E-3</v>
      </c>
      <c r="J27" s="75">
        <f t="shared" si="2"/>
        <v>0</v>
      </c>
      <c r="K27" s="77">
        <f t="shared" si="3"/>
        <v>0</v>
      </c>
      <c r="L27" s="46">
        <f t="shared" si="4"/>
        <v>0</v>
      </c>
      <c r="N27" s="6"/>
    </row>
    <row r="28" spans="2:14">
      <c r="B28" s="20" t="str">
        <f>+'County Data'!$B$37</f>
        <v>Polk</v>
      </c>
      <c r="C28" s="15">
        <f>VLOOKUP($B28,'County Data'!$B$10:$P$46,2,FALSE)</f>
        <v>83805</v>
      </c>
      <c r="D28" s="47">
        <v>251759</v>
      </c>
      <c r="E28" s="47">
        <f>VLOOKUP($B28,'County Data'!$B$10:$P$46,11,FALSE)</f>
        <v>291010</v>
      </c>
      <c r="F28" s="38">
        <f t="shared" si="5"/>
        <v>0.15590703808006864</v>
      </c>
      <c r="G28" s="75">
        <f>IF(F28&lt;0,0,$C$4*Input!$C$26/36)</f>
        <v>0</v>
      </c>
      <c r="H28" s="31">
        <f t="shared" si="0"/>
        <v>13065.789326300153</v>
      </c>
      <c r="I28" s="38">
        <f t="shared" si="1"/>
        <v>3.2511990401763958E-3</v>
      </c>
      <c r="J28" s="75">
        <f t="shared" si="2"/>
        <v>0</v>
      </c>
      <c r="K28" s="77">
        <f t="shared" si="3"/>
        <v>0</v>
      </c>
      <c r="L28" s="46">
        <f t="shared" si="4"/>
        <v>0</v>
      </c>
      <c r="N28" s="6"/>
    </row>
    <row r="29" spans="2:14">
      <c r="B29" s="20" t="str">
        <f>+'County Data'!$B$26</f>
        <v>Josephine</v>
      </c>
      <c r="C29" s="15">
        <f>VLOOKUP($B29,'County Data'!$B$10:$P$46,2,FALSE)</f>
        <v>86560</v>
      </c>
      <c r="D29" s="47">
        <v>364715</v>
      </c>
      <c r="E29" s="47">
        <f>VLOOKUP($B29,'County Data'!$B$10:$P$46,11,FALSE)</f>
        <v>657998</v>
      </c>
      <c r="F29" s="38">
        <f t="shared" si="5"/>
        <v>0.80414296094210547</v>
      </c>
      <c r="G29" s="75">
        <f>IF(F29&lt;0,0,$C$4*Input!$C$26/36)</f>
        <v>0</v>
      </c>
      <c r="H29" s="31">
        <f t="shared" si="0"/>
        <v>69606.614699148646</v>
      </c>
      <c r="I29" s="38">
        <f t="shared" si="1"/>
        <v>1.732042001046738E-2</v>
      </c>
      <c r="J29" s="75">
        <f t="shared" si="2"/>
        <v>0</v>
      </c>
      <c r="K29" s="77">
        <f t="shared" si="3"/>
        <v>0</v>
      </c>
      <c r="L29" s="46">
        <f t="shared" si="4"/>
        <v>0</v>
      </c>
      <c r="N29" s="6"/>
    </row>
    <row r="30" spans="2:14">
      <c r="B30" s="20" t="str">
        <f>+'County Data'!$B$11</f>
        <v>Benton</v>
      </c>
      <c r="C30" s="15">
        <f>VLOOKUP($B30,'County Data'!$B$10:$P$46,2,FALSE)</f>
        <v>94665</v>
      </c>
      <c r="D30" s="47">
        <v>2090815</v>
      </c>
      <c r="E30" s="47">
        <f>VLOOKUP($B30,'County Data'!$B$10:$P$46,11,FALSE)</f>
        <v>1791995</v>
      </c>
      <c r="F30" s="38">
        <f t="shared" si="5"/>
        <v>-0.14292034445897892</v>
      </c>
      <c r="G30" s="75">
        <f>IF(F30&lt;0,0,$C$4*Input!$C$26/36)</f>
        <v>0</v>
      </c>
      <c r="H30" s="31">
        <f t="shared" si="0"/>
        <v>0</v>
      </c>
      <c r="I30" s="38">
        <f t="shared" si="1"/>
        <v>0</v>
      </c>
      <c r="J30" s="75">
        <f t="shared" si="2"/>
        <v>0</v>
      </c>
      <c r="K30" s="77">
        <f t="shared" si="3"/>
        <v>0</v>
      </c>
      <c r="L30" s="46">
        <f t="shared" si="4"/>
        <v>0</v>
      </c>
      <c r="N30" s="158"/>
    </row>
    <row r="31" spans="2:14">
      <c r="B31" s="20" t="str">
        <f>+'County Data'!$B$46</f>
        <v>Yamhill</v>
      </c>
      <c r="C31" s="15">
        <f>VLOOKUP($B31,'County Data'!$B$10:$P$46,2,FALSE)</f>
        <v>108605</v>
      </c>
      <c r="D31" s="47">
        <v>650791</v>
      </c>
      <c r="E31" s="47">
        <f>VLOOKUP($B31,'County Data'!$B$10:$P$46,11,FALSE)</f>
        <v>1553242</v>
      </c>
      <c r="F31" s="38">
        <f t="shared" si="5"/>
        <v>1.3866986482603478</v>
      </c>
      <c r="G31" s="75">
        <f>IF(F31&lt;0,0,$C$4*Input!$C$26/36)</f>
        <v>0</v>
      </c>
      <c r="H31" s="31">
        <f t="shared" si="0"/>
        <v>150602.40669431508</v>
      </c>
      <c r="I31" s="38">
        <f t="shared" si="1"/>
        <v>3.7474842725897801E-2</v>
      </c>
      <c r="J31" s="75">
        <f t="shared" si="2"/>
        <v>0</v>
      </c>
      <c r="K31" s="77">
        <f t="shared" si="3"/>
        <v>0</v>
      </c>
      <c r="L31" s="46">
        <f t="shared" si="4"/>
        <v>0</v>
      </c>
      <c r="N31" s="6"/>
    </row>
    <row r="32" spans="2:14">
      <c r="B32" s="20" t="str">
        <f>+'County Data'!$B$19</f>
        <v>Douglas</v>
      </c>
      <c r="C32" s="15">
        <f>VLOOKUP($B32,'County Data'!$B$10:$P$46,2,FALSE)</f>
        <v>112530</v>
      </c>
      <c r="D32" s="47">
        <v>671902</v>
      </c>
      <c r="E32" s="47">
        <f>VLOOKUP($B32,'County Data'!$B$10:$P$46,11,FALSE)</f>
        <v>444652</v>
      </c>
      <c r="F32" s="38">
        <f t="shared" si="5"/>
        <v>-0.33821896645641775</v>
      </c>
      <c r="G32" s="75">
        <f>IF(F32&lt;0,0,$C$4*Input!$C$26/36)</f>
        <v>0</v>
      </c>
      <c r="H32" s="31">
        <f t="shared" si="0"/>
        <v>0</v>
      </c>
      <c r="I32" s="38">
        <f t="shared" si="1"/>
        <v>0</v>
      </c>
      <c r="J32" s="75">
        <f t="shared" si="2"/>
        <v>0</v>
      </c>
      <c r="K32" s="77">
        <f t="shared" si="3"/>
        <v>0</v>
      </c>
      <c r="L32" s="46">
        <f t="shared" si="4"/>
        <v>0</v>
      </c>
      <c r="N32" s="158"/>
    </row>
    <row r="33" spans="2:14">
      <c r="B33" s="20" t="str">
        <f>+'County Data'!$B$31</f>
        <v>Linn</v>
      </c>
      <c r="C33" s="15">
        <f>VLOOKUP($B33,'County Data'!$B$10:$P$46,2,FALSE)</f>
        <v>127320</v>
      </c>
      <c r="D33" s="47">
        <v>651346</v>
      </c>
      <c r="E33" s="47">
        <f>VLOOKUP($B33,'County Data'!$B$10:$P$46,11,FALSE)</f>
        <v>1327242</v>
      </c>
      <c r="F33" s="38">
        <f t="shared" si="5"/>
        <v>1.0376911810312799</v>
      </c>
      <c r="G33" s="75">
        <f>IF(F33&lt;0,0,$C$4*Input!$C$26/36)</f>
        <v>0</v>
      </c>
      <c r="H33" s="31">
        <f t="shared" si="0"/>
        <v>132118.84116890255</v>
      </c>
      <c r="I33" s="38">
        <f t="shared" si="1"/>
        <v>3.2875522394419938E-2</v>
      </c>
      <c r="J33" s="75">
        <f t="shared" si="2"/>
        <v>0</v>
      </c>
      <c r="K33" s="77">
        <f t="shared" si="3"/>
        <v>0</v>
      </c>
      <c r="L33" s="46">
        <f t="shared" si="4"/>
        <v>0</v>
      </c>
      <c r="N33" s="6"/>
    </row>
    <row r="34" spans="2:14">
      <c r="B34" s="20" t="str">
        <f>+'County Data'!$B$18</f>
        <v>Deschutes</v>
      </c>
      <c r="C34" s="15">
        <f>VLOOKUP($B34,'County Data'!$B$10:$P$46,2,FALSE)</f>
        <v>197015</v>
      </c>
      <c r="D34" s="47">
        <v>2968217</v>
      </c>
      <c r="E34" s="47">
        <f>VLOOKUP($B34,'County Data'!$B$10:$P$46,11,FALSE)</f>
        <v>3814900</v>
      </c>
      <c r="F34" s="38">
        <f t="shared" si="5"/>
        <v>0.28524969704034442</v>
      </c>
      <c r="G34" s="75">
        <f>IF(F34&lt;0,0,$C$4*Input!$C$26/36)</f>
        <v>0</v>
      </c>
      <c r="H34" s="31">
        <f t="shared" si="0"/>
        <v>56198.469062403456</v>
      </c>
      <c r="I34" s="38">
        <f t="shared" si="1"/>
        <v>1.3984031435994979E-2</v>
      </c>
      <c r="J34" s="75">
        <f t="shared" si="2"/>
        <v>0</v>
      </c>
      <c r="K34" s="77">
        <f t="shared" si="3"/>
        <v>0</v>
      </c>
      <c r="L34" s="46">
        <f t="shared" si="4"/>
        <v>0</v>
      </c>
      <c r="N34" s="6"/>
    </row>
    <row r="35" spans="2:14">
      <c r="B35" s="20" t="str">
        <f>+'County Data'!$B$24</f>
        <v>Jackson</v>
      </c>
      <c r="C35" s="15">
        <f>VLOOKUP($B35,'County Data'!$B$10:$P$46,2,FALSE)</f>
        <v>223240</v>
      </c>
      <c r="D35" s="47">
        <v>670465</v>
      </c>
      <c r="E35" s="47">
        <f>VLOOKUP($B35,'County Data'!$B$10:$P$46,11,FALSE)</f>
        <v>2298330</v>
      </c>
      <c r="F35" s="38">
        <f t="shared" si="5"/>
        <v>2.4279641741179629</v>
      </c>
      <c r="G35" s="75">
        <f>IF(F35&lt;0,0,$C$4*Input!$C$26/36)</f>
        <v>0</v>
      </c>
      <c r="H35" s="31">
        <f t="shared" si="0"/>
        <v>542018.72223009402</v>
      </c>
      <c r="I35" s="38">
        <f t="shared" si="1"/>
        <v>0.13487212333394666</v>
      </c>
      <c r="J35" s="75">
        <f t="shared" si="2"/>
        <v>0</v>
      </c>
      <c r="K35" s="77">
        <f t="shared" si="3"/>
        <v>0</v>
      </c>
      <c r="L35" s="46">
        <f t="shared" si="4"/>
        <v>0</v>
      </c>
      <c r="N35" s="6"/>
    </row>
    <row r="36" spans="2:14">
      <c r="B36" s="20" t="str">
        <f>+'County Data'!$B$33</f>
        <v>Marion</v>
      </c>
      <c r="C36" s="15">
        <f>VLOOKUP($B36,'County Data'!$B$10:$P$46,2,FALSE)</f>
        <v>349120</v>
      </c>
      <c r="D36" s="47">
        <v>2152253</v>
      </c>
      <c r="E36" s="47">
        <f>VLOOKUP($B36,'County Data'!$B$10:$P$46,11,FALSE)</f>
        <v>4647307</v>
      </c>
      <c r="F36" s="38">
        <f t="shared" si="5"/>
        <v>1.1592754197578072</v>
      </c>
      <c r="G36" s="75">
        <f>IF(F36&lt;0,0,$C$4*Input!$C$26/36)</f>
        <v>0</v>
      </c>
      <c r="H36" s="31">
        <f t="shared" si="0"/>
        <v>404726.23454584565</v>
      </c>
      <c r="I36" s="38">
        <f t="shared" si="1"/>
        <v>0.10070922716019859</v>
      </c>
      <c r="J36" s="75">
        <f t="shared" si="2"/>
        <v>0</v>
      </c>
      <c r="K36" s="77">
        <f t="shared" si="3"/>
        <v>0</v>
      </c>
      <c r="L36" s="46">
        <f t="shared" si="4"/>
        <v>0</v>
      </c>
      <c r="N36" s="6"/>
    </row>
    <row r="37" spans="2:14">
      <c r="B37" s="20" t="str">
        <f>+'County Data'!$B$29</f>
        <v>Lane</v>
      </c>
      <c r="C37" s="15">
        <f>VLOOKUP($B37,'County Data'!$B$10:$P$46,2,FALSE)</f>
        <v>381365</v>
      </c>
      <c r="D37" s="47">
        <v>1716536</v>
      </c>
      <c r="E37" s="47">
        <f>VLOOKUP($B37,'County Data'!$B$10:$P$46,11,FALSE)</f>
        <v>4024080</v>
      </c>
      <c r="F37" s="38">
        <f t="shared" si="5"/>
        <v>1.3443027119734163</v>
      </c>
      <c r="G37" s="75">
        <f>IF(F37&lt;0,0,$C$4*Input!$C$26/36)</f>
        <v>0</v>
      </c>
      <c r="H37" s="31">
        <f t="shared" si="0"/>
        <v>512670.0037517419</v>
      </c>
      <c r="I37" s="38">
        <f t="shared" si="1"/>
        <v>0.12756919482620183</v>
      </c>
      <c r="J37" s="75">
        <f t="shared" si="2"/>
        <v>0</v>
      </c>
      <c r="K37" s="77">
        <f t="shared" si="3"/>
        <v>0</v>
      </c>
      <c r="L37" s="46">
        <f t="shared" si="4"/>
        <v>0</v>
      </c>
      <c r="N37" s="6"/>
    </row>
    <row r="38" spans="2:14">
      <c r="B38" s="20" t="str">
        <f>+'County Data'!$B$12</f>
        <v>Clackamas</v>
      </c>
      <c r="C38" s="15">
        <f>VLOOKUP($B38,'County Data'!$B$10:$P$46,2,FALSE)</f>
        <v>426515</v>
      </c>
      <c r="D38" s="47">
        <v>1965745</v>
      </c>
      <c r="E38" s="47">
        <f>VLOOKUP($B38,'County Data'!$B$10:$P$46,11,FALSE)</f>
        <v>5019520</v>
      </c>
      <c r="F38" s="38">
        <f t="shared" si="5"/>
        <v>1.5534949853617839</v>
      </c>
      <c r="G38" s="75">
        <f>IF(F38&lt;0,0,$C$4*Input!$C$26/36)</f>
        <v>0</v>
      </c>
      <c r="H38" s="31">
        <f t="shared" si="0"/>
        <v>662588.91368158127</v>
      </c>
      <c r="I38" s="38">
        <f t="shared" si="1"/>
        <v>0.16487396102865881</v>
      </c>
      <c r="J38" s="75">
        <f t="shared" si="2"/>
        <v>0</v>
      </c>
      <c r="K38" s="77">
        <f t="shared" si="3"/>
        <v>0</v>
      </c>
      <c r="L38" s="46">
        <f t="shared" si="4"/>
        <v>0</v>
      </c>
      <c r="N38" s="6"/>
    </row>
    <row r="39" spans="2:14">
      <c r="B39" s="20" t="str">
        <f>+'County Data'!$B$44</f>
        <v>Washington</v>
      </c>
      <c r="C39" s="15">
        <f>VLOOKUP($B39,'County Data'!$B$10:$P$46,2,FALSE)</f>
        <v>620080</v>
      </c>
      <c r="D39" s="47">
        <v>4800731</v>
      </c>
      <c r="E39" s="47">
        <f>VLOOKUP($B39,'County Data'!$B$10:$P$46,11,FALSE)</f>
        <v>8674852</v>
      </c>
      <c r="F39" s="38">
        <f t="shared" si="5"/>
        <v>0.806985644477893</v>
      </c>
      <c r="G39" s="75">
        <f>IF(F39&lt;0,0,$C$4*Input!$C$26/36)</f>
        <v>0</v>
      </c>
      <c r="H39" s="31">
        <f t="shared" si="0"/>
        <v>500395.65842785191</v>
      </c>
      <c r="I39" s="38">
        <f t="shared" si="1"/>
        <v>0.12451493314026624</v>
      </c>
      <c r="J39" s="75">
        <f t="shared" si="2"/>
        <v>0</v>
      </c>
      <c r="K39" s="77">
        <f t="shared" si="3"/>
        <v>0</v>
      </c>
      <c r="L39" s="46">
        <f t="shared" si="4"/>
        <v>0</v>
      </c>
      <c r="N39" s="6"/>
    </row>
    <row r="40" spans="2:14">
      <c r="B40" s="20" t="str">
        <f>+'County Data'!$B$35</f>
        <v>Multnomah</v>
      </c>
      <c r="C40" s="15">
        <f>VLOOKUP($B40,'County Data'!$B$10:$P$46,2,FALSE)</f>
        <v>829560</v>
      </c>
      <c r="D40" s="47">
        <v>43542723</v>
      </c>
      <c r="E40" s="47">
        <f>VLOOKUP($B40,'County Data'!$B$10:$P$46,11,FALSE)</f>
        <v>25329190</v>
      </c>
      <c r="F40" s="38">
        <f t="shared" si="5"/>
        <v>-0.41829108850174573</v>
      </c>
      <c r="G40" s="75">
        <f>IF(F40&lt;0,0,$C$4*Input!$C$26/36)</f>
        <v>0</v>
      </c>
      <c r="H40" s="31">
        <f t="shared" si="0"/>
        <v>0</v>
      </c>
      <c r="I40" s="38">
        <f t="shared" si="1"/>
        <v>0</v>
      </c>
      <c r="J40" s="75">
        <f t="shared" si="2"/>
        <v>0</v>
      </c>
      <c r="K40" s="77">
        <f t="shared" si="3"/>
        <v>0</v>
      </c>
      <c r="L40" s="46">
        <f t="shared" si="4"/>
        <v>0</v>
      </c>
      <c r="N40" s="158"/>
    </row>
    <row r="41" spans="2:14">
      <c r="B41" s="4" t="s">
        <v>83</v>
      </c>
      <c r="C41" s="5">
        <f>SUM(C7:C40)</f>
        <v>4268055</v>
      </c>
      <c r="D41" s="74">
        <f>SUM(D7:D40)</f>
        <v>68747850</v>
      </c>
      <c r="E41" s="74">
        <f>SUM(E7:E40)</f>
        <v>70042552</v>
      </c>
      <c r="F41" s="21">
        <f t="shared" si="5"/>
        <v>1.8832618038236833E-2</v>
      </c>
      <c r="G41" s="74">
        <f>SUM(G7:G40)</f>
        <v>0</v>
      </c>
      <c r="H41" s="5">
        <f>SUM(H7:H40)</f>
        <v>4018760.2065702076</v>
      </c>
      <c r="I41" s="21">
        <f>SUM(I7:I40)</f>
        <v>1.0000000000000002</v>
      </c>
      <c r="J41" s="74">
        <f>SUM(J7:J40)</f>
        <v>0</v>
      </c>
      <c r="K41" s="74">
        <f t="shared" ref="K41" si="6">SUM(K7:K40)</f>
        <v>0</v>
      </c>
      <c r="L41" s="73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>
      <c r="B2" t="s">
        <v>120</v>
      </c>
      <c r="C2" s="1">
        <f>'County Data'!C5</f>
        <v>10000000</v>
      </c>
    </row>
    <row r="3" spans="2:25">
      <c r="B3" t="s">
        <v>121</v>
      </c>
      <c r="C3" s="14">
        <f>$C$2*Input!$C$28</f>
        <v>0</v>
      </c>
    </row>
    <row r="4" spans="2: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>
      <c r="D5" s="216" t="s">
        <v>110</v>
      </c>
      <c r="E5" s="216"/>
      <c r="F5" s="216"/>
      <c r="G5" s="216"/>
      <c r="H5" s="216"/>
      <c r="I5" s="217" t="s">
        <v>111</v>
      </c>
      <c r="J5" s="217"/>
      <c r="K5" s="217"/>
      <c r="L5" s="217"/>
      <c r="M5" s="217"/>
      <c r="N5" s="216" t="s">
        <v>112</v>
      </c>
      <c r="O5" s="216"/>
      <c r="P5" s="216"/>
      <c r="Q5" s="216"/>
      <c r="R5" s="216"/>
      <c r="S5" s="217" t="s">
        <v>113</v>
      </c>
      <c r="T5" s="217"/>
      <c r="U5" s="217"/>
      <c r="V5" s="217"/>
      <c r="W5" s="217"/>
    </row>
    <row r="6" spans="2:25" s="2" customFormat="1" ht="30">
      <c r="B6" s="3" t="s">
        <v>32</v>
      </c>
      <c r="C6" s="3" t="s">
        <v>101</v>
      </c>
      <c r="D6" s="3" t="s">
        <v>146</v>
      </c>
      <c r="E6" s="3" t="s">
        <v>147</v>
      </c>
      <c r="F6" s="3" t="s">
        <v>148</v>
      </c>
      <c r="G6" s="3" t="s">
        <v>143</v>
      </c>
      <c r="H6" s="3" t="s">
        <v>144</v>
      </c>
      <c r="I6" s="3" t="s">
        <v>146</v>
      </c>
      <c r="J6" s="3" t="s">
        <v>147</v>
      </c>
      <c r="K6" s="3" t="s">
        <v>148</v>
      </c>
      <c r="L6" s="3" t="s">
        <v>143</v>
      </c>
      <c r="M6" s="3" t="s">
        <v>144</v>
      </c>
      <c r="N6" s="3" t="s">
        <v>146</v>
      </c>
      <c r="O6" s="3" t="s">
        <v>147</v>
      </c>
      <c r="P6" s="3" t="s">
        <v>148</v>
      </c>
      <c r="Q6" s="3" t="s">
        <v>143</v>
      </c>
      <c r="R6" s="3" t="s">
        <v>144</v>
      </c>
      <c r="S6" s="3" t="s">
        <v>146</v>
      </c>
      <c r="T6" s="3" t="s">
        <v>147</v>
      </c>
      <c r="U6" s="3" t="s">
        <v>148</v>
      </c>
      <c r="V6" s="3" t="s">
        <v>143</v>
      </c>
      <c r="W6" s="3" t="s">
        <v>144</v>
      </c>
      <c r="X6" s="13" t="s">
        <v>149</v>
      </c>
      <c r="Y6" s="3" t="s">
        <v>145</v>
      </c>
    </row>
    <row r="7" spans="2:25">
      <c r="B7" s="20" t="str">
        <f>'County Data'!$B$45</f>
        <v>Wheeler</v>
      </c>
      <c r="C7" s="15">
        <f>VLOOKUP($B7,'County Data'!$B$10:$P$46,2,FALSE)</f>
        <v>1440</v>
      </c>
      <c r="D7" s="26" t="str">
        <f>VLOOKUP($B7,'County Data'!$B$9:$P$46,12,FALSE)</f>
        <v>Y</v>
      </c>
      <c r="E7" s="75">
        <f>IF(D7="Y",$C$3*Input!$C$29/36*E$4,0)</f>
        <v>0</v>
      </c>
      <c r="F7" s="15">
        <f>IF(D7="Y",$C7,0)</f>
        <v>1440</v>
      </c>
      <c r="G7" s="75">
        <f>ROUND(($C$3*E$4-E$41)*(F7/F$41),2)</f>
        <v>0</v>
      </c>
      <c r="H7" s="76">
        <f>E7+G7</f>
        <v>0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>ROUND(($C$3*J$4-J$41)*(K7/K$41),2)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>ROUND(($C$3*O$4-O$41)*(P7/P$41),2)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>ROUND(($C$3*T$4-T$41)*(U7/U$41),2)</f>
        <v>0</v>
      </c>
      <c r="W7" s="76">
        <f>T7+V7</f>
        <v>0</v>
      </c>
      <c r="X7" s="77">
        <f>H7+M7+R7+W7</f>
        <v>0</v>
      </c>
      <c r="Y7" s="46">
        <f>X7/C7</f>
        <v>0</v>
      </c>
    </row>
    <row r="8" spans="2:25">
      <c r="B8" s="20" t="str">
        <f>+'County Data'!$B$42</f>
        <v>Wallowa</v>
      </c>
      <c r="C8" s="15">
        <f>VLOOKUP($B8,'County Data'!$B$10:$P$46,2,FALSE)</f>
        <v>7160</v>
      </c>
      <c r="D8" s="26" t="str">
        <f>VLOOKUP($B8,'County Data'!$B$9:$P$46,12,FALSE)</f>
        <v>Y</v>
      </c>
      <c r="E8" s="75">
        <f>IF(D8="Y",$C$3*Input!$C$29/36*E$4,0)</f>
        <v>0</v>
      </c>
      <c r="F8" s="15">
        <f t="shared" ref="F8:F40" si="0">IF(D8="Y",$C8,0)</f>
        <v>7160</v>
      </c>
      <c r="G8" s="75">
        <f t="shared" ref="G8:G40" si="1">ROUND(($C$3*E$4-E$41)*(F8/F$41),2)</f>
        <v>0</v>
      </c>
      <c r="H8" s="76">
        <f t="shared" ref="H8:H40" si="2">E8+G8</f>
        <v>0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0" si="3">IF(I8="Y",$C8,0)</f>
        <v>0</v>
      </c>
      <c r="L8" s="75">
        <f t="shared" ref="L8:L40" si="4">ROUND(($C$3*J$4-J$41)*(K8/K$41),2)</f>
        <v>0</v>
      </c>
      <c r="M8" s="76">
        <f t="shared" ref="M8:M40" si="5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0" si="6">IF(N8="Y",$C8,0)</f>
        <v>0</v>
      </c>
      <c r="Q8" s="75">
        <f t="shared" ref="Q8:Q40" si="7">ROUND(($C$3*O$4-O$41)*(P8/P$41),2)</f>
        <v>0</v>
      </c>
      <c r="R8" s="76">
        <f t="shared" ref="R8:R40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0" si="9">IF(S8="Y",$C8,0)</f>
        <v>0</v>
      </c>
      <c r="V8" s="75">
        <f t="shared" ref="V8:V40" si="10">ROUND(($C$3*T$4-T$41)*(U8/U$41),2)</f>
        <v>0</v>
      </c>
      <c r="W8" s="76">
        <f t="shared" ref="W8:W40" si="11">T8+V8</f>
        <v>0</v>
      </c>
      <c r="X8" s="77">
        <f t="shared" ref="X8:X40" si="12">H8+M8+R8+W8</f>
        <v>0</v>
      </c>
      <c r="Y8" s="46">
        <f t="shared" ref="Y8:Y41" si="13">X8/C8</f>
        <v>0</v>
      </c>
    </row>
    <row r="9" spans="2:25">
      <c r="B9" s="20" t="str">
        <f>+'County Data'!$B$22</f>
        <v>Harney</v>
      </c>
      <c r="C9" s="15">
        <f>VLOOKUP($B9,'County Data'!$B$10:$P$46,2,FALSE)</f>
        <v>7280</v>
      </c>
      <c r="D9" s="26" t="str">
        <f>VLOOKUP($B9,'County Data'!$B$9:$P$46,12,FALSE)</f>
        <v>Y</v>
      </c>
      <c r="E9" s="75">
        <f>IF(D9="Y",$C$3*Input!$C$29/36*E$4,0)</f>
        <v>0</v>
      </c>
      <c r="F9" s="15">
        <f t="shared" si="0"/>
        <v>7280</v>
      </c>
      <c r="G9" s="75">
        <f t="shared" si="1"/>
        <v>0</v>
      </c>
      <c r="H9" s="76">
        <f t="shared" si="2"/>
        <v>0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si="3"/>
        <v>0</v>
      </c>
      <c r="L9" s="75">
        <f t="shared" si="4"/>
        <v>0</v>
      </c>
      <c r="M9" s="76">
        <f t="shared" si="5"/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si="6"/>
        <v>0</v>
      </c>
      <c r="Q9" s="75">
        <f t="shared" si="7"/>
        <v>0</v>
      </c>
      <c r="R9" s="76">
        <f t="shared" si="8"/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si="9"/>
        <v>0</v>
      </c>
      <c r="V9" s="75">
        <f t="shared" si="10"/>
        <v>0</v>
      </c>
      <c r="W9" s="76">
        <f t="shared" si="11"/>
        <v>0</v>
      </c>
      <c r="X9" s="77">
        <f t="shared" si="12"/>
        <v>0</v>
      </c>
      <c r="Y9" s="46">
        <f t="shared" si="13"/>
        <v>0</v>
      </c>
    </row>
    <row r="10" spans="2:25">
      <c r="B10" s="20" t="str">
        <f>+'County Data'!$B$21</f>
        <v>Grant</v>
      </c>
      <c r="C10" s="15">
        <f>VLOOKUP($B10,'County Data'!$B$10:$P$46,2,FALSE)</f>
        <v>7315</v>
      </c>
      <c r="D10" s="26" t="str">
        <f>VLOOKUP($B10,'County Data'!$B$9:$P$46,12,FALSE)</f>
        <v>Y</v>
      </c>
      <c r="E10" s="75">
        <f>IF(D10="Y",$C$3*Input!$C$29/36*E$4,0)</f>
        <v>0</v>
      </c>
      <c r="F10" s="15">
        <f t="shared" si="0"/>
        <v>7315</v>
      </c>
      <c r="G10" s="75">
        <f t="shared" si="1"/>
        <v>0</v>
      </c>
      <c r="H10" s="76">
        <f t="shared" si="2"/>
        <v>0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3"/>
        <v>0</v>
      </c>
      <c r="L10" s="75">
        <f t="shared" si="4"/>
        <v>0</v>
      </c>
      <c r="M10" s="76">
        <f t="shared" si="5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6"/>
        <v>0</v>
      </c>
      <c r="Q10" s="75">
        <f t="shared" si="7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10"/>
        <v>0</v>
      </c>
      <c r="W10" s="76">
        <f t="shared" si="11"/>
        <v>0</v>
      </c>
      <c r="X10" s="77">
        <f t="shared" si="12"/>
        <v>0</v>
      </c>
      <c r="Y10" s="46">
        <f t="shared" si="13"/>
        <v>0</v>
      </c>
    </row>
    <row r="11" spans="2:25">
      <c r="B11" s="20" t="str">
        <f>+'County Data'!$B$28</f>
        <v>Lake</v>
      </c>
      <c r="C11" s="15">
        <f>VLOOKUP($B11,'County Data'!$B$10:$P$46,2,FALSE)</f>
        <v>8075</v>
      </c>
      <c r="D11" s="26" t="str">
        <f>VLOOKUP($B11,'County Data'!$B$9:$P$46,12,FALSE)</f>
        <v>Y</v>
      </c>
      <c r="E11" s="75">
        <f>IF(D11="Y",$C$3*Input!$C$29/36*E$4,0)</f>
        <v>0</v>
      </c>
      <c r="F11" s="15">
        <f t="shared" si="0"/>
        <v>8075</v>
      </c>
      <c r="G11" s="75">
        <f t="shared" si="1"/>
        <v>0</v>
      </c>
      <c r="H11" s="76">
        <f t="shared" si="2"/>
        <v>0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3"/>
        <v>0</v>
      </c>
      <c r="L11" s="75">
        <f t="shared" si="4"/>
        <v>0</v>
      </c>
      <c r="M11" s="76">
        <f t="shared" si="5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6"/>
        <v>0</v>
      </c>
      <c r="Q11" s="75">
        <f t="shared" si="7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10"/>
        <v>0</v>
      </c>
      <c r="W11" s="76">
        <f t="shared" si="11"/>
        <v>0</v>
      </c>
      <c r="X11" s="77">
        <f t="shared" si="12"/>
        <v>0</v>
      </c>
      <c r="Y11" s="46">
        <f t="shared" si="13"/>
        <v>0</v>
      </c>
    </row>
    <row r="12" spans="2:25">
      <c r="B12" s="20" t="str">
        <f>+'County Data'!$B$34</f>
        <v>Morrow</v>
      </c>
      <c r="C12" s="15">
        <f>VLOOKUP($B12,'County Data'!$B$10:$P$46,2,FALSE)</f>
        <v>12825</v>
      </c>
      <c r="D12" s="26" t="str">
        <f>VLOOKUP($B12,'County Data'!$B$9:$P$46,12,FALSE)</f>
        <v>Y</v>
      </c>
      <c r="E12" s="75">
        <f>IF(D12="Y",$C$3*Input!$C$29/36*E$4,0)</f>
        <v>0</v>
      </c>
      <c r="F12" s="15">
        <f t="shared" si="0"/>
        <v>12825</v>
      </c>
      <c r="G12" s="75">
        <f t="shared" si="1"/>
        <v>0</v>
      </c>
      <c r="H12" s="76">
        <f t="shared" si="2"/>
        <v>0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3"/>
        <v>0</v>
      </c>
      <c r="L12" s="75">
        <f t="shared" si="4"/>
        <v>0</v>
      </c>
      <c r="M12" s="76">
        <f t="shared" si="5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6"/>
        <v>0</v>
      </c>
      <c r="Q12" s="75">
        <f t="shared" si="7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10"/>
        <v>0</v>
      </c>
      <c r="W12" s="76">
        <f t="shared" si="11"/>
        <v>0</v>
      </c>
      <c r="X12" s="77">
        <f t="shared" si="12"/>
        <v>0</v>
      </c>
      <c r="Y12" s="46">
        <f t="shared" si="13"/>
        <v>0</v>
      </c>
    </row>
    <row r="13" spans="2:25">
      <c r="B13" s="20" t="str">
        <f>+'County Data'!$B$10</f>
        <v>Baker</v>
      </c>
      <c r="C13" s="15">
        <f>VLOOKUP($B13,'County Data'!$B$10:$P$46,2,FALSE)</f>
        <v>16910</v>
      </c>
      <c r="D13" s="26" t="str">
        <f>VLOOKUP($B13,'County Data'!$B$9:$P$46,12,FALSE)</f>
        <v>Y</v>
      </c>
      <c r="E13" s="75">
        <f>IF(D13="Y",$C$3*Input!$C$29/36*E$4,0)</f>
        <v>0</v>
      </c>
      <c r="F13" s="15">
        <f t="shared" si="0"/>
        <v>16910</v>
      </c>
      <c r="G13" s="75">
        <f t="shared" si="1"/>
        <v>0</v>
      </c>
      <c r="H13" s="76">
        <f t="shared" si="2"/>
        <v>0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3"/>
        <v>0</v>
      </c>
      <c r="L13" s="75">
        <f t="shared" si="4"/>
        <v>0</v>
      </c>
      <c r="M13" s="76">
        <f t="shared" si="5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6"/>
        <v>0</v>
      </c>
      <c r="Q13" s="75">
        <f t="shared" si="7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10"/>
        <v>0</v>
      </c>
      <c r="W13" s="76">
        <f t="shared" si="11"/>
        <v>0</v>
      </c>
      <c r="X13" s="77">
        <f t="shared" si="12"/>
        <v>0</v>
      </c>
      <c r="Y13" s="46">
        <f t="shared" si="13"/>
        <v>0</v>
      </c>
    </row>
    <row r="14" spans="2:25">
      <c r="B14" s="20" t="str">
        <f>+'County Data'!$B$16</f>
        <v>Crook</v>
      </c>
      <c r="C14" s="15">
        <f>VLOOKUP($B14,'County Data'!$B$10:$P$46,2,FALSE)</f>
        <v>23440</v>
      </c>
      <c r="D14" s="26" t="str">
        <f>VLOOKUP($B14,'County Data'!$B$9:$P$46,12,FALSE)</f>
        <v>Y</v>
      </c>
      <c r="E14" s="75">
        <f>IF(D14="Y",$C$3*Input!$C$29/36*E$4,0)</f>
        <v>0</v>
      </c>
      <c r="F14" s="15">
        <f t="shared" si="0"/>
        <v>23440</v>
      </c>
      <c r="G14" s="75">
        <f t="shared" si="1"/>
        <v>0</v>
      </c>
      <c r="H14" s="76">
        <f t="shared" si="2"/>
        <v>0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3"/>
        <v>0</v>
      </c>
      <c r="L14" s="75">
        <f t="shared" si="4"/>
        <v>0</v>
      </c>
      <c r="M14" s="76">
        <f t="shared" si="5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6"/>
        <v>0</v>
      </c>
      <c r="Q14" s="75">
        <f t="shared" si="7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10"/>
        <v>0</v>
      </c>
      <c r="W14" s="76">
        <f t="shared" si="11"/>
        <v>0</v>
      </c>
      <c r="X14" s="77">
        <f t="shared" si="12"/>
        <v>0</v>
      </c>
      <c r="Y14" s="46">
        <f t="shared" si="13"/>
        <v>0</v>
      </c>
    </row>
    <row r="15" spans="2:25">
      <c r="B15" s="20" t="str">
        <f>+'County Data'!$B$25</f>
        <v>Jefferson</v>
      </c>
      <c r="C15" s="15">
        <f>VLOOKUP($B15,'County Data'!$B$10:$P$46,2,FALSE)</f>
        <v>24105</v>
      </c>
      <c r="D15" s="26" t="str">
        <f>VLOOKUP($B15,'County Data'!$B$9:$P$46,12,FALSE)</f>
        <v>Y</v>
      </c>
      <c r="E15" s="75">
        <f>IF(D15="Y",$C$3*Input!$C$29/36*E$4,0)</f>
        <v>0</v>
      </c>
      <c r="F15" s="15">
        <f t="shared" si="0"/>
        <v>24105</v>
      </c>
      <c r="G15" s="75">
        <f t="shared" si="1"/>
        <v>0</v>
      </c>
      <c r="H15" s="76">
        <f t="shared" si="2"/>
        <v>0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3"/>
        <v>0</v>
      </c>
      <c r="L15" s="75">
        <f t="shared" si="4"/>
        <v>0</v>
      </c>
      <c r="M15" s="76">
        <f t="shared" si="5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6"/>
        <v>0</v>
      </c>
      <c r="Q15" s="75">
        <f t="shared" si="7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10"/>
        <v>0</v>
      </c>
      <c r="W15" s="76">
        <f t="shared" si="11"/>
        <v>0</v>
      </c>
      <c r="X15" s="77">
        <f t="shared" si="12"/>
        <v>0</v>
      </c>
      <c r="Y15" s="46">
        <f t="shared" si="13"/>
        <v>0</v>
      </c>
    </row>
    <row r="16" spans="2:25">
      <c r="B16" s="20" t="str">
        <f>+'County Data'!$B$17</f>
        <v>Curry</v>
      </c>
      <c r="C16" s="15">
        <f>VLOOKUP($B16,'County Data'!$B$10:$P$46,2,FALSE)</f>
        <v>23005</v>
      </c>
      <c r="D16" s="26" t="str">
        <f>VLOOKUP($B16,'County Data'!$B$9:$P$46,12,FALSE)</f>
        <v>Y</v>
      </c>
      <c r="E16" s="75">
        <f>IF(D16="Y",$C$3*Input!$C$29/36*E$4,0)</f>
        <v>0</v>
      </c>
      <c r="F16" s="15">
        <f t="shared" si="0"/>
        <v>23005</v>
      </c>
      <c r="G16" s="75">
        <f t="shared" si="1"/>
        <v>0</v>
      </c>
      <c r="H16" s="76">
        <f t="shared" si="2"/>
        <v>0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3"/>
        <v>0</v>
      </c>
      <c r="L16" s="75">
        <f t="shared" si="4"/>
        <v>0</v>
      </c>
      <c r="M16" s="76">
        <f t="shared" si="5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6"/>
        <v>0</v>
      </c>
      <c r="Q16" s="75">
        <f t="shared" si="7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10"/>
        <v>0</v>
      </c>
      <c r="W16" s="76">
        <f t="shared" si="11"/>
        <v>0</v>
      </c>
      <c r="X16" s="77">
        <f t="shared" si="12"/>
        <v>0</v>
      </c>
      <c r="Y16" s="46">
        <f t="shared" si="13"/>
        <v>0</v>
      </c>
    </row>
    <row r="17" spans="2:25">
      <c r="B17" s="20" t="str">
        <f>+'County Data'!$B$23</f>
        <v>Hood River</v>
      </c>
      <c r="C17" s="15">
        <f>VLOOKUP($B17,'County Data'!$B$10:$P$46,2,FALSE)</f>
        <v>25640</v>
      </c>
      <c r="D17" s="26" t="str">
        <f>VLOOKUP($B17,'County Data'!$B$9:$P$46,12,FALSE)</f>
        <v>Y</v>
      </c>
      <c r="E17" s="75">
        <f>IF(D17="Y",$C$3*Input!$C$29/36*E$4,0)</f>
        <v>0</v>
      </c>
      <c r="F17" s="15">
        <f t="shared" si="0"/>
        <v>25640</v>
      </c>
      <c r="G17" s="75">
        <f t="shared" si="1"/>
        <v>0</v>
      </c>
      <c r="H17" s="76">
        <f t="shared" si="2"/>
        <v>0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3"/>
        <v>0</v>
      </c>
      <c r="L17" s="75">
        <f t="shared" si="4"/>
        <v>0</v>
      </c>
      <c r="M17" s="76">
        <f t="shared" si="5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6"/>
        <v>0</v>
      </c>
      <c r="Q17" s="75">
        <f t="shared" si="7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10"/>
        <v>0</v>
      </c>
      <c r="W17" s="76">
        <f t="shared" si="11"/>
        <v>0</v>
      </c>
      <c r="X17" s="77">
        <f t="shared" si="12"/>
        <v>0</v>
      </c>
      <c r="Y17" s="46">
        <f t="shared" si="13"/>
        <v>0</v>
      </c>
    </row>
    <row r="18" spans="2:25">
      <c r="B18" s="20" t="str">
        <f>+'County Data'!$B$39</f>
        <v>Tillamook</v>
      </c>
      <c r="C18" s="15">
        <f>VLOOKUP($B18,'County Data'!$B$10:$P$46,2,FALSE)</f>
        <v>26530</v>
      </c>
      <c r="D18" s="26" t="str">
        <f>VLOOKUP($B18,'County Data'!$B$9:$P$46,12,FALSE)</f>
        <v>Y</v>
      </c>
      <c r="E18" s="75">
        <f>IF(D18="Y",$C$3*Input!$C$29/36*E$4,0)</f>
        <v>0</v>
      </c>
      <c r="F18" s="15">
        <f t="shared" si="0"/>
        <v>26530</v>
      </c>
      <c r="G18" s="75">
        <f t="shared" si="1"/>
        <v>0</v>
      </c>
      <c r="H18" s="76">
        <f t="shared" si="2"/>
        <v>0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3"/>
        <v>0</v>
      </c>
      <c r="L18" s="75">
        <f t="shared" si="4"/>
        <v>0</v>
      </c>
      <c r="M18" s="76">
        <f t="shared" si="5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6"/>
        <v>0</v>
      </c>
      <c r="Q18" s="75">
        <f t="shared" si="7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10"/>
        <v>0</v>
      </c>
      <c r="W18" s="76">
        <f t="shared" si="11"/>
        <v>0</v>
      </c>
      <c r="X18" s="77">
        <f t="shared" si="12"/>
        <v>0</v>
      </c>
      <c r="Y18" s="46">
        <f t="shared" si="13"/>
        <v>0</v>
      </c>
    </row>
    <row r="19" spans="2:25">
      <c r="B19" s="20" t="str">
        <f>+'County Data'!$B$41</f>
        <v>Union</v>
      </c>
      <c r="C19" s="15">
        <f>VLOOKUP($B19,'County Data'!$B$10:$P$46,2,FALSE)</f>
        <v>26840</v>
      </c>
      <c r="D19" s="26" t="str">
        <f>VLOOKUP($B19,'County Data'!$B$9:$P$46,12,FALSE)</f>
        <v>Y</v>
      </c>
      <c r="E19" s="75">
        <f>IF(D19="Y",$C$3*Input!$C$29/36*E$4,0)</f>
        <v>0</v>
      </c>
      <c r="F19" s="15">
        <f t="shared" si="0"/>
        <v>26840</v>
      </c>
      <c r="G19" s="75">
        <f t="shared" si="1"/>
        <v>0</v>
      </c>
      <c r="H19" s="76">
        <f t="shared" si="2"/>
        <v>0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3"/>
        <v>0</v>
      </c>
      <c r="L19" s="75">
        <f t="shared" si="4"/>
        <v>0</v>
      </c>
      <c r="M19" s="76">
        <f t="shared" si="5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6"/>
        <v>0</v>
      </c>
      <c r="Q19" s="75">
        <f t="shared" si="7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10"/>
        <v>0</v>
      </c>
      <c r="W19" s="76">
        <f t="shared" si="11"/>
        <v>0</v>
      </c>
      <c r="X19" s="77">
        <f t="shared" si="12"/>
        <v>0</v>
      </c>
      <c r="Y19" s="46">
        <f t="shared" si="13"/>
        <v>0</v>
      </c>
    </row>
    <row r="20" spans="2:25">
      <c r="B20" s="20" t="str">
        <f>+'County Data'!$B$36</f>
        <v>Gilliam, Sherman, Wasco</v>
      </c>
      <c r="C20" s="15">
        <f>VLOOKUP($B20,'County Data'!$B$10:$P$46,2,FALSE)</f>
        <v>31080</v>
      </c>
      <c r="D20" s="26" t="str">
        <f>VLOOKUP($B20,'County Data'!$B$9:$P$46,12,FALSE)</f>
        <v>Y</v>
      </c>
      <c r="E20" s="75">
        <f>IF(D20="Y",$C$3*Input!$C$29/36*3*E$4,0)</f>
        <v>0</v>
      </c>
      <c r="F20" s="15">
        <f t="shared" si="0"/>
        <v>31080</v>
      </c>
      <c r="G20" s="75">
        <f t="shared" si="1"/>
        <v>0</v>
      </c>
      <c r="H20" s="76">
        <f t="shared" si="2"/>
        <v>0</v>
      </c>
      <c r="I20" s="26">
        <f>VLOOKUP($B20,'County Data'!$B$9:$P$46,13,FALSE)</f>
        <v>0</v>
      </c>
      <c r="J20" s="47">
        <f>IF(I20="Y",$C$3*Input!$C$29/36*3*J$4,0)</f>
        <v>0</v>
      </c>
      <c r="K20" s="15">
        <f t="shared" si="3"/>
        <v>0</v>
      </c>
      <c r="L20" s="75">
        <f t="shared" si="4"/>
        <v>0</v>
      </c>
      <c r="M20" s="76">
        <f t="shared" si="5"/>
        <v>0</v>
      </c>
      <c r="N20" s="26">
        <f>VLOOKUP($B20,'County Data'!$B$9:$P$46,14,FALSE)</f>
        <v>0</v>
      </c>
      <c r="O20" s="47">
        <f>IF(N20="Y",$C$3*Input!$C$29/36*3*O$4,0)</f>
        <v>0</v>
      </c>
      <c r="P20" s="15">
        <f t="shared" si="6"/>
        <v>0</v>
      </c>
      <c r="Q20" s="75">
        <f t="shared" si="7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IF(S20="Y",$C$3*Input!$C$29/36*3*T$4,0)</f>
        <v>0</v>
      </c>
      <c r="U20" s="15">
        <f t="shared" si="9"/>
        <v>0</v>
      </c>
      <c r="V20" s="75">
        <f t="shared" si="10"/>
        <v>0</v>
      </c>
      <c r="W20" s="76">
        <f t="shared" si="11"/>
        <v>0</v>
      </c>
      <c r="X20" s="77">
        <f t="shared" si="12"/>
        <v>0</v>
      </c>
      <c r="Y20" s="46">
        <f t="shared" si="13"/>
        <v>0</v>
      </c>
    </row>
    <row r="21" spans="2:25">
      <c r="B21" s="20" t="str">
        <f>+'County Data'!$B$32</f>
        <v>Malheur</v>
      </c>
      <c r="C21" s="15">
        <f>VLOOKUP($B21,'County Data'!$B$10:$P$46,2,FALSE)</f>
        <v>32105</v>
      </c>
      <c r="D21" s="26" t="str">
        <f>VLOOKUP($B21,'County Data'!$B$9:$P$46,12,FALSE)</f>
        <v>Y</v>
      </c>
      <c r="E21" s="75">
        <f>IF(D21="Y",$C$3*Input!$C$29/36*E$4,0)</f>
        <v>0</v>
      </c>
      <c r="F21" s="15">
        <f t="shared" si="0"/>
        <v>32105</v>
      </c>
      <c r="G21" s="75">
        <f t="shared" si="1"/>
        <v>0</v>
      </c>
      <c r="H21" s="76">
        <f t="shared" si="2"/>
        <v>0</v>
      </c>
      <c r="I21" s="26">
        <f>VLOOKUP($B21,'County Data'!$B$9:$P$46,13,FALSE)</f>
        <v>0</v>
      </c>
      <c r="J21" s="47">
        <f>IF(I21="Y",$C$3*Input!$C$29/36*J$4,0)</f>
        <v>0</v>
      </c>
      <c r="K21" s="15">
        <f t="shared" si="3"/>
        <v>0</v>
      </c>
      <c r="L21" s="75">
        <f t="shared" si="4"/>
        <v>0</v>
      </c>
      <c r="M21" s="76">
        <f t="shared" si="5"/>
        <v>0</v>
      </c>
      <c r="N21" s="26">
        <f>VLOOKUP($B21,'County Data'!$B$9:$P$46,14,FALSE)</f>
        <v>0</v>
      </c>
      <c r="O21" s="47">
        <f>IF(N21="Y",$C$3*Input!$C$29/36*O$4,0)</f>
        <v>0</v>
      </c>
      <c r="P21" s="15">
        <f t="shared" si="6"/>
        <v>0</v>
      </c>
      <c r="Q21" s="75">
        <f t="shared" si="7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IF(S21="Y",$C$3*Input!$C$29/36*T$4,0)</f>
        <v>0</v>
      </c>
      <c r="U21" s="15">
        <f t="shared" si="9"/>
        <v>0</v>
      </c>
      <c r="V21" s="75">
        <f t="shared" si="10"/>
        <v>0</v>
      </c>
      <c r="W21" s="76">
        <f t="shared" si="11"/>
        <v>0</v>
      </c>
      <c r="X21" s="77">
        <f t="shared" si="12"/>
        <v>0</v>
      </c>
      <c r="Y21" s="46">
        <f t="shared" si="13"/>
        <v>0</v>
      </c>
    </row>
    <row r="22" spans="2:25">
      <c r="B22" s="20" t="str">
        <f>+'County Data'!$B$13</f>
        <v>Clatsop</v>
      </c>
      <c r="C22" s="15">
        <f>VLOOKUP($B22,'County Data'!$B$10:$P$46,2,FALSE)</f>
        <v>39455</v>
      </c>
      <c r="D22" s="26" t="str">
        <f>VLOOKUP($B22,'County Data'!$B$9:$P$46,12,FALSE)</f>
        <v>Y</v>
      </c>
      <c r="E22" s="75">
        <f>IF(D22="Y",$C$3*Input!$C$29/36*E$4,0)</f>
        <v>0</v>
      </c>
      <c r="F22" s="15">
        <f t="shared" si="0"/>
        <v>39455</v>
      </c>
      <c r="G22" s="75">
        <f t="shared" si="1"/>
        <v>0</v>
      </c>
      <c r="H22" s="76">
        <f t="shared" si="2"/>
        <v>0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3"/>
        <v>0</v>
      </c>
      <c r="L22" s="75">
        <f t="shared" si="4"/>
        <v>0</v>
      </c>
      <c r="M22" s="76">
        <f t="shared" si="5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6"/>
        <v>0</v>
      </c>
      <c r="Q22" s="75">
        <f t="shared" si="7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10"/>
        <v>0</v>
      </c>
      <c r="W22" s="76">
        <f t="shared" si="11"/>
        <v>0</v>
      </c>
      <c r="X22" s="77">
        <f t="shared" si="12"/>
        <v>0</v>
      </c>
      <c r="Y22" s="46">
        <f t="shared" si="13"/>
        <v>0</v>
      </c>
    </row>
    <row r="23" spans="2:25">
      <c r="B23" s="20" t="str">
        <f>+'County Data'!$B$30</f>
        <v>Lincoln</v>
      </c>
      <c r="C23" s="15">
        <f>VLOOKUP($B23,'County Data'!$B$10:$P$46,2,FALSE)</f>
        <v>48305</v>
      </c>
      <c r="D23" s="26" t="str">
        <f>VLOOKUP($B23,'County Data'!$B$9:$P$46,12,FALSE)</f>
        <v>Y</v>
      </c>
      <c r="E23" s="75">
        <f>IF(D23="Y",$C$3*Input!$C$29/36*E$4,0)</f>
        <v>0</v>
      </c>
      <c r="F23" s="15">
        <f t="shared" si="0"/>
        <v>48305</v>
      </c>
      <c r="G23" s="75">
        <f t="shared" si="1"/>
        <v>0</v>
      </c>
      <c r="H23" s="76">
        <f t="shared" si="2"/>
        <v>0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3"/>
        <v>0</v>
      </c>
      <c r="L23" s="75">
        <f t="shared" si="4"/>
        <v>0</v>
      </c>
      <c r="M23" s="76">
        <f t="shared" si="5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6"/>
        <v>0</v>
      </c>
      <c r="Q23" s="75">
        <f t="shared" si="7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10"/>
        <v>0</v>
      </c>
      <c r="W23" s="76">
        <f t="shared" si="11"/>
        <v>0</v>
      </c>
      <c r="X23" s="77">
        <f t="shared" si="12"/>
        <v>0</v>
      </c>
      <c r="Y23" s="46">
        <f t="shared" si="13"/>
        <v>0</v>
      </c>
    </row>
    <row r="24" spans="2:25">
      <c r="B24" s="20" t="str">
        <f>+'County Data'!$B$14</f>
        <v>Columbia</v>
      </c>
      <c r="C24" s="15">
        <f>VLOOKUP($B24,'County Data'!$B$10:$P$46,2,FALSE)</f>
        <v>53280</v>
      </c>
      <c r="D24" s="26" t="str">
        <f>VLOOKUP($B24,'County Data'!$B$9:$P$46,12,FALSE)</f>
        <v>Y</v>
      </c>
      <c r="E24" s="75">
        <f>IF(D24="Y",$C$3*Input!$C$29/36*E$4,0)</f>
        <v>0</v>
      </c>
      <c r="F24" s="15">
        <f t="shared" si="0"/>
        <v>53280</v>
      </c>
      <c r="G24" s="75">
        <f t="shared" si="1"/>
        <v>0</v>
      </c>
      <c r="H24" s="76">
        <f t="shared" si="2"/>
        <v>0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3"/>
        <v>0</v>
      </c>
      <c r="L24" s="75">
        <f t="shared" si="4"/>
        <v>0</v>
      </c>
      <c r="M24" s="76">
        <f t="shared" si="5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6"/>
        <v>0</v>
      </c>
      <c r="Q24" s="75">
        <f t="shared" si="7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10"/>
        <v>0</v>
      </c>
      <c r="W24" s="76">
        <f t="shared" si="11"/>
        <v>0</v>
      </c>
      <c r="X24" s="77">
        <f t="shared" si="12"/>
        <v>0</v>
      </c>
      <c r="Y24" s="46">
        <f t="shared" si="13"/>
        <v>0</v>
      </c>
    </row>
    <row r="25" spans="2:25">
      <c r="B25" s="20" t="str">
        <f>+'County Data'!$B$15</f>
        <v>Coos</v>
      </c>
      <c r="C25" s="15">
        <f>VLOOKUP($B25,'County Data'!$B$10:$P$46,2,FALSE)</f>
        <v>63315</v>
      </c>
      <c r="D25" s="26" t="str">
        <f>VLOOKUP($B25,'County Data'!$B$9:$P$46,12,FALSE)</f>
        <v>Y</v>
      </c>
      <c r="E25" s="75">
        <f>IF(D25="Y",$C$3*Input!$C$29/36*E$4,0)</f>
        <v>0</v>
      </c>
      <c r="F25" s="15">
        <f t="shared" si="0"/>
        <v>63315</v>
      </c>
      <c r="G25" s="75">
        <f t="shared" si="1"/>
        <v>0</v>
      </c>
      <c r="H25" s="76">
        <f t="shared" si="2"/>
        <v>0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3"/>
        <v>0</v>
      </c>
      <c r="L25" s="75">
        <f t="shared" si="4"/>
        <v>0</v>
      </c>
      <c r="M25" s="76">
        <f t="shared" si="5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6"/>
        <v>0</v>
      </c>
      <c r="Q25" s="75">
        <f t="shared" si="7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10"/>
        <v>0</v>
      </c>
      <c r="W25" s="76">
        <f t="shared" si="11"/>
        <v>0</v>
      </c>
      <c r="X25" s="77">
        <f t="shared" si="12"/>
        <v>0</v>
      </c>
      <c r="Y25" s="46">
        <f t="shared" si="13"/>
        <v>0</v>
      </c>
    </row>
    <row r="26" spans="2:25">
      <c r="B26" s="20" t="str">
        <f>+'County Data'!$B$27</f>
        <v>Klamath</v>
      </c>
      <c r="C26" s="15">
        <f>VLOOKUP($B26,'County Data'!$B$10:$P$46,2,FALSE)</f>
        <v>68075</v>
      </c>
      <c r="D26" s="26" t="str">
        <f>VLOOKUP($B26,'County Data'!$B$9:$P$46,12,FALSE)</f>
        <v>Y</v>
      </c>
      <c r="E26" s="75">
        <f>IF(D26="Y",$C$3*Input!$C$29/36*E$4,0)</f>
        <v>0</v>
      </c>
      <c r="F26" s="15">
        <f t="shared" si="0"/>
        <v>68075</v>
      </c>
      <c r="G26" s="75">
        <f t="shared" si="1"/>
        <v>0</v>
      </c>
      <c r="H26" s="76">
        <f t="shared" si="2"/>
        <v>0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3"/>
        <v>0</v>
      </c>
      <c r="L26" s="75">
        <f t="shared" si="4"/>
        <v>0</v>
      </c>
      <c r="M26" s="76">
        <f t="shared" si="5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6"/>
        <v>0</v>
      </c>
      <c r="Q26" s="75">
        <f t="shared" si="7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10"/>
        <v>0</v>
      </c>
      <c r="W26" s="76">
        <f t="shared" si="11"/>
        <v>0</v>
      </c>
      <c r="X26" s="77">
        <f t="shared" si="12"/>
        <v>0</v>
      </c>
      <c r="Y26" s="46">
        <f t="shared" si="13"/>
        <v>0</v>
      </c>
    </row>
    <row r="27" spans="2:25">
      <c r="B27" s="20" t="str">
        <f>+'County Data'!$B$37</f>
        <v>Polk</v>
      </c>
      <c r="C27" s="15">
        <f>VLOOKUP($B27,'County Data'!$B$10:$P$46,2,FALSE)</f>
        <v>83805</v>
      </c>
      <c r="D27" s="26" t="str">
        <f>VLOOKUP($B27,'County Data'!$B$9:$P$46,12,FALSE)</f>
        <v>Y</v>
      </c>
      <c r="E27" s="75">
        <f>IF(D27="Y",$C$3*Input!$C$29/36*E$4,0)</f>
        <v>0</v>
      </c>
      <c r="F27" s="15">
        <f t="shared" si="0"/>
        <v>83805</v>
      </c>
      <c r="G27" s="75">
        <f t="shared" si="1"/>
        <v>0</v>
      </c>
      <c r="H27" s="76">
        <f t="shared" si="2"/>
        <v>0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3"/>
        <v>0</v>
      </c>
      <c r="L27" s="75">
        <f t="shared" si="4"/>
        <v>0</v>
      </c>
      <c r="M27" s="76">
        <f t="shared" si="5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6"/>
        <v>0</v>
      </c>
      <c r="Q27" s="75">
        <f t="shared" si="7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10"/>
        <v>0</v>
      </c>
      <c r="W27" s="76">
        <f t="shared" si="11"/>
        <v>0</v>
      </c>
      <c r="X27" s="77">
        <f t="shared" si="12"/>
        <v>0</v>
      </c>
      <c r="Y27" s="46">
        <f t="shared" si="13"/>
        <v>0</v>
      </c>
    </row>
    <row r="28" spans="2:25">
      <c r="B28" s="20" t="str">
        <f>+'County Data'!$B$40</f>
        <v>Umatilla</v>
      </c>
      <c r="C28" s="15">
        <f>VLOOKUP($B28,'County Data'!$B$10:$P$46,2,FALSE)</f>
        <v>81495</v>
      </c>
      <c r="D28" s="26" t="str">
        <f>VLOOKUP($B28,'County Data'!$B$9:$P$46,12,FALSE)</f>
        <v>Y</v>
      </c>
      <c r="E28" s="75">
        <f>IF(D28="Y",$C$3*Input!$C$29/36*E$4,0)</f>
        <v>0</v>
      </c>
      <c r="F28" s="15">
        <f t="shared" si="0"/>
        <v>81495</v>
      </c>
      <c r="G28" s="75">
        <f t="shared" si="1"/>
        <v>0</v>
      </c>
      <c r="H28" s="76">
        <f t="shared" si="2"/>
        <v>0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3"/>
        <v>0</v>
      </c>
      <c r="L28" s="75">
        <f t="shared" si="4"/>
        <v>0</v>
      </c>
      <c r="M28" s="76">
        <f t="shared" si="5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6"/>
        <v>0</v>
      </c>
      <c r="Q28" s="75">
        <f t="shared" si="7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10"/>
        <v>0</v>
      </c>
      <c r="W28" s="76">
        <f t="shared" si="11"/>
        <v>0</v>
      </c>
      <c r="X28" s="77">
        <f t="shared" si="12"/>
        <v>0</v>
      </c>
      <c r="Y28" s="46">
        <f t="shared" si="13"/>
        <v>0</v>
      </c>
    </row>
    <row r="29" spans="2:25">
      <c r="B29" s="20" t="str">
        <f>+'County Data'!$B$26</f>
        <v>Josephine</v>
      </c>
      <c r="C29" s="15">
        <f>VLOOKUP($B29,'County Data'!$B$10:$P$46,2,FALSE)</f>
        <v>86560</v>
      </c>
      <c r="D29" s="26" t="str">
        <f>VLOOKUP($B29,'County Data'!$B$9:$P$46,12,FALSE)</f>
        <v>Y</v>
      </c>
      <c r="E29" s="75">
        <f>IF(D29="Y",$C$3*Input!$C$29/36*E$4,0)</f>
        <v>0</v>
      </c>
      <c r="F29" s="15">
        <f t="shared" si="0"/>
        <v>86560</v>
      </c>
      <c r="G29" s="75">
        <f t="shared" si="1"/>
        <v>0</v>
      </c>
      <c r="H29" s="76">
        <f t="shared" si="2"/>
        <v>0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3"/>
        <v>0</v>
      </c>
      <c r="L29" s="75">
        <f t="shared" si="4"/>
        <v>0</v>
      </c>
      <c r="M29" s="76">
        <f t="shared" si="5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6"/>
        <v>0</v>
      </c>
      <c r="Q29" s="75">
        <f t="shared" si="7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10"/>
        <v>0</v>
      </c>
      <c r="W29" s="76">
        <f t="shared" si="11"/>
        <v>0</v>
      </c>
      <c r="X29" s="77">
        <f t="shared" si="12"/>
        <v>0</v>
      </c>
      <c r="Y29" s="46">
        <f t="shared" si="13"/>
        <v>0</v>
      </c>
    </row>
    <row r="30" spans="2:25">
      <c r="B30" s="20" t="str">
        <f>+'County Data'!$B$11</f>
        <v>Benton</v>
      </c>
      <c r="C30" s="15">
        <f>VLOOKUP($B30,'County Data'!$B$10:$P$46,2,FALSE)</f>
        <v>94665</v>
      </c>
      <c r="D30" s="26" t="str">
        <f>VLOOKUP($B30,'County Data'!$B$9:$P$46,12,FALSE)</f>
        <v>Y</v>
      </c>
      <c r="E30" s="75">
        <f>IF(D30="Y",$C$3*Input!$C$29/36*E$4,0)</f>
        <v>0</v>
      </c>
      <c r="F30" s="15">
        <f t="shared" si="0"/>
        <v>94665</v>
      </c>
      <c r="G30" s="75">
        <f t="shared" si="1"/>
        <v>0</v>
      </c>
      <c r="H30" s="76">
        <f t="shared" si="2"/>
        <v>0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3"/>
        <v>0</v>
      </c>
      <c r="L30" s="75">
        <f t="shared" si="4"/>
        <v>0</v>
      </c>
      <c r="M30" s="76">
        <f t="shared" si="5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6"/>
        <v>0</v>
      </c>
      <c r="Q30" s="75">
        <f t="shared" si="7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10"/>
        <v>0</v>
      </c>
      <c r="W30" s="76">
        <f t="shared" si="11"/>
        <v>0</v>
      </c>
      <c r="X30" s="77">
        <f t="shared" si="12"/>
        <v>0</v>
      </c>
      <c r="Y30" s="46">
        <f t="shared" si="13"/>
        <v>0</v>
      </c>
    </row>
    <row r="31" spans="2:25">
      <c r="B31" s="20" t="str">
        <f>+'County Data'!$B$46</f>
        <v>Yamhill</v>
      </c>
      <c r="C31" s="15">
        <f>VLOOKUP($B31,'County Data'!$B$10:$P$46,2,FALSE)</f>
        <v>108605</v>
      </c>
      <c r="D31" s="26" t="str">
        <f>VLOOKUP($B31,'County Data'!$B$9:$P$46,12,FALSE)</f>
        <v>Y</v>
      </c>
      <c r="E31" s="75">
        <f>IF(D31="Y",$C$3*Input!$C$29/36*E$4,0)</f>
        <v>0</v>
      </c>
      <c r="F31" s="15">
        <f t="shared" si="0"/>
        <v>108605</v>
      </c>
      <c r="G31" s="75">
        <f t="shared" si="1"/>
        <v>0</v>
      </c>
      <c r="H31" s="76">
        <f t="shared" si="2"/>
        <v>0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3"/>
        <v>0</v>
      </c>
      <c r="L31" s="75">
        <f t="shared" si="4"/>
        <v>0</v>
      </c>
      <c r="M31" s="76">
        <f t="shared" si="5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6"/>
        <v>0</v>
      </c>
      <c r="Q31" s="75">
        <f t="shared" si="7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10"/>
        <v>0</v>
      </c>
      <c r="W31" s="76">
        <f t="shared" si="11"/>
        <v>0</v>
      </c>
      <c r="X31" s="77">
        <f t="shared" si="12"/>
        <v>0</v>
      </c>
      <c r="Y31" s="46">
        <f t="shared" si="13"/>
        <v>0</v>
      </c>
    </row>
    <row r="32" spans="2:25">
      <c r="B32" s="20" t="str">
        <f>+'County Data'!$B$19</f>
        <v>Douglas</v>
      </c>
      <c r="C32" s="15">
        <f>VLOOKUP($B32,'County Data'!$B$10:$P$46,2,FALSE)</f>
        <v>112530</v>
      </c>
      <c r="D32" s="26" t="str">
        <f>VLOOKUP($B32,'County Data'!$B$9:$P$46,12,FALSE)</f>
        <v>Y</v>
      </c>
      <c r="E32" s="75">
        <f>IF(D32="Y",$C$3*Input!$C$29/36*E$4,0)</f>
        <v>0</v>
      </c>
      <c r="F32" s="15">
        <f t="shared" si="0"/>
        <v>112530</v>
      </c>
      <c r="G32" s="75">
        <f t="shared" si="1"/>
        <v>0</v>
      </c>
      <c r="H32" s="76">
        <f t="shared" si="2"/>
        <v>0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3"/>
        <v>0</v>
      </c>
      <c r="L32" s="75">
        <f t="shared" si="4"/>
        <v>0</v>
      </c>
      <c r="M32" s="76">
        <f t="shared" si="5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6"/>
        <v>0</v>
      </c>
      <c r="Q32" s="75">
        <f t="shared" si="7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10"/>
        <v>0</v>
      </c>
      <c r="W32" s="76">
        <f t="shared" si="11"/>
        <v>0</v>
      </c>
      <c r="X32" s="77">
        <f t="shared" si="12"/>
        <v>0</v>
      </c>
      <c r="Y32" s="46">
        <f t="shared" si="13"/>
        <v>0</v>
      </c>
    </row>
    <row r="33" spans="2:25">
      <c r="B33" s="20" t="str">
        <f>+'County Data'!$B$31</f>
        <v>Linn</v>
      </c>
      <c r="C33" s="15">
        <f>VLOOKUP($B33,'County Data'!$B$10:$P$46,2,FALSE)</f>
        <v>127320</v>
      </c>
      <c r="D33" s="26" t="str">
        <f>VLOOKUP($B33,'County Data'!$B$9:$P$46,12,FALSE)</f>
        <v>Y</v>
      </c>
      <c r="E33" s="75">
        <f>IF(D33="Y",$C$3*Input!$C$29/36*E$4,0)</f>
        <v>0</v>
      </c>
      <c r="F33" s="15">
        <f t="shared" si="0"/>
        <v>127320</v>
      </c>
      <c r="G33" s="75">
        <f t="shared" si="1"/>
        <v>0</v>
      </c>
      <c r="H33" s="76">
        <f t="shared" si="2"/>
        <v>0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3"/>
        <v>0</v>
      </c>
      <c r="L33" s="75">
        <f t="shared" si="4"/>
        <v>0</v>
      </c>
      <c r="M33" s="76">
        <f t="shared" si="5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6"/>
        <v>0</v>
      </c>
      <c r="Q33" s="75">
        <f t="shared" si="7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10"/>
        <v>0</v>
      </c>
      <c r="W33" s="76">
        <f t="shared" si="11"/>
        <v>0</v>
      </c>
      <c r="X33" s="77">
        <f t="shared" si="12"/>
        <v>0</v>
      </c>
      <c r="Y33" s="46">
        <f t="shared" si="13"/>
        <v>0</v>
      </c>
    </row>
    <row r="34" spans="2:25">
      <c r="B34" s="20" t="str">
        <f>+'County Data'!$B$18</f>
        <v>Deschutes</v>
      </c>
      <c r="C34" s="15">
        <f>VLOOKUP($B34,'County Data'!$B$10:$P$46,2,FALSE)</f>
        <v>197015</v>
      </c>
      <c r="D34" s="26" t="str">
        <f>VLOOKUP($B34,'County Data'!$B$9:$P$46,12,FALSE)</f>
        <v>Y</v>
      </c>
      <c r="E34" s="75">
        <f>IF(D34="Y",$C$3*Input!$C$29/36*E$4,0)</f>
        <v>0</v>
      </c>
      <c r="F34" s="15">
        <f t="shared" si="0"/>
        <v>197015</v>
      </c>
      <c r="G34" s="75">
        <f t="shared" si="1"/>
        <v>0</v>
      </c>
      <c r="H34" s="76">
        <f t="shared" si="2"/>
        <v>0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3"/>
        <v>0</v>
      </c>
      <c r="L34" s="75">
        <f t="shared" si="4"/>
        <v>0</v>
      </c>
      <c r="M34" s="76">
        <f t="shared" si="5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6"/>
        <v>0</v>
      </c>
      <c r="Q34" s="75">
        <f t="shared" si="7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10"/>
        <v>0</v>
      </c>
      <c r="W34" s="76">
        <f t="shared" si="11"/>
        <v>0</v>
      </c>
      <c r="X34" s="77">
        <f t="shared" si="12"/>
        <v>0</v>
      </c>
      <c r="Y34" s="46">
        <f t="shared" si="13"/>
        <v>0</v>
      </c>
    </row>
    <row r="35" spans="2:25">
      <c r="B35" s="20" t="str">
        <f>+'County Data'!$B$24</f>
        <v>Jackson</v>
      </c>
      <c r="C35" s="15">
        <f>VLOOKUP($B35,'County Data'!$B$10:$P$46,2,FALSE)</f>
        <v>223240</v>
      </c>
      <c r="D35" s="26" t="str">
        <f>VLOOKUP($B35,'County Data'!$B$9:$P$46,12,FALSE)</f>
        <v>Y</v>
      </c>
      <c r="E35" s="75">
        <f>IF(D35="Y",$C$3*Input!$C$29/36*E$4,0)</f>
        <v>0</v>
      </c>
      <c r="F35" s="15">
        <f t="shared" si="0"/>
        <v>223240</v>
      </c>
      <c r="G35" s="75">
        <f t="shared" si="1"/>
        <v>0</v>
      </c>
      <c r="H35" s="76">
        <f t="shared" si="2"/>
        <v>0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3"/>
        <v>0</v>
      </c>
      <c r="L35" s="75">
        <f t="shared" si="4"/>
        <v>0</v>
      </c>
      <c r="M35" s="76">
        <f t="shared" si="5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6"/>
        <v>0</v>
      </c>
      <c r="Q35" s="75">
        <f t="shared" si="7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10"/>
        <v>0</v>
      </c>
      <c r="W35" s="76">
        <f t="shared" si="11"/>
        <v>0</v>
      </c>
      <c r="X35" s="77">
        <f t="shared" si="12"/>
        <v>0</v>
      </c>
      <c r="Y35" s="46">
        <f t="shared" si="13"/>
        <v>0</v>
      </c>
    </row>
    <row r="36" spans="2:25">
      <c r="B36" s="20" t="str">
        <f>+'County Data'!$B$33</f>
        <v>Marion</v>
      </c>
      <c r="C36" s="15">
        <f>VLOOKUP($B36,'County Data'!$B$10:$P$46,2,FALSE)</f>
        <v>349120</v>
      </c>
      <c r="D36" s="26" t="str">
        <f>VLOOKUP($B36,'County Data'!$B$9:$P$46,12,FALSE)</f>
        <v>Y</v>
      </c>
      <c r="E36" s="75">
        <f>IF(D36="Y",$C$3*Input!$C$29/36*E$4,0)</f>
        <v>0</v>
      </c>
      <c r="F36" s="15">
        <f t="shared" si="0"/>
        <v>349120</v>
      </c>
      <c r="G36" s="75">
        <f t="shared" si="1"/>
        <v>0</v>
      </c>
      <c r="H36" s="76">
        <f t="shared" si="2"/>
        <v>0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3"/>
        <v>0</v>
      </c>
      <c r="L36" s="75">
        <f t="shared" si="4"/>
        <v>0</v>
      </c>
      <c r="M36" s="76">
        <f t="shared" si="5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6"/>
        <v>0</v>
      </c>
      <c r="Q36" s="75">
        <f t="shared" si="7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10"/>
        <v>0</v>
      </c>
      <c r="W36" s="76">
        <f t="shared" si="11"/>
        <v>0</v>
      </c>
      <c r="X36" s="77">
        <f t="shared" si="12"/>
        <v>0</v>
      </c>
      <c r="Y36" s="46">
        <f t="shared" si="13"/>
        <v>0</v>
      </c>
    </row>
    <row r="37" spans="2:25">
      <c r="B37" s="20" t="str">
        <f>+'County Data'!$B$29</f>
        <v>Lane</v>
      </c>
      <c r="C37" s="15">
        <f>VLOOKUP($B37,'County Data'!$B$10:$P$46,2,FALSE)</f>
        <v>381365</v>
      </c>
      <c r="D37" s="26" t="str">
        <f>VLOOKUP($B37,'County Data'!$B$9:$P$46,12,FALSE)</f>
        <v>Y</v>
      </c>
      <c r="E37" s="75">
        <f>IF(D37="Y",$C$3*Input!$C$29/36*E$4,0)</f>
        <v>0</v>
      </c>
      <c r="F37" s="15">
        <f t="shared" si="0"/>
        <v>381365</v>
      </c>
      <c r="G37" s="75">
        <f t="shared" si="1"/>
        <v>0</v>
      </c>
      <c r="H37" s="76">
        <f t="shared" si="2"/>
        <v>0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3"/>
        <v>0</v>
      </c>
      <c r="L37" s="75">
        <f t="shared" si="4"/>
        <v>0</v>
      </c>
      <c r="M37" s="76">
        <f t="shared" si="5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6"/>
        <v>0</v>
      </c>
      <c r="Q37" s="75">
        <f t="shared" si="7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10"/>
        <v>0</v>
      </c>
      <c r="W37" s="76">
        <f t="shared" si="11"/>
        <v>0</v>
      </c>
      <c r="X37" s="77">
        <f t="shared" si="12"/>
        <v>0</v>
      </c>
      <c r="Y37" s="46">
        <f t="shared" si="13"/>
        <v>0</v>
      </c>
    </row>
    <row r="38" spans="2:25">
      <c r="B38" s="20" t="str">
        <f>+'County Data'!$B$12</f>
        <v>Clackamas</v>
      </c>
      <c r="C38" s="15">
        <f>VLOOKUP($B38,'County Data'!$B$10:$P$46,2,FALSE)</f>
        <v>426515</v>
      </c>
      <c r="D38" s="26" t="str">
        <f>VLOOKUP($B38,'County Data'!$B$9:$P$46,12,FALSE)</f>
        <v>Y</v>
      </c>
      <c r="E38" s="75">
        <f>IF(D38="Y",$C$3*Input!$C$29/36*E$4,0)</f>
        <v>0</v>
      </c>
      <c r="F38" s="15">
        <f t="shared" si="0"/>
        <v>426515</v>
      </c>
      <c r="G38" s="75">
        <f t="shared" si="1"/>
        <v>0</v>
      </c>
      <c r="H38" s="76">
        <f t="shared" si="2"/>
        <v>0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3"/>
        <v>0</v>
      </c>
      <c r="L38" s="75">
        <f t="shared" si="4"/>
        <v>0</v>
      </c>
      <c r="M38" s="76">
        <f t="shared" si="5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6"/>
        <v>0</v>
      </c>
      <c r="Q38" s="75">
        <f t="shared" si="7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10"/>
        <v>0</v>
      </c>
      <c r="W38" s="76">
        <f t="shared" si="11"/>
        <v>0</v>
      </c>
      <c r="X38" s="77">
        <f t="shared" si="12"/>
        <v>0</v>
      </c>
      <c r="Y38" s="46">
        <f t="shared" si="13"/>
        <v>0</v>
      </c>
    </row>
    <row r="39" spans="2:25">
      <c r="B39" s="20" t="str">
        <f>+'County Data'!$B$44</f>
        <v>Washington</v>
      </c>
      <c r="C39" s="15">
        <f>VLOOKUP($B39,'County Data'!$B$10:$P$46,2,FALSE)</f>
        <v>620080</v>
      </c>
      <c r="D39" s="26" t="str">
        <f>VLOOKUP($B39,'County Data'!$B$9:$P$46,12,FALSE)</f>
        <v>Y</v>
      </c>
      <c r="E39" s="75">
        <f>IF(D39="Y",$C$3*Input!$C$29/36*E$4,0)</f>
        <v>0</v>
      </c>
      <c r="F39" s="15">
        <f t="shared" si="0"/>
        <v>620080</v>
      </c>
      <c r="G39" s="75">
        <f t="shared" si="1"/>
        <v>0</v>
      </c>
      <c r="H39" s="76">
        <f t="shared" si="2"/>
        <v>0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3"/>
        <v>0</v>
      </c>
      <c r="L39" s="75">
        <f t="shared" si="4"/>
        <v>0</v>
      </c>
      <c r="M39" s="76">
        <f t="shared" si="5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6"/>
        <v>0</v>
      </c>
      <c r="Q39" s="75">
        <f t="shared" si="7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10"/>
        <v>0</v>
      </c>
      <c r="W39" s="76">
        <f t="shared" si="11"/>
        <v>0</v>
      </c>
      <c r="X39" s="77">
        <f t="shared" si="12"/>
        <v>0</v>
      </c>
      <c r="Y39" s="46">
        <f t="shared" si="13"/>
        <v>0</v>
      </c>
    </row>
    <row r="40" spans="2:25">
      <c r="B40" s="20" t="str">
        <f>+'County Data'!$B$35</f>
        <v>Multnomah</v>
      </c>
      <c r="C40" s="15">
        <f>VLOOKUP($B40,'County Data'!$B$10:$P$46,2,FALSE)</f>
        <v>829560</v>
      </c>
      <c r="D40" s="26" t="str">
        <f>VLOOKUP($B40,'County Data'!$B$9:$P$46,12,FALSE)</f>
        <v>Y</v>
      </c>
      <c r="E40" s="75">
        <f>IF(D40="Y",$C$3*Input!$C$29/36*E$4,0)</f>
        <v>0</v>
      </c>
      <c r="F40" s="15">
        <f t="shared" si="0"/>
        <v>829560</v>
      </c>
      <c r="G40" s="75">
        <f t="shared" si="1"/>
        <v>0</v>
      </c>
      <c r="H40" s="76">
        <f t="shared" si="2"/>
        <v>0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3"/>
        <v>0</v>
      </c>
      <c r="L40" s="75">
        <f t="shared" si="4"/>
        <v>0</v>
      </c>
      <c r="M40" s="76">
        <f t="shared" si="5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6"/>
        <v>0</v>
      </c>
      <c r="Q40" s="75">
        <f t="shared" si="7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10"/>
        <v>0</v>
      </c>
      <c r="W40" s="76">
        <f t="shared" si="11"/>
        <v>0</v>
      </c>
      <c r="X40" s="77">
        <f t="shared" si="12"/>
        <v>0</v>
      </c>
      <c r="Y40" s="46">
        <f t="shared" si="13"/>
        <v>0</v>
      </c>
    </row>
    <row r="41" spans="2:25">
      <c r="B41" s="4" t="s">
        <v>83</v>
      </c>
      <c r="C41" s="5">
        <f t="shared" ref="C41:H41" si="14">SUM(C7:C40)</f>
        <v>4268055</v>
      </c>
      <c r="D41" s="5">
        <f>COUNTIF(D7:D40,"Y")</f>
        <v>34</v>
      </c>
      <c r="E41" s="74">
        <f t="shared" si="14"/>
        <v>0</v>
      </c>
      <c r="F41" s="5">
        <f t="shared" si="14"/>
        <v>4268055</v>
      </c>
      <c r="G41" s="74">
        <f t="shared" si="14"/>
        <v>0</v>
      </c>
      <c r="H41" s="74">
        <f t="shared" si="14"/>
        <v>0</v>
      </c>
      <c r="I41" s="5">
        <f>COUNTIF(I7:I40,"Y")</f>
        <v>0</v>
      </c>
      <c r="J41" s="74">
        <f t="shared" ref="J41:M41" si="15">SUM(J7:J40)</f>
        <v>0</v>
      </c>
      <c r="K41" s="70">
        <f>SUM(K7:K40)+0.001</f>
        <v>1E-3</v>
      </c>
      <c r="L41" s="74">
        <f t="shared" si="15"/>
        <v>0</v>
      </c>
      <c r="M41" s="74">
        <f t="shared" si="15"/>
        <v>0</v>
      </c>
      <c r="N41" s="5">
        <f>COUNTIF(N7:N40,"Y")</f>
        <v>0</v>
      </c>
      <c r="O41" s="74">
        <f t="shared" ref="O41" si="16">SUM(O7:O40)</f>
        <v>0</v>
      </c>
      <c r="P41" s="70">
        <f>SUM(P7:P40)+0.001</f>
        <v>1E-3</v>
      </c>
      <c r="Q41" s="74">
        <f t="shared" ref="Q41:R41" si="17">SUM(Q7:Q40)</f>
        <v>0</v>
      </c>
      <c r="R41" s="74">
        <f t="shared" si="17"/>
        <v>0</v>
      </c>
      <c r="S41" s="5">
        <f>COUNTIF(S7:S40,"Y")</f>
        <v>0</v>
      </c>
      <c r="T41" s="74">
        <f t="shared" ref="T41" si="18">SUM(T7:T40)</f>
        <v>0</v>
      </c>
      <c r="U41" s="70">
        <f>SUM(U7:U40)+0.001</f>
        <v>1E-3</v>
      </c>
      <c r="V41" s="74">
        <f t="shared" ref="V41:X41" si="19">SUM(V7:V40)</f>
        <v>0</v>
      </c>
      <c r="W41" s="74">
        <f t="shared" si="19"/>
        <v>0</v>
      </c>
      <c r="X41" s="74">
        <f t="shared" si="19"/>
        <v>0</v>
      </c>
      <c r="Y41" s="73">
        <f t="shared" si="13"/>
        <v>0</v>
      </c>
    </row>
    <row r="42" spans="2: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tabSelected="1" zoomScale="80" zoomScaleNormal="80" workbookViewId="0">
      <selection activeCell="U32" sqref="U32"/>
    </sheetView>
  </sheetViews>
  <sheetFormatPr defaultRowHeight="15"/>
  <cols>
    <col min="1" max="1" width="3" bestFit="1" customWidth="1"/>
    <col min="2" max="2" width="22" customWidth="1"/>
    <col min="3" max="6" width="14.28515625" customWidth="1"/>
    <col min="7" max="7" width="15.7109375" customWidth="1"/>
    <col min="8" max="10" width="14.28515625" customWidth="1"/>
    <col min="11" max="11" width="16.42578125" bestFit="1" customWidth="1"/>
    <col min="12" max="13" width="14.28515625" customWidth="1"/>
    <col min="14" max="14" width="13.42578125" bestFit="1" customWidth="1"/>
    <col min="15" max="15" width="11.5703125" bestFit="1" customWidth="1"/>
    <col min="16" max="16" width="11" customWidth="1"/>
    <col min="17" max="17" width="10.140625" bestFit="1" customWidth="1"/>
    <col min="18" max="18" width="11.85546875" customWidth="1"/>
    <col min="20" max="20" width="9.140625" customWidth="1"/>
  </cols>
  <sheetData>
    <row r="1" spans="2:21" ht="18.75">
      <c r="B1" s="24" t="s">
        <v>27</v>
      </c>
      <c r="C1" s="24"/>
    </row>
    <row r="2" spans="2:21" ht="18.75">
      <c r="B2" s="205"/>
      <c r="C2" s="182"/>
      <c r="D2" s="183"/>
      <c r="E2" s="183"/>
      <c r="F2" s="183"/>
    </row>
    <row r="3" spans="2:21" ht="18.75">
      <c r="B3" s="187" t="s">
        <v>2</v>
      </c>
      <c r="C3" s="23"/>
    </row>
    <row r="4" spans="2:21" ht="15.75">
      <c r="B4" s="23"/>
      <c r="C4" s="23"/>
    </row>
    <row r="5" spans="2:21" ht="18.75">
      <c r="B5" s="188" t="s">
        <v>28</v>
      </c>
      <c r="C5" s="186"/>
      <c r="D5" s="183"/>
      <c r="E5" s="183"/>
      <c r="F5" s="183"/>
      <c r="G5" s="189">
        <f>Input!C5</f>
        <v>10000000</v>
      </c>
      <c r="H5" s="183"/>
      <c r="I5" s="183"/>
      <c r="J5" s="183"/>
      <c r="K5" s="183"/>
      <c r="L5" s="183"/>
      <c r="M5" s="183"/>
      <c r="N5" s="183"/>
      <c r="O5" s="183"/>
      <c r="P5" s="183"/>
    </row>
    <row r="6" spans="2:21" ht="16.5" thickBot="1">
      <c r="B6" s="23"/>
      <c r="C6" s="23"/>
    </row>
    <row r="7" spans="2:21" ht="34.5" customHeight="1" thickTop="1">
      <c r="B7" s="92"/>
      <c r="C7" s="93"/>
      <c r="D7" s="211" t="s">
        <v>29</v>
      </c>
      <c r="E7" s="212"/>
      <c r="F7" s="212"/>
      <c r="G7" s="212"/>
      <c r="H7" s="212"/>
      <c r="I7" s="212"/>
      <c r="J7" s="212"/>
      <c r="K7" s="213"/>
      <c r="L7" s="214" t="s">
        <v>30</v>
      </c>
      <c r="M7" s="215"/>
      <c r="N7" s="211" t="s">
        <v>31</v>
      </c>
      <c r="O7" s="212"/>
      <c r="P7" s="212"/>
      <c r="Q7" s="213"/>
      <c r="R7" s="94"/>
    </row>
    <row r="8" spans="2:21" s="2" customFormat="1" ht="32.25">
      <c r="B8" s="95" t="s">
        <v>32</v>
      </c>
      <c r="C8" s="96" t="s">
        <v>33</v>
      </c>
      <c r="D8" s="131" t="s">
        <v>34</v>
      </c>
      <c r="E8" s="96" t="s">
        <v>35</v>
      </c>
      <c r="F8" s="96" t="s">
        <v>36</v>
      </c>
      <c r="G8" s="96" t="s">
        <v>37</v>
      </c>
      <c r="H8" s="96" t="s">
        <v>38</v>
      </c>
      <c r="I8" s="96" t="s">
        <v>39</v>
      </c>
      <c r="J8" s="96" t="s">
        <v>40</v>
      </c>
      <c r="K8" s="132" t="s">
        <v>41</v>
      </c>
      <c r="L8" s="168" t="s">
        <v>42</v>
      </c>
      <c r="M8" s="169" t="s">
        <v>43</v>
      </c>
      <c r="N8" s="145" t="s">
        <v>44</v>
      </c>
      <c r="O8" s="97" t="s">
        <v>45</v>
      </c>
      <c r="P8" s="97" t="s">
        <v>46</v>
      </c>
      <c r="Q8" s="146" t="s">
        <v>47</v>
      </c>
      <c r="R8" s="98" t="s">
        <v>48</v>
      </c>
    </row>
    <row r="9" spans="2:21">
      <c r="B9" s="99" t="s">
        <v>49</v>
      </c>
      <c r="C9" s="100">
        <f>VLOOKUP($B9,'County Data'!$B$10:$C$46,2,FALSE)</f>
        <v>1440</v>
      </c>
      <c r="D9" s="133">
        <f>VLOOKUP($B9,Floor!$B$6:$M$45,4,FALSE)</f>
        <v>29758.06451612903</v>
      </c>
      <c r="E9" s="101">
        <f>VLOOKUP($B9,Burden!$B$6:$H$40,6,FALSE)</f>
        <v>464.25770442669381</v>
      </c>
      <c r="F9" s="101">
        <f>VLOOKUP($B9,'Health Status'!$B$6:$H$40,6,FALSE)</f>
        <v>910.45791539467928</v>
      </c>
      <c r="G9" s="101">
        <f>VLOOKUP($B9,Ethnicity!$B$6:$H$40,6,FALSE)</f>
        <v>181.46519853158645</v>
      </c>
      <c r="H9" s="101">
        <f>VLOOKUP($B9,Poverty!$B$6:$H$40,6,FALSE)</f>
        <v>333.15951866704557</v>
      </c>
      <c r="I9" s="101">
        <f>VLOOKUP($B9,Rurality!$B$6:$H$40,6,FALSE)</f>
        <v>2466.7859534714416</v>
      </c>
      <c r="J9" s="101">
        <f>VLOOKUP($B9,Education!$B$6:$H$40,6,FALSE)</f>
        <v>188.26992425841414</v>
      </c>
      <c r="K9" s="134">
        <f>VLOOKUP($B9,Language!$B$6:$H$40,6,FALSE)</f>
        <v>5.7599041568577931</v>
      </c>
      <c r="L9" s="170">
        <f>VLOOKUP($B9,Matching!$B$7:$L$40,10,FALSE)</f>
        <v>0</v>
      </c>
      <c r="M9" s="171">
        <f>VLOOKUP($B9,Incentives!$B$7:$Y$40,23,FALSE)</f>
        <v>0</v>
      </c>
      <c r="N9" s="147">
        <f t="shared" ref="N9:N42" si="0">SUM(D9:M9)</f>
        <v>34308.220635035752</v>
      </c>
      <c r="O9" s="102">
        <f t="shared" ref="O9:O42" si="1">N9/$N$43</f>
        <v>3.4308220635035753E-3</v>
      </c>
      <c r="P9" s="102">
        <f t="shared" ref="P9:P42" si="2">C9/$C$43</f>
        <v>3.373902163866211E-4</v>
      </c>
      <c r="Q9" s="148">
        <f t="shared" ref="Q9:Q43" si="3">N9/C9</f>
        <v>23.825153218774826</v>
      </c>
      <c r="R9" s="103"/>
      <c r="T9" s="22"/>
      <c r="U9" s="22"/>
    </row>
    <row r="10" spans="2:21">
      <c r="B10" s="99" t="s">
        <v>50</v>
      </c>
      <c r="C10" s="100">
        <f>VLOOKUP($B10,'County Data'!$B$10:$C$46,2,FALSE)</f>
        <v>7160</v>
      </c>
      <c r="D10" s="133">
        <f>VLOOKUP($B10,Floor!$B$6:$M$45,4,FALSE)</f>
        <v>29758.06451612903</v>
      </c>
      <c r="E10" s="101">
        <f>VLOOKUP($B10,Burden!$B$6:$H$40,6,FALSE)</f>
        <v>2405.4716065520065</v>
      </c>
      <c r="F10" s="101">
        <f>VLOOKUP($B10,'Health Status'!$B$6:$H$40,6,FALSE)</f>
        <v>2019.5295293988268</v>
      </c>
      <c r="G10" s="101">
        <f>VLOOKUP($B10,Ethnicity!$B$6:$H$40,6,FALSE)</f>
        <v>722.18718647724791</v>
      </c>
      <c r="H10" s="101">
        <f>VLOOKUP($B10,Poverty!$B$6:$H$40,6,FALSE)</f>
        <v>1226.1107995842178</v>
      </c>
      <c r="I10" s="101">
        <f>VLOOKUP($B10,Rurality!$B$6:$H$40,6,FALSE)</f>
        <v>12265.407935316336</v>
      </c>
      <c r="J10" s="101">
        <f>VLOOKUP($B10,Education!$B$6:$H$40,6,FALSE)</f>
        <v>886.35812946860847</v>
      </c>
      <c r="K10" s="134">
        <f>VLOOKUP($B10,Language!$B$6:$H$40,6,FALSE)</f>
        <v>424.41013102676749</v>
      </c>
      <c r="L10" s="170">
        <f>VLOOKUP($B10,Matching!$B$7:$L$40,10,FALSE)</f>
        <v>0</v>
      </c>
      <c r="M10" s="171">
        <f>VLOOKUP($B10,Incentives!$B$7:$Y$40,23,FALSE)</f>
        <v>0</v>
      </c>
      <c r="N10" s="147">
        <f t="shared" si="0"/>
        <v>49707.539833953037</v>
      </c>
      <c r="O10" s="102">
        <f t="shared" si="1"/>
        <v>4.9707539833953041E-3</v>
      </c>
      <c r="P10" s="102">
        <f t="shared" si="2"/>
        <v>1.6775791314779214E-3</v>
      </c>
      <c r="Q10" s="148">
        <f t="shared" si="3"/>
        <v>6.9423938315576867</v>
      </c>
      <c r="R10" s="103"/>
      <c r="T10" s="22"/>
      <c r="U10" s="22"/>
    </row>
    <row r="11" spans="2:21">
      <c r="B11" s="99" t="s">
        <v>51</v>
      </c>
      <c r="C11" s="100">
        <f>VLOOKUP($B11,'County Data'!$B$10:$C$46,2,FALSE)</f>
        <v>7280</v>
      </c>
      <c r="D11" s="133">
        <f>VLOOKUP($B11,Floor!$B$6:$M$45,4,FALSE)</f>
        <v>29758.06451612903</v>
      </c>
      <c r="E11" s="101">
        <f>VLOOKUP($B11,Burden!$B$6:$H$40,6,FALSE)</f>
        <v>3443.0976123561459</v>
      </c>
      <c r="F11" s="101">
        <f>VLOOKUP($B11,'Health Status'!$B$6:$H$40,6,FALSE)</f>
        <v>1681.2880533452646</v>
      </c>
      <c r="G11" s="101">
        <f>VLOOKUP($B11,Ethnicity!$B$6:$H$40,6,FALSE)</f>
        <v>1351.283004181528</v>
      </c>
      <c r="H11" s="101">
        <f>VLOOKUP($B11,Poverty!$B$6:$H$40,6,FALSE)</f>
        <v>1373.8696121340349</v>
      </c>
      <c r="I11" s="101">
        <f>VLOOKUP($B11,Rurality!$B$6:$H$40,6,FALSE)</f>
        <v>5524.6412301274568</v>
      </c>
      <c r="J11" s="101">
        <f>VLOOKUP($B11,Education!$B$6:$H$40,6,FALSE)</f>
        <v>1227.5367077067081</v>
      </c>
      <c r="K11" s="134">
        <f>VLOOKUP($B11,Language!$B$6:$H$40,6,FALSE)</f>
        <v>599.85522278297947</v>
      </c>
      <c r="L11" s="170">
        <f>VLOOKUP($B11,Matching!$B$7:$L$40,10,FALSE)</f>
        <v>0</v>
      </c>
      <c r="M11" s="171">
        <f>VLOOKUP($B11,Incentives!$B$7:$Y$40,23,FALSE)</f>
        <v>0</v>
      </c>
      <c r="N11" s="147">
        <f t="shared" si="0"/>
        <v>44959.635958763138</v>
      </c>
      <c r="O11" s="102">
        <f t="shared" si="1"/>
        <v>4.495963595876314E-3</v>
      </c>
      <c r="P11" s="102">
        <f t="shared" si="2"/>
        <v>1.7056949828434733E-3</v>
      </c>
      <c r="Q11" s="148">
        <f t="shared" si="3"/>
        <v>6.1757741701597713</v>
      </c>
      <c r="R11" s="103"/>
      <c r="T11" s="22"/>
      <c r="U11" s="22"/>
    </row>
    <row r="12" spans="2:21">
      <c r="B12" s="99" t="s">
        <v>52</v>
      </c>
      <c r="C12" s="100">
        <f>VLOOKUP($B12,'County Data'!$B$10:$C$46,2,FALSE)</f>
        <v>7315</v>
      </c>
      <c r="D12" s="133">
        <f>VLOOKUP($B12,Floor!$B$6:$M$45,4,FALSE)</f>
        <v>29758.06451612903</v>
      </c>
      <c r="E12" s="101">
        <f>VLOOKUP($B12,Burden!$B$6:$H$40,6,FALSE)</f>
        <v>2864.9531387044108</v>
      </c>
      <c r="F12" s="101">
        <f>VLOOKUP($B12,'Health Status'!$B$6:$H$40,6,FALSE)</f>
        <v>2146.3322228924912</v>
      </c>
      <c r="G12" s="101">
        <f>VLOOKUP($B12,Ethnicity!$B$6:$H$40,6,FALSE)</f>
        <v>794.40055041861865</v>
      </c>
      <c r="H12" s="101">
        <f>VLOOKUP($B12,Poverty!$B$6:$H$40,6,FALSE)</f>
        <v>1378.4262261324257</v>
      </c>
      <c r="I12" s="101">
        <f>VLOOKUP($B12,Rurality!$B$6:$H$40,6,FALSE)</f>
        <v>12530.930034474719</v>
      </c>
      <c r="J12" s="101">
        <f>VLOOKUP($B12,Education!$B$6:$H$40,6,FALSE)</f>
        <v>1355.2934549716413</v>
      </c>
      <c r="K12" s="134">
        <f>VLOOKUP($B12,Language!$B$6:$H$40,6,FALSE)</f>
        <v>249.20945299328017</v>
      </c>
      <c r="L12" s="170">
        <f>VLOOKUP($B12,Matching!$B$7:$L$40,10,FALSE)</f>
        <v>0</v>
      </c>
      <c r="M12" s="171">
        <f>VLOOKUP($B12,Incentives!$B$7:$Y$40,23,FALSE)</f>
        <v>0</v>
      </c>
      <c r="N12" s="147">
        <f t="shared" si="0"/>
        <v>51077.609596716618</v>
      </c>
      <c r="O12" s="102">
        <f t="shared" si="1"/>
        <v>5.1077609596716618E-3</v>
      </c>
      <c r="P12" s="102">
        <f t="shared" si="2"/>
        <v>1.7138954394917592E-3</v>
      </c>
      <c r="Q12" s="148">
        <f t="shared" si="3"/>
        <v>6.9825850439803991</v>
      </c>
      <c r="R12" s="103"/>
      <c r="T12" s="22"/>
      <c r="U12" s="22"/>
    </row>
    <row r="13" spans="2:21">
      <c r="B13" s="99" t="s">
        <v>53</v>
      </c>
      <c r="C13" s="100">
        <f>VLOOKUP($B13,'County Data'!$B$10:$C$46,2,FALSE)</f>
        <v>8075</v>
      </c>
      <c r="D13" s="133">
        <f>VLOOKUP($B13,Floor!$B$6:$M$45,4,FALSE)</f>
        <v>29758.06451612903</v>
      </c>
      <c r="E13" s="101">
        <f>VLOOKUP($B13,Burden!$B$6:$H$40,6,FALSE)</f>
        <v>3710.5723552183281</v>
      </c>
      <c r="F13" s="101">
        <f>VLOOKUP($B13,'Health Status'!$B$6:$H$40,6,FALSE)</f>
        <v>2736.1914345462296</v>
      </c>
      <c r="G13" s="101">
        <f>VLOOKUP($B13,Ethnicity!$B$6:$H$40,6,FALSE)</f>
        <v>1475.9278834597073</v>
      </c>
      <c r="H13" s="101">
        <f>VLOOKUP($B13,Poverty!$B$6:$H$40,6,FALSE)</f>
        <v>1802.9333031822443</v>
      </c>
      <c r="I13" s="101">
        <f>VLOOKUP($B13,Rurality!$B$6:$H$40,6,FALSE)</f>
        <v>8756.1907857780807</v>
      </c>
      <c r="J13" s="101">
        <f>VLOOKUP($B13,Education!$B$6:$H$40,6,FALSE)</f>
        <v>1746.1130248095719</v>
      </c>
      <c r="K13" s="134">
        <f>VLOOKUP($B13,Language!$B$6:$H$40,6,FALSE)</f>
        <v>784.73703636423772</v>
      </c>
      <c r="L13" s="170">
        <f>VLOOKUP($B13,Matching!$B$7:$L$40,10,FALSE)</f>
        <v>0</v>
      </c>
      <c r="M13" s="171">
        <f>VLOOKUP($B13,Incentives!$B$7:$Y$40,23,FALSE)</f>
        <v>0</v>
      </c>
      <c r="N13" s="147">
        <f t="shared" si="0"/>
        <v>50770.730339487433</v>
      </c>
      <c r="O13" s="102">
        <f t="shared" si="1"/>
        <v>5.0770730339487436E-3</v>
      </c>
      <c r="P13" s="102">
        <f t="shared" si="2"/>
        <v>1.8919624981402535E-3</v>
      </c>
      <c r="Q13" s="148">
        <f t="shared" si="3"/>
        <v>6.2873969460665551</v>
      </c>
      <c r="R13" s="103"/>
      <c r="T13" s="22"/>
      <c r="U13" s="22"/>
    </row>
    <row r="14" spans="2:21">
      <c r="B14" s="99" t="s">
        <v>54</v>
      </c>
      <c r="C14" s="100">
        <f>VLOOKUP($B14,'County Data'!$B$10:$C$46,2,FALSE)</f>
        <v>12825</v>
      </c>
      <c r="D14" s="133">
        <f>VLOOKUP($B14,Floor!$B$6:$M$45,4,FALSE)</f>
        <v>29758.06451612903</v>
      </c>
      <c r="E14" s="101">
        <f>VLOOKUP($B14,Burden!$B$6:$H$40,6,FALSE)</f>
        <v>4216.6874763577298</v>
      </c>
      <c r="F14" s="101">
        <f>VLOOKUP($B14,'Health Status'!$B$6:$H$40,6,FALSE)</f>
        <v>7574.6554862364246</v>
      </c>
      <c r="G14" s="101">
        <f>VLOOKUP($B14,Ethnicity!$B$6:$H$40,6,FALSE)</f>
        <v>2986.7326517647393</v>
      </c>
      <c r="H14" s="101">
        <f>VLOOKUP($B14,Poverty!$B$6:$H$40,6,FALSE)</f>
        <v>2576.5697403177746</v>
      </c>
      <c r="I14" s="101">
        <f>VLOOKUP($B14,Rurality!$B$6:$H$40,6,FALSE)</f>
        <v>10084.143890730207</v>
      </c>
      <c r="J14" s="101">
        <f>VLOOKUP($B14,Education!$B$6:$H$40,6,FALSE)</f>
        <v>5224.7689243228224</v>
      </c>
      <c r="K14" s="134">
        <f>VLOOKUP($B14,Language!$B$6:$H$40,6,FALSE)</f>
        <v>10636.224737428303</v>
      </c>
      <c r="L14" s="170">
        <f>VLOOKUP($B14,Matching!$B$7:$L$40,10,FALSE)</f>
        <v>0</v>
      </c>
      <c r="M14" s="171">
        <f>VLOOKUP($B14,Incentives!$B$7:$Y$40,23,FALSE)</f>
        <v>0</v>
      </c>
      <c r="N14" s="147">
        <f t="shared" si="0"/>
        <v>73057.847423287021</v>
      </c>
      <c r="O14" s="102">
        <f t="shared" si="1"/>
        <v>7.305784742328702E-3</v>
      </c>
      <c r="P14" s="102">
        <f t="shared" si="2"/>
        <v>3.004881614693344E-3</v>
      </c>
      <c r="Q14" s="148">
        <f t="shared" si="3"/>
        <v>5.6965183176052259</v>
      </c>
      <c r="R14" s="103"/>
      <c r="T14" s="22"/>
      <c r="U14" s="22"/>
    </row>
    <row r="15" spans="2:21">
      <c r="B15" s="99" t="s">
        <v>55</v>
      </c>
      <c r="C15" s="100">
        <f>VLOOKUP($B15,'County Data'!$B$10:$C$46,2,FALSE)</f>
        <v>16910</v>
      </c>
      <c r="D15" s="133">
        <f>VLOOKUP($B15,Floor!$B$6:$M$45,4,FALSE)</f>
        <v>29758.06451612903</v>
      </c>
      <c r="E15" s="101">
        <f>VLOOKUP($B15,Burden!$B$6:$H$40,6,FALSE)</f>
        <v>7204.1785358506604</v>
      </c>
      <c r="F15" s="101">
        <f>VLOOKUP($B15,'Health Status'!$B$6:$H$40,6,FALSE)</f>
        <v>6050.0132922119128</v>
      </c>
      <c r="G15" s="101">
        <f>VLOOKUP($B15,Ethnicity!$B$6:$H$40,6,FALSE)</f>
        <v>2439.0448598569792</v>
      </c>
      <c r="H15" s="101">
        <f>VLOOKUP($B15,Poverty!$B$6:$H$40,6,FALSE)</f>
        <v>3084.4209028370542</v>
      </c>
      <c r="I15" s="101">
        <f>VLOOKUP($B15,Rurality!$B$6:$H$40,6,FALSE)</f>
        <v>11876.717843064478</v>
      </c>
      <c r="J15" s="101">
        <f>VLOOKUP($B15,Education!$B$6:$H$40,6,FALSE)</f>
        <v>2898.7615821021996</v>
      </c>
      <c r="K15" s="134">
        <f>VLOOKUP($B15,Language!$B$6:$H$40,6,FALSE)</f>
        <v>1258.4341357669039</v>
      </c>
      <c r="L15" s="170">
        <f>VLOOKUP($B15,Matching!$B$7:$L$40,10,FALSE)</f>
        <v>0</v>
      </c>
      <c r="M15" s="171">
        <f>VLOOKUP($B15,Incentives!$B$7:$Y$40,23,FALSE)</f>
        <v>0</v>
      </c>
      <c r="N15" s="147">
        <f t="shared" si="0"/>
        <v>64569.635667819217</v>
      </c>
      <c r="O15" s="102">
        <f t="shared" si="1"/>
        <v>6.4569635667819213E-3</v>
      </c>
      <c r="P15" s="102">
        <f t="shared" si="2"/>
        <v>3.9619920549290016E-3</v>
      </c>
      <c r="Q15" s="148">
        <f t="shared" si="3"/>
        <v>3.818429075565891</v>
      </c>
      <c r="R15" s="104">
        <f>SUM(N9:N15)/SUM(C9:C15)</f>
        <v>6.0396888690281489</v>
      </c>
      <c r="T15" s="22"/>
      <c r="U15" s="22"/>
    </row>
    <row r="16" spans="2:21">
      <c r="B16" s="105" t="s">
        <v>56</v>
      </c>
      <c r="C16" s="106">
        <f>VLOOKUP($B16,'County Data'!$B$10:$C$46,2,FALSE)</f>
        <v>23440</v>
      </c>
      <c r="D16" s="135">
        <f>VLOOKUP($B16,Floor!$B$6:$M$45,4,FALSE)</f>
        <v>44637.096774193546</v>
      </c>
      <c r="E16" s="107">
        <f>VLOOKUP($B16,Burden!$B$6:$H$40,6,FALSE)</f>
        <v>9681.2781146701782</v>
      </c>
      <c r="F16" s="107">
        <f>VLOOKUP($B16,'Health Status'!$B$6:$H$40,6,FALSE)</f>
        <v>10205.548722296648</v>
      </c>
      <c r="G16" s="107">
        <f>VLOOKUP($B16,Ethnicity!$B$6:$H$40,6,FALSE)</f>
        <v>3454.3434080008992</v>
      </c>
      <c r="H16" s="107">
        <f>VLOOKUP($B16,Poverty!$B$6:$H$40,6,FALSE)</f>
        <v>4312.5537602416216</v>
      </c>
      <c r="I16" s="107">
        <f>VLOOKUP($B16,Rurality!$B$6:$H$40,6,FALSE)</f>
        <v>19273.820916456862</v>
      </c>
      <c r="J16" s="107">
        <f>VLOOKUP($B16,Education!$B$6:$H$40,6,FALSE)</f>
        <v>4810.8739537827832</v>
      </c>
      <c r="K16" s="136">
        <f>VLOOKUP($B16,Language!$B$6:$H$40,6,FALSE)</f>
        <v>1636.1233915241116</v>
      </c>
      <c r="L16" s="172">
        <f>VLOOKUP($B16,Matching!$B$7:$L$40,10,FALSE)</f>
        <v>0</v>
      </c>
      <c r="M16" s="173">
        <f>VLOOKUP($B16,Incentives!$B$7:$Y$40,23,FALSE)</f>
        <v>0</v>
      </c>
      <c r="N16" s="149">
        <f t="shared" si="0"/>
        <v>98011.639041166651</v>
      </c>
      <c r="O16" s="108">
        <f t="shared" si="1"/>
        <v>9.8011639041166651E-3</v>
      </c>
      <c r="P16" s="108">
        <f t="shared" si="2"/>
        <v>5.4919629667377762E-3</v>
      </c>
      <c r="Q16" s="150">
        <f t="shared" si="3"/>
        <v>4.1813839181385086</v>
      </c>
      <c r="R16" s="103"/>
      <c r="T16" s="22"/>
      <c r="U16" s="22"/>
    </row>
    <row r="17" spans="1:21">
      <c r="A17" s="40"/>
      <c r="B17" s="105" t="s">
        <v>57</v>
      </c>
      <c r="C17" s="106">
        <f>VLOOKUP($B17,'County Data'!$B$10:$C$46,2,FALSE)</f>
        <v>23005</v>
      </c>
      <c r="D17" s="135">
        <f>VLOOKUP($B17,Floor!$B$6:$M$45,4,FALSE)</f>
        <v>44637.096774193546</v>
      </c>
      <c r="E17" s="107">
        <f>VLOOKUP($B17,Burden!$B$6:$H$40,6,FALSE)</f>
        <v>11240.592946671686</v>
      </c>
      <c r="F17" s="107">
        <f>VLOOKUP($B17,'Health Status'!$B$6:$H$40,6,FALSE)</f>
        <v>8883.893059933338</v>
      </c>
      <c r="G17" s="107">
        <f>VLOOKUP($B17,Ethnicity!$B$6:$H$40,6,FALSE)</f>
        <v>4356.0693494373509</v>
      </c>
      <c r="H17" s="107">
        <f>VLOOKUP($B17,Poverty!$B$6:$H$40,6,FALSE)</f>
        <v>3792.9390879104099</v>
      </c>
      <c r="I17" s="107">
        <f>VLOOKUP($B17,Rurality!$B$6:$H$40,6,FALSE)</f>
        <v>15251.135418520324</v>
      </c>
      <c r="J17" s="107">
        <f>VLOOKUP($B17,Education!$B$6:$H$40,6,FALSE)</f>
        <v>4155.4789933054326</v>
      </c>
      <c r="K17" s="136">
        <f>VLOOKUP($B17,Language!$B$6:$H$40,6,FALSE)</f>
        <v>1637.2973671691191</v>
      </c>
      <c r="L17" s="172">
        <f>VLOOKUP($B17,Matching!$B$7:$L$40,10,FALSE)</f>
        <v>0</v>
      </c>
      <c r="M17" s="173">
        <f>VLOOKUP($B17,Incentives!$B$7:$Y$40,23,FALSE)</f>
        <v>0</v>
      </c>
      <c r="N17" s="149">
        <f t="shared" si="0"/>
        <v>93954.502997141186</v>
      </c>
      <c r="O17" s="108">
        <f t="shared" si="1"/>
        <v>9.3954502997141177E-3</v>
      </c>
      <c r="P17" s="108">
        <f t="shared" si="2"/>
        <v>5.3900430055376508E-3</v>
      </c>
      <c r="Q17" s="150">
        <f t="shared" si="3"/>
        <v>4.0840905454093104</v>
      </c>
      <c r="R17" s="103"/>
      <c r="T17" s="22"/>
      <c r="U17" s="22"/>
    </row>
    <row r="18" spans="1:21">
      <c r="A18" s="40"/>
      <c r="B18" s="105" t="s">
        <v>58</v>
      </c>
      <c r="C18" s="106">
        <f>VLOOKUP($B18,'County Data'!$B$10:$C$46,2,FALSE)</f>
        <v>24105</v>
      </c>
      <c r="D18" s="135">
        <f>VLOOKUP($B18,Floor!$B$6:$M$45,4,FALSE)</f>
        <v>44637.096774193546</v>
      </c>
      <c r="E18" s="107">
        <f>VLOOKUP($B18,Burden!$B$6:$H$40,6,FALSE)</f>
        <v>10230.267923000134</v>
      </c>
      <c r="F18" s="107">
        <f>VLOOKUP($B18,'Health Status'!$B$6:$H$40,6,FALSE)</f>
        <v>6251.4191677699982</v>
      </c>
      <c r="G18" s="107">
        <f>VLOOKUP($B18,Ethnicity!$B$6:$H$40,6,FALSE)</f>
        <v>14239.861696629319</v>
      </c>
      <c r="H18" s="107">
        <f>VLOOKUP($B18,Poverty!$B$6:$H$40,6,FALSE)</f>
        <v>5003.1059369791519</v>
      </c>
      <c r="I18" s="107">
        <f>VLOOKUP($B18,Rurality!$B$6:$H$40,6,FALSE)</f>
        <v>26055.863460221364</v>
      </c>
      <c r="J18" s="107">
        <f>VLOOKUP($B18,Education!$B$6:$H$40,6,FALSE)</f>
        <v>5570.391934727033</v>
      </c>
      <c r="K18" s="136">
        <f>VLOOKUP($B18,Language!$B$6:$H$40,6,FALSE)</f>
        <v>6477.6855775604436</v>
      </c>
      <c r="L18" s="172">
        <f>VLOOKUP($B18,Matching!$B$7:$L$40,10,FALSE)</f>
        <v>0</v>
      </c>
      <c r="M18" s="173">
        <f>VLOOKUP($B18,Incentives!$B$7:$Y$40,23,FALSE)</f>
        <v>0</v>
      </c>
      <c r="N18" s="149">
        <f t="shared" si="0"/>
        <v>118465.69247108098</v>
      </c>
      <c r="O18" s="108">
        <f t="shared" si="1"/>
        <v>1.1846569247108099E-2</v>
      </c>
      <c r="P18" s="108">
        <f t="shared" si="2"/>
        <v>5.6477716430552091E-3</v>
      </c>
      <c r="Q18" s="150">
        <f t="shared" si="3"/>
        <v>4.914569279032607</v>
      </c>
      <c r="R18" s="103"/>
      <c r="T18" s="22"/>
      <c r="U18" s="22"/>
    </row>
    <row r="19" spans="1:21">
      <c r="B19" s="105" t="s">
        <v>59</v>
      </c>
      <c r="C19" s="106">
        <f>VLOOKUP($B19,'County Data'!$B$10:$C$46,2,FALSE)</f>
        <v>25640</v>
      </c>
      <c r="D19" s="135">
        <f>VLOOKUP($B19,Floor!$B$6:$M$45,4,FALSE)</f>
        <v>44637.096774193546</v>
      </c>
      <c r="E19" s="107">
        <f>VLOOKUP($B19,Burden!$B$6:$H$40,6,FALSE)</f>
        <v>6013.7217352235521</v>
      </c>
      <c r="F19" s="107">
        <f>VLOOKUP($B19,'Health Status'!$B$6:$H$40,6,FALSE)</f>
        <v>7959.994835158871</v>
      </c>
      <c r="G19" s="107">
        <f>VLOOKUP($B19,Ethnicity!$B$6:$H$40,6,FALSE)</f>
        <v>7017.0248660983043</v>
      </c>
      <c r="H19" s="107">
        <f>VLOOKUP($B19,Poverty!$B$6:$H$40,6,FALSE)</f>
        <v>3631.4089046515314</v>
      </c>
      <c r="I19" s="107">
        <f>VLOOKUP($B19,Rurality!$B$6:$H$40,6,FALSE)</f>
        <v>22927.542044540314</v>
      </c>
      <c r="J19" s="107">
        <f>VLOOKUP($B19,Education!$B$6:$H$40,6,FALSE)</f>
        <v>8015.3393357096611</v>
      </c>
      <c r="K19" s="136">
        <f>VLOOKUP($B19,Language!$B$6:$H$40,6,FALSE)</f>
        <v>21512.901263831143</v>
      </c>
      <c r="L19" s="172">
        <f>VLOOKUP($B19,Matching!$B$7:$L$40,10,FALSE)</f>
        <v>0</v>
      </c>
      <c r="M19" s="173">
        <f>VLOOKUP($B19,Incentives!$B$7:$Y$40,23,FALSE)</f>
        <v>0</v>
      </c>
      <c r="N19" s="149">
        <f t="shared" si="0"/>
        <v>121715.02975940691</v>
      </c>
      <c r="O19" s="108">
        <f t="shared" si="1"/>
        <v>1.2171502975940692E-2</v>
      </c>
      <c r="P19" s="108">
        <f t="shared" si="2"/>
        <v>6.0074202417728919E-3</v>
      </c>
      <c r="Q19" s="150">
        <f t="shared" si="3"/>
        <v>4.7470760436586161</v>
      </c>
      <c r="R19" s="103"/>
      <c r="T19" s="22"/>
      <c r="U19" s="22"/>
    </row>
    <row r="20" spans="1:21">
      <c r="B20" s="105" t="s">
        <v>60</v>
      </c>
      <c r="C20" s="106">
        <f>VLOOKUP($B20,'County Data'!$B$10:$C$46,2,FALSE)</f>
        <v>26530</v>
      </c>
      <c r="D20" s="135">
        <f>VLOOKUP($B20,Floor!$B$6:$M$45,4,FALSE)</f>
        <v>44637.096774193546</v>
      </c>
      <c r="E20" s="107">
        <f>VLOOKUP($B20,Burden!$B$6:$H$40,6,FALSE)</f>
        <v>10768.578193726808</v>
      </c>
      <c r="F20" s="107">
        <f>VLOOKUP($B20,'Health Status'!$B$6:$H$40,6,FALSE)</f>
        <v>8487.4039332296306</v>
      </c>
      <c r="G20" s="107">
        <f>VLOOKUP($B20,Ethnicity!$B$6:$H$40,6,FALSE)</f>
        <v>4067.9600061731535</v>
      </c>
      <c r="H20" s="107">
        <f>VLOOKUP($B20,Poverty!$B$6:$H$40,6,FALSE)</f>
        <v>4615.1705463044036</v>
      </c>
      <c r="I20" s="107">
        <f>VLOOKUP($B20,Rurality!$B$6:$H$40,6,FALSE)</f>
        <v>31631.185150372046</v>
      </c>
      <c r="J20" s="107">
        <f>VLOOKUP($B20,Education!$B$6:$H$40,6,FALSE)</f>
        <v>4238.8086589210643</v>
      </c>
      <c r="K20" s="136">
        <f>VLOOKUP($B20,Language!$B$6:$H$40,6,FALSE)</f>
        <v>4522.599115579138</v>
      </c>
      <c r="L20" s="172">
        <f>VLOOKUP($B20,Matching!$B$7:$L$40,10,FALSE)</f>
        <v>0</v>
      </c>
      <c r="M20" s="173">
        <f>VLOOKUP($B20,Incentives!$B$7:$Y$40,23,FALSE)</f>
        <v>0</v>
      </c>
      <c r="N20" s="149">
        <f t="shared" si="0"/>
        <v>112968.80237849979</v>
      </c>
      <c r="O20" s="108">
        <f t="shared" si="1"/>
        <v>1.129688023784998E-2</v>
      </c>
      <c r="P20" s="108">
        <f t="shared" si="2"/>
        <v>6.215946139400734E-3</v>
      </c>
      <c r="Q20" s="150">
        <f t="shared" si="3"/>
        <v>4.2581531239540062</v>
      </c>
      <c r="R20" s="103"/>
      <c r="T20" s="22"/>
      <c r="U20" s="22"/>
    </row>
    <row r="21" spans="1:21">
      <c r="B21" s="105" t="s">
        <v>61</v>
      </c>
      <c r="C21" s="106">
        <f>VLOOKUP($B21,'County Data'!$B$10:$C$46,2,FALSE)</f>
        <v>26840</v>
      </c>
      <c r="D21" s="135">
        <f>VLOOKUP($B21,Floor!$B$6:$M$45,4,FALSE)</f>
        <v>44637.096774193546</v>
      </c>
      <c r="E21" s="107">
        <f>VLOOKUP($B21,Burden!$B$6:$H$40,6,FALSE)</f>
        <v>10318.606007364684</v>
      </c>
      <c r="F21" s="107">
        <f>VLOOKUP($B21,'Health Status'!$B$6:$H$40,6,FALSE)</f>
        <v>5385.6644785730177</v>
      </c>
      <c r="G21" s="107">
        <f>VLOOKUP($B21,Ethnicity!$B$6:$H$40,6,FALSE)</f>
        <v>4352.6114433950333</v>
      </c>
      <c r="H21" s="107">
        <f>VLOOKUP($B21,Poverty!$B$6:$H$40,6,FALSE)</f>
        <v>5591.389268180541</v>
      </c>
      <c r="I21" s="107">
        <f>VLOOKUP($B21,Rurality!$B$6:$H$40,6,FALSE)</f>
        <v>19356.800855058358</v>
      </c>
      <c r="J21" s="107">
        <f>VLOOKUP($B21,Education!$B$6:$H$40,6,FALSE)</f>
        <v>3406.5567060876901</v>
      </c>
      <c r="K21" s="136">
        <f>VLOOKUP($B21,Language!$B$6:$H$40,6,FALSE)</f>
        <v>2343.029134042411</v>
      </c>
      <c r="L21" s="172">
        <f>VLOOKUP($B21,Matching!$B$7:$L$40,10,FALSE)</f>
        <v>0</v>
      </c>
      <c r="M21" s="173">
        <f>VLOOKUP($B21,Incentives!$B$7:$Y$40,23,FALSE)</f>
        <v>0</v>
      </c>
      <c r="N21" s="149">
        <f t="shared" si="0"/>
        <v>95391.754666895285</v>
      </c>
      <c r="O21" s="108">
        <f t="shared" si="1"/>
        <v>9.5391754666895277E-3</v>
      </c>
      <c r="P21" s="108">
        <f t="shared" si="2"/>
        <v>6.2885787554284095E-3</v>
      </c>
      <c r="Q21" s="150">
        <f t="shared" si="3"/>
        <v>3.5540892200780658</v>
      </c>
      <c r="R21" s="103"/>
      <c r="T21" s="22"/>
      <c r="U21" s="22"/>
    </row>
    <row r="22" spans="1:21">
      <c r="B22" s="109" t="s">
        <v>62</v>
      </c>
      <c r="C22" s="106">
        <f>VLOOKUP($B22,'County Data'!$B$10:$C$46,2,FALSE)</f>
        <v>31080</v>
      </c>
      <c r="D22" s="135">
        <f>VLOOKUP($B22,Floor!$B$6:$M$45,4,FALSE)</f>
        <v>104153.22580645161</v>
      </c>
      <c r="E22" s="107">
        <f>VLOOKUP($B22,Burden!$B$6:$H$40,6,FALSE)</f>
        <v>12530.955398359034</v>
      </c>
      <c r="F22" s="107">
        <f>VLOOKUP($B22,'Health Status'!$B$6:$H$40,6,FALSE)</f>
        <v>8119.1583862366861</v>
      </c>
      <c r="G22" s="107">
        <f>VLOOKUP($B22,Ethnicity!$B$6:$H$40,6,FALSE)</f>
        <v>7591.5114300225496</v>
      </c>
      <c r="H22" s="107">
        <f>VLOOKUP($B22,Poverty!$B$6:$H$40,6,FALSE)</f>
        <v>5070.2727809506905</v>
      </c>
      <c r="I22" s="107">
        <f>VLOOKUP($B22,Rurality!$B$6:$H$40,6,FALSE)</f>
        <v>22095.20735073982</v>
      </c>
      <c r="J22" s="107">
        <f>VLOOKUP($B22,Education!$B$6:$H$40,6,FALSE)</f>
        <v>6931.3501656918206</v>
      </c>
      <c r="K22" s="136">
        <f>VLOOKUP($B22,Language!$B$6:$H$40,6,FALSE)</f>
        <v>9195.88654676029</v>
      </c>
      <c r="L22" s="172">
        <f>VLOOKUP($B22,Matching!$B$7:$L$40,10,FALSE)</f>
        <v>0</v>
      </c>
      <c r="M22" s="173">
        <f>VLOOKUP($B22,Incentives!$B$7:$Y$40,23,FALSE)</f>
        <v>0</v>
      </c>
      <c r="N22" s="149">
        <f t="shared" si="0"/>
        <v>175687.56786521251</v>
      </c>
      <c r="O22" s="108">
        <f t="shared" si="1"/>
        <v>1.7568756786521252E-2</v>
      </c>
      <c r="P22" s="108">
        <f t="shared" si="2"/>
        <v>7.2820055036779052E-3</v>
      </c>
      <c r="Q22" s="150">
        <f t="shared" si="3"/>
        <v>5.6527531488163616</v>
      </c>
      <c r="R22" s="103"/>
      <c r="T22" s="22"/>
      <c r="U22" s="22"/>
    </row>
    <row r="23" spans="1:21">
      <c r="B23" s="105" t="s">
        <v>63</v>
      </c>
      <c r="C23" s="106">
        <f>VLOOKUP($B23,'County Data'!$B$10:$C$46,2,FALSE)</f>
        <v>32105</v>
      </c>
      <c r="D23" s="135">
        <f>VLOOKUP($B23,Floor!$B$6:$M$45,4,FALSE)</f>
        <v>44637.096774193546</v>
      </c>
      <c r="E23" s="107">
        <f>VLOOKUP($B23,Burden!$B$6:$H$40,6,FALSE)</f>
        <v>12251.353475011647</v>
      </c>
      <c r="F23" s="107">
        <f>VLOOKUP($B23,'Health Status'!$B$6:$H$40,6,FALSE)</f>
        <v>16469.972809142582</v>
      </c>
      <c r="G23" s="107">
        <f>VLOOKUP($B23,Ethnicity!$B$6:$H$40,6,FALSE)</f>
        <v>7163.3440304169835</v>
      </c>
      <c r="H23" s="107">
        <f>VLOOKUP($B23,Poverty!$B$6:$H$40,6,FALSE)</f>
        <v>8018.6309892042218</v>
      </c>
      <c r="I23" s="107">
        <f>VLOOKUP($B23,Rurality!$B$6:$H$40,6,FALSE)</f>
        <v>26618.7103538341</v>
      </c>
      <c r="J23" s="107">
        <f>VLOOKUP($B23,Education!$B$6:$H$40,6,FALSE)</f>
        <v>10121.643302949056</v>
      </c>
      <c r="K23" s="136">
        <f>VLOOKUP($B23,Language!$B$6:$H$40,6,FALSE)</f>
        <v>13646.154674032248</v>
      </c>
      <c r="L23" s="172">
        <f>VLOOKUP($B23,Matching!$B$7:$L$40,10,FALSE)</f>
        <v>0</v>
      </c>
      <c r="M23" s="173">
        <f>VLOOKUP($B23,Incentives!$B$7:$Y$40,23,FALSE)</f>
        <v>0</v>
      </c>
      <c r="N23" s="149">
        <f t="shared" si="0"/>
        <v>138926.90640878439</v>
      </c>
      <c r="O23" s="108">
        <f t="shared" si="1"/>
        <v>1.3892690640878438E-2</v>
      </c>
      <c r="P23" s="108">
        <f t="shared" si="2"/>
        <v>7.5221617340919924E-3</v>
      </c>
      <c r="Q23" s="150">
        <f t="shared" si="3"/>
        <v>4.3272669804947634</v>
      </c>
      <c r="R23" s="103"/>
      <c r="T23" s="22"/>
      <c r="U23" s="22"/>
    </row>
    <row r="24" spans="1:21">
      <c r="B24" s="105" t="s">
        <v>64</v>
      </c>
      <c r="C24" s="106">
        <f>VLOOKUP($B24,'County Data'!$B$10:$C$46,2,FALSE)</f>
        <v>39455</v>
      </c>
      <c r="D24" s="135">
        <f>VLOOKUP($B24,Floor!$B$6:$M$45,4,FALSE)</f>
        <v>44637.096774193546</v>
      </c>
      <c r="E24" s="107">
        <f>VLOOKUP($B24,Burden!$B$6:$H$40,6,FALSE)</f>
        <v>15932.472508197841</v>
      </c>
      <c r="F24" s="107">
        <f>VLOOKUP($B24,'Health Status'!$B$6:$H$40,6,FALSE)</f>
        <v>11203.255068580676</v>
      </c>
      <c r="G24" s="107">
        <f>VLOOKUP($B24,Ethnicity!$B$6:$H$40,6,FALSE)</f>
        <v>7087.0590354905535</v>
      </c>
      <c r="H24" s="107">
        <f>VLOOKUP($B24,Poverty!$B$6:$H$40,6,FALSE)</f>
        <v>6190.7004947460227</v>
      </c>
      <c r="I24" s="107">
        <f>VLOOKUP($B24,Rurality!$B$6:$H$40,6,FALSE)</f>
        <v>26359.406610933427</v>
      </c>
      <c r="J24" s="107">
        <f>VLOOKUP($B24,Education!$B$6:$H$40,6,FALSE)</f>
        <v>5493.0619610257236</v>
      </c>
      <c r="K24" s="136">
        <f>VLOOKUP($B24,Language!$B$6:$H$40,6,FALSE)</f>
        <v>6561.4722216310092</v>
      </c>
      <c r="L24" s="172">
        <f>VLOOKUP($B24,Matching!$B$7:$L$40,10,FALSE)</f>
        <v>0</v>
      </c>
      <c r="M24" s="173">
        <f>VLOOKUP($B24,Incentives!$B$7:$Y$40,23,FALSE)</f>
        <v>0</v>
      </c>
      <c r="N24" s="149">
        <f t="shared" si="0"/>
        <v>123464.5246747988</v>
      </c>
      <c r="O24" s="108">
        <f t="shared" si="1"/>
        <v>1.234645246747988E-2</v>
      </c>
      <c r="P24" s="108">
        <f t="shared" si="2"/>
        <v>9.2442576302320372E-3</v>
      </c>
      <c r="Q24" s="150">
        <f t="shared" si="3"/>
        <v>3.1292491363527764</v>
      </c>
      <c r="R24" s="103"/>
      <c r="T24" s="22"/>
      <c r="U24" s="22"/>
    </row>
    <row r="25" spans="1:21">
      <c r="B25" s="105" t="s">
        <v>65</v>
      </c>
      <c r="C25" s="106">
        <f>VLOOKUP($B25,'County Data'!$B$10:$C$46,2,FALSE)</f>
        <v>48305</v>
      </c>
      <c r="D25" s="135">
        <f>VLOOKUP($B25,Floor!$B$6:$M$45,4,FALSE)</f>
        <v>44637.096774193546</v>
      </c>
      <c r="E25" s="107">
        <f>VLOOKUP($B25,Burden!$B$6:$H$40,6,FALSE)</f>
        <v>23326.940646856521</v>
      </c>
      <c r="F25" s="107">
        <f>VLOOKUP($B25,'Health Status'!$B$6:$H$40,6,FALSE)</f>
        <v>19477.024337717936</v>
      </c>
      <c r="G25" s="107">
        <f>VLOOKUP($B25,Ethnicity!$B$6:$H$40,6,FALSE)</f>
        <v>11654.207934956907</v>
      </c>
      <c r="H25" s="107">
        <f>VLOOKUP($B25,Poverty!$B$6:$H$40,6,FALSE)</f>
        <v>9281.2676447443464</v>
      </c>
      <c r="I25" s="107">
        <f>VLOOKUP($B25,Rurality!$B$6:$H$40,6,FALSE)</f>
        <v>31113.502709303251</v>
      </c>
      <c r="J25" s="107">
        <f>VLOOKUP($B25,Education!$B$6:$H$40,6,FALSE)</f>
        <v>7504.5358181522333</v>
      </c>
      <c r="K25" s="136">
        <f>VLOOKUP($B25,Language!$B$6:$H$40,6,FALSE)</f>
        <v>5184.472432752741</v>
      </c>
      <c r="L25" s="172">
        <f>VLOOKUP($B25,Matching!$B$7:$L$40,10,FALSE)</f>
        <v>0</v>
      </c>
      <c r="M25" s="173">
        <f>VLOOKUP($B25,Incentives!$B$7:$Y$40,23,FALSE)</f>
        <v>0</v>
      </c>
      <c r="N25" s="149">
        <f t="shared" si="0"/>
        <v>152179.04829867752</v>
      </c>
      <c r="O25" s="108">
        <f t="shared" si="1"/>
        <v>1.5217904829867752E-2</v>
      </c>
      <c r="P25" s="108">
        <f t="shared" si="2"/>
        <v>1.131780166844148E-2</v>
      </c>
      <c r="Q25" s="150">
        <f t="shared" si="3"/>
        <v>3.1503788075494774</v>
      </c>
      <c r="R25" s="103"/>
      <c r="T25" s="22"/>
      <c r="U25" s="22"/>
    </row>
    <row r="26" spans="1:21">
      <c r="B26" s="105" t="s">
        <v>66</v>
      </c>
      <c r="C26" s="106">
        <f>VLOOKUP($B26,'County Data'!$B$10:$C$46,2,FALSE)</f>
        <v>53280</v>
      </c>
      <c r="D26" s="135">
        <f>VLOOKUP($B26,Floor!$B$6:$M$45,4,FALSE)</f>
        <v>44637.096774193546</v>
      </c>
      <c r="E26" s="107">
        <f>VLOOKUP($B26,Burden!$B$6:$H$40,6,FALSE)</f>
        <v>18914.121064816205</v>
      </c>
      <c r="F26" s="107">
        <f>VLOOKUP($B26,'Health Status'!$B$6:$H$40,6,FALSE)</f>
        <v>20676.117629546839</v>
      </c>
      <c r="G26" s="107">
        <f>VLOOKUP($B26,Ethnicity!$B$6:$H$40,6,FALSE)</f>
        <v>7794.5599019096226</v>
      </c>
      <c r="H26" s="107">
        <f>VLOOKUP($B26,Poverty!$B$6:$H$40,6,FALSE)</f>
        <v>7667.6847503259578</v>
      </c>
      <c r="I26" s="107">
        <f>VLOOKUP($B26,Rurality!$B$6:$H$40,6,FALSE)</f>
        <v>39794.191001401297</v>
      </c>
      <c r="J26" s="107">
        <f>VLOOKUP($B26,Education!$B$6:$H$40,6,FALSE)</f>
        <v>8428.9927682229772</v>
      </c>
      <c r="K26" s="136">
        <f>VLOOKUP($B26,Language!$B$6:$H$40,6,FALSE)</f>
        <v>3899.8671926645488</v>
      </c>
      <c r="L26" s="172">
        <f>VLOOKUP($B26,Matching!$B$7:$L$40,10,FALSE)</f>
        <v>0</v>
      </c>
      <c r="M26" s="173">
        <f>VLOOKUP($B26,Incentives!$B$7:$Y$40,23,FALSE)</f>
        <v>0</v>
      </c>
      <c r="N26" s="149">
        <f t="shared" si="0"/>
        <v>151812.63108308104</v>
      </c>
      <c r="O26" s="108">
        <f t="shared" si="1"/>
        <v>1.5181263108308104E-2</v>
      </c>
      <c r="P26" s="108">
        <f t="shared" si="2"/>
        <v>1.248343800630498E-2</v>
      </c>
      <c r="Q26" s="150">
        <f t="shared" si="3"/>
        <v>2.8493361689767465</v>
      </c>
      <c r="R26" s="103"/>
      <c r="T26" s="22"/>
      <c r="U26" s="22"/>
    </row>
    <row r="27" spans="1:21">
      <c r="B27" s="105" t="s">
        <v>67</v>
      </c>
      <c r="C27" s="106">
        <f>VLOOKUP($B27,'County Data'!$B$10:$C$46,2,FALSE)</f>
        <v>63315</v>
      </c>
      <c r="D27" s="135">
        <f>VLOOKUP($B27,Floor!$B$6:$M$45,4,FALSE)</f>
        <v>44637.096774193546</v>
      </c>
      <c r="E27" s="107">
        <f>VLOOKUP($B27,Burden!$B$6:$H$40,6,FALSE)</f>
        <v>30761.988432556154</v>
      </c>
      <c r="F27" s="107">
        <f>VLOOKUP($B27,'Health Status'!$B$6:$H$40,6,FALSE)</f>
        <v>25649.05103008114</v>
      </c>
      <c r="G27" s="107">
        <f>VLOOKUP($B27,Ethnicity!$B$6:$H$40,6,FALSE)</f>
        <v>15106.760557364452</v>
      </c>
      <c r="H27" s="107">
        <f>VLOOKUP($B27,Poverty!$B$6:$H$40,6,FALSE)</f>
        <v>12942.135085762533</v>
      </c>
      <c r="I27" s="107">
        <f>VLOOKUP($B27,Rurality!$B$6:$H$40,6,FALSE)</f>
        <v>41649.214038411817</v>
      </c>
      <c r="J27" s="107">
        <f>VLOOKUP($B27,Education!$B$6:$H$40,6,FALSE)</f>
        <v>11652.338434689133</v>
      </c>
      <c r="K27" s="136">
        <f>VLOOKUP($B27,Language!$B$6:$H$40,6,FALSE)</f>
        <v>5090.0109514125206</v>
      </c>
      <c r="L27" s="172">
        <f>VLOOKUP($B27,Matching!$B$7:$L$40,10,FALSE)</f>
        <v>0</v>
      </c>
      <c r="M27" s="173">
        <f>VLOOKUP($B27,Incentives!$B$7:$Y$40,23,FALSE)</f>
        <v>0</v>
      </c>
      <c r="N27" s="149">
        <f t="shared" si="0"/>
        <v>187488.5953044713</v>
      </c>
      <c r="O27" s="108">
        <f t="shared" si="1"/>
        <v>1.874885953044713E-2</v>
      </c>
      <c r="P27" s="108">
        <f t="shared" si="2"/>
        <v>1.4834626076749246E-2</v>
      </c>
      <c r="Q27" s="150">
        <f t="shared" si="3"/>
        <v>2.9612034321167386</v>
      </c>
      <c r="R27" s="103"/>
      <c r="T27" s="22"/>
      <c r="U27" s="22"/>
    </row>
    <row r="28" spans="1:21">
      <c r="B28" s="105" t="s">
        <v>68</v>
      </c>
      <c r="C28" s="106">
        <f>VLOOKUP($B28,'County Data'!$B$10:$C$46,2,FALSE)</f>
        <v>68075</v>
      </c>
      <c r="D28" s="135">
        <f>VLOOKUP($B28,Floor!$B$6:$M$45,4,FALSE)</f>
        <v>44637.096774193546</v>
      </c>
      <c r="E28" s="107">
        <f>VLOOKUP($B28,Burden!$B$6:$H$40,6,FALSE)</f>
        <v>32540.547329947512</v>
      </c>
      <c r="F28" s="107">
        <f>VLOOKUP($B28,'Health Status'!$B$6:$H$40,6,FALSE)</f>
        <v>22422.695298456725</v>
      </c>
      <c r="G28" s="107">
        <f>VLOOKUP($B28,Ethnicity!$B$6:$H$40,6,FALSE)</f>
        <v>16689.52419540863</v>
      </c>
      <c r="H28" s="107">
        <f>VLOOKUP($B28,Poverty!$B$6:$H$40,6,FALSE)</f>
        <v>15455.055154601132</v>
      </c>
      <c r="I28" s="107">
        <f>VLOOKUP($B28,Rurality!$B$6:$H$40,6,FALSE)</f>
        <v>43847.462932115079</v>
      </c>
      <c r="J28" s="107">
        <f>VLOOKUP($B28,Education!$B$6:$H$40,6,FALSE)</f>
        <v>14149.80313034075</v>
      </c>
      <c r="K28" s="136">
        <f>VLOOKUP($B28,Language!$B$6:$H$40,6,FALSE)</f>
        <v>12354.63071981993</v>
      </c>
      <c r="L28" s="172">
        <f>VLOOKUP($B28,Matching!$B$7:$L$40,10,FALSE)</f>
        <v>0</v>
      </c>
      <c r="M28" s="173">
        <f>VLOOKUP($B28,Incentives!$B$7:$Y$40,23,FALSE)</f>
        <v>0</v>
      </c>
      <c r="N28" s="149">
        <f t="shared" si="0"/>
        <v>202096.8155348833</v>
      </c>
      <c r="O28" s="108">
        <f t="shared" si="1"/>
        <v>2.0209681553488328E-2</v>
      </c>
      <c r="P28" s="108">
        <f t="shared" si="2"/>
        <v>1.5949888180916132E-2</v>
      </c>
      <c r="Q28" s="150">
        <f t="shared" si="3"/>
        <v>2.9687376501635447</v>
      </c>
      <c r="R28" s="110">
        <f>SUM(N16:N28)/SUM(C16:C28)</f>
        <v>3.6526274240925427</v>
      </c>
      <c r="T28" s="22"/>
      <c r="U28" s="22"/>
    </row>
    <row r="29" spans="1:21">
      <c r="A29" s="40"/>
      <c r="B29" s="111" t="s">
        <v>69</v>
      </c>
      <c r="C29" s="112">
        <f>VLOOKUP($B29,'County Data'!$B$10:$C$46,2,FALSE)</f>
        <v>81495</v>
      </c>
      <c r="D29" s="137">
        <f>VLOOKUP($B29,Floor!$B$6:$M$45,4,FALSE)</f>
        <v>59516.129032258061</v>
      </c>
      <c r="E29" s="113">
        <f>VLOOKUP($B29,Burden!$B$6:$H$40,6,FALSE)</f>
        <v>28509.352935998719</v>
      </c>
      <c r="F29" s="113">
        <f>VLOOKUP($B29,'Health Status'!$B$6:$H$40,6,FALSE)</f>
        <v>28385.706249951039</v>
      </c>
      <c r="G29" s="113">
        <f>VLOOKUP($B29,Ethnicity!$B$6:$H$40,6,FALSE)</f>
        <v>24156.034829093933</v>
      </c>
      <c r="H29" s="113">
        <f>VLOOKUP($B29,Poverty!$B$6:$H$40,6,FALSE)</f>
        <v>16425.380068090646</v>
      </c>
      <c r="I29" s="113">
        <f>VLOOKUP($B29,Rurality!$B$6:$H$40,6,FALSE)</f>
        <v>40624.958258293846</v>
      </c>
      <c r="J29" s="113">
        <f>VLOOKUP($B29,Education!$B$6:$H$40,6,FALSE)</f>
        <v>23966.668976521021</v>
      </c>
      <c r="K29" s="138">
        <f>VLOOKUP($B29,Language!$B$6:$H$40,6,FALSE)</f>
        <v>46541.934653861186</v>
      </c>
      <c r="L29" s="174">
        <f>VLOOKUP($B29,Matching!$B$7:$L$40,10,FALSE)</f>
        <v>0</v>
      </c>
      <c r="M29" s="175">
        <f>VLOOKUP($B29,Incentives!$B$7:$Y$40,23,FALSE)</f>
        <v>0</v>
      </c>
      <c r="N29" s="151">
        <f t="shared" si="0"/>
        <v>268126.16500406846</v>
      </c>
      <c r="O29" s="114">
        <f t="shared" si="1"/>
        <v>2.6812616500406845E-2</v>
      </c>
      <c r="P29" s="114">
        <f t="shared" si="2"/>
        <v>1.9094177558630337E-2</v>
      </c>
      <c r="Q29" s="152">
        <f t="shared" si="3"/>
        <v>3.2900934413653409</v>
      </c>
      <c r="R29" s="103"/>
      <c r="T29" s="22"/>
      <c r="U29" s="22"/>
    </row>
    <row r="30" spans="1:21">
      <c r="A30" s="40"/>
      <c r="B30" s="111" t="s">
        <v>70</v>
      </c>
      <c r="C30" s="112">
        <f>VLOOKUP($B30,'County Data'!$B$10:$C$46,2,FALSE)</f>
        <v>83805</v>
      </c>
      <c r="D30" s="137">
        <f>VLOOKUP($B30,Floor!$B$6:$M$45,4,FALSE)</f>
        <v>59516.129032258061</v>
      </c>
      <c r="E30" s="113">
        <f>VLOOKUP($B30,Burden!$B$6:$H$40,6,FALSE)</f>
        <v>24855.975786735486</v>
      </c>
      <c r="F30" s="113">
        <f>VLOOKUP($B30,'Health Status'!$B$6:$H$40,6,FALSE)</f>
        <v>29031.66455575548</v>
      </c>
      <c r="G30" s="113">
        <f>VLOOKUP($B30,Ethnicity!$B$6:$H$40,6,FALSE)</f>
        <v>20569.265965132905</v>
      </c>
      <c r="H30" s="113">
        <f>VLOOKUP($B30,Poverty!$B$6:$H$40,6,FALSE)</f>
        <v>13447.393904246492</v>
      </c>
      <c r="I30" s="113">
        <f>VLOOKUP($B30,Rurality!$B$6:$H$40,6,FALSE)</f>
        <v>28568.798867572332</v>
      </c>
      <c r="J30" s="113">
        <f>VLOOKUP($B30,Education!$B$6:$H$40,6,FALSE)</f>
        <v>13228.303115106713</v>
      </c>
      <c r="K30" s="138">
        <f>VLOOKUP($B30,Language!$B$6:$H$40,6,FALSE)</f>
        <v>23274.279358983531</v>
      </c>
      <c r="L30" s="174">
        <f>VLOOKUP($B30,Matching!$B$7:$L$40,10,FALSE)</f>
        <v>0</v>
      </c>
      <c r="M30" s="175">
        <f>VLOOKUP($B30,Incentives!$B$7:$Y$40,23,FALSE)</f>
        <v>0</v>
      </c>
      <c r="N30" s="151">
        <f t="shared" si="0"/>
        <v>212491.81058579098</v>
      </c>
      <c r="O30" s="114">
        <f t="shared" si="1"/>
        <v>2.1249181058579099E-2</v>
      </c>
      <c r="P30" s="114">
        <f t="shared" si="2"/>
        <v>1.9635407697417208E-2</v>
      </c>
      <c r="Q30" s="152">
        <f t="shared" si="3"/>
        <v>2.5355505111364596</v>
      </c>
      <c r="R30" s="103"/>
      <c r="T30" s="22"/>
      <c r="U30" s="22"/>
    </row>
    <row r="31" spans="1:21">
      <c r="B31" s="111" t="s">
        <v>71</v>
      </c>
      <c r="C31" s="112">
        <f>VLOOKUP($B31,'County Data'!$B$10:$C$46,2,FALSE)</f>
        <v>86560</v>
      </c>
      <c r="D31" s="137">
        <f>VLOOKUP($B31,Floor!$B$6:$M$45,4,FALSE)</f>
        <v>59516.129032258061</v>
      </c>
      <c r="E31" s="113">
        <f>VLOOKUP($B31,Burden!$B$6:$H$40,6,FALSE)</f>
        <v>42395.497201553662</v>
      </c>
      <c r="F31" s="113">
        <f>VLOOKUP($B31,'Health Status'!$B$6:$H$40,6,FALSE)</f>
        <v>35721.086369200835</v>
      </c>
      <c r="G31" s="113">
        <f>VLOOKUP($B31,Ethnicity!$B$6:$H$40,6,FALSE)</f>
        <v>14050.922040627385</v>
      </c>
      <c r="H31" s="113">
        <f>VLOOKUP($B31,Poverty!$B$6:$H$40,6,FALSE)</f>
        <v>19842.883350398231</v>
      </c>
      <c r="I31" s="113">
        <f>VLOOKUP($B31,Rurality!$B$6:$H$40,6,FALSE)</f>
        <v>66726.560041402496</v>
      </c>
      <c r="J31" s="113">
        <f>VLOOKUP($B31,Education!$B$6:$H$40,6,FALSE)</f>
        <v>13986.918561555851</v>
      </c>
      <c r="K31" s="138">
        <f>VLOOKUP($B31,Language!$B$6:$H$40,6,FALSE)</f>
        <v>6163.4339651012342</v>
      </c>
      <c r="L31" s="174">
        <f>VLOOKUP($B31,Matching!$B$7:$L$40,10,FALSE)</f>
        <v>0</v>
      </c>
      <c r="M31" s="175">
        <f>VLOOKUP($B31,Incentives!$B$7:$Y$40,23,FALSE)</f>
        <v>0</v>
      </c>
      <c r="N31" s="151">
        <f t="shared" si="0"/>
        <v>258403.43056209775</v>
      </c>
      <c r="O31" s="114">
        <f t="shared" si="1"/>
        <v>2.5840343056209775E-2</v>
      </c>
      <c r="P31" s="114">
        <f t="shared" si="2"/>
        <v>2.0280900785018E-2</v>
      </c>
      <c r="Q31" s="152">
        <f t="shared" si="3"/>
        <v>2.9852522015029779</v>
      </c>
      <c r="R31" s="103"/>
      <c r="T31" s="22"/>
      <c r="U31" s="22"/>
    </row>
    <row r="32" spans="1:21">
      <c r="B32" s="111" t="s">
        <v>72</v>
      </c>
      <c r="C32" s="112">
        <f>VLOOKUP($B32,'County Data'!$B$10:$C$46,2,FALSE)</f>
        <v>94665</v>
      </c>
      <c r="D32" s="137">
        <f>VLOOKUP($B32,Floor!$B$6:$M$45,4,FALSE)</f>
        <v>59516.129032258061</v>
      </c>
      <c r="E32" s="113">
        <f>VLOOKUP($B32,Burden!$B$6:$H$40,6,FALSE)</f>
        <v>19006.184072928794</v>
      </c>
      <c r="F32" s="113">
        <f>VLOOKUP($B32,'Health Status'!$B$6:$H$40,6,FALSE)</f>
        <v>20249.709616963199</v>
      </c>
      <c r="G32" s="113">
        <f>VLOOKUP($B32,Ethnicity!$B$6:$H$40,6,FALSE)</f>
        <v>27762.924592830685</v>
      </c>
      <c r="H32" s="113">
        <f>VLOOKUP($B32,Poverty!$B$6:$H$40,6,FALSE)</f>
        <v>18048.732379708792</v>
      </c>
      <c r="I32" s="113">
        <f>VLOOKUP($B32,Rurality!$B$6:$H$40,6,FALSE)</f>
        <v>30487.110381701608</v>
      </c>
      <c r="J32" s="113">
        <f>VLOOKUP($B32,Education!$B$6:$H$40,6,FALSE)</f>
        <v>7122.8878346205875</v>
      </c>
      <c r="K32" s="138">
        <f>VLOOKUP($B32,Language!$B$6:$H$40,6,FALSE)</f>
        <v>24499.636562300231</v>
      </c>
      <c r="L32" s="174">
        <f>VLOOKUP($B32,Matching!$B$7:$L$40,10,FALSE)</f>
        <v>0</v>
      </c>
      <c r="M32" s="175">
        <f>VLOOKUP($B32,Incentives!$B$7:$Y$40,23,FALSE)</f>
        <v>0</v>
      </c>
      <c r="N32" s="151">
        <f t="shared" si="0"/>
        <v>206693.31447331194</v>
      </c>
      <c r="O32" s="114">
        <f t="shared" si="1"/>
        <v>2.0669331447331196E-2</v>
      </c>
      <c r="P32" s="114">
        <f t="shared" si="2"/>
        <v>2.217989224599964E-2</v>
      </c>
      <c r="Q32" s="152">
        <f t="shared" si="3"/>
        <v>2.1834185229315159</v>
      </c>
      <c r="R32" s="103"/>
      <c r="T32" s="22"/>
      <c r="U32" s="22"/>
    </row>
    <row r="33" spans="2:21">
      <c r="B33" s="111" t="s">
        <v>73</v>
      </c>
      <c r="C33" s="112">
        <f>VLOOKUP($B33,'County Data'!$B$10:$C$46,2,FALSE)</f>
        <v>108605</v>
      </c>
      <c r="D33" s="137">
        <f>VLOOKUP($B33,Floor!$B$6:$M$45,4,FALSE)</f>
        <v>59516.129032258061</v>
      </c>
      <c r="E33" s="113">
        <f>VLOOKUP($B33,Burden!$B$6:$H$40,6,FALSE)</f>
        <v>33695.555867642375</v>
      </c>
      <c r="F33" s="113">
        <f>VLOOKUP($B33,'Health Status'!$B$6:$H$40,6,FALSE)</f>
        <v>37828.451159898548</v>
      </c>
      <c r="G33" s="113">
        <f>VLOOKUP($B33,Ethnicity!$B$6:$H$40,6,FALSE)</f>
        <v>25918.19198132923</v>
      </c>
      <c r="H33" s="113">
        <f>VLOOKUP($B33,Poverty!$B$6:$H$40,6,FALSE)</f>
        <v>16018.536337508691</v>
      </c>
      <c r="I33" s="113">
        <f>VLOOKUP($B33,Rurality!$B$6:$H$40,6,FALSE)</f>
        <v>42046.24666371465</v>
      </c>
      <c r="J33" s="113">
        <f>VLOOKUP($B33,Education!$B$6:$H$40,6,FALSE)</f>
        <v>21055.525061107008</v>
      </c>
      <c r="K33" s="138">
        <f>VLOOKUP($B33,Language!$B$6:$H$40,6,FALSE)</f>
        <v>31152.528470578243</v>
      </c>
      <c r="L33" s="174">
        <f>VLOOKUP($B33,Matching!$B$7:$L$40,10,FALSE)</f>
        <v>0</v>
      </c>
      <c r="M33" s="175">
        <f>VLOOKUP($B33,Incentives!$B$7:$Y$40,23,FALSE)</f>
        <v>0</v>
      </c>
      <c r="N33" s="151">
        <f t="shared" si="0"/>
        <v>267231.16457403678</v>
      </c>
      <c r="O33" s="114">
        <f t="shared" si="1"/>
        <v>2.6723116457403679E-2</v>
      </c>
      <c r="P33" s="114">
        <f t="shared" si="2"/>
        <v>2.5446016979631236E-2</v>
      </c>
      <c r="Q33" s="152">
        <f t="shared" si="3"/>
        <v>2.4605788368310555</v>
      </c>
      <c r="R33" s="103"/>
      <c r="T33" s="22"/>
      <c r="U33" s="22"/>
    </row>
    <row r="34" spans="2:21">
      <c r="B34" s="111" t="s">
        <v>74</v>
      </c>
      <c r="C34" s="112">
        <f>VLOOKUP($B34,'County Data'!$B$10:$C$46,2,FALSE)</f>
        <v>112530</v>
      </c>
      <c r="D34" s="137">
        <f>VLOOKUP($B34,Floor!$B$6:$M$45,4,FALSE)</f>
        <v>59516.129032258061</v>
      </c>
      <c r="E34" s="113">
        <f>VLOOKUP($B34,Burden!$B$6:$H$40,6,FALSE)</f>
        <v>56073.295230134237</v>
      </c>
      <c r="F34" s="113">
        <f>VLOOKUP($B34,'Health Status'!$B$6:$H$40,6,FALSE)</f>
        <v>47290.315383189147</v>
      </c>
      <c r="G34" s="113">
        <f>VLOOKUP($B34,Ethnicity!$B$6:$H$40,6,FALSE)</f>
        <v>17195.782703349549</v>
      </c>
      <c r="H34" s="113">
        <f>VLOOKUP($B34,Poverty!$B$6:$H$40,6,FALSE)</f>
        <v>21366.283181144085</v>
      </c>
      <c r="I34" s="113">
        <f>VLOOKUP($B34,Rurality!$B$6:$H$40,6,FALSE)</f>
        <v>79420.846123462659</v>
      </c>
      <c r="J34" s="113">
        <f>VLOOKUP($B34,Education!$B$6:$H$40,6,FALSE)</f>
        <v>20224.981586905764</v>
      </c>
      <c r="K34" s="138">
        <f>VLOOKUP($B34,Language!$B$6:$H$40,6,FALSE)</f>
        <v>7246.3636771410365</v>
      </c>
      <c r="L34" s="174">
        <f>VLOOKUP($B34,Matching!$B$7:$L$40,10,FALSE)</f>
        <v>0</v>
      </c>
      <c r="M34" s="175">
        <f>VLOOKUP($B34,Incentives!$B$7:$Y$40,23,FALSE)</f>
        <v>0</v>
      </c>
      <c r="N34" s="151">
        <f t="shared" si="0"/>
        <v>308333.99691758456</v>
      </c>
      <c r="O34" s="114">
        <f t="shared" si="1"/>
        <v>3.0833399691758457E-2</v>
      </c>
      <c r="P34" s="114">
        <f t="shared" si="2"/>
        <v>2.6365639618046159E-2</v>
      </c>
      <c r="Q34" s="152">
        <f t="shared" si="3"/>
        <v>2.7400159683425271</v>
      </c>
      <c r="R34" s="103"/>
      <c r="T34" s="22"/>
      <c r="U34" s="22"/>
    </row>
    <row r="35" spans="2:21">
      <c r="B35" s="111" t="s">
        <v>75</v>
      </c>
      <c r="C35" s="112">
        <f>VLOOKUP($B35,'County Data'!$B$10:$C$46,2,FALSE)</f>
        <v>127320</v>
      </c>
      <c r="D35" s="137">
        <f>VLOOKUP($B35,Floor!$B$6:$M$45,4,FALSE)</f>
        <v>59516.129032258061</v>
      </c>
      <c r="E35" s="113">
        <f>VLOOKUP($B35,Burden!$B$6:$H$40,6,FALSE)</f>
        <v>46940.13393826886</v>
      </c>
      <c r="F35" s="113">
        <f>VLOOKUP($B35,'Health Status'!$B$6:$H$40,6,FALSE)</f>
        <v>43624.064004568274</v>
      </c>
      <c r="G35" s="113">
        <f>VLOOKUP($B35,Ethnicity!$B$6:$H$40,6,FALSE)</f>
        <v>24928.757741156143</v>
      </c>
      <c r="H35" s="113">
        <f>VLOOKUP($B35,Poverty!$B$6:$H$40,6,FALSE)</f>
        <v>22271.525718155597</v>
      </c>
      <c r="I35" s="113">
        <f>VLOOKUP($B35,Rurality!$B$6:$H$40,6,FALSE)</f>
        <v>68921.177278007584</v>
      </c>
      <c r="J35" s="113">
        <f>VLOOKUP($B35,Education!$B$6:$H$40,6,FALSE)</f>
        <v>21196.770813414489</v>
      </c>
      <c r="K35" s="138">
        <f>VLOOKUP($B35,Language!$B$6:$H$40,6,FALSE)</f>
        <v>16671.693569494932</v>
      </c>
      <c r="L35" s="174">
        <f>VLOOKUP($B35,Matching!$B$7:$L$40,10,FALSE)</f>
        <v>0</v>
      </c>
      <c r="M35" s="175">
        <f>VLOOKUP($B35,Incentives!$B$7:$Y$40,23,FALSE)</f>
        <v>0</v>
      </c>
      <c r="N35" s="151">
        <f t="shared" si="0"/>
        <v>304070.25209532393</v>
      </c>
      <c r="O35" s="114">
        <f t="shared" si="1"/>
        <v>3.0407025209532392E-2</v>
      </c>
      <c r="P35" s="114">
        <f t="shared" si="2"/>
        <v>2.9830918298850415E-2</v>
      </c>
      <c r="Q35" s="152">
        <f t="shared" si="3"/>
        <v>2.3882363501046493</v>
      </c>
      <c r="R35" s="115">
        <f>SUM(N29:N35)/SUM(C29:C35)</f>
        <v>2.6264786529284505</v>
      </c>
      <c r="T35" s="22"/>
      <c r="U35" s="22"/>
    </row>
    <row r="36" spans="2:21">
      <c r="B36" s="116" t="s">
        <v>76</v>
      </c>
      <c r="C36" s="117">
        <f>VLOOKUP($B36,'County Data'!$B$10:$C$46,2,FALSE)</f>
        <v>197015</v>
      </c>
      <c r="D36" s="139">
        <f>VLOOKUP($B36,Floor!$B$6:$M$45,4,FALSE)</f>
        <v>74395.161290322576</v>
      </c>
      <c r="E36" s="118">
        <f>VLOOKUP($B36,Burden!$B$6:$H$40,6,FALSE)</f>
        <v>52279.479287374103</v>
      </c>
      <c r="F36" s="118">
        <f>VLOOKUP($B36,'Health Status'!$B$6:$H$40,6,FALSE)</f>
        <v>51094.102772794286</v>
      </c>
      <c r="G36" s="118">
        <f>VLOOKUP($B36,Ethnicity!$B$6:$H$40,6,FALSE)</f>
        <v>26184.820197183246</v>
      </c>
      <c r="H36" s="118">
        <f>VLOOKUP($B36,Poverty!$B$6:$H$40,6,FALSE)</f>
        <v>25286.549616498967</v>
      </c>
      <c r="I36" s="118">
        <f>VLOOKUP($B36,Rurality!$B$6:$H$40,6,FALSE)</f>
        <v>93148.818302775413</v>
      </c>
      <c r="J36" s="118">
        <f>VLOOKUP($B36,Education!$B$6:$H$40,6,FALSE)</f>
        <v>21036.198970193826</v>
      </c>
      <c r="K36" s="140">
        <f>VLOOKUP($B36,Language!$B$6:$H$40,6,FALSE)</f>
        <v>22576.085163040992</v>
      </c>
      <c r="L36" s="176">
        <f>VLOOKUP($B36,Matching!$B$7:$L$40,10,FALSE)</f>
        <v>0</v>
      </c>
      <c r="M36" s="177">
        <f>VLOOKUP($B36,Incentives!$B$7:$Y$40,23,FALSE)</f>
        <v>0</v>
      </c>
      <c r="N36" s="153">
        <f t="shared" si="0"/>
        <v>366001.21560018341</v>
      </c>
      <c r="O36" s="119">
        <f t="shared" si="1"/>
        <v>3.6600121560018344E-2</v>
      </c>
      <c r="P36" s="119">
        <f t="shared" si="2"/>
        <v>4.6160370473201491E-2</v>
      </c>
      <c r="Q36" s="154">
        <f t="shared" si="3"/>
        <v>1.8577327391324692</v>
      </c>
      <c r="R36" s="103"/>
      <c r="T36" s="22"/>
      <c r="U36" s="22"/>
    </row>
    <row r="37" spans="2:21">
      <c r="B37" s="116" t="s">
        <v>77</v>
      </c>
      <c r="C37" s="117">
        <f>VLOOKUP($B37,'County Data'!$B$10:$C$46,2,FALSE)</f>
        <v>223240</v>
      </c>
      <c r="D37" s="139">
        <f>VLOOKUP($B37,Floor!$B$6:$M$45,4,FALSE)</f>
        <v>74395.161290322576</v>
      </c>
      <c r="E37" s="118">
        <f>VLOOKUP($B37,Burden!$B$6:$H$40,6,FALSE)</f>
        <v>84049.291076002002</v>
      </c>
      <c r="F37" s="118">
        <f>VLOOKUP($B37,'Health Status'!$B$6:$H$40,6,FALSE)</f>
        <v>77757.225145580334</v>
      </c>
      <c r="G37" s="118">
        <f>VLOOKUP($B37,Ethnicity!$B$6:$H$40,6,FALSE)</f>
        <v>39355.842095347747</v>
      </c>
      <c r="H37" s="118">
        <f>VLOOKUP($B37,Poverty!$B$6:$H$40,6,FALSE)</f>
        <v>40951.95697146585</v>
      </c>
      <c r="I37" s="118">
        <f>VLOOKUP($B37,Rurality!$B$6:$H$40,6,FALSE)</f>
        <v>76866.489268642996</v>
      </c>
      <c r="J37" s="118">
        <f>VLOOKUP($B37,Education!$B$6:$H$40,6,FALSE)</f>
        <v>38213.633718588178</v>
      </c>
      <c r="K37" s="140">
        <f>VLOOKUP($B37,Language!$B$6:$H$40,6,FALSE)</f>
        <v>42609.646790723084</v>
      </c>
      <c r="L37" s="176">
        <f>VLOOKUP($B37,Matching!$B$7:$L$40,10,FALSE)</f>
        <v>0</v>
      </c>
      <c r="M37" s="177">
        <f>VLOOKUP($B37,Incentives!$B$7:$Y$40,23,FALSE)</f>
        <v>0</v>
      </c>
      <c r="N37" s="153">
        <f t="shared" si="0"/>
        <v>474199.24635667272</v>
      </c>
      <c r="O37" s="119">
        <f t="shared" si="1"/>
        <v>4.7419924635667271E-2</v>
      </c>
      <c r="P37" s="119">
        <f t="shared" si="2"/>
        <v>5.2304855490381448E-2</v>
      </c>
      <c r="Q37" s="154">
        <f t="shared" si="3"/>
        <v>2.1241679195335634</v>
      </c>
      <c r="R37" s="103"/>
      <c r="T37" s="22"/>
      <c r="U37" s="22"/>
    </row>
    <row r="38" spans="2:21">
      <c r="B38" s="116" t="s">
        <v>78</v>
      </c>
      <c r="C38" s="117">
        <f>VLOOKUP($B38,'County Data'!$B$10:$C$46,2,FALSE)</f>
        <v>349120</v>
      </c>
      <c r="D38" s="139">
        <f>VLOOKUP($B38,Floor!$B$6:$M$45,4,FALSE)</f>
        <v>74395.161290322576</v>
      </c>
      <c r="E38" s="118">
        <f>VLOOKUP($B38,Burden!$B$6:$H$40,6,FALSE)</f>
        <v>109629.10518917401</v>
      </c>
      <c r="F38" s="118">
        <f>VLOOKUP($B38,'Health Status'!$B$6:$H$40,6,FALSE)</f>
        <v>126889.84727448724</v>
      </c>
      <c r="G38" s="118">
        <f>VLOOKUP($B38,Ethnicity!$B$6:$H$40,6,FALSE)</f>
        <v>135049.36030544352</v>
      </c>
      <c r="H38" s="118">
        <f>VLOOKUP($B38,Poverty!$B$6:$H$40,6,FALSE)</f>
        <v>65460.298208954242</v>
      </c>
      <c r="I38" s="118">
        <f>VLOOKUP($B38,Rurality!$B$6:$H$40,6,FALSE)</f>
        <v>78345.670056909323</v>
      </c>
      <c r="J38" s="118">
        <f>VLOOKUP($B38,Education!$B$6:$H$40,6,FALSE)</f>
        <v>84921.388056148207</v>
      </c>
      <c r="K38" s="140">
        <f>VLOOKUP($B38,Language!$B$6:$H$40,6,FALSE)</f>
        <v>197378.54551618159</v>
      </c>
      <c r="L38" s="176">
        <f>VLOOKUP($B38,Matching!$B$7:$L$40,10,FALSE)</f>
        <v>0</v>
      </c>
      <c r="M38" s="177">
        <f>VLOOKUP($B38,Incentives!$B$7:$Y$40,23,FALSE)</f>
        <v>0</v>
      </c>
      <c r="N38" s="153">
        <f t="shared" si="0"/>
        <v>872069.37589762069</v>
      </c>
      <c r="O38" s="119">
        <f t="shared" si="1"/>
        <v>8.7206937589762071E-2</v>
      </c>
      <c r="P38" s="119">
        <f t="shared" si="2"/>
        <v>8.1798383572845246E-2</v>
      </c>
      <c r="Q38" s="154">
        <f t="shared" si="3"/>
        <v>2.4979072407699952</v>
      </c>
      <c r="R38" s="120">
        <f>SUM(N36:N38)/SUM(C36:C38)</f>
        <v>2.2255335016792546</v>
      </c>
      <c r="T38" s="22"/>
      <c r="U38" s="22"/>
    </row>
    <row r="39" spans="2:21">
      <c r="B39" s="121" t="s">
        <v>79</v>
      </c>
      <c r="C39" s="122">
        <f>VLOOKUP($B39,'County Data'!$B$10:$C$46,2,FALSE)</f>
        <v>381365</v>
      </c>
      <c r="D39" s="141">
        <f>VLOOKUP($B39,Floor!$B$6:$M$45,4,FALSE)</f>
        <v>89274.193548387091</v>
      </c>
      <c r="E39" s="123">
        <f>VLOOKUP($B39,Burden!$B$6:$H$40,6,FALSE)</f>
        <v>128291.06639524647</v>
      </c>
      <c r="F39" s="123">
        <f>VLOOKUP($B39,'Health Status'!$B$6:$H$40,6,FALSE)</f>
        <v>119839.45850412855</v>
      </c>
      <c r="G39" s="123">
        <f>VLOOKUP($B39,Ethnicity!$B$6:$H$40,6,FALSE)</f>
        <v>101255.43954112445</v>
      </c>
      <c r="H39" s="123">
        <f>VLOOKUP($B39,Poverty!$B$6:$H$40,6,FALSE)</f>
        <v>74931.573810145914</v>
      </c>
      <c r="I39" s="123">
        <f>VLOOKUP($B39,Rurality!$B$6:$H$40,6,FALSE)</f>
        <v>114326.74958367107</v>
      </c>
      <c r="J39" s="123">
        <f>VLOOKUP($B39,Education!$B$6:$H$40,6,FALSE)</f>
        <v>54227.585405796031</v>
      </c>
      <c r="K39" s="142">
        <f>VLOOKUP($B39,Language!$B$6:$H$40,6,FALSE)</f>
        <v>53427.83555135483</v>
      </c>
      <c r="L39" s="178">
        <f>VLOOKUP($B39,Matching!$B$7:$L$40,10,FALSE)</f>
        <v>0</v>
      </c>
      <c r="M39" s="179">
        <f>VLOOKUP($B39,Incentives!$B$7:$Y$40,23,FALSE)</f>
        <v>0</v>
      </c>
      <c r="N39" s="155">
        <f t="shared" si="0"/>
        <v>735573.90233985439</v>
      </c>
      <c r="O39" s="124">
        <f t="shared" si="1"/>
        <v>7.3557390233985442E-2</v>
      </c>
      <c r="P39" s="124">
        <f t="shared" si="2"/>
        <v>8.9353347133530381E-2</v>
      </c>
      <c r="Q39" s="156">
        <f t="shared" si="3"/>
        <v>1.9287923704059218</v>
      </c>
      <c r="R39" s="190"/>
      <c r="T39" s="22"/>
      <c r="U39" s="22"/>
    </row>
    <row r="40" spans="2:21">
      <c r="B40" s="121" t="s">
        <v>80</v>
      </c>
      <c r="C40" s="122">
        <f>VLOOKUP($B40,'County Data'!$B$10:$C$46,2,FALSE)</f>
        <v>426515</v>
      </c>
      <c r="D40" s="141">
        <f>VLOOKUP($B40,Floor!$B$6:$M$45,4,FALSE)</f>
        <v>89274.193548387091</v>
      </c>
      <c r="E40" s="123">
        <f>VLOOKUP($B40,Burden!$B$6:$H$40,6,FALSE)</f>
        <v>119241.25293201991</v>
      </c>
      <c r="F40" s="123">
        <f>VLOOKUP($B40,'Health Status'!$B$6:$H$40,6,FALSE)</f>
        <v>117072.05147779743</v>
      </c>
      <c r="G40" s="123">
        <f>VLOOKUP($B40,Ethnicity!$B$6:$H$40,6,FALSE)</f>
        <v>104201.54593385805</v>
      </c>
      <c r="H40" s="123">
        <f>VLOOKUP($B40,Poverty!$B$6:$H$40,6,FALSE)</f>
        <v>40286.352214135753</v>
      </c>
      <c r="I40" s="123">
        <f>VLOOKUP($B40,Rurality!$B$6:$H$40,6,FALSE)</f>
        <v>132245.7910979318</v>
      </c>
      <c r="J40" s="123">
        <f>VLOOKUP($B40,Education!$B$6:$H$40,6,FALSE)</f>
        <v>47335.011930352019</v>
      </c>
      <c r="K40" s="142">
        <f>VLOOKUP($B40,Language!$B$6:$H$40,6,FALSE)</f>
        <v>94697.682188073624</v>
      </c>
      <c r="L40" s="178">
        <f>VLOOKUP($B40,Matching!$B$7:$L$40,10,FALSE)</f>
        <v>0</v>
      </c>
      <c r="M40" s="179">
        <f>VLOOKUP($B40,Incentives!$B$7:$Y$40,23,FALSE)</f>
        <v>0</v>
      </c>
      <c r="N40" s="155">
        <f t="shared" si="0"/>
        <v>744353.88132255571</v>
      </c>
      <c r="O40" s="124">
        <f t="shared" si="1"/>
        <v>7.4435388132255573E-2</v>
      </c>
      <c r="P40" s="124">
        <f t="shared" si="2"/>
        <v>9.993193620981923E-2</v>
      </c>
      <c r="Q40" s="156">
        <f t="shared" si="3"/>
        <v>1.7451997733316664</v>
      </c>
      <c r="R40" s="103"/>
      <c r="T40" s="22"/>
      <c r="U40" s="22"/>
    </row>
    <row r="41" spans="2:21">
      <c r="B41" s="121" t="s">
        <v>81</v>
      </c>
      <c r="C41" s="122">
        <f>VLOOKUP($B41,'County Data'!$B$10:$C$46,2,FALSE)</f>
        <v>620080</v>
      </c>
      <c r="D41" s="141">
        <f>VLOOKUP($B41,Floor!$B$6:$M$45,4,FALSE)</f>
        <v>89274.193548387091</v>
      </c>
      <c r="E41" s="123">
        <f>VLOOKUP($B41,Burden!$B$6:$H$40,6,FALSE)</f>
        <v>130562.80862793204</v>
      </c>
      <c r="F41" s="123">
        <f>VLOOKUP($B41,'Health Status'!$B$6:$H$40,6,FALSE)</f>
        <v>177245.651137034</v>
      </c>
      <c r="G41" s="123">
        <f>VLOOKUP($B41,Ethnicity!$B$6:$H$40,6,FALSE)</f>
        <v>302136.44021440338</v>
      </c>
      <c r="H41" s="123">
        <f>VLOOKUP($B41,Poverty!$B$6:$H$40,6,FALSE)</f>
        <v>69249.502681591737</v>
      </c>
      <c r="I41" s="123">
        <f>VLOOKUP($B41,Rurality!$B$6:$H$40,6,FALSE)</f>
        <v>59484.624656666674</v>
      </c>
      <c r="J41" s="123">
        <f>VLOOKUP($B41,Education!$B$6:$H$40,6,FALSE)</f>
        <v>85895.457636064573</v>
      </c>
      <c r="K41" s="142">
        <f>VLOOKUP($B41,Language!$B$6:$H$40,6,FALSE)</f>
        <v>305247.69803847093</v>
      </c>
      <c r="L41" s="178">
        <f>VLOOKUP($B41,Matching!$B$7:$L$40,10,FALSE)</f>
        <v>0</v>
      </c>
      <c r="M41" s="179">
        <f>VLOOKUP($B41,Incentives!$B$7:$Y$40,23,FALSE)</f>
        <v>0</v>
      </c>
      <c r="N41" s="155">
        <f t="shared" si="0"/>
        <v>1219096.3765405505</v>
      </c>
      <c r="O41" s="124">
        <f t="shared" si="1"/>
        <v>0.12190963765405505</v>
      </c>
      <c r="P41" s="124">
        <f t="shared" si="2"/>
        <v>0.14528397595626111</v>
      </c>
      <c r="Q41" s="156">
        <f t="shared" si="3"/>
        <v>1.9660307968980624</v>
      </c>
      <c r="R41" s="103"/>
      <c r="T41" s="22"/>
      <c r="U41" s="22"/>
    </row>
    <row r="42" spans="2:21">
      <c r="B42" s="121" t="s">
        <v>82</v>
      </c>
      <c r="C42" s="122">
        <f>VLOOKUP($B42,'County Data'!$B$10:$C$46,2,FALSE)</f>
        <v>829560</v>
      </c>
      <c r="D42" s="141">
        <f>VLOOKUP($B42,Floor!$B$6:$M$45,4,FALSE)</f>
        <v>89274.193548387091</v>
      </c>
      <c r="E42" s="123">
        <f>VLOOKUP($B42,Burden!$B$6:$H$40,6,FALSE)</f>
        <v>254817.0259197875</v>
      </c>
      <c r="F42" s="123">
        <f>VLOOKUP($B42,'Health Status'!$B$6:$H$40,6,FALSE)</f>
        <v>252827.66632456848</v>
      </c>
      <c r="G42" s="123">
        <f>VLOOKUP($B42,Ethnicity!$B$6:$H$40,6,FALSE)</f>
        <v>375875.4593357924</v>
      </c>
      <c r="H42" s="123">
        <f>VLOOKUP($B42,Poverty!$B$6:$H$40,6,FALSE)</f>
        <v>132648.56038383086</v>
      </c>
      <c r="I42" s="123">
        <f>VLOOKUP($B42,Rurality!$B$6:$H$40,6,FALSE)</f>
        <v>18473.965571043744</v>
      </c>
      <c r="J42" s="123">
        <f>VLOOKUP($B42,Education!$B$6:$H$40,6,FALSE)</f>
        <v>119165.72475571366</v>
      </c>
      <c r="K42" s="142">
        <f>VLOOKUP($B42,Language!$B$6:$H$40,6,FALSE)</f>
        <v>379658.54195206211</v>
      </c>
      <c r="L42" s="178">
        <f>VLOOKUP($B42,Matching!$B$7:$L$40,10,FALSE)</f>
        <v>0</v>
      </c>
      <c r="M42" s="179">
        <f>VLOOKUP($B42,Incentives!$B$7:$Y$40,23,FALSE)</f>
        <v>0</v>
      </c>
      <c r="N42" s="155">
        <f t="shared" si="0"/>
        <v>1622741.1377911861</v>
      </c>
      <c r="O42" s="124">
        <f t="shared" si="1"/>
        <v>0.1622741137791186</v>
      </c>
      <c r="P42" s="124">
        <f t="shared" si="2"/>
        <v>0.19436488049005929</v>
      </c>
      <c r="Q42" s="156">
        <f t="shared" si="3"/>
        <v>1.9561467980509983</v>
      </c>
      <c r="R42" s="125">
        <f>SUM(N39:N42)/SUM(C39:C42)</f>
        <v>1.9143862725442726</v>
      </c>
      <c r="T42" s="22"/>
      <c r="U42" s="22"/>
    </row>
    <row r="43" spans="2:21" ht="15.75" thickBot="1">
      <c r="B43" s="126" t="s">
        <v>83</v>
      </c>
      <c r="C43" s="127">
        <f t="shared" ref="C43:H43" si="4">SUM(C9:C42)</f>
        <v>4268055</v>
      </c>
      <c r="D43" s="143">
        <f t="shared" si="4"/>
        <v>1845000.0000000002</v>
      </c>
      <c r="E43" s="128">
        <f t="shared" si="4"/>
        <v>1359166.666666666</v>
      </c>
      <c r="F43" s="128">
        <f t="shared" si="4"/>
        <v>1359166.6666666667</v>
      </c>
      <c r="G43" s="128">
        <f t="shared" si="4"/>
        <v>1359166.6666666667</v>
      </c>
      <c r="H43" s="128">
        <f t="shared" si="4"/>
        <v>679583.33333333326</v>
      </c>
      <c r="I43" s="128">
        <f t="shared" ref="I43:J43" si="5">SUM(I9:I42)</f>
        <v>1359166.666666667</v>
      </c>
      <c r="J43" s="128">
        <f t="shared" si="5"/>
        <v>679583.33333333326</v>
      </c>
      <c r="K43" s="144">
        <f t="shared" ref="K43:P43" si="6">SUM(K9:K42)</f>
        <v>1359166.6666666665</v>
      </c>
      <c r="L43" s="180">
        <f t="shared" si="6"/>
        <v>0</v>
      </c>
      <c r="M43" s="181">
        <f t="shared" si="6"/>
        <v>0</v>
      </c>
      <c r="N43" s="143">
        <f t="shared" si="6"/>
        <v>10000000</v>
      </c>
      <c r="O43" s="129">
        <f t="shared" si="6"/>
        <v>1</v>
      </c>
      <c r="P43" s="129">
        <f t="shared" si="6"/>
        <v>0.99999999999999989</v>
      </c>
      <c r="Q43" s="157">
        <f t="shared" si="3"/>
        <v>2.3429876137959798</v>
      </c>
      <c r="R43" s="130">
        <f>N43/C43</f>
        <v>2.3429876137959798</v>
      </c>
      <c r="U43" s="22"/>
    </row>
    <row r="44" spans="2:21" ht="15.75" thickTop="1">
      <c r="N44" s="38"/>
    </row>
    <row r="45" spans="2:21" ht="17.25">
      <c r="B45" s="195" t="s">
        <v>84</v>
      </c>
      <c r="L45" s="210" t="s">
        <v>85</v>
      </c>
      <c r="M45" s="210"/>
      <c r="N45" s="210"/>
      <c r="O45" s="210"/>
      <c r="P45" s="210"/>
    </row>
    <row r="46" spans="2:21" ht="17.25">
      <c r="B46" s="196" t="s">
        <v>86</v>
      </c>
      <c r="C46" s="39"/>
      <c r="D46" s="39"/>
      <c r="E46" s="39"/>
      <c r="F46" s="39"/>
      <c r="L46" s="41" t="s">
        <v>87</v>
      </c>
      <c r="M46" s="42" t="s">
        <v>88</v>
      </c>
      <c r="N46" s="43" t="s">
        <v>89</v>
      </c>
      <c r="O46" s="44" t="s">
        <v>90</v>
      </c>
      <c r="P46" s="45" t="s">
        <v>91</v>
      </c>
    </row>
    <row r="47" spans="2:21" ht="17.25">
      <c r="B47" s="196" t="s">
        <v>92</v>
      </c>
      <c r="C47" s="25"/>
      <c r="L47" t="s">
        <v>93</v>
      </c>
      <c r="M47" t="s">
        <v>94</v>
      </c>
      <c r="N47" t="s">
        <v>95</v>
      </c>
      <c r="O47" t="s">
        <v>96</v>
      </c>
      <c r="P47" t="s">
        <v>97</v>
      </c>
    </row>
    <row r="48" spans="2:21" ht="17.25">
      <c r="B48" s="196" t="s">
        <v>98</v>
      </c>
      <c r="C48" s="25"/>
      <c r="N48" s="38"/>
    </row>
    <row r="49" spans="2:3" ht="17.25">
      <c r="B49" s="196" t="s">
        <v>99</v>
      </c>
      <c r="C49" s="25"/>
    </row>
  </sheetData>
  <sortState xmlns:xlrd2="http://schemas.microsoft.com/office/spreadsheetml/2017/richdata2" ref="T9:U42">
    <sortCondition ref="U9:U42"/>
  </sortState>
  <mergeCells count="4">
    <mergeCell ref="L45:P45"/>
    <mergeCell ref="D7:K7"/>
    <mergeCell ref="L7:M7"/>
    <mergeCell ref="N7:Q7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7" zoomScaleNormal="100" workbookViewId="0">
      <selection activeCell="W30" sqref="W30"/>
    </sheetView>
  </sheetViews>
  <sheetFormatPr defaultRowHeight="1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>
      <c r="B1" s="24" t="str">
        <f>Input!$B$1</f>
        <v>PHAB Funding and Incentives Subcommittee</v>
      </c>
    </row>
    <row r="2" spans="2:21" ht="15.75">
      <c r="B2" s="23" t="str">
        <f>Input!$B$2</f>
        <v>Subcommittee Members: Carrie Brogoitti, Bob Dannenhoffer, Jeff Luck, Alejandro Queral, Akiko Saito</v>
      </c>
    </row>
    <row r="3" spans="2:21" ht="15.75">
      <c r="B3" s="23" t="str">
        <f>Input!$B$3</f>
        <v>Updated March, 2021</v>
      </c>
    </row>
    <row r="4" spans="2:21" ht="15" customHeight="1"/>
    <row r="5" spans="2:21">
      <c r="B5" t="s">
        <v>100</v>
      </c>
      <c r="C5" s="9">
        <f>Input!C5</f>
        <v>10000000</v>
      </c>
    </row>
    <row r="6" spans="2:21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>
      <c r="B7" s="68" t="s">
        <v>32</v>
      </c>
      <c r="C7" s="193" t="s">
        <v>101</v>
      </c>
      <c r="D7" s="69" t="s">
        <v>34</v>
      </c>
      <c r="E7" s="193" t="s">
        <v>102</v>
      </c>
      <c r="F7" s="193" t="s">
        <v>103</v>
      </c>
      <c r="G7" s="193" t="s">
        <v>104</v>
      </c>
      <c r="H7" s="193" t="s">
        <v>105</v>
      </c>
      <c r="I7" s="193" t="s">
        <v>106</v>
      </c>
      <c r="J7" s="193" t="s">
        <v>107</v>
      </c>
      <c r="K7" s="193" t="s">
        <v>108</v>
      </c>
      <c r="L7" s="191" t="s">
        <v>109</v>
      </c>
      <c r="M7" s="191" t="s">
        <v>110</v>
      </c>
      <c r="N7" s="191" t="s">
        <v>111</v>
      </c>
      <c r="O7" s="191" t="s">
        <v>112</v>
      </c>
      <c r="P7" s="192" t="s">
        <v>113</v>
      </c>
    </row>
    <row r="8" spans="2:21">
      <c r="B8" s="62" t="s">
        <v>114</v>
      </c>
      <c r="C8" s="63">
        <f>Input!C15</f>
        <v>0</v>
      </c>
      <c r="D8" s="63">
        <f>Input!C7</f>
        <v>0.1845</v>
      </c>
      <c r="E8" s="63">
        <f>Input!C16</f>
        <v>0.13591666666666666</v>
      </c>
      <c r="F8" s="63">
        <f>Input!C17</f>
        <v>0.13591666666666666</v>
      </c>
      <c r="G8" s="63">
        <f>Input!C18</f>
        <v>0.13591666666666666</v>
      </c>
      <c r="H8" s="63">
        <f>Input!C20</f>
        <v>6.7958333333333329E-2</v>
      </c>
      <c r="I8" s="63">
        <f>Input!C19</f>
        <v>0.13591666666666666</v>
      </c>
      <c r="J8" s="63">
        <f>Input!C21</f>
        <v>6.7958333333333329E-2</v>
      </c>
      <c r="K8" s="63">
        <f>Input!C22</f>
        <v>0.13591666666666666</v>
      </c>
      <c r="L8" s="63">
        <f>Input!C25</f>
        <v>0</v>
      </c>
      <c r="M8" s="63">
        <f>Input!C31</f>
        <v>0</v>
      </c>
      <c r="N8" s="63">
        <f>Input!C32</f>
        <v>0</v>
      </c>
      <c r="O8" s="63">
        <f>Input!C33</f>
        <v>0</v>
      </c>
      <c r="P8" s="64">
        <f>Input!C34</f>
        <v>0</v>
      </c>
      <c r="Q8" s="194">
        <f>1-SUM(C8:P8)</f>
        <v>0</v>
      </c>
    </row>
    <row r="9" spans="2:21">
      <c r="B9" s="65" t="s">
        <v>115</v>
      </c>
      <c r="C9" s="66">
        <f>$C$5*C$8</f>
        <v>0</v>
      </c>
      <c r="D9" s="66">
        <f t="shared" ref="D9:P9" si="0">$C$5*D$8</f>
        <v>1845000</v>
      </c>
      <c r="E9" s="66">
        <f t="shared" si="0"/>
        <v>1359166.6666666665</v>
      </c>
      <c r="F9" s="66">
        <f t="shared" si="0"/>
        <v>1359166.6666666665</v>
      </c>
      <c r="G9" s="66">
        <f t="shared" si="0"/>
        <v>1359166.6666666665</v>
      </c>
      <c r="H9" s="66">
        <f t="shared" si="0"/>
        <v>679583.33333333326</v>
      </c>
      <c r="I9" s="66">
        <f t="shared" si="0"/>
        <v>1359166.6666666665</v>
      </c>
      <c r="J9" s="66">
        <f t="shared" si="0"/>
        <v>679583.33333333326</v>
      </c>
      <c r="K9" s="66">
        <f t="shared" si="0"/>
        <v>1359166.6666666665</v>
      </c>
      <c r="L9" s="66">
        <f t="shared" si="0"/>
        <v>0</v>
      </c>
      <c r="M9" s="66">
        <f t="shared" si="0"/>
        <v>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>
      <c r="B10" s="17" t="s">
        <v>55</v>
      </c>
      <c r="C10" s="159">
        <v>16910</v>
      </c>
      <c r="D10" s="56" t="str">
        <f>IF(C10&gt;375000,"Extra Large",IF(C10&gt;150000,"Large",IF(C10&gt;75000,"Medium",IF(C10&gt;20000,"Small","Extra Small"))))</f>
        <v>Extra Small</v>
      </c>
      <c r="E10" s="162">
        <v>8.6297479999999996E-2</v>
      </c>
      <c r="F10" s="162">
        <v>0.18899999999999997</v>
      </c>
      <c r="G10" s="162">
        <v>7.063313313313313E-2</v>
      </c>
      <c r="H10" s="165">
        <v>0.26671850699844479</v>
      </c>
      <c r="I10" s="35">
        <v>0.41</v>
      </c>
      <c r="J10" s="162">
        <v>0.10388846896783405</v>
      </c>
      <c r="K10" s="162">
        <v>1.370043472533263E-2</v>
      </c>
      <c r="L10" s="84">
        <v>361764</v>
      </c>
      <c r="M10" s="78" t="s">
        <v>116</v>
      </c>
      <c r="N10" s="78"/>
      <c r="O10" s="78"/>
      <c r="P10" s="79"/>
      <c r="Q10" s="7"/>
      <c r="T10" s="209"/>
      <c r="U10" s="209"/>
    </row>
    <row r="11" spans="2:21">
      <c r="B11" s="18" t="s">
        <v>72</v>
      </c>
      <c r="C11" s="160">
        <v>94665</v>
      </c>
      <c r="D11" s="57" t="str">
        <f t="shared" ref="D11:D46" si="1">IF(C11&gt;375000,"Extra Large",IF(C11&gt;150000,"Large",IF(C11&gt;75000,"Medium",IF(C11&gt;20000,"Small","Extra Small"))))</f>
        <v>Medium</v>
      </c>
      <c r="E11" s="163">
        <v>4.0668929999999999E-2</v>
      </c>
      <c r="F11" s="163">
        <v>0.113</v>
      </c>
      <c r="G11" s="163">
        <v>0.14361773223435065</v>
      </c>
      <c r="H11" s="166">
        <v>0.2787920514707628</v>
      </c>
      <c r="I11" s="36">
        <v>0.188</v>
      </c>
      <c r="J11" s="163">
        <v>4.5600029431241265E-2</v>
      </c>
      <c r="K11" s="163">
        <v>4.7645036926935759E-2</v>
      </c>
      <c r="L11" s="85">
        <v>1791995</v>
      </c>
      <c r="M11" s="80" t="s">
        <v>116</v>
      </c>
      <c r="N11" s="80"/>
      <c r="O11" s="80"/>
      <c r="P11" s="81"/>
      <c r="Q11" s="7"/>
      <c r="T11" s="209"/>
      <c r="U11" s="209"/>
    </row>
    <row r="12" spans="2:21">
      <c r="B12" s="18" t="s">
        <v>80</v>
      </c>
      <c r="C12" s="160">
        <v>426515</v>
      </c>
      <c r="D12" s="57" t="str">
        <f t="shared" si="1"/>
        <v>Extra Large</v>
      </c>
      <c r="E12" s="163">
        <v>5.6630379999999994E-2</v>
      </c>
      <c r="F12" s="163">
        <v>0.14499999999999999</v>
      </c>
      <c r="G12" s="163">
        <v>0.11963882618510158</v>
      </c>
      <c r="H12" s="166">
        <v>0.13811687940583775</v>
      </c>
      <c r="I12" s="36">
        <v>0.18099999999999999</v>
      </c>
      <c r="J12" s="163">
        <v>6.7258416497069859E-2</v>
      </c>
      <c r="K12" s="163">
        <v>4.0874504898895145E-2</v>
      </c>
      <c r="L12" s="85">
        <v>5019520</v>
      </c>
      <c r="M12" s="80" t="s">
        <v>116</v>
      </c>
      <c r="N12" s="80"/>
      <c r="O12" s="80"/>
      <c r="P12" s="81"/>
      <c r="Q12" s="7"/>
      <c r="T12" s="209"/>
      <c r="U12" s="209"/>
    </row>
    <row r="13" spans="2:21">
      <c r="B13" s="18" t="s">
        <v>64</v>
      </c>
      <c r="C13" s="160">
        <v>39455</v>
      </c>
      <c r="D13" s="57" t="str">
        <f t="shared" si="1"/>
        <v>Small</v>
      </c>
      <c r="E13" s="163">
        <v>8.1797190000000006E-2</v>
      </c>
      <c r="F13" s="163">
        <v>0.15</v>
      </c>
      <c r="G13" s="163">
        <v>8.7962242622270634E-2</v>
      </c>
      <c r="H13" s="166">
        <v>0.22943563260789376</v>
      </c>
      <c r="I13" s="36">
        <v>0.39</v>
      </c>
      <c r="J13" s="163">
        <v>8.4374440665831399E-2</v>
      </c>
      <c r="K13" s="163">
        <v>3.0615877536489856E-2</v>
      </c>
      <c r="L13" s="85">
        <v>446000</v>
      </c>
      <c r="M13" s="80" t="s">
        <v>116</v>
      </c>
      <c r="N13" s="80"/>
      <c r="O13" s="80"/>
      <c r="P13" s="81"/>
      <c r="Q13" s="7"/>
      <c r="T13" s="209"/>
      <c r="U13" s="209"/>
    </row>
    <row r="14" spans="2:21">
      <c r="B14" s="18" t="s">
        <v>66</v>
      </c>
      <c r="C14" s="160">
        <v>53280</v>
      </c>
      <c r="D14" s="57" t="str">
        <f t="shared" si="1"/>
        <v>Small</v>
      </c>
      <c r="E14" s="163">
        <v>7.1908329999999993E-2</v>
      </c>
      <c r="F14" s="163">
        <v>0.20499999999999999</v>
      </c>
      <c r="G14" s="163">
        <v>7.1640675699592926E-2</v>
      </c>
      <c r="H14" s="166">
        <v>0.21043750992536128</v>
      </c>
      <c r="I14" s="36">
        <v>0.436</v>
      </c>
      <c r="J14" s="163">
        <v>9.5876003321339609E-2</v>
      </c>
      <c r="K14" s="163">
        <v>1.3475133196508903E-2</v>
      </c>
      <c r="L14" s="85">
        <v>615328</v>
      </c>
      <c r="M14" s="80" t="s">
        <v>116</v>
      </c>
      <c r="N14" s="80"/>
      <c r="O14" s="80"/>
      <c r="P14" s="81"/>
      <c r="Q14" s="7"/>
      <c r="T14" s="209"/>
      <c r="U14" s="209"/>
    </row>
    <row r="15" spans="2:21">
      <c r="B15" s="18" t="s">
        <v>67</v>
      </c>
      <c r="C15" s="160">
        <v>63315</v>
      </c>
      <c r="D15" s="57" t="str">
        <f t="shared" si="1"/>
        <v>Small</v>
      </c>
      <c r="E15" s="163">
        <v>9.8415849999999985E-2</v>
      </c>
      <c r="F15" s="163">
        <v>0.214</v>
      </c>
      <c r="G15" s="163">
        <v>0.11684147343147785</v>
      </c>
      <c r="H15" s="166">
        <v>0.29889760747123673</v>
      </c>
      <c r="I15" s="36">
        <v>0.38400000000000001</v>
      </c>
      <c r="J15" s="163">
        <v>0.11153339844579388</v>
      </c>
      <c r="K15" s="163">
        <v>1.4799926913941166E-2</v>
      </c>
      <c r="L15" s="85">
        <v>332653</v>
      </c>
      <c r="M15" s="80" t="s">
        <v>116</v>
      </c>
      <c r="N15" s="80"/>
      <c r="O15" s="80"/>
      <c r="P15" s="81"/>
      <c r="Q15" s="7"/>
      <c r="T15" s="209"/>
      <c r="U15" s="209"/>
    </row>
    <row r="16" spans="2:21">
      <c r="B16" s="18" t="s">
        <v>56</v>
      </c>
      <c r="C16" s="160">
        <v>23440</v>
      </c>
      <c r="D16" s="57" t="str">
        <f t="shared" si="1"/>
        <v>Small</v>
      </c>
      <c r="E16" s="163">
        <v>8.3662790000000001E-2</v>
      </c>
      <c r="F16" s="163">
        <v>0.23</v>
      </c>
      <c r="G16" s="163">
        <v>7.2167256122129209E-2</v>
      </c>
      <c r="H16" s="166">
        <v>0.26902958152958151</v>
      </c>
      <c r="I16" s="36">
        <v>0.48</v>
      </c>
      <c r="J16" s="163">
        <v>0.12438408845090734</v>
      </c>
      <c r="K16" s="163">
        <v>1.2850082372322899E-2</v>
      </c>
      <c r="L16" s="85">
        <v>1584688</v>
      </c>
      <c r="M16" s="80" t="s">
        <v>116</v>
      </c>
      <c r="N16" s="80"/>
      <c r="O16" s="80"/>
      <c r="P16" s="81"/>
      <c r="Q16" s="7"/>
      <c r="T16" s="209"/>
      <c r="U16" s="209"/>
    </row>
    <row r="17" spans="2:21">
      <c r="B17" s="18" t="s">
        <v>57</v>
      </c>
      <c r="C17" s="160">
        <v>23005</v>
      </c>
      <c r="D17" s="57" t="str">
        <f t="shared" si="1"/>
        <v>Small</v>
      </c>
      <c r="E17" s="163">
        <v>9.8974709999999994E-2</v>
      </c>
      <c r="F17" s="163">
        <v>0.20399999999999999</v>
      </c>
      <c r="G17" s="163">
        <v>9.2726707246634385E-2</v>
      </c>
      <c r="H17" s="166">
        <v>0.24108864278348205</v>
      </c>
      <c r="I17" s="36">
        <v>0.38700000000000001</v>
      </c>
      <c r="J17" s="163">
        <v>0.10947055258663435</v>
      </c>
      <c r="K17" s="163">
        <v>1.3102458447150332E-2</v>
      </c>
      <c r="L17" s="85">
        <v>703878</v>
      </c>
      <c r="M17" s="80" t="s">
        <v>116</v>
      </c>
      <c r="N17" s="80"/>
      <c r="O17" s="80"/>
      <c r="P17" s="81"/>
      <c r="Q17" s="7"/>
      <c r="T17" s="209"/>
      <c r="U17" s="209"/>
    </row>
    <row r="18" spans="2:21">
      <c r="B18" s="18" t="s">
        <v>76</v>
      </c>
      <c r="C18" s="160">
        <v>197015</v>
      </c>
      <c r="D18" s="57" t="str">
        <f t="shared" si="1"/>
        <v>Large</v>
      </c>
      <c r="E18" s="163">
        <v>5.375133E-2</v>
      </c>
      <c r="F18" s="163">
        <v>0.13699999999999998</v>
      </c>
      <c r="G18" s="163">
        <v>6.5085252435783877E-2</v>
      </c>
      <c r="H18" s="166">
        <v>0.18767801513128615</v>
      </c>
      <c r="I18" s="36">
        <v>0.27600000000000002</v>
      </c>
      <c r="J18" s="163">
        <v>6.4709260039046049E-2</v>
      </c>
      <c r="K18" s="163">
        <v>2.1095839220861116E-2</v>
      </c>
      <c r="L18" s="85">
        <v>3814900</v>
      </c>
      <c r="M18" s="80" t="s">
        <v>116</v>
      </c>
      <c r="N18" s="80"/>
      <c r="O18" s="80"/>
      <c r="P18" s="81"/>
      <c r="Q18" s="7"/>
      <c r="T18" s="209"/>
      <c r="U18" s="209"/>
    </row>
    <row r="19" spans="2:21">
      <c r="B19" s="18" t="s">
        <v>74</v>
      </c>
      <c r="C19" s="160">
        <v>112530</v>
      </c>
      <c r="D19" s="57" t="str">
        <f t="shared" si="1"/>
        <v>Medium</v>
      </c>
      <c r="E19" s="163">
        <v>0.10093575</v>
      </c>
      <c r="F19" s="163">
        <v>0.222</v>
      </c>
      <c r="G19" s="163">
        <v>7.483175318261126E-2</v>
      </c>
      <c r="H19" s="166">
        <v>0.27764111677500819</v>
      </c>
      <c r="I19" s="36">
        <v>0.41199999999999998</v>
      </c>
      <c r="J19" s="163">
        <v>0.10892266853651207</v>
      </c>
      <c r="K19" s="163">
        <v>1.1854937610714216E-2</v>
      </c>
      <c r="L19" s="85">
        <v>444652</v>
      </c>
      <c r="M19" s="80" t="s">
        <v>116</v>
      </c>
      <c r="N19" s="80"/>
      <c r="O19" s="80"/>
      <c r="P19" s="81"/>
      <c r="Q19" s="7"/>
      <c r="T19" s="209"/>
      <c r="U19" s="209"/>
    </row>
    <row r="20" spans="2:21">
      <c r="B20" s="27" t="s">
        <v>117</v>
      </c>
      <c r="C20" s="54">
        <v>1990</v>
      </c>
      <c r="D20" s="54" t="str">
        <f t="shared" si="1"/>
        <v>Extra Small</v>
      </c>
      <c r="E20" s="55"/>
      <c r="F20" s="55"/>
      <c r="G20" s="55">
        <v>7.0267435762978503E-2</v>
      </c>
      <c r="H20" s="184">
        <v>0.2425039452919516</v>
      </c>
      <c r="I20" s="55"/>
      <c r="J20" s="55">
        <v>9.668508287292818E-2</v>
      </c>
      <c r="K20" s="55">
        <v>2.7442371020856202E-2</v>
      </c>
      <c r="L20" s="197"/>
      <c r="M20" s="197"/>
      <c r="N20" s="197"/>
      <c r="O20" s="197"/>
      <c r="P20" s="198"/>
      <c r="Q20" s="7"/>
      <c r="T20" s="209"/>
      <c r="U20" s="209"/>
    </row>
    <row r="21" spans="2:21">
      <c r="B21" s="18" t="s">
        <v>52</v>
      </c>
      <c r="C21" s="160">
        <v>7315</v>
      </c>
      <c r="D21" s="57" t="str">
        <f t="shared" si="1"/>
        <v>Extra Small</v>
      </c>
      <c r="E21" s="163">
        <v>7.9334200000000007E-2</v>
      </c>
      <c r="F21" s="163">
        <v>0.155</v>
      </c>
      <c r="G21" s="163">
        <v>5.3181122093832661E-2</v>
      </c>
      <c r="H21" s="166">
        <v>0.27554486272289841</v>
      </c>
      <c r="I21" s="36">
        <v>1</v>
      </c>
      <c r="J21" s="163">
        <v>0.11228389444949954</v>
      </c>
      <c r="K21" s="163">
        <v>6.2718786464410732E-3</v>
      </c>
      <c r="L21" s="85">
        <v>0</v>
      </c>
      <c r="M21" s="80" t="s">
        <v>116</v>
      </c>
      <c r="N21" s="80"/>
      <c r="O21" s="80"/>
      <c r="P21" s="81"/>
      <c r="Q21" s="7"/>
      <c r="T21" s="209"/>
      <c r="U21" s="209"/>
    </row>
    <row r="22" spans="2:21">
      <c r="B22" s="18" t="s">
        <v>51</v>
      </c>
      <c r="C22" s="160">
        <v>7280</v>
      </c>
      <c r="D22" s="57" t="str">
        <f t="shared" si="1"/>
        <v>Extra Small</v>
      </c>
      <c r="E22" s="163">
        <v>9.5802139999999994E-2</v>
      </c>
      <c r="F22" s="163">
        <v>0.122</v>
      </c>
      <c r="G22" s="163">
        <v>9.0896513558384059E-2</v>
      </c>
      <c r="H22" s="166">
        <v>0.27595435976898153</v>
      </c>
      <c r="I22" s="36">
        <v>0.443</v>
      </c>
      <c r="J22" s="163">
        <v>0.1021883920076118</v>
      </c>
      <c r="K22" s="163">
        <v>1.5169194865810968E-2</v>
      </c>
      <c r="L22" s="85">
        <v>172270</v>
      </c>
      <c r="M22" s="80" t="s">
        <v>116</v>
      </c>
      <c r="N22" s="80"/>
      <c r="O22" s="80"/>
      <c r="P22" s="81"/>
      <c r="Q22" s="7"/>
      <c r="T22" s="209"/>
      <c r="U22" s="209"/>
    </row>
    <row r="23" spans="2:21">
      <c r="B23" s="18" t="s">
        <v>59</v>
      </c>
      <c r="C23" s="160">
        <v>25640</v>
      </c>
      <c r="D23" s="57" t="str">
        <f t="shared" si="1"/>
        <v>Small</v>
      </c>
      <c r="E23" s="163">
        <v>4.750973E-2</v>
      </c>
      <c r="F23" s="163">
        <v>0.16399999999999998</v>
      </c>
      <c r="G23" s="163">
        <v>0.13401928148372313</v>
      </c>
      <c r="H23" s="166">
        <v>0.2071000743234381</v>
      </c>
      <c r="I23" s="36">
        <v>0.52200000000000002</v>
      </c>
      <c r="J23" s="163">
        <v>0.18945337620578778</v>
      </c>
      <c r="K23" s="163">
        <v>0.15446440944154463</v>
      </c>
      <c r="L23" s="85">
        <v>729676</v>
      </c>
      <c r="M23" s="80" t="s">
        <v>116</v>
      </c>
      <c r="N23" s="80"/>
      <c r="O23" s="80"/>
      <c r="P23" s="81"/>
      <c r="Q23" s="7"/>
      <c r="T23" s="209"/>
      <c r="U23" s="209"/>
    </row>
    <row r="24" spans="2:21">
      <c r="B24" s="18" t="s">
        <v>77</v>
      </c>
      <c r="C24" s="160">
        <v>223240</v>
      </c>
      <c r="D24" s="57" t="str">
        <f t="shared" si="1"/>
        <v>Large</v>
      </c>
      <c r="E24" s="163">
        <v>7.6263950000000011E-2</v>
      </c>
      <c r="F24" s="163">
        <v>0.184</v>
      </c>
      <c r="G24" s="163">
        <v>8.6331539621126913E-2</v>
      </c>
      <c r="H24" s="166">
        <v>0.26824137573224915</v>
      </c>
      <c r="I24" s="36">
        <v>0.20100000000000001</v>
      </c>
      <c r="J24" s="163">
        <v>0.10373965023348289</v>
      </c>
      <c r="K24" s="163">
        <v>3.5138513530205188E-2</v>
      </c>
      <c r="L24" s="85">
        <v>2298330</v>
      </c>
      <c r="M24" s="80" t="s">
        <v>116</v>
      </c>
      <c r="N24" s="80"/>
      <c r="O24" s="80"/>
      <c r="P24" s="81"/>
      <c r="Q24" s="7"/>
      <c r="T24" s="209"/>
      <c r="U24" s="209"/>
    </row>
    <row r="25" spans="2:21">
      <c r="B25" s="18" t="s">
        <v>58</v>
      </c>
      <c r="C25" s="160">
        <v>24105</v>
      </c>
      <c r="D25" s="57" t="str">
        <f t="shared" si="1"/>
        <v>Small</v>
      </c>
      <c r="E25" s="163">
        <v>8.5968059999999999E-2</v>
      </c>
      <c r="F25" s="163">
        <v>0.13699999999999998</v>
      </c>
      <c r="G25" s="163">
        <v>0.28928833772631035</v>
      </c>
      <c r="H25" s="166">
        <v>0.30349789583239062</v>
      </c>
      <c r="I25" s="36">
        <v>0.63100000000000001</v>
      </c>
      <c r="J25" s="163">
        <v>0.14004805260495701</v>
      </c>
      <c r="K25" s="163">
        <v>4.9472082622527551E-2</v>
      </c>
      <c r="L25" s="85">
        <v>261557</v>
      </c>
      <c r="M25" s="80" t="s">
        <v>116</v>
      </c>
      <c r="N25" s="80"/>
      <c r="O25" s="80"/>
      <c r="P25" s="81"/>
      <c r="Q25" s="7"/>
      <c r="T25" s="209"/>
      <c r="U25" s="209"/>
    </row>
    <row r="26" spans="2:21">
      <c r="B26" s="18" t="s">
        <v>71</v>
      </c>
      <c r="C26" s="160">
        <v>86560</v>
      </c>
      <c r="D26" s="57" t="str">
        <f t="shared" si="1"/>
        <v>Medium</v>
      </c>
      <c r="E26" s="163">
        <v>9.9210980000000004E-2</v>
      </c>
      <c r="F26" s="163">
        <v>0.218</v>
      </c>
      <c r="G26" s="163">
        <v>7.9491348954738486E-2</v>
      </c>
      <c r="H26" s="166">
        <v>0.33520512729383611</v>
      </c>
      <c r="I26" s="36">
        <v>0.45</v>
      </c>
      <c r="J26" s="163">
        <v>9.7927181538266198E-2</v>
      </c>
      <c r="K26" s="163">
        <v>1.3108498984552895E-2</v>
      </c>
      <c r="L26" s="85">
        <v>657998</v>
      </c>
      <c r="M26" s="80" t="s">
        <v>116</v>
      </c>
      <c r="N26" s="80"/>
      <c r="O26" s="80"/>
      <c r="P26" s="81"/>
      <c r="Q26" s="7"/>
      <c r="T26" s="209"/>
      <c r="U26" s="209"/>
    </row>
    <row r="27" spans="2:21">
      <c r="B27" s="18" t="s">
        <v>68</v>
      </c>
      <c r="C27" s="160">
        <v>68075</v>
      </c>
      <c r="D27" s="57" t="str">
        <f t="shared" si="1"/>
        <v>Small</v>
      </c>
      <c r="E27" s="163">
        <v>9.6826550000000011E-2</v>
      </c>
      <c r="F27" s="163">
        <v>0.17399999999999999</v>
      </c>
      <c r="G27" s="163">
        <v>0.12005730659025787</v>
      </c>
      <c r="H27" s="166">
        <v>0.33197549770290963</v>
      </c>
      <c r="I27" s="36">
        <v>0.376</v>
      </c>
      <c r="J27" s="163">
        <v>0.12596828136800087</v>
      </c>
      <c r="K27" s="163">
        <v>3.3411008437123343E-2</v>
      </c>
      <c r="L27" s="85">
        <v>542426</v>
      </c>
      <c r="M27" s="80" t="s">
        <v>116</v>
      </c>
      <c r="N27" s="80"/>
      <c r="O27" s="80"/>
      <c r="P27" s="81"/>
      <c r="Q27" s="7"/>
      <c r="T27" s="209"/>
      <c r="U27" s="209"/>
    </row>
    <row r="28" spans="2:21">
      <c r="B28" s="18" t="s">
        <v>53</v>
      </c>
      <c r="C28" s="160">
        <v>8075</v>
      </c>
      <c r="D28" s="57" t="str">
        <f t="shared" si="1"/>
        <v>Extra Small</v>
      </c>
      <c r="E28" s="163">
        <v>9.3079839999999997E-2</v>
      </c>
      <c r="F28" s="163">
        <v>0.17899999999999999</v>
      </c>
      <c r="G28" s="163">
        <v>8.9506566364911389E-2</v>
      </c>
      <c r="H28" s="166">
        <v>0.32648275862068965</v>
      </c>
      <c r="I28" s="36">
        <v>0.63300000000000001</v>
      </c>
      <c r="J28" s="163">
        <v>0.13104736038024103</v>
      </c>
      <c r="K28" s="163">
        <v>1.7890772128060263E-2</v>
      </c>
      <c r="L28" s="85">
        <v>187877</v>
      </c>
      <c r="M28" s="80" t="s">
        <v>116</v>
      </c>
      <c r="N28" s="80"/>
      <c r="O28" s="80"/>
      <c r="P28" s="81"/>
      <c r="Q28" s="7"/>
      <c r="T28" s="209"/>
      <c r="U28" s="209"/>
    </row>
    <row r="29" spans="2:21">
      <c r="B29" s="18" t="s">
        <v>79</v>
      </c>
      <c r="C29" s="160">
        <v>381365</v>
      </c>
      <c r="D29" s="57" t="str">
        <f t="shared" si="1"/>
        <v>Extra Large</v>
      </c>
      <c r="E29" s="163">
        <v>6.8141679999999996E-2</v>
      </c>
      <c r="F29" s="163">
        <v>0.16600000000000001</v>
      </c>
      <c r="G29" s="163">
        <v>0.1300198979619499</v>
      </c>
      <c r="H29" s="166">
        <v>0.28730761886047818</v>
      </c>
      <c r="I29" s="36">
        <v>0.17499999999999999</v>
      </c>
      <c r="J29" s="163">
        <v>8.6174325107355759E-2</v>
      </c>
      <c r="K29" s="163">
        <v>2.5791358183192822E-2</v>
      </c>
      <c r="L29" s="85">
        <v>4024080</v>
      </c>
      <c r="M29" s="80" t="s">
        <v>116</v>
      </c>
      <c r="N29" s="80"/>
      <c r="O29" s="80"/>
      <c r="P29" s="81"/>
      <c r="Q29" s="7"/>
      <c r="T29" s="209"/>
      <c r="U29" s="209"/>
    </row>
    <row r="30" spans="2:21">
      <c r="B30" s="18" t="s">
        <v>65</v>
      </c>
      <c r="C30" s="160">
        <v>48305</v>
      </c>
      <c r="D30" s="57" t="str">
        <f t="shared" si="1"/>
        <v>Small</v>
      </c>
      <c r="E30" s="163">
        <v>9.7818940000000007E-2</v>
      </c>
      <c r="F30" s="163">
        <v>0.21299999999999999</v>
      </c>
      <c r="G30" s="163">
        <v>0.11814707295169274</v>
      </c>
      <c r="H30" s="166">
        <v>0.28095601322145947</v>
      </c>
      <c r="I30" s="36">
        <v>0.376</v>
      </c>
      <c r="J30" s="163">
        <v>9.4152142042677966E-2</v>
      </c>
      <c r="K30" s="163">
        <v>1.9758771929824562E-2</v>
      </c>
      <c r="L30" s="85">
        <v>1458472</v>
      </c>
      <c r="M30" s="80" t="s">
        <v>116</v>
      </c>
      <c r="N30" s="80"/>
      <c r="O30" s="80"/>
      <c r="P30" s="81"/>
      <c r="Q30" s="7"/>
      <c r="T30" s="209"/>
      <c r="U30" s="209"/>
    </row>
    <row r="31" spans="2:21">
      <c r="B31" s="18" t="s">
        <v>75</v>
      </c>
      <c r="C31" s="160">
        <v>127320</v>
      </c>
      <c r="D31" s="57" t="str">
        <f t="shared" si="1"/>
        <v>Medium</v>
      </c>
      <c r="E31" s="163">
        <v>7.4680110000000008E-2</v>
      </c>
      <c r="F31" s="163">
        <v>0.18100000000000002</v>
      </c>
      <c r="G31" s="163">
        <v>9.5881826320501337E-2</v>
      </c>
      <c r="H31" s="166">
        <v>0.25578581775085596</v>
      </c>
      <c r="I31" s="36">
        <v>0.316</v>
      </c>
      <c r="J31" s="163">
        <v>0.10089543820066277</v>
      </c>
      <c r="K31" s="163">
        <v>2.4106299860542066E-2</v>
      </c>
      <c r="L31" s="85">
        <v>1327242</v>
      </c>
      <c r="M31" s="80" t="s">
        <v>116</v>
      </c>
      <c r="N31" s="80"/>
      <c r="O31" s="80"/>
      <c r="P31" s="81"/>
      <c r="Q31" s="7"/>
      <c r="T31" s="209"/>
      <c r="U31" s="209"/>
    </row>
    <row r="32" spans="2:21">
      <c r="B32" s="18" t="s">
        <v>63</v>
      </c>
      <c r="C32" s="160">
        <v>32105</v>
      </c>
      <c r="D32" s="57" t="str">
        <f t="shared" si="1"/>
        <v>Small</v>
      </c>
      <c r="E32" s="163">
        <v>7.7298069999999997E-2</v>
      </c>
      <c r="F32" s="163">
        <v>0.27100000000000002</v>
      </c>
      <c r="G32" s="163">
        <v>0.10926357990207354</v>
      </c>
      <c r="H32" s="166">
        <v>0.36521673972500096</v>
      </c>
      <c r="I32" s="36">
        <v>0.48399999999999999</v>
      </c>
      <c r="J32" s="163">
        <v>0.1910630959626699</v>
      </c>
      <c r="K32" s="163">
        <v>7.8250132298465336E-2</v>
      </c>
      <c r="L32" s="85">
        <v>474185</v>
      </c>
      <c r="M32" s="80" t="s">
        <v>116</v>
      </c>
      <c r="N32" s="80"/>
      <c r="O32" s="80"/>
      <c r="P32" s="81"/>
      <c r="Q32" s="7"/>
      <c r="T32" s="209"/>
      <c r="U32" s="209"/>
    </row>
    <row r="33" spans="2:21">
      <c r="B33" s="18" t="s">
        <v>78</v>
      </c>
      <c r="C33" s="160">
        <v>349120</v>
      </c>
      <c r="D33" s="57" t="str">
        <f t="shared" si="1"/>
        <v>Large</v>
      </c>
      <c r="E33" s="163">
        <v>6.3607510000000006E-2</v>
      </c>
      <c r="F33" s="163">
        <v>0.192</v>
      </c>
      <c r="G33" s="163">
        <v>0.18943058175608621</v>
      </c>
      <c r="H33" s="166">
        <v>0.27417406553517121</v>
      </c>
      <c r="I33" s="36">
        <v>0.13100000000000001</v>
      </c>
      <c r="J33" s="163">
        <v>0.14741470645743621</v>
      </c>
      <c r="K33" s="163">
        <v>0.10408129343246751</v>
      </c>
      <c r="L33" s="85">
        <v>4647307</v>
      </c>
      <c r="M33" s="80" t="s">
        <v>116</v>
      </c>
      <c r="N33" s="80"/>
      <c r="O33" s="80"/>
      <c r="P33" s="81"/>
      <c r="Q33" s="7"/>
      <c r="T33" s="209"/>
      <c r="U33" s="209"/>
    </row>
    <row r="34" spans="2:21">
      <c r="B34" s="18" t="s">
        <v>54</v>
      </c>
      <c r="C34" s="160">
        <v>12825</v>
      </c>
      <c r="D34" s="57" t="str">
        <f t="shared" si="1"/>
        <v>Extra Small</v>
      </c>
      <c r="E34" s="163">
        <v>6.6599549999999993E-2</v>
      </c>
      <c r="F34" s="163">
        <v>0.312</v>
      </c>
      <c r="G34" s="163">
        <v>0.11404369148461882</v>
      </c>
      <c r="H34" s="166">
        <v>0.29377013963480131</v>
      </c>
      <c r="I34" s="36">
        <v>0.45900000000000002</v>
      </c>
      <c r="J34" s="163">
        <v>0.24689265536723165</v>
      </c>
      <c r="K34" s="163">
        <v>0.15267839876232836</v>
      </c>
      <c r="L34" s="85">
        <v>712823</v>
      </c>
      <c r="M34" s="80" t="s">
        <v>116</v>
      </c>
      <c r="N34" s="80"/>
      <c r="O34" s="80"/>
      <c r="P34" s="81"/>
      <c r="Q34" s="7"/>
      <c r="T34" s="209"/>
      <c r="U34" s="209"/>
    </row>
    <row r="35" spans="2:21">
      <c r="B35" s="18" t="s">
        <v>82</v>
      </c>
      <c r="C35" s="160">
        <v>829560</v>
      </c>
      <c r="D35" s="57" t="str">
        <f t="shared" si="1"/>
        <v>Extra Large</v>
      </c>
      <c r="E35" s="163">
        <v>6.2221129999999999E-2</v>
      </c>
      <c r="F35" s="163">
        <v>0.161</v>
      </c>
      <c r="G35" s="163">
        <v>0.22188526345181289</v>
      </c>
      <c r="H35" s="166">
        <v>0.23381795591069882</v>
      </c>
      <c r="I35" s="36">
        <v>1.2999999999999999E-2</v>
      </c>
      <c r="J35" s="163">
        <v>8.7056662281201555E-2</v>
      </c>
      <c r="K35" s="163">
        <v>8.4254448034793039E-2</v>
      </c>
      <c r="L35" s="85">
        <v>25329190</v>
      </c>
      <c r="M35" s="80" t="s">
        <v>116</v>
      </c>
      <c r="N35" s="80"/>
      <c r="O35" s="80"/>
      <c r="P35" s="81"/>
      <c r="Q35" s="7"/>
      <c r="T35" s="209"/>
      <c r="U35" s="209"/>
    </row>
    <row r="36" spans="2:21">
      <c r="B36" s="48" t="s">
        <v>62</v>
      </c>
      <c r="C36" s="54">
        <f>C20+C38+C43</f>
        <v>31080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84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9">
        <v>772441</v>
      </c>
      <c r="M36" s="197" t="s">
        <v>116</v>
      </c>
      <c r="N36" s="197"/>
      <c r="O36" s="197"/>
      <c r="P36" s="198"/>
      <c r="Q36" s="7"/>
    </row>
    <row r="37" spans="2:21">
      <c r="B37" s="18" t="s">
        <v>70</v>
      </c>
      <c r="C37" s="160">
        <v>83805</v>
      </c>
      <c r="D37" s="57" t="str">
        <f t="shared" si="1"/>
        <v>Medium</v>
      </c>
      <c r="E37" s="163">
        <v>6.0078370000000006E-2</v>
      </c>
      <c r="F37" s="163">
        <v>0.183</v>
      </c>
      <c r="G37" s="163">
        <v>0.12019354759477814</v>
      </c>
      <c r="H37" s="166">
        <v>0.23463420155701728</v>
      </c>
      <c r="I37" s="36">
        <v>0.19900000000000001</v>
      </c>
      <c r="J37" s="163">
        <v>9.566050387968196E-2</v>
      </c>
      <c r="K37" s="163">
        <v>5.112740819862184E-2</v>
      </c>
      <c r="L37" s="85">
        <v>291010</v>
      </c>
      <c r="M37" s="80" t="s">
        <v>116</v>
      </c>
      <c r="N37" s="80"/>
      <c r="O37" s="80"/>
      <c r="P37" s="81"/>
      <c r="Q37" s="7"/>
      <c r="T37" s="209"/>
      <c r="U37" s="209"/>
    </row>
    <row r="38" spans="2:21">
      <c r="B38" s="27" t="s">
        <v>118</v>
      </c>
      <c r="C38" s="54">
        <v>1795</v>
      </c>
      <c r="D38" s="54" t="str">
        <f t="shared" si="1"/>
        <v>Extra Small</v>
      </c>
      <c r="E38" s="55"/>
      <c r="F38" s="55"/>
      <c r="G38" s="55">
        <v>4.5482866043613707E-2</v>
      </c>
      <c r="H38" s="184">
        <v>0.22423485321673953</v>
      </c>
      <c r="I38" s="55"/>
      <c r="J38" s="55">
        <v>8.6429725363489501E-2</v>
      </c>
      <c r="K38" s="55">
        <v>2.5974025974025974E-3</v>
      </c>
      <c r="L38" s="199"/>
      <c r="M38" s="197"/>
      <c r="N38" s="197"/>
      <c r="O38" s="197"/>
      <c r="P38" s="198"/>
      <c r="Q38" s="7"/>
      <c r="T38" s="209"/>
      <c r="U38" s="209"/>
    </row>
    <row r="39" spans="2:21">
      <c r="B39" s="18" t="s">
        <v>60</v>
      </c>
      <c r="C39" s="160">
        <v>26530</v>
      </c>
      <c r="D39" s="57" t="str">
        <f t="shared" si="1"/>
        <v>Small</v>
      </c>
      <c r="E39" s="163">
        <v>8.2220169999999995E-2</v>
      </c>
      <c r="F39" s="163">
        <v>0.16899999999999998</v>
      </c>
      <c r="G39" s="163">
        <v>7.5088203712225798E-2</v>
      </c>
      <c r="H39" s="166">
        <v>0.25437453094758461</v>
      </c>
      <c r="I39" s="36">
        <v>0.69599999999999995</v>
      </c>
      <c r="J39" s="163">
        <v>9.6828904764352158E-2</v>
      </c>
      <c r="K39" s="163">
        <v>3.1383278345537939E-2</v>
      </c>
      <c r="L39" s="85">
        <v>119798</v>
      </c>
      <c r="M39" s="80" t="s">
        <v>116</v>
      </c>
      <c r="N39" s="80"/>
      <c r="O39" s="80"/>
      <c r="P39" s="81"/>
      <c r="Q39" s="7"/>
      <c r="T39" s="209"/>
      <c r="U39" s="209"/>
    </row>
    <row r="40" spans="2:21">
      <c r="B40" s="18" t="s">
        <v>69</v>
      </c>
      <c r="C40" s="160">
        <v>81495</v>
      </c>
      <c r="D40" s="57" t="str">
        <f t="shared" si="1"/>
        <v>Medium</v>
      </c>
      <c r="E40" s="163">
        <v>7.0862040000000001E-2</v>
      </c>
      <c r="F40" s="163">
        <v>0.184</v>
      </c>
      <c r="G40" s="163">
        <v>0.14515331998231423</v>
      </c>
      <c r="H40" s="166">
        <v>0.2947186267045061</v>
      </c>
      <c r="I40" s="36">
        <v>0.29099999999999998</v>
      </c>
      <c r="J40" s="163">
        <v>0.1782276866667995</v>
      </c>
      <c r="K40" s="163">
        <v>0.10513829579390996</v>
      </c>
      <c r="L40" s="85">
        <v>532317</v>
      </c>
      <c r="M40" s="80" t="s">
        <v>116</v>
      </c>
      <c r="N40" s="80"/>
      <c r="O40" s="80"/>
      <c r="P40" s="81"/>
      <c r="Q40" s="7"/>
      <c r="T40" s="209"/>
      <c r="U40" s="209"/>
    </row>
    <row r="41" spans="2:21">
      <c r="B41" s="18" t="s">
        <v>61</v>
      </c>
      <c r="C41" s="160">
        <v>26840</v>
      </c>
      <c r="D41" s="57" t="str">
        <f t="shared" si="1"/>
        <v>Small</v>
      </c>
      <c r="E41" s="163">
        <v>7.7874589999999994E-2</v>
      </c>
      <c r="F41" s="163">
        <v>0.106</v>
      </c>
      <c r="G41" s="163">
        <v>7.9414476717381277E-2</v>
      </c>
      <c r="H41" s="166">
        <v>0.30462135000395663</v>
      </c>
      <c r="I41" s="36">
        <v>0.42099999999999999</v>
      </c>
      <c r="J41" s="163">
        <v>7.6918634867471275E-2</v>
      </c>
      <c r="K41" s="163">
        <v>1.6070990431013329E-2</v>
      </c>
      <c r="L41" s="85">
        <v>153290</v>
      </c>
      <c r="M41" s="80" t="s">
        <v>116</v>
      </c>
      <c r="N41" s="80"/>
      <c r="O41" s="80"/>
      <c r="P41" s="81"/>
      <c r="Q41" s="7"/>
      <c r="T41" s="209"/>
      <c r="U41" s="209"/>
    </row>
    <row r="42" spans="2:21">
      <c r="B42" s="18" t="s">
        <v>50</v>
      </c>
      <c r="C42" s="160">
        <v>7160</v>
      </c>
      <c r="D42" s="57" t="str">
        <f t="shared" si="1"/>
        <v>Extra Small</v>
      </c>
      <c r="E42" s="163">
        <v>6.8052559999999998E-2</v>
      </c>
      <c r="F42" s="163">
        <v>0.14899999999999999</v>
      </c>
      <c r="G42" s="163">
        <v>4.9393414211438474E-2</v>
      </c>
      <c r="H42" s="166">
        <v>0.25040316669110102</v>
      </c>
      <c r="I42" s="36">
        <v>1</v>
      </c>
      <c r="J42" s="163">
        <v>7.5023041474654384E-2</v>
      </c>
      <c r="K42" s="163">
        <v>1.0912397696271597E-2</v>
      </c>
      <c r="L42" s="85">
        <v>0</v>
      </c>
      <c r="M42" s="80" t="s">
        <v>116</v>
      </c>
      <c r="N42" s="80"/>
      <c r="O42" s="80"/>
      <c r="P42" s="81"/>
      <c r="Q42" s="7"/>
      <c r="T42" s="209"/>
      <c r="U42" s="209"/>
    </row>
    <row r="43" spans="2:21">
      <c r="B43" s="27" t="s">
        <v>119</v>
      </c>
      <c r="C43" s="54">
        <v>27295</v>
      </c>
      <c r="D43" s="54" t="str">
        <f t="shared" si="1"/>
        <v>Small</v>
      </c>
      <c r="E43" s="55"/>
      <c r="F43" s="55"/>
      <c r="G43" s="55">
        <v>0.12785123327920822</v>
      </c>
      <c r="H43" s="184">
        <v>0.23915268918812504</v>
      </c>
      <c r="I43" s="55"/>
      <c r="J43" s="55">
        <v>0.1415831163795491</v>
      </c>
      <c r="K43" s="55">
        <v>5.9799430481614464E-2</v>
      </c>
      <c r="L43" s="199"/>
      <c r="M43" s="197"/>
      <c r="N43" s="197"/>
      <c r="O43" s="197"/>
      <c r="P43" s="198"/>
      <c r="Q43" s="7"/>
      <c r="T43" s="209"/>
      <c r="U43" s="209"/>
    </row>
    <row r="44" spans="2:21">
      <c r="B44" s="18" t="s">
        <v>81</v>
      </c>
      <c r="C44" s="160">
        <v>620080</v>
      </c>
      <c r="D44" s="57" t="str">
        <f t="shared" si="1"/>
        <v>Extra Large</v>
      </c>
      <c r="E44" s="163">
        <v>4.2650979999999998E-2</v>
      </c>
      <c r="F44" s="163">
        <v>0.151</v>
      </c>
      <c r="G44" s="163">
        <v>0.2386094692353834</v>
      </c>
      <c r="H44" s="166">
        <v>0.16330220782308263</v>
      </c>
      <c r="I44" s="36">
        <v>5.6000000000000001E-2</v>
      </c>
      <c r="J44" s="163">
        <v>8.3950044504063362E-2</v>
      </c>
      <c r="K44" s="163">
        <v>9.0625859571268771E-2</v>
      </c>
      <c r="L44" s="85">
        <v>8674852</v>
      </c>
      <c r="M44" s="80" t="s">
        <v>116</v>
      </c>
      <c r="N44" s="80"/>
      <c r="O44" s="80"/>
      <c r="P44" s="81"/>
      <c r="Q44" s="7"/>
      <c r="T44" s="209"/>
      <c r="U44" s="209"/>
    </row>
    <row r="45" spans="2:21">
      <c r="B45" s="18" t="s">
        <v>49</v>
      </c>
      <c r="C45" s="160">
        <v>1440</v>
      </c>
      <c r="D45" s="57" t="str">
        <f t="shared" si="1"/>
        <v>Extra Small</v>
      </c>
      <c r="E45" s="163">
        <v>6.5306119999999995E-2</v>
      </c>
      <c r="F45" s="163">
        <v>0.33399999999999996</v>
      </c>
      <c r="G45" s="163">
        <v>6.1711079943899017E-2</v>
      </c>
      <c r="H45" s="166">
        <v>0.3383084577114428</v>
      </c>
      <c r="I45" s="36">
        <v>1</v>
      </c>
      <c r="J45" s="163">
        <v>7.9234972677595633E-2</v>
      </c>
      <c r="K45" s="163">
        <v>7.3637702503681884E-4</v>
      </c>
      <c r="L45" s="85">
        <v>6791</v>
      </c>
      <c r="M45" s="80" t="s">
        <v>116</v>
      </c>
      <c r="N45" s="80"/>
      <c r="O45" s="80"/>
      <c r="P45" s="81"/>
      <c r="Q45" s="7"/>
      <c r="T45" s="209"/>
      <c r="U45" s="209"/>
    </row>
    <row r="46" spans="2:21">
      <c r="B46" s="19" t="s">
        <v>73</v>
      </c>
      <c r="C46" s="161">
        <v>108605</v>
      </c>
      <c r="D46" s="58" t="str">
        <f t="shared" si="1"/>
        <v>Medium</v>
      </c>
      <c r="E46" s="164">
        <v>6.2846349999999995E-2</v>
      </c>
      <c r="F46" s="164">
        <v>0.184</v>
      </c>
      <c r="G46" s="164">
        <v>0.11686572914659989</v>
      </c>
      <c r="H46" s="167">
        <v>0.21567317522496532</v>
      </c>
      <c r="I46" s="37">
        <v>0.22600000000000001</v>
      </c>
      <c r="J46" s="164">
        <v>0.11749373577949944</v>
      </c>
      <c r="K46" s="164">
        <v>5.2806933273375781E-2</v>
      </c>
      <c r="L46" s="86">
        <v>1553242</v>
      </c>
      <c r="M46" s="82" t="s">
        <v>116</v>
      </c>
      <c r="N46" s="82"/>
      <c r="O46" s="82"/>
      <c r="P46" s="83"/>
      <c r="Q46" s="7"/>
      <c r="T46" s="209"/>
      <c r="U46" s="209"/>
    </row>
    <row r="47" spans="2:21" ht="15.75" thickBot="1">
      <c r="C47" s="16">
        <f>SUM(C10:C46)-C36</f>
        <v>4268055</v>
      </c>
      <c r="D47" s="51"/>
    </row>
    <row r="48" spans="2:21" ht="15.75" thickTop="1"/>
    <row r="49" spans="11:11">
      <c r="K49" s="38"/>
    </row>
    <row r="50" spans="11:11">
      <c r="K50" s="38"/>
    </row>
    <row r="51" spans="11:11">
      <c r="K51" s="38"/>
    </row>
    <row r="52" spans="11:11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>
      <c r="B3" t="s">
        <v>120</v>
      </c>
      <c r="C3" s="1">
        <f>'County Data'!C5</f>
        <v>10000000</v>
      </c>
    </row>
    <row r="4" spans="2:6">
      <c r="B4" t="s">
        <v>121</v>
      </c>
      <c r="C4" s="14">
        <f>'County Data'!C9</f>
        <v>0</v>
      </c>
    </row>
    <row r="6" spans="2:6" s="2" customFormat="1" ht="30">
      <c r="B6" s="3" t="s">
        <v>32</v>
      </c>
      <c r="C6" s="3" t="s">
        <v>101</v>
      </c>
      <c r="D6" s="3" t="s">
        <v>122</v>
      </c>
      <c r="E6" s="13" t="s">
        <v>123</v>
      </c>
      <c r="F6" s="3" t="s">
        <v>124</v>
      </c>
    </row>
    <row r="7" spans="2:6">
      <c r="B7" s="20" t="str">
        <f>+'County Data'!$B$10</f>
        <v>Baker</v>
      </c>
      <c r="C7" s="15">
        <f>VLOOKUP($B7,'County Data'!$B$10:$P$46,2,FALSE)</f>
        <v>16910</v>
      </c>
      <c r="D7" s="6">
        <f t="shared" ref="D7:D40" si="0">C7/$C$41</f>
        <v>3.9619920549290016E-3</v>
      </c>
      <c r="E7" s="14">
        <f t="shared" ref="E7:E40" si="1">$C$4*D7</f>
        <v>0</v>
      </c>
      <c r="F7" s="10">
        <f t="shared" ref="F7:F40" si="2">E7/C7</f>
        <v>0</v>
      </c>
    </row>
    <row r="8" spans="2:6">
      <c r="B8" s="20" t="str">
        <f>+'County Data'!$B$19</f>
        <v>Douglas</v>
      </c>
      <c r="C8" s="15">
        <f>VLOOKUP($B8,'County Data'!$B$10:$P$46,2,FALSE)</f>
        <v>112530</v>
      </c>
      <c r="D8" s="6">
        <f t="shared" si="0"/>
        <v>2.6365639618046159E-2</v>
      </c>
      <c r="E8" s="14">
        <f t="shared" si="1"/>
        <v>0</v>
      </c>
      <c r="F8" s="10">
        <f t="shared" si="2"/>
        <v>0</v>
      </c>
    </row>
    <row r="9" spans="2:6">
      <c r="B9" s="20" t="str">
        <f>+'County Data'!$B$23</f>
        <v>Hood River</v>
      </c>
      <c r="C9" s="15">
        <f>VLOOKUP($B9,'County Data'!$B$10:$P$46,2,FALSE)</f>
        <v>25640</v>
      </c>
      <c r="D9" s="6">
        <f t="shared" si="0"/>
        <v>6.0074202417728919E-3</v>
      </c>
      <c r="E9" s="14">
        <f t="shared" si="1"/>
        <v>0</v>
      </c>
      <c r="F9" s="10">
        <f t="shared" si="2"/>
        <v>0</v>
      </c>
    </row>
    <row r="10" spans="2:6">
      <c r="B10" s="20" t="str">
        <f>+'County Data'!$B$24</f>
        <v>Jackson</v>
      </c>
      <c r="C10" s="15">
        <f>VLOOKUP($B10,'County Data'!$B$10:$P$46,2,FALSE)</f>
        <v>223240</v>
      </c>
      <c r="D10" s="6">
        <f t="shared" si="0"/>
        <v>5.2304855490381448E-2</v>
      </c>
      <c r="E10" s="14">
        <f t="shared" si="1"/>
        <v>0</v>
      </c>
      <c r="F10" s="10">
        <f t="shared" si="2"/>
        <v>0</v>
      </c>
    </row>
    <row r="11" spans="2:6">
      <c r="B11" s="20" t="str">
        <f>+'County Data'!$B$25</f>
        <v>Jefferson</v>
      </c>
      <c r="C11" s="15">
        <f>VLOOKUP($B11,'County Data'!$B$10:$P$46,2,FALSE)</f>
        <v>24105</v>
      </c>
      <c r="D11" s="6">
        <f t="shared" si="0"/>
        <v>5.6477716430552091E-3</v>
      </c>
      <c r="E11" s="14">
        <f t="shared" si="1"/>
        <v>0</v>
      </c>
      <c r="F11" s="10">
        <f t="shared" si="2"/>
        <v>0</v>
      </c>
    </row>
    <row r="12" spans="2:6">
      <c r="B12" s="20" t="str">
        <f>+'County Data'!$B$26</f>
        <v>Josephine</v>
      </c>
      <c r="C12" s="15">
        <f>VLOOKUP($B12,'County Data'!$B$10:$P$46,2,FALSE)</f>
        <v>86560</v>
      </c>
      <c r="D12" s="6">
        <f t="shared" si="0"/>
        <v>2.0280900785018E-2</v>
      </c>
      <c r="E12" s="14">
        <f t="shared" si="1"/>
        <v>0</v>
      </c>
      <c r="F12" s="10">
        <f t="shared" si="2"/>
        <v>0</v>
      </c>
    </row>
    <row r="13" spans="2:6">
      <c r="B13" s="20" t="str">
        <f>+'County Data'!$B$27</f>
        <v>Klamath</v>
      </c>
      <c r="C13" s="15">
        <f>VLOOKUP($B13,'County Data'!$B$10:$P$46,2,FALSE)</f>
        <v>68075</v>
      </c>
      <c r="D13" s="6">
        <f t="shared" si="0"/>
        <v>1.5949888180916132E-2</v>
      </c>
      <c r="E13" s="14">
        <f t="shared" si="1"/>
        <v>0</v>
      </c>
      <c r="F13" s="10">
        <f t="shared" si="2"/>
        <v>0</v>
      </c>
    </row>
    <row r="14" spans="2:6">
      <c r="B14" s="20" t="str">
        <f>+'County Data'!$B$29</f>
        <v>Lane</v>
      </c>
      <c r="C14" s="15">
        <f>VLOOKUP($B14,'County Data'!$B$10:$P$46,2,FALSE)</f>
        <v>381365</v>
      </c>
      <c r="D14" s="6">
        <f t="shared" si="0"/>
        <v>8.9353347133530381E-2</v>
      </c>
      <c r="E14" s="14">
        <f t="shared" si="1"/>
        <v>0</v>
      </c>
      <c r="F14" s="10">
        <f t="shared" si="2"/>
        <v>0</v>
      </c>
    </row>
    <row r="15" spans="2:6">
      <c r="B15" s="20" t="str">
        <f>+'County Data'!$B$11</f>
        <v>Benton</v>
      </c>
      <c r="C15" s="15">
        <f>VLOOKUP($B15,'County Data'!$B$10:$P$46,2,FALSE)</f>
        <v>94665</v>
      </c>
      <c r="D15" s="6">
        <f t="shared" si="0"/>
        <v>2.217989224599964E-2</v>
      </c>
      <c r="E15" s="14">
        <f t="shared" si="1"/>
        <v>0</v>
      </c>
      <c r="F15" s="10">
        <f t="shared" si="2"/>
        <v>0</v>
      </c>
    </row>
    <row r="16" spans="2:6">
      <c r="B16" s="20" t="str">
        <f>+'County Data'!$B$30</f>
        <v>Lincoln</v>
      </c>
      <c r="C16" s="15">
        <f>VLOOKUP($B16,'County Data'!$B$10:$P$46,2,FALSE)</f>
        <v>48305</v>
      </c>
      <c r="D16" s="6">
        <f t="shared" si="0"/>
        <v>1.131780166844148E-2</v>
      </c>
      <c r="E16" s="14">
        <f t="shared" si="1"/>
        <v>0</v>
      </c>
      <c r="F16" s="10">
        <f t="shared" si="2"/>
        <v>0</v>
      </c>
    </row>
    <row r="17" spans="2:6">
      <c r="B17" s="20" t="str">
        <f>+'County Data'!$B$31</f>
        <v>Linn</v>
      </c>
      <c r="C17" s="15">
        <f>VLOOKUP($B17,'County Data'!$B$10:$P$46,2,FALSE)</f>
        <v>127320</v>
      </c>
      <c r="D17" s="6">
        <f t="shared" si="0"/>
        <v>2.9830918298850415E-2</v>
      </c>
      <c r="E17" s="14">
        <f t="shared" si="1"/>
        <v>0</v>
      </c>
      <c r="F17" s="10">
        <f t="shared" si="2"/>
        <v>0</v>
      </c>
    </row>
    <row r="18" spans="2:6">
      <c r="B18" s="20" t="str">
        <f>+'County Data'!$B$32</f>
        <v>Malheur</v>
      </c>
      <c r="C18" s="15">
        <f>VLOOKUP($B18,'County Data'!$B$10:$P$46,2,FALSE)</f>
        <v>32105</v>
      </c>
      <c r="D18" s="6">
        <f t="shared" si="0"/>
        <v>7.5221617340919924E-3</v>
      </c>
      <c r="E18" s="14">
        <f t="shared" si="1"/>
        <v>0</v>
      </c>
      <c r="F18" s="10">
        <f t="shared" si="2"/>
        <v>0</v>
      </c>
    </row>
    <row r="19" spans="2:6">
      <c r="B19" s="20" t="str">
        <f>+'County Data'!$B$33</f>
        <v>Marion</v>
      </c>
      <c r="C19" s="15">
        <f>VLOOKUP($B19,'County Data'!$B$10:$P$46,2,FALSE)</f>
        <v>349120</v>
      </c>
      <c r="D19" s="6">
        <f t="shared" si="0"/>
        <v>8.1798383572845246E-2</v>
      </c>
      <c r="E19" s="14">
        <f t="shared" si="1"/>
        <v>0</v>
      </c>
      <c r="F19" s="10">
        <f t="shared" si="2"/>
        <v>0</v>
      </c>
    </row>
    <row r="20" spans="2:6">
      <c r="B20" s="20" t="str">
        <f>+'County Data'!$B$34</f>
        <v>Morrow</v>
      </c>
      <c r="C20" s="15">
        <f>VLOOKUP($B20,'County Data'!$B$10:$P$46,2,FALSE)</f>
        <v>12825</v>
      </c>
      <c r="D20" s="6">
        <f t="shared" si="0"/>
        <v>3.004881614693344E-3</v>
      </c>
      <c r="E20" s="14">
        <f t="shared" si="1"/>
        <v>0</v>
      </c>
      <c r="F20" s="10">
        <f t="shared" si="2"/>
        <v>0</v>
      </c>
    </row>
    <row r="21" spans="2:6">
      <c r="B21" s="20" t="str">
        <f>+'County Data'!$B$35</f>
        <v>Multnomah</v>
      </c>
      <c r="C21" s="15">
        <f>VLOOKUP($B21,'County Data'!$B$10:$P$46,2,FALSE)</f>
        <v>829560</v>
      </c>
      <c r="D21" s="6">
        <f t="shared" si="0"/>
        <v>0.19436488049005929</v>
      </c>
      <c r="E21" s="14">
        <f t="shared" si="1"/>
        <v>0</v>
      </c>
      <c r="F21" s="10">
        <f t="shared" si="2"/>
        <v>0</v>
      </c>
    </row>
    <row r="22" spans="2:6">
      <c r="B22" s="20" t="str">
        <f>+'County Data'!$B$36</f>
        <v>Gilliam, Sherman, Wasco</v>
      </c>
      <c r="C22" s="15">
        <f>VLOOKUP($B22,'County Data'!$B$10:$P$46,2,FALSE)</f>
        <v>31080</v>
      </c>
      <c r="D22" s="6">
        <f t="shared" si="0"/>
        <v>7.2820055036779052E-3</v>
      </c>
      <c r="E22" s="14">
        <f t="shared" si="1"/>
        <v>0</v>
      </c>
      <c r="F22" s="10">
        <f t="shared" si="2"/>
        <v>0</v>
      </c>
    </row>
    <row r="23" spans="2:6">
      <c r="B23" s="20" t="str">
        <f>+'County Data'!$B$37</f>
        <v>Polk</v>
      </c>
      <c r="C23" s="15">
        <f>VLOOKUP($B23,'County Data'!$B$10:$P$46,2,FALSE)</f>
        <v>83805</v>
      </c>
      <c r="D23" s="6">
        <f t="shared" si="0"/>
        <v>1.9635407697417208E-2</v>
      </c>
      <c r="E23" s="14">
        <f t="shared" si="1"/>
        <v>0</v>
      </c>
      <c r="F23" s="10">
        <f t="shared" si="2"/>
        <v>0</v>
      </c>
    </row>
    <row r="24" spans="2:6">
      <c r="B24" s="20" t="str">
        <f>+'County Data'!$B$39</f>
        <v>Tillamook</v>
      </c>
      <c r="C24" s="15">
        <f>VLOOKUP($B24,'County Data'!$B$10:$P$46,2,FALSE)</f>
        <v>26530</v>
      </c>
      <c r="D24" s="6">
        <f t="shared" si="0"/>
        <v>6.215946139400734E-3</v>
      </c>
      <c r="E24" s="14">
        <f t="shared" si="1"/>
        <v>0</v>
      </c>
      <c r="F24" s="10">
        <f t="shared" si="2"/>
        <v>0</v>
      </c>
    </row>
    <row r="25" spans="2:6">
      <c r="B25" s="20" t="str">
        <f>+'County Data'!$B$40</f>
        <v>Umatilla</v>
      </c>
      <c r="C25" s="15">
        <f>VLOOKUP($B25,'County Data'!$B$10:$P$46,2,FALSE)</f>
        <v>81495</v>
      </c>
      <c r="D25" s="6">
        <f t="shared" si="0"/>
        <v>1.9094177558630337E-2</v>
      </c>
      <c r="E25" s="14">
        <f t="shared" si="1"/>
        <v>0</v>
      </c>
      <c r="F25" s="10">
        <f t="shared" si="2"/>
        <v>0</v>
      </c>
    </row>
    <row r="26" spans="2:6">
      <c r="B26" s="20" t="str">
        <f>+'County Data'!$B$12</f>
        <v>Clackamas</v>
      </c>
      <c r="C26" s="15">
        <f>VLOOKUP($B26,'County Data'!$B$10:$P$46,2,FALSE)</f>
        <v>426515</v>
      </c>
      <c r="D26" s="6">
        <f t="shared" si="0"/>
        <v>9.993193620981923E-2</v>
      </c>
      <c r="E26" s="14">
        <f t="shared" si="1"/>
        <v>0</v>
      </c>
      <c r="F26" s="10">
        <f t="shared" si="2"/>
        <v>0</v>
      </c>
    </row>
    <row r="27" spans="2:6">
      <c r="B27" s="20" t="str">
        <f>+'County Data'!$B$41</f>
        <v>Union</v>
      </c>
      <c r="C27" s="15">
        <f>VLOOKUP($B27,'County Data'!$B$10:$P$46,2,FALSE)</f>
        <v>26840</v>
      </c>
      <c r="D27" s="6">
        <f t="shared" si="0"/>
        <v>6.2885787554284095E-3</v>
      </c>
      <c r="E27" s="14">
        <f t="shared" si="1"/>
        <v>0</v>
      </c>
      <c r="F27" s="10">
        <f t="shared" si="2"/>
        <v>0</v>
      </c>
    </row>
    <row r="28" spans="2:6">
      <c r="B28" s="20" t="str">
        <f>+'County Data'!$B$44</f>
        <v>Washington</v>
      </c>
      <c r="C28" s="15">
        <f>VLOOKUP($B28,'County Data'!$B$10:$P$46,2,FALSE)</f>
        <v>620080</v>
      </c>
      <c r="D28" s="6">
        <f t="shared" si="0"/>
        <v>0.14528397595626111</v>
      </c>
      <c r="E28" s="14">
        <f t="shared" si="1"/>
        <v>0</v>
      </c>
      <c r="F28" s="10">
        <f t="shared" si="2"/>
        <v>0</v>
      </c>
    </row>
    <row r="29" spans="2:6">
      <c r="B29" s="20" t="str">
        <f>+'County Data'!$B$46</f>
        <v>Yamhill</v>
      </c>
      <c r="C29" s="15">
        <f>VLOOKUP($B29,'County Data'!$B$10:$P$46,2,FALSE)</f>
        <v>108605</v>
      </c>
      <c r="D29" s="6">
        <f t="shared" si="0"/>
        <v>2.5446016979631236E-2</v>
      </c>
      <c r="E29" s="14">
        <f t="shared" si="1"/>
        <v>0</v>
      </c>
      <c r="F29" s="10">
        <f t="shared" si="2"/>
        <v>0</v>
      </c>
    </row>
    <row r="30" spans="2:6">
      <c r="B30" s="20" t="str">
        <f>+'County Data'!$B$13</f>
        <v>Clatsop</v>
      </c>
      <c r="C30" s="15">
        <f>VLOOKUP($B30,'County Data'!$B$10:$P$46,2,FALSE)</f>
        <v>39455</v>
      </c>
      <c r="D30" s="6">
        <f t="shared" si="0"/>
        <v>9.2442576302320372E-3</v>
      </c>
      <c r="E30" s="14">
        <f t="shared" si="1"/>
        <v>0</v>
      </c>
      <c r="F30" s="10">
        <f t="shared" si="2"/>
        <v>0</v>
      </c>
    </row>
    <row r="31" spans="2:6">
      <c r="B31" s="20" t="str">
        <f>+'County Data'!$B$14</f>
        <v>Columbia</v>
      </c>
      <c r="C31" s="15">
        <f>VLOOKUP($B31,'County Data'!$B$10:$P$46,2,FALSE)</f>
        <v>53280</v>
      </c>
      <c r="D31" s="6">
        <f t="shared" si="0"/>
        <v>1.248343800630498E-2</v>
      </c>
      <c r="E31" s="14">
        <f t="shared" si="1"/>
        <v>0</v>
      </c>
      <c r="F31" s="10">
        <f t="shared" si="2"/>
        <v>0</v>
      </c>
    </row>
    <row r="32" spans="2:6">
      <c r="B32" s="20" t="str">
        <f>+'County Data'!$B$15</f>
        <v>Coos</v>
      </c>
      <c r="C32" s="15">
        <f>VLOOKUP($B32,'County Data'!$B$10:$P$46,2,FALSE)</f>
        <v>63315</v>
      </c>
      <c r="D32" s="6">
        <f t="shared" si="0"/>
        <v>1.4834626076749246E-2</v>
      </c>
      <c r="E32" s="14">
        <f t="shared" si="1"/>
        <v>0</v>
      </c>
      <c r="F32" s="10">
        <f t="shared" si="2"/>
        <v>0</v>
      </c>
    </row>
    <row r="33" spans="2:6">
      <c r="B33" s="20" t="str">
        <f>+'County Data'!$B$16</f>
        <v>Crook</v>
      </c>
      <c r="C33" s="15">
        <f>VLOOKUP($B33,'County Data'!$B$10:$P$46,2,FALSE)</f>
        <v>23440</v>
      </c>
      <c r="D33" s="6">
        <f t="shared" si="0"/>
        <v>5.4919629667377762E-3</v>
      </c>
      <c r="E33" s="14">
        <f t="shared" si="1"/>
        <v>0</v>
      </c>
      <c r="F33" s="10">
        <f t="shared" si="2"/>
        <v>0</v>
      </c>
    </row>
    <row r="34" spans="2:6">
      <c r="B34" s="20" t="str">
        <f>+'County Data'!$B$17</f>
        <v>Curry</v>
      </c>
      <c r="C34" s="15">
        <f>VLOOKUP($B34,'County Data'!$B$10:$P$46,2,FALSE)</f>
        <v>23005</v>
      </c>
      <c r="D34" s="6">
        <f t="shared" si="0"/>
        <v>5.3900430055376508E-3</v>
      </c>
      <c r="E34" s="14">
        <f t="shared" si="1"/>
        <v>0</v>
      </c>
      <c r="F34" s="10">
        <f t="shared" si="2"/>
        <v>0</v>
      </c>
    </row>
    <row r="35" spans="2:6">
      <c r="B35" s="20" t="str">
        <f>+'County Data'!$B$18</f>
        <v>Deschutes</v>
      </c>
      <c r="C35" s="15">
        <f>VLOOKUP($B35,'County Data'!$B$10:$P$46,2,FALSE)</f>
        <v>197015</v>
      </c>
      <c r="D35" s="6">
        <f t="shared" si="0"/>
        <v>4.6160370473201491E-2</v>
      </c>
      <c r="E35" s="14">
        <f t="shared" si="1"/>
        <v>0</v>
      </c>
      <c r="F35" s="10">
        <f t="shared" si="2"/>
        <v>0</v>
      </c>
    </row>
    <row r="36" spans="2:6">
      <c r="B36" s="20" t="str">
        <f>+'County Data'!$B$21</f>
        <v>Grant</v>
      </c>
      <c r="C36" s="15">
        <f>VLOOKUP($B36,'County Data'!$B$10:$P$46,2,FALSE)</f>
        <v>7315</v>
      </c>
      <c r="D36" s="6">
        <f t="shared" si="0"/>
        <v>1.7138954394917592E-3</v>
      </c>
      <c r="E36" s="14">
        <f t="shared" si="1"/>
        <v>0</v>
      </c>
      <c r="F36" s="10">
        <f t="shared" si="2"/>
        <v>0</v>
      </c>
    </row>
    <row r="37" spans="2:6">
      <c r="B37" s="20" t="str">
        <f>+'County Data'!$B$22</f>
        <v>Harney</v>
      </c>
      <c r="C37" s="15">
        <f>VLOOKUP($B37,'County Data'!$B$10:$P$46,2,FALSE)</f>
        <v>7280</v>
      </c>
      <c r="D37" s="6">
        <f t="shared" si="0"/>
        <v>1.7056949828434733E-3</v>
      </c>
      <c r="E37" s="14">
        <f t="shared" si="1"/>
        <v>0</v>
      </c>
      <c r="F37" s="10">
        <f t="shared" si="2"/>
        <v>0</v>
      </c>
    </row>
    <row r="38" spans="2:6">
      <c r="B38" s="20" t="str">
        <f>+'County Data'!$B$28</f>
        <v>Lake</v>
      </c>
      <c r="C38" s="15">
        <f>VLOOKUP($B38,'County Data'!$B$10:$P$46,2,FALSE)</f>
        <v>8075</v>
      </c>
      <c r="D38" s="6">
        <f t="shared" si="0"/>
        <v>1.8919624981402535E-3</v>
      </c>
      <c r="E38" s="14">
        <f t="shared" si="1"/>
        <v>0</v>
      </c>
      <c r="F38" s="10">
        <f t="shared" si="2"/>
        <v>0</v>
      </c>
    </row>
    <row r="39" spans="2:6">
      <c r="B39" s="20" t="str">
        <f>+'County Data'!$B$42</f>
        <v>Wallowa</v>
      </c>
      <c r="C39" s="15">
        <f>VLOOKUP($B39,'County Data'!$B$10:$P$46,2,FALSE)</f>
        <v>7160</v>
      </c>
      <c r="D39" s="6">
        <f t="shared" si="0"/>
        <v>1.6775791314779214E-3</v>
      </c>
      <c r="E39" s="14">
        <f t="shared" si="1"/>
        <v>0</v>
      </c>
      <c r="F39" s="10">
        <f t="shared" si="2"/>
        <v>0</v>
      </c>
    </row>
    <row r="40" spans="2:6">
      <c r="B40" s="20" t="str">
        <f>'County Data'!$B$45</f>
        <v>Wheeler</v>
      </c>
      <c r="C40" s="15">
        <f>VLOOKUP($B40,'County Data'!$B$10:$P$46,2,FALSE)</f>
        <v>1440</v>
      </c>
      <c r="D40" s="6">
        <f t="shared" si="0"/>
        <v>3.373902163866211E-4</v>
      </c>
      <c r="E40" s="14">
        <f t="shared" si="1"/>
        <v>0</v>
      </c>
      <c r="F40" s="10">
        <f t="shared" si="2"/>
        <v>0</v>
      </c>
    </row>
    <row r="41" spans="2:6">
      <c r="B41" s="4" t="s">
        <v>83</v>
      </c>
      <c r="C41" s="5">
        <f t="shared" ref="C41:D41" si="3">SUM(C7:C40)</f>
        <v>4268055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>
      <c r="B3" t="s">
        <v>120</v>
      </c>
      <c r="C3" s="1">
        <f>'County Data'!C5</f>
        <v>10000000</v>
      </c>
    </row>
    <row r="4" spans="2:20">
      <c r="B4" t="s">
        <v>121</v>
      </c>
      <c r="C4" s="14">
        <f>C3*Input!C7</f>
        <v>1845000</v>
      </c>
    </row>
    <row r="6" spans="2:20" s="2" customFormat="1" ht="30">
      <c r="B6" s="3" t="s">
        <v>32</v>
      </c>
      <c r="C6" s="3" t="s">
        <v>101</v>
      </c>
      <c r="D6" s="3" t="s">
        <v>125</v>
      </c>
      <c r="E6" s="13" t="s">
        <v>126</v>
      </c>
      <c r="F6" s="3" t="s">
        <v>124</v>
      </c>
      <c r="P6" s="2" t="s">
        <v>127</v>
      </c>
      <c r="Q6" s="2" t="s">
        <v>128</v>
      </c>
    </row>
    <row r="7" spans="2:20">
      <c r="B7" s="20" t="str">
        <f>+'County Data'!$B$10</f>
        <v>Baker</v>
      </c>
      <c r="C7" s="15">
        <f>VLOOKUP($B7,'County Data'!$B$10:$P$46,2,FALSE)</f>
        <v>16910</v>
      </c>
      <c r="D7" s="15" t="str">
        <f>VLOOKUP($B7,'County Data'!$B$10:$P$46,3,FALSE)</f>
        <v>Extra Small</v>
      </c>
      <c r="E7" s="14">
        <f>VLOOKUP(D7,$H$7:$J$11,3,FALSE)</f>
        <v>29758.06451612903</v>
      </c>
      <c r="F7" s="10">
        <f t="shared" ref="F7:F42" si="0">E7/C7</f>
        <v>1.7597909234848628</v>
      </c>
      <c r="H7" t="s">
        <v>87</v>
      </c>
      <c r="I7" s="7">
        <f>Input!$C$8</f>
        <v>2.975806451612903E-3</v>
      </c>
      <c r="J7" s="61">
        <f>$C$3*I7</f>
        <v>29758.06451612903</v>
      </c>
      <c r="O7" t="s">
        <v>87</v>
      </c>
      <c r="P7">
        <v>9</v>
      </c>
      <c r="Q7">
        <v>1</v>
      </c>
      <c r="R7">
        <f>P7*Q7</f>
        <v>9</v>
      </c>
    </row>
    <row r="8" spans="2:20">
      <c r="B8" s="20" t="str">
        <f>+'County Data'!$B$11</f>
        <v>Benton</v>
      </c>
      <c r="C8" s="15">
        <f>VLOOKUP($B8,'County Data'!$B$10:$P$46,2,FALSE)</f>
        <v>94665</v>
      </c>
      <c r="D8" s="15" t="str">
        <f>VLOOKUP($B8,'County Data'!$B$10:$P$46,3,FALSE)</f>
        <v>Medium</v>
      </c>
      <c r="E8" s="14">
        <f t="shared" ref="E8:E42" si="1">VLOOKUP(D8,$H$7:$J$11,3,FALSE)</f>
        <v>59516.129032258061</v>
      </c>
      <c r="F8" s="10">
        <f t="shared" si="0"/>
        <v>0.62870257256914441</v>
      </c>
      <c r="H8" t="s">
        <v>88</v>
      </c>
      <c r="I8" s="7">
        <f>Input!$C$9</f>
        <v>4.4637096774193547E-3</v>
      </c>
      <c r="J8" s="61">
        <f t="shared" ref="J8:J11" si="2">$C$3*I8</f>
        <v>44637.096774193546</v>
      </c>
      <c r="O8" t="s">
        <v>88</v>
      </c>
      <c r="P8">
        <v>13</v>
      </c>
      <c r="Q8">
        <v>1.5</v>
      </c>
      <c r="R8">
        <f>P8*Q8</f>
        <v>19.5</v>
      </c>
    </row>
    <row r="9" spans="2:20">
      <c r="B9" s="20" t="str">
        <f>+'County Data'!$B$12</f>
        <v>Clackamas</v>
      </c>
      <c r="C9" s="15">
        <f>VLOOKUP($B9,'County Data'!$B$10:$P$46,2,FALSE)</f>
        <v>426515</v>
      </c>
      <c r="D9" s="15" t="str">
        <f>VLOOKUP($B9,'County Data'!$B$10:$P$46,3,FALSE)</f>
        <v>Extra Large</v>
      </c>
      <c r="E9" s="14">
        <f t="shared" si="1"/>
        <v>89274.193548387091</v>
      </c>
      <c r="F9" s="10">
        <f t="shared" si="0"/>
        <v>0.20931079457554153</v>
      </c>
      <c r="H9" t="s">
        <v>89</v>
      </c>
      <c r="I9" s="7">
        <f>Input!$C$10</f>
        <v>5.951612903225806E-3</v>
      </c>
      <c r="J9" s="61">
        <f t="shared" si="2"/>
        <v>59516.129032258061</v>
      </c>
      <c r="O9" t="s">
        <v>89</v>
      </c>
      <c r="P9">
        <v>7</v>
      </c>
      <c r="Q9">
        <v>2</v>
      </c>
      <c r="R9">
        <f>P9*Q9</f>
        <v>14</v>
      </c>
    </row>
    <row r="10" spans="2:20">
      <c r="B10" s="20" t="str">
        <f>+'County Data'!$B$13</f>
        <v>Clatsop</v>
      </c>
      <c r="C10" s="15">
        <f>VLOOKUP($B10,'County Data'!$B$10:$P$46,2,FALSE)</f>
        <v>39455</v>
      </c>
      <c r="D10" s="15" t="str">
        <f>VLOOKUP($B10,'County Data'!$B$10:$P$46,3,FALSE)</f>
        <v>Small</v>
      </c>
      <c r="E10" s="14">
        <f t="shared" si="1"/>
        <v>44637.096774193546</v>
      </c>
      <c r="F10" s="10">
        <f t="shared" si="0"/>
        <v>1.1313419534708793</v>
      </c>
      <c r="H10" t="s">
        <v>90</v>
      </c>
      <c r="I10" s="7">
        <f>Input!$C$11</f>
        <v>7.4395161290322573E-3</v>
      </c>
      <c r="J10" s="61">
        <f t="shared" si="2"/>
        <v>74395.161290322576</v>
      </c>
      <c r="O10" t="s">
        <v>90</v>
      </c>
      <c r="P10">
        <v>3</v>
      </c>
      <c r="Q10">
        <v>2.5</v>
      </c>
      <c r="R10">
        <f>P10*Q10</f>
        <v>7.5</v>
      </c>
    </row>
    <row r="11" spans="2:20">
      <c r="B11" s="20" t="str">
        <f>+'County Data'!$B$14</f>
        <v>Columbia</v>
      </c>
      <c r="C11" s="15">
        <f>VLOOKUP($B11,'County Data'!$B$10:$P$46,2,FALSE)</f>
        <v>53280</v>
      </c>
      <c r="D11" s="15" t="str">
        <f>VLOOKUP($B11,'County Data'!$B$10:$P$46,3,FALSE)</f>
        <v>Small</v>
      </c>
      <c r="E11" s="14">
        <f t="shared" si="1"/>
        <v>44637.096774193546</v>
      </c>
      <c r="F11" s="10">
        <f t="shared" si="0"/>
        <v>0.837783347863993</v>
      </c>
      <c r="H11" t="s">
        <v>91</v>
      </c>
      <c r="I11" s="7">
        <f>Input!$C$12</f>
        <v>8.9274193548387094E-3</v>
      </c>
      <c r="J11" s="61">
        <f t="shared" si="2"/>
        <v>89274.193548387091</v>
      </c>
      <c r="O11" t="s">
        <v>91</v>
      </c>
      <c r="P11">
        <v>4</v>
      </c>
      <c r="Q11">
        <v>3</v>
      </c>
      <c r="R11">
        <f>P11*Q11</f>
        <v>12</v>
      </c>
    </row>
    <row r="12" spans="2:20">
      <c r="B12" s="20" t="str">
        <f>+'County Data'!$B$15</f>
        <v>Coos</v>
      </c>
      <c r="C12" s="15">
        <f>VLOOKUP($B12,'County Data'!$B$10:$P$46,2,FALSE)</f>
        <v>63315</v>
      </c>
      <c r="D12" s="15" t="str">
        <f>VLOOKUP($B12,'County Data'!$B$10:$P$46,3,FALSE)</f>
        <v>Small</v>
      </c>
      <c r="E12" s="14">
        <f t="shared" si="1"/>
        <v>44637.096774193546</v>
      </c>
      <c r="F12" s="10">
        <f t="shared" si="0"/>
        <v>0.70500034390260669</v>
      </c>
      <c r="R12">
        <f>SUM(R7:R11)</f>
        <v>62</v>
      </c>
      <c r="S12" s="204">
        <f>1/R12</f>
        <v>1.6129032258064516E-2</v>
      </c>
      <c r="T12" s="71" t="s">
        <v>129</v>
      </c>
    </row>
    <row r="13" spans="2:20">
      <c r="B13" s="20" t="str">
        <f>+'County Data'!$B$16</f>
        <v>Crook</v>
      </c>
      <c r="C13" s="15">
        <f>VLOOKUP($B13,'County Data'!$B$10:$P$46,2,FALSE)</f>
        <v>23440</v>
      </c>
      <c r="D13" s="15" t="str">
        <f>VLOOKUP($B13,'County Data'!$B$10:$P$46,3,FALSE)</f>
        <v>Small</v>
      </c>
      <c r="E13" s="14">
        <f t="shared" si="1"/>
        <v>44637.096774193546</v>
      </c>
      <c r="F13" s="10">
        <f t="shared" si="0"/>
        <v>1.9043130023120114</v>
      </c>
    </row>
    <row r="14" spans="2:20">
      <c r="B14" s="20" t="str">
        <f>+'County Data'!$B$17</f>
        <v>Curry</v>
      </c>
      <c r="C14" s="15">
        <f>VLOOKUP($B14,'County Data'!$B$10:$P$46,2,FALSE)</f>
        <v>23005</v>
      </c>
      <c r="D14" s="15" t="str">
        <f>VLOOKUP($B14,'County Data'!$B$10:$P$46,3,FALSE)</f>
        <v>Small</v>
      </c>
      <c r="E14" s="14">
        <f t="shared" si="1"/>
        <v>44637.096774193546</v>
      </c>
      <c r="F14" s="10">
        <f t="shared" si="0"/>
        <v>1.9403215289803759</v>
      </c>
    </row>
    <row r="15" spans="2:20">
      <c r="B15" s="20" t="str">
        <f>+'County Data'!$B$18</f>
        <v>Deschutes</v>
      </c>
      <c r="C15" s="15">
        <f>VLOOKUP($B15,'County Data'!$B$10:$P$46,2,FALSE)</f>
        <v>197015</v>
      </c>
      <c r="D15" s="15" t="str">
        <f>VLOOKUP($B15,'County Data'!$B$10:$P$46,3,FALSE)</f>
        <v>Large</v>
      </c>
      <c r="E15" s="14">
        <f t="shared" si="1"/>
        <v>74395.161290322576</v>
      </c>
      <c r="F15" s="10">
        <f t="shared" si="0"/>
        <v>0.37761166048434169</v>
      </c>
    </row>
    <row r="16" spans="2:20">
      <c r="B16" s="20" t="str">
        <f>+'County Data'!$B$19</f>
        <v>Douglas</v>
      </c>
      <c r="C16" s="15">
        <f>VLOOKUP($B16,'County Data'!$B$10:$P$46,2,FALSE)</f>
        <v>112530</v>
      </c>
      <c r="D16" s="15" t="str">
        <f>VLOOKUP($B16,'County Data'!$B$10:$P$46,3,FALSE)</f>
        <v>Medium</v>
      </c>
      <c r="E16" s="14">
        <f t="shared" si="1"/>
        <v>59516.129032258061</v>
      </c>
      <c r="F16" s="10">
        <f t="shared" si="0"/>
        <v>0.52889122040574121</v>
      </c>
    </row>
    <row r="17" spans="2:6">
      <c r="B17" s="200" t="str">
        <f>+'County Data'!$B$20</f>
        <v>Gilliam</v>
      </c>
      <c r="C17" s="201">
        <f>VLOOKUP($B17,'County Data'!$B$10:$P$46,2,FALSE)</f>
        <v>1990</v>
      </c>
      <c r="D17" s="201" t="str">
        <f>VLOOKUP($B17,'County Data'!$B$10:$P$46,3,FALSE)</f>
        <v>Extra Small</v>
      </c>
      <c r="E17" s="203">
        <f t="shared" si="1"/>
        <v>29758.06451612903</v>
      </c>
      <c r="F17" s="202">
        <f t="shared" si="0"/>
        <v>14.953801264386447</v>
      </c>
    </row>
    <row r="18" spans="2:6">
      <c r="B18" s="20" t="str">
        <f>+'County Data'!$B$21</f>
        <v>Grant</v>
      </c>
      <c r="C18" s="15">
        <f>VLOOKUP($B18,'County Data'!$B$10:$P$46,2,FALSE)</f>
        <v>7315</v>
      </c>
      <c r="D18" s="15" t="str">
        <f>VLOOKUP($B18,'County Data'!$B$10:$P$46,3,FALSE)</f>
        <v>Extra Small</v>
      </c>
      <c r="E18" s="14">
        <f t="shared" si="1"/>
        <v>29758.06451612903</v>
      </c>
      <c r="F18" s="10">
        <f t="shared" si="0"/>
        <v>4.0680881088351377</v>
      </c>
    </row>
    <row r="19" spans="2:6">
      <c r="B19" s="20" t="str">
        <f>+'County Data'!$B$22</f>
        <v>Harney</v>
      </c>
      <c r="C19" s="15">
        <f>VLOOKUP($B19,'County Data'!$B$10:$P$46,2,FALSE)</f>
        <v>7280</v>
      </c>
      <c r="D19" s="15" t="str">
        <f>VLOOKUP($B19,'County Data'!$B$10:$P$46,3,FALSE)</f>
        <v>Extra Small</v>
      </c>
      <c r="E19" s="14">
        <f t="shared" si="1"/>
        <v>29758.06451612903</v>
      </c>
      <c r="F19" s="10">
        <f t="shared" si="0"/>
        <v>4.0876462247429988</v>
      </c>
    </row>
    <row r="20" spans="2:6">
      <c r="B20" s="20" t="str">
        <f>+'County Data'!$B$23</f>
        <v>Hood River</v>
      </c>
      <c r="C20" s="15">
        <f>VLOOKUP($B20,'County Data'!$B$10:$P$46,2,FALSE)</f>
        <v>25640</v>
      </c>
      <c r="D20" s="15" t="str">
        <f>VLOOKUP($B20,'County Data'!$B$10:$P$46,3,FALSE)</f>
        <v>Small</v>
      </c>
      <c r="E20" s="14">
        <f t="shared" si="1"/>
        <v>44637.096774193546</v>
      </c>
      <c r="F20" s="10">
        <f t="shared" si="0"/>
        <v>1.7409164108499824</v>
      </c>
    </row>
    <row r="21" spans="2:6">
      <c r="B21" s="20" t="str">
        <f>+'County Data'!$B$24</f>
        <v>Jackson</v>
      </c>
      <c r="C21" s="15">
        <f>VLOOKUP($B21,'County Data'!$B$10:$P$46,2,FALSE)</f>
        <v>223240</v>
      </c>
      <c r="D21" s="15" t="str">
        <f>VLOOKUP($B21,'County Data'!$B$10:$P$46,3,FALSE)</f>
        <v>Large</v>
      </c>
      <c r="E21" s="14">
        <f t="shared" si="1"/>
        <v>74395.161290322576</v>
      </c>
      <c r="F21" s="10">
        <f t="shared" si="0"/>
        <v>0.33325193195808356</v>
      </c>
    </row>
    <row r="22" spans="2:6">
      <c r="B22" s="20" t="str">
        <f>+'County Data'!$B$25</f>
        <v>Jefferson</v>
      </c>
      <c r="C22" s="15">
        <f>VLOOKUP($B22,'County Data'!$B$10:$P$46,2,FALSE)</f>
        <v>24105</v>
      </c>
      <c r="D22" s="15" t="str">
        <f>VLOOKUP($B22,'County Data'!$B$10:$P$46,3,FALSE)</f>
        <v>Small</v>
      </c>
      <c r="E22" s="14">
        <f t="shared" si="1"/>
        <v>44637.096774193546</v>
      </c>
      <c r="F22" s="10">
        <f t="shared" si="0"/>
        <v>1.8517775056707548</v>
      </c>
    </row>
    <row r="23" spans="2:6">
      <c r="B23" s="20" t="str">
        <f>+'County Data'!$B$26</f>
        <v>Josephine</v>
      </c>
      <c r="C23" s="15">
        <f>VLOOKUP($B23,'County Data'!$B$10:$P$46,2,FALSE)</f>
        <v>86560</v>
      </c>
      <c r="D23" s="15" t="str">
        <f>VLOOKUP($B23,'County Data'!$B$10:$P$46,3,FALSE)</f>
        <v>Medium</v>
      </c>
      <c r="E23" s="14">
        <f t="shared" si="1"/>
        <v>59516.129032258061</v>
      </c>
      <c r="F23" s="10">
        <f t="shared" si="0"/>
        <v>0.68757080674974658</v>
      </c>
    </row>
    <row r="24" spans="2:6">
      <c r="B24" s="20" t="str">
        <f>+'County Data'!$B$27</f>
        <v>Klamath</v>
      </c>
      <c r="C24" s="15">
        <f>VLOOKUP($B24,'County Data'!$B$10:$P$46,2,FALSE)</f>
        <v>68075</v>
      </c>
      <c r="D24" s="15" t="str">
        <f>VLOOKUP($B24,'County Data'!$B$10:$P$46,3,FALSE)</f>
        <v>Small</v>
      </c>
      <c r="E24" s="14">
        <f t="shared" si="1"/>
        <v>44637.096774193546</v>
      </c>
      <c r="F24" s="10">
        <f t="shared" si="0"/>
        <v>0.65570469003589493</v>
      </c>
    </row>
    <row r="25" spans="2:6">
      <c r="B25" s="20" t="str">
        <f>+'County Data'!$B$28</f>
        <v>Lake</v>
      </c>
      <c r="C25" s="15">
        <f>VLOOKUP($B25,'County Data'!$B$10:$P$46,2,FALSE)</f>
        <v>8075</v>
      </c>
      <c r="D25" s="15" t="str">
        <f>VLOOKUP($B25,'County Data'!$B$10:$P$46,3,FALSE)</f>
        <v>Extra Small</v>
      </c>
      <c r="E25" s="14">
        <f t="shared" si="1"/>
        <v>29758.06451612903</v>
      </c>
      <c r="F25" s="10">
        <f t="shared" si="0"/>
        <v>3.6852092280035951</v>
      </c>
    </row>
    <row r="26" spans="2:6">
      <c r="B26" s="20" t="str">
        <f>+'County Data'!$B$29</f>
        <v>Lane</v>
      </c>
      <c r="C26" s="15">
        <f>VLOOKUP($B26,'County Data'!$B$10:$P$46,2,FALSE)</f>
        <v>381365</v>
      </c>
      <c r="D26" s="15" t="str">
        <f>VLOOKUP($B26,'County Data'!$B$10:$P$46,3,FALSE)</f>
        <v>Extra Large</v>
      </c>
      <c r="E26" s="14">
        <f t="shared" si="1"/>
        <v>89274.193548387091</v>
      </c>
      <c r="F26" s="10">
        <f t="shared" si="0"/>
        <v>0.23409120802482422</v>
      </c>
    </row>
    <row r="27" spans="2:6">
      <c r="B27" s="20" t="str">
        <f>+'County Data'!$B$30</f>
        <v>Lincoln</v>
      </c>
      <c r="C27" s="15">
        <f>VLOOKUP($B27,'County Data'!$B$10:$P$46,2,FALSE)</f>
        <v>48305</v>
      </c>
      <c r="D27" s="15" t="str">
        <f>VLOOKUP($B27,'County Data'!$B$10:$P$46,3,FALSE)</f>
        <v>Small</v>
      </c>
      <c r="E27" s="14">
        <f>VLOOKUP(D27,$H$7:$J$11,3,FALSE)</f>
        <v>44637.096774193546</v>
      </c>
      <c r="F27" s="10">
        <f t="shared" si="0"/>
        <v>0.92406783509354196</v>
      </c>
    </row>
    <row r="28" spans="2:6">
      <c r="B28" s="20" t="str">
        <f>+'County Data'!$B$31</f>
        <v>Linn</v>
      </c>
      <c r="C28" s="15">
        <f>VLOOKUP($B28,'County Data'!$B$10:$P$46,2,FALSE)</f>
        <v>127320</v>
      </c>
      <c r="D28" s="15" t="str">
        <f>VLOOKUP($B28,'County Data'!$B$10:$P$46,3,FALSE)</f>
        <v>Medium</v>
      </c>
      <c r="E28" s="14">
        <f t="shared" si="1"/>
        <v>59516.129032258061</v>
      </c>
      <c r="F28" s="10">
        <f t="shared" si="0"/>
        <v>0.46745310267246354</v>
      </c>
    </row>
    <row r="29" spans="2:6">
      <c r="B29" s="20" t="str">
        <f>+'County Data'!$B$32</f>
        <v>Malheur</v>
      </c>
      <c r="C29" s="15">
        <f>VLOOKUP($B29,'County Data'!$B$10:$P$46,2,FALSE)</f>
        <v>32105</v>
      </c>
      <c r="D29" s="15" t="str">
        <f>VLOOKUP($B29,'County Data'!$B$10:$P$46,3,FALSE)</f>
        <v>Small</v>
      </c>
      <c r="E29" s="14">
        <f t="shared" si="1"/>
        <v>44637.096774193546</v>
      </c>
      <c r="F29" s="10">
        <f t="shared" si="0"/>
        <v>1.3903471974519093</v>
      </c>
    </row>
    <row r="30" spans="2:6">
      <c r="B30" s="20" t="str">
        <f>+'County Data'!$B$33</f>
        <v>Marion</v>
      </c>
      <c r="C30" s="15">
        <f>VLOOKUP($B30,'County Data'!$B$10:$P$46,2,FALSE)</f>
        <v>349120</v>
      </c>
      <c r="D30" s="15" t="str">
        <f>VLOOKUP($B30,'County Data'!$B$10:$P$46,3,FALSE)</f>
        <v>Large</v>
      </c>
      <c r="E30" s="14">
        <f t="shared" si="1"/>
        <v>74395.161290322576</v>
      </c>
      <c r="F30" s="10">
        <f t="shared" si="0"/>
        <v>0.21309338133112563</v>
      </c>
    </row>
    <row r="31" spans="2:6">
      <c r="B31" s="20" t="str">
        <f>+'County Data'!$B$34</f>
        <v>Morrow</v>
      </c>
      <c r="C31" s="15">
        <f>VLOOKUP($B31,'County Data'!$B$10:$P$46,2,FALSE)</f>
        <v>12825</v>
      </c>
      <c r="D31" s="15" t="str">
        <f>VLOOKUP($B31,'County Data'!$B$10:$P$46,3,FALSE)</f>
        <v>Extra Small</v>
      </c>
      <c r="E31" s="14">
        <f t="shared" si="1"/>
        <v>29758.06451612903</v>
      </c>
      <c r="F31" s="10">
        <f t="shared" si="0"/>
        <v>2.3203169213355967</v>
      </c>
    </row>
    <row r="32" spans="2:6">
      <c r="B32" s="20" t="str">
        <f>+'County Data'!$B$35</f>
        <v>Multnomah</v>
      </c>
      <c r="C32" s="15">
        <f>VLOOKUP($B32,'County Data'!$B$10:$P$46,2,FALSE)</f>
        <v>829560</v>
      </c>
      <c r="D32" s="15" t="str">
        <f>VLOOKUP($B32,'County Data'!$B$10:$P$46,3,FALSE)</f>
        <v>Extra Large</v>
      </c>
      <c r="E32" s="14">
        <f t="shared" si="1"/>
        <v>89274.193548387091</v>
      </c>
      <c r="F32" s="10">
        <f t="shared" si="0"/>
        <v>0.10761631895027134</v>
      </c>
    </row>
    <row r="33" spans="2:6">
      <c r="B33" s="20" t="str">
        <f>+'County Data'!$B$37</f>
        <v>Polk</v>
      </c>
      <c r="C33" s="15">
        <f>VLOOKUP($B33,'County Data'!$B$10:$P$46,2,FALSE)</f>
        <v>83805</v>
      </c>
      <c r="D33" s="15" t="str">
        <f>VLOOKUP($B33,'County Data'!$B$10:$P$46,3,FALSE)</f>
        <v>Medium</v>
      </c>
      <c r="E33" s="14">
        <f t="shared" si="1"/>
        <v>59516.129032258061</v>
      </c>
      <c r="F33" s="10">
        <f t="shared" si="0"/>
        <v>0.71017396375225894</v>
      </c>
    </row>
    <row r="34" spans="2:6">
      <c r="B34" s="200" t="str">
        <f>+'County Data'!$B$38</f>
        <v>Sherman</v>
      </c>
      <c r="C34" s="201">
        <f>VLOOKUP($B34,'County Data'!$B$10:$P$46,2,FALSE)</f>
        <v>1795</v>
      </c>
      <c r="D34" s="201" t="str">
        <f>VLOOKUP($B34,'County Data'!$B$10:$P$46,3,FALSE)</f>
        <v>Extra Small</v>
      </c>
      <c r="E34" s="203">
        <f t="shared" si="1"/>
        <v>29758.06451612903</v>
      </c>
      <c r="F34" s="202">
        <f t="shared" si="0"/>
        <v>16.578308922634559</v>
      </c>
    </row>
    <row r="35" spans="2:6">
      <c r="B35" s="20" t="str">
        <f>+'County Data'!$B$39</f>
        <v>Tillamook</v>
      </c>
      <c r="C35" s="15">
        <f>VLOOKUP($B35,'County Data'!$B$10:$P$46,2,FALSE)</f>
        <v>26530</v>
      </c>
      <c r="D35" s="15" t="str">
        <f>VLOOKUP($B35,'County Data'!$B$10:$P$46,3,FALSE)</f>
        <v>Small</v>
      </c>
      <c r="E35" s="14">
        <f t="shared" si="1"/>
        <v>44637.096774193546</v>
      </c>
      <c r="F35" s="10">
        <f t="shared" si="0"/>
        <v>1.6825140133506802</v>
      </c>
    </row>
    <row r="36" spans="2:6">
      <c r="B36" s="20" t="str">
        <f>+'County Data'!$B$40</f>
        <v>Umatilla</v>
      </c>
      <c r="C36" s="15">
        <f>VLOOKUP($B36,'County Data'!$B$10:$P$46,2,FALSE)</f>
        <v>81495</v>
      </c>
      <c r="D36" s="15" t="str">
        <f>VLOOKUP($B36,'County Data'!$B$10:$P$46,3,FALSE)</f>
        <v>Medium</v>
      </c>
      <c r="E36" s="14">
        <f t="shared" si="1"/>
        <v>59516.129032258061</v>
      </c>
      <c r="F36" s="10">
        <f t="shared" si="0"/>
        <v>0.7303040558593541</v>
      </c>
    </row>
    <row r="37" spans="2:6">
      <c r="B37" s="20" t="str">
        <f>+'County Data'!$B$41</f>
        <v>Union</v>
      </c>
      <c r="C37" s="15">
        <f>VLOOKUP($B37,'County Data'!$B$10:$P$46,2,FALSE)</f>
        <v>26840</v>
      </c>
      <c r="D37" s="15" t="str">
        <f>VLOOKUP($B37,'County Data'!$B$10:$P$46,3,FALSE)</f>
        <v>Small</v>
      </c>
      <c r="E37" s="14">
        <f t="shared" si="1"/>
        <v>44637.096774193546</v>
      </c>
      <c r="F37" s="10">
        <f t="shared" si="0"/>
        <v>1.6630811018701024</v>
      </c>
    </row>
    <row r="38" spans="2:6">
      <c r="B38" s="20" t="str">
        <f>+'County Data'!$B$42</f>
        <v>Wallowa</v>
      </c>
      <c r="C38" s="15">
        <f>VLOOKUP($B38,'County Data'!$B$10:$P$46,2,FALSE)</f>
        <v>7160</v>
      </c>
      <c r="D38" s="15" t="str">
        <f>VLOOKUP($B38,'County Data'!$B$10:$P$46,3,FALSE)</f>
        <v>Extra Small</v>
      </c>
      <c r="E38" s="14">
        <f t="shared" si="1"/>
        <v>29758.06451612903</v>
      </c>
      <c r="F38" s="10">
        <f t="shared" si="0"/>
        <v>4.1561542620291938</v>
      </c>
    </row>
    <row r="39" spans="2:6">
      <c r="B39" s="200" t="str">
        <f>+'County Data'!$B$43</f>
        <v>Wasco</v>
      </c>
      <c r="C39" s="201">
        <f>VLOOKUP($B39,'County Data'!$B$10:$P$46,2,FALSE)</f>
        <v>27295</v>
      </c>
      <c r="D39" s="201" t="str">
        <f>VLOOKUP($B39,'County Data'!$B$10:$P$46,3,FALSE)</f>
        <v>Small</v>
      </c>
      <c r="E39" s="203">
        <f t="shared" si="1"/>
        <v>44637.096774193546</v>
      </c>
      <c r="F39" s="202">
        <f t="shared" si="0"/>
        <v>1.6353580060155173</v>
      </c>
    </row>
    <row r="40" spans="2:6">
      <c r="B40" s="20" t="str">
        <f>+'County Data'!$B$44</f>
        <v>Washington</v>
      </c>
      <c r="C40" s="15">
        <f>VLOOKUP($B40,'County Data'!$B$10:$P$46,2,FALSE)</f>
        <v>620080</v>
      </c>
      <c r="D40" s="15" t="str">
        <f>VLOOKUP($B40,'County Data'!$B$10:$P$46,3,FALSE)</f>
        <v>Extra Large</v>
      </c>
      <c r="E40" s="14">
        <f t="shared" si="1"/>
        <v>89274.193548387091</v>
      </c>
      <c r="F40" s="10">
        <f t="shared" si="0"/>
        <v>0.1439720577157578</v>
      </c>
    </row>
    <row r="41" spans="2:6">
      <c r="B41" s="20" t="str">
        <f>'County Data'!$B$45</f>
        <v>Wheeler</v>
      </c>
      <c r="C41" s="15">
        <f>VLOOKUP($B41,'County Data'!$B$10:$P$46,2,FALSE)</f>
        <v>1440</v>
      </c>
      <c r="D41" s="15" t="str">
        <f>VLOOKUP($B41,'County Data'!$B$10:$P$46,3,FALSE)</f>
        <v>Extra Small</v>
      </c>
      <c r="E41" s="14">
        <f t="shared" si="1"/>
        <v>29758.06451612903</v>
      </c>
      <c r="F41" s="10">
        <f t="shared" si="0"/>
        <v>20.66532258064516</v>
      </c>
    </row>
    <row r="42" spans="2:6">
      <c r="B42" s="20" t="str">
        <f>+'County Data'!$B$46</f>
        <v>Yamhill</v>
      </c>
      <c r="C42" s="15">
        <f>VLOOKUP($B42,'County Data'!$B$10:$P$46,2,FALSE)</f>
        <v>108605</v>
      </c>
      <c r="D42" s="15" t="str">
        <f>VLOOKUP($B42,'County Data'!$B$10:$P$46,3,FALSE)</f>
        <v>Medium</v>
      </c>
      <c r="E42" s="14">
        <f t="shared" si="1"/>
        <v>59516.129032258061</v>
      </c>
      <c r="F42" s="10">
        <f t="shared" si="0"/>
        <v>0.54800542362007332</v>
      </c>
    </row>
    <row r="43" spans="2:6">
      <c r="B43" s="4" t="s">
        <v>83</v>
      </c>
      <c r="C43" s="5">
        <f t="shared" ref="C43:D43" si="3">SUM(C7:C42)</f>
        <v>4268055</v>
      </c>
      <c r="D43" s="8">
        <f t="shared" si="3"/>
        <v>0</v>
      </c>
      <c r="E43" s="11">
        <f>SUM(E7:E42)</f>
        <v>1844999.9999999995</v>
      </c>
      <c r="F43" s="12">
        <f t="shared" ref="F43" si="4">E43/C43</f>
        <v>0.43228121474535813</v>
      </c>
    </row>
    <row r="44" spans="2:6">
      <c r="E44" s="22">
        <f>E43-C4</f>
        <v>0</v>
      </c>
    </row>
    <row r="45" spans="2:6">
      <c r="B45" s="59" t="s">
        <v>62</v>
      </c>
      <c r="C45" s="60">
        <f>SUM(C17,C34,C39)</f>
        <v>31080</v>
      </c>
      <c r="D45" s="59"/>
      <c r="E45" s="60">
        <f>SUM(E17,E34,E39)</f>
        <v>104153.22580645161</v>
      </c>
      <c r="F45" s="10">
        <f>E45/C45</f>
        <v>3.351133391455972</v>
      </c>
    </row>
    <row r="51" spans="13:19">
      <c r="N51">
        <v>1.6299999999999999E-2</v>
      </c>
    </row>
    <row r="52" spans="13:19">
      <c r="N52" t="s">
        <v>127</v>
      </c>
      <c r="Q52" t="s">
        <v>130</v>
      </c>
    </row>
    <row r="53" spans="13:19">
      <c r="M53" t="s">
        <v>131</v>
      </c>
      <c r="N53">
        <v>9</v>
      </c>
      <c r="O53">
        <v>2</v>
      </c>
      <c r="Q53">
        <v>1</v>
      </c>
      <c r="S53">
        <f>Q53*N53</f>
        <v>9</v>
      </c>
    </row>
    <row r="54" spans="13:19">
      <c r="M54" t="s">
        <v>132</v>
      </c>
      <c r="N54">
        <v>13</v>
      </c>
      <c r="O54">
        <v>1</v>
      </c>
      <c r="Q54">
        <v>1.5</v>
      </c>
      <c r="S54">
        <f>Q54*N54</f>
        <v>19.5</v>
      </c>
    </row>
    <row r="55" spans="13:19">
      <c r="M55" t="s">
        <v>133</v>
      </c>
      <c r="N55">
        <v>7</v>
      </c>
      <c r="Q55">
        <v>2</v>
      </c>
      <c r="S55">
        <f>Q55*N55</f>
        <v>14</v>
      </c>
    </row>
    <row r="56" spans="13:19">
      <c r="M56" t="s">
        <v>134</v>
      </c>
      <c r="N56">
        <v>3</v>
      </c>
      <c r="Q56">
        <v>2.5</v>
      </c>
      <c r="S56">
        <f>Q56*N56</f>
        <v>7.5</v>
      </c>
    </row>
    <row r="57" spans="13:19">
      <c r="M57" t="s">
        <v>135</v>
      </c>
      <c r="N57">
        <v>4</v>
      </c>
      <c r="Q57">
        <v>3</v>
      </c>
      <c r="S57">
        <f>Q57*N57</f>
        <v>12</v>
      </c>
    </row>
    <row r="58" spans="13:19">
      <c r="N58">
        <f>SUM(N53:N57)</f>
        <v>36</v>
      </c>
      <c r="S58">
        <f>SUM(S53:S57)</f>
        <v>62</v>
      </c>
    </row>
    <row r="59" spans="13:19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I27" sqref="I27"/>
    </sheetView>
  </sheetViews>
  <sheetFormatPr defaultRowHeight="1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>
      <c r="B3" t="s">
        <v>120</v>
      </c>
      <c r="C3" s="1">
        <f>'County Data'!C5</f>
        <v>10000000</v>
      </c>
    </row>
    <row r="4" spans="2:11">
      <c r="B4" t="s">
        <v>121</v>
      </c>
      <c r="C4" s="14">
        <f>'County Data'!E9</f>
        <v>1359166.6666666665</v>
      </c>
      <c r="D4" s="9"/>
    </row>
    <row r="5" spans="2:11">
      <c r="B5" s="26"/>
      <c r="C5" s="26"/>
      <c r="D5" s="26"/>
      <c r="E5" s="26"/>
      <c r="F5" s="26"/>
      <c r="G5" s="26"/>
      <c r="H5" s="26"/>
    </row>
    <row r="6" spans="2:11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1">
      <c r="B7" s="20" t="str">
        <f>'County Data'!$B$11</f>
        <v>Benton</v>
      </c>
      <c r="C7" s="15">
        <f>VLOOKUP($B7,'County Data'!$B$10:$L$46,2,FALSE)</f>
        <v>94665</v>
      </c>
      <c r="D7" s="34">
        <f>VLOOKUP(B7,'County Data'!$B$10:$L$46,4,FALSE)</f>
        <v>4.0668929999999999E-2</v>
      </c>
      <c r="E7" s="31">
        <f t="shared" ref="E7:E40" si="0">C7*D7</f>
        <v>3849.9242584499998</v>
      </c>
      <c r="F7" s="6">
        <f t="shared" ref="F7:F40" si="1">E7/$E$41</f>
        <v>1.3983703793693781E-2</v>
      </c>
      <c r="G7" s="14">
        <f t="shared" ref="G7:G40" si="2">$C$4*F7</f>
        <v>19006.184072928794</v>
      </c>
      <c r="H7" s="10">
        <f t="shared" ref="H7:H40" si="3">G7/C7</f>
        <v>0.20077308480355774</v>
      </c>
      <c r="I7" s="22"/>
      <c r="K7" s="32"/>
    </row>
    <row r="8" spans="2:11">
      <c r="B8" s="20" t="str">
        <f>'County Data'!$B$44</f>
        <v>Washington</v>
      </c>
      <c r="C8" s="15">
        <f>VLOOKUP($B8,'County Data'!$B$10:$L$46,2,FALSE)</f>
        <v>620080</v>
      </c>
      <c r="D8" s="34">
        <f>VLOOKUP(B8,'County Data'!$B$10:$L$46,4,FALSE)</f>
        <v>4.2650979999999998E-2</v>
      </c>
      <c r="E8" s="31">
        <f t="shared" si="0"/>
        <v>26447.0196784</v>
      </c>
      <c r="F8" s="6">
        <f t="shared" si="1"/>
        <v>9.6060926029134561E-2</v>
      </c>
      <c r="G8" s="14">
        <f t="shared" si="2"/>
        <v>130562.80862793204</v>
      </c>
      <c r="H8" s="10">
        <f t="shared" si="3"/>
        <v>0.21055800643131861</v>
      </c>
      <c r="I8" s="22"/>
    </row>
    <row r="9" spans="2:11">
      <c r="B9" s="20" t="str">
        <f>'County Data'!$B$23</f>
        <v>Hood River</v>
      </c>
      <c r="C9" s="15">
        <f>VLOOKUP($B9,'County Data'!$B$10:$L$46,2,FALSE)</f>
        <v>25640</v>
      </c>
      <c r="D9" s="34">
        <f>VLOOKUP(B9,'County Data'!$B$10:$L$46,4,FALSE)</f>
        <v>4.750973E-2</v>
      </c>
      <c r="E9" s="31">
        <f t="shared" si="0"/>
        <v>1218.1494772000001</v>
      </c>
      <c r="F9" s="6">
        <f t="shared" si="1"/>
        <v>4.4245653478039628E-3</v>
      </c>
      <c r="G9" s="14">
        <f t="shared" si="2"/>
        <v>6013.7217352235521</v>
      </c>
      <c r="H9" s="10">
        <f t="shared" si="3"/>
        <v>0.23454452945489673</v>
      </c>
      <c r="I9" s="22"/>
    </row>
    <row r="10" spans="2:11">
      <c r="B10" s="20" t="str">
        <f>'County Data'!$B$12</f>
        <v>Clackamas</v>
      </c>
      <c r="C10" s="15">
        <f>VLOOKUP($B10,'County Data'!$B$10:$L$46,2,FALSE)</f>
        <v>426515</v>
      </c>
      <c r="D10" s="34">
        <f>VLOOKUP(B10,'County Data'!$B$10:$L$46,4,FALSE)</f>
        <v>5.6630379999999994E-2</v>
      </c>
      <c r="E10" s="31">
        <f t="shared" si="0"/>
        <v>24153.706525699996</v>
      </c>
      <c r="F10" s="6">
        <f t="shared" si="1"/>
        <v>8.7731148693086389E-2</v>
      </c>
      <c r="G10" s="14">
        <f t="shared" si="2"/>
        <v>119241.25293201991</v>
      </c>
      <c r="H10" s="10">
        <f t="shared" si="3"/>
        <v>0.27957106533655302</v>
      </c>
      <c r="I10" s="22"/>
    </row>
    <row r="11" spans="2:11">
      <c r="B11" s="20" t="str">
        <f>'County Data'!$B$37</f>
        <v>Polk</v>
      </c>
      <c r="C11" s="15">
        <f>VLOOKUP($B11,'County Data'!$B$10:$L$46,2,FALSE)</f>
        <v>83805</v>
      </c>
      <c r="D11" s="34">
        <f>VLOOKUP(B11,'County Data'!$B$10:$L$46,4,FALSE)</f>
        <v>6.0078370000000006E-2</v>
      </c>
      <c r="E11" s="31">
        <f t="shared" si="0"/>
        <v>5034.8677978500009</v>
      </c>
      <c r="F11" s="6">
        <f t="shared" si="1"/>
        <v>1.8287658457438741E-2</v>
      </c>
      <c r="G11" s="14">
        <f t="shared" si="2"/>
        <v>24855.975786735486</v>
      </c>
      <c r="H11" s="10">
        <f t="shared" si="3"/>
        <v>0.29659299309988052</v>
      </c>
      <c r="I11" s="22"/>
    </row>
    <row r="12" spans="2:11">
      <c r="B12" s="20" t="str">
        <f>'County Data'!$B$18</f>
        <v>Deschutes</v>
      </c>
      <c r="C12" s="15">
        <f>VLOOKUP($B12,'County Data'!$B$10:$L$46,2,FALSE)</f>
        <v>197015</v>
      </c>
      <c r="D12" s="34">
        <f>VLOOKUP(B12,'County Data'!$B$10:$L$46,4,FALSE)</f>
        <v>5.375133E-2</v>
      </c>
      <c r="E12" s="31">
        <f t="shared" si="0"/>
        <v>10589.818279949999</v>
      </c>
      <c r="F12" s="6">
        <f t="shared" si="1"/>
        <v>3.8464362443193706E-2</v>
      </c>
      <c r="G12" s="14">
        <f t="shared" si="2"/>
        <v>52279.479287374103</v>
      </c>
      <c r="H12" s="10">
        <f t="shared" si="3"/>
        <v>0.26535786253520849</v>
      </c>
      <c r="I12" s="22"/>
    </row>
    <row r="13" spans="2:11">
      <c r="B13" s="20" t="str">
        <f>'County Data'!$B$46</f>
        <v>Yamhill</v>
      </c>
      <c r="C13" s="15">
        <f>VLOOKUP($B13,'County Data'!$B$10:$L$46,2,FALSE)</f>
        <v>108605</v>
      </c>
      <c r="D13" s="34">
        <f>VLOOKUP(B13,'County Data'!$B$10:$L$46,4,FALSE)</f>
        <v>6.2846349999999995E-2</v>
      </c>
      <c r="E13" s="31">
        <f t="shared" si="0"/>
        <v>6825.4278417499991</v>
      </c>
      <c r="F13" s="6">
        <f t="shared" si="1"/>
        <v>2.4791334789191204E-2</v>
      </c>
      <c r="G13" s="14">
        <f t="shared" si="2"/>
        <v>33695.555867642375</v>
      </c>
      <c r="H13" s="10">
        <f t="shared" si="3"/>
        <v>0.31025786904509345</v>
      </c>
      <c r="I13" s="22"/>
    </row>
    <row r="14" spans="2:11">
      <c r="B14" s="20" t="str">
        <f>'County Data'!$B$21</f>
        <v>Grant</v>
      </c>
      <c r="C14" s="15">
        <f>VLOOKUP($B14,'County Data'!$B$10:$L$46,2,FALSE)</f>
        <v>7315</v>
      </c>
      <c r="D14" s="34">
        <f>VLOOKUP(B14,'County Data'!$B$10:$L$46,4,FALSE)</f>
        <v>7.9334200000000007E-2</v>
      </c>
      <c r="E14" s="31">
        <f t="shared" si="0"/>
        <v>580.32967300000007</v>
      </c>
      <c r="F14" s="6">
        <f t="shared" si="1"/>
        <v>2.1078747801626567E-3</v>
      </c>
      <c r="G14" s="14">
        <f t="shared" si="2"/>
        <v>2864.9531387044108</v>
      </c>
      <c r="H14" s="10">
        <f t="shared" si="3"/>
        <v>0.3916545644161874</v>
      </c>
      <c r="I14" s="22"/>
    </row>
    <row r="15" spans="2:11">
      <c r="B15" s="20" t="str">
        <f>'County Data'!$B$34</f>
        <v>Morrow</v>
      </c>
      <c r="C15" s="15">
        <f>VLOOKUP($B15,'County Data'!$B$10:$L$46,2,FALSE)</f>
        <v>12825</v>
      </c>
      <c r="D15" s="34">
        <f>VLOOKUP(B15,'County Data'!$B$10:$L$46,4,FALSE)</f>
        <v>6.6599549999999993E-2</v>
      </c>
      <c r="E15" s="31">
        <f t="shared" si="0"/>
        <v>854.13922874999992</v>
      </c>
      <c r="F15" s="6">
        <f t="shared" si="1"/>
        <v>3.1024064816856383E-3</v>
      </c>
      <c r="G15" s="14">
        <f t="shared" si="2"/>
        <v>4216.6874763577298</v>
      </c>
      <c r="H15" s="10">
        <f t="shared" si="3"/>
        <v>0.32878654786415046</v>
      </c>
      <c r="I15" s="22"/>
    </row>
    <row r="16" spans="2:11">
      <c r="B16" s="20" t="str">
        <f>'County Data'!$B$45</f>
        <v>Wheeler</v>
      </c>
      <c r="C16" s="15">
        <f>VLOOKUP($B16,'County Data'!$B$10:$L$46,2,FALSE)</f>
        <v>1440</v>
      </c>
      <c r="D16" s="34">
        <f>VLOOKUP(B16,'County Data'!$B$10:$L$46,4,FALSE)</f>
        <v>6.5306119999999995E-2</v>
      </c>
      <c r="E16" s="31">
        <f t="shared" si="0"/>
        <v>94.040812799999998</v>
      </c>
      <c r="F16" s="6">
        <f t="shared" si="1"/>
        <v>3.4157525770204329E-4</v>
      </c>
      <c r="G16" s="14">
        <f t="shared" si="2"/>
        <v>464.25770442669381</v>
      </c>
      <c r="H16" s="10">
        <f t="shared" si="3"/>
        <v>0.32240118362964848</v>
      </c>
      <c r="I16" s="22"/>
    </row>
    <row r="17" spans="2:9">
      <c r="B17" s="20" t="str">
        <f>'County Data'!$B$33</f>
        <v>Marion</v>
      </c>
      <c r="C17" s="15">
        <f>VLOOKUP($B17,'County Data'!$B$10:$L$46,2,FALSE)</f>
        <v>349120</v>
      </c>
      <c r="D17" s="34">
        <f>VLOOKUP(B17,'County Data'!$B$10:$L$46,4,FALSE)</f>
        <v>6.3607510000000006E-2</v>
      </c>
      <c r="E17" s="31">
        <f t="shared" si="0"/>
        <v>22206.653891200003</v>
      </c>
      <c r="F17" s="6">
        <f t="shared" si="1"/>
        <v>8.0659059611899953E-2</v>
      </c>
      <c r="G17" s="14">
        <f t="shared" si="2"/>
        <v>109629.10518917401</v>
      </c>
      <c r="H17" s="10">
        <f t="shared" si="3"/>
        <v>0.3140155396115204</v>
      </c>
      <c r="I17" s="22"/>
    </row>
    <row r="18" spans="2:9">
      <c r="B18" s="20" t="str">
        <f>'County Data'!$B$35</f>
        <v>Multnomah</v>
      </c>
      <c r="C18" s="15">
        <f>VLOOKUP($B18,'County Data'!$B$10:$L$46,2,FALSE)</f>
        <v>829560</v>
      </c>
      <c r="D18" s="34">
        <f>VLOOKUP(B18,'County Data'!$B$10:$L$46,4,FALSE)</f>
        <v>6.2221129999999999E-2</v>
      </c>
      <c r="E18" s="31">
        <f t="shared" si="0"/>
        <v>51616.160602800002</v>
      </c>
      <c r="F18" s="6">
        <f t="shared" si="1"/>
        <v>0.18748033789316065</v>
      </c>
      <c r="G18" s="14">
        <f t="shared" si="2"/>
        <v>254817.0259197875</v>
      </c>
      <c r="H18" s="10">
        <f t="shared" si="3"/>
        <v>0.30717130276265431</v>
      </c>
      <c r="I18" s="22"/>
    </row>
    <row r="19" spans="2:9">
      <c r="B19" s="20" t="str">
        <f>'County Data'!$B$29</f>
        <v>Lane</v>
      </c>
      <c r="C19" s="15">
        <f>VLOOKUP($B19,'County Data'!$B$10:$L$46,2,FALSE)</f>
        <v>381365</v>
      </c>
      <c r="D19" s="34">
        <f>VLOOKUP(B19,'County Data'!$B$10:$L$46,4,FALSE)</f>
        <v>6.8141679999999996E-2</v>
      </c>
      <c r="E19" s="31">
        <f t="shared" si="0"/>
        <v>25986.8517932</v>
      </c>
      <c r="F19" s="6">
        <f t="shared" si="1"/>
        <v>9.4389503172468289E-2</v>
      </c>
      <c r="G19" s="14">
        <f t="shared" si="2"/>
        <v>128291.06639524647</v>
      </c>
      <c r="H19" s="10">
        <f t="shared" si="3"/>
        <v>0.33639968637721468</v>
      </c>
      <c r="I19" s="22"/>
    </row>
    <row r="20" spans="2:9">
      <c r="B20" s="20" t="str">
        <f>'County Data'!$B$41</f>
        <v>Union</v>
      </c>
      <c r="C20" s="15">
        <f>VLOOKUP($B20,'County Data'!$B$10:$L$46,2,FALSE)</f>
        <v>26840</v>
      </c>
      <c r="D20" s="34">
        <f>VLOOKUP(B20,'County Data'!$B$10:$L$46,4,FALSE)</f>
        <v>7.7874589999999994E-2</v>
      </c>
      <c r="E20" s="31">
        <f t="shared" si="0"/>
        <v>2090.1539955999997</v>
      </c>
      <c r="F20" s="6">
        <f t="shared" si="1"/>
        <v>7.5918621758661086E-3</v>
      </c>
      <c r="G20" s="14">
        <f t="shared" si="2"/>
        <v>10318.606007364684</v>
      </c>
      <c r="H20" s="10">
        <f t="shared" si="3"/>
        <v>0.38444880802401954</v>
      </c>
      <c r="I20" s="22"/>
    </row>
    <row r="21" spans="2:9">
      <c r="B21" s="20" t="str">
        <f>'County Data'!$B$32</f>
        <v>Malheur</v>
      </c>
      <c r="C21" s="15">
        <f>VLOOKUP($B21,'County Data'!$B$10:$L$46,2,FALSE)</f>
        <v>32105</v>
      </c>
      <c r="D21" s="34">
        <f>VLOOKUP(B21,'County Data'!$B$10:$L$46,4,FALSE)</f>
        <v>7.7298069999999997E-2</v>
      </c>
      <c r="E21" s="31">
        <f t="shared" si="0"/>
        <v>2481.6545373499998</v>
      </c>
      <c r="F21" s="6">
        <f t="shared" si="1"/>
        <v>9.0138713488742972E-3</v>
      </c>
      <c r="G21" s="14">
        <f t="shared" si="2"/>
        <v>12251.353475011647</v>
      </c>
      <c r="H21" s="10">
        <f t="shared" si="3"/>
        <v>0.38160266235825097</v>
      </c>
      <c r="I21" s="22"/>
    </row>
    <row r="22" spans="2:9">
      <c r="B22" s="20" t="str">
        <f>'County Data'!$B$31</f>
        <v>Linn</v>
      </c>
      <c r="C22" s="15">
        <f>VLOOKUP($B22,'County Data'!$B$10:$L$46,2,FALSE)</f>
        <v>127320</v>
      </c>
      <c r="D22" s="34">
        <f>VLOOKUP(B22,'County Data'!$B$10:$L$46,4,FALSE)</f>
        <v>7.4680110000000008E-2</v>
      </c>
      <c r="E22" s="31">
        <f t="shared" si="0"/>
        <v>9508.2716052000014</v>
      </c>
      <c r="F22" s="6">
        <f t="shared" si="1"/>
        <v>3.4535966110314308E-2</v>
      </c>
      <c r="G22" s="14">
        <f t="shared" si="2"/>
        <v>46940.13393826886</v>
      </c>
      <c r="H22" s="10">
        <f t="shared" si="3"/>
        <v>0.36867840039482297</v>
      </c>
      <c r="I22" s="22"/>
    </row>
    <row r="23" spans="2:9">
      <c r="B23" s="20" t="str">
        <f>'County Data'!$B$40</f>
        <v>Umatilla</v>
      </c>
      <c r="C23" s="15">
        <f>VLOOKUP($B23,'County Data'!$B$10:$L$46,2,FALSE)</f>
        <v>81495</v>
      </c>
      <c r="D23" s="34">
        <f>VLOOKUP(B23,'County Data'!$B$10:$L$46,4,FALSE)</f>
        <v>7.0862040000000001E-2</v>
      </c>
      <c r="E23" s="31">
        <f t="shared" si="0"/>
        <v>5774.9019497999998</v>
      </c>
      <c r="F23" s="6">
        <f t="shared" si="1"/>
        <v>2.097561221532708E-2</v>
      </c>
      <c r="G23" s="14">
        <f t="shared" si="2"/>
        <v>28509.352935998719</v>
      </c>
      <c r="H23" s="10">
        <f t="shared" si="3"/>
        <v>0.34982947341553122</v>
      </c>
      <c r="I23" s="22"/>
    </row>
    <row r="24" spans="2:9">
      <c r="B24" s="20" t="str">
        <f>'County Data'!$B$24</f>
        <v>Jackson</v>
      </c>
      <c r="C24" s="15">
        <f>VLOOKUP($B24,'County Data'!$B$10:$L$46,2,FALSE)</f>
        <v>223240</v>
      </c>
      <c r="D24" s="34">
        <f>VLOOKUP(B24,'County Data'!$B$10:$L$46,4,FALSE)</f>
        <v>7.6263950000000011E-2</v>
      </c>
      <c r="E24" s="31">
        <f t="shared" si="0"/>
        <v>17025.164198000002</v>
      </c>
      <c r="F24" s="6">
        <f t="shared" si="1"/>
        <v>6.1838840767138206E-2</v>
      </c>
      <c r="G24" s="14">
        <f t="shared" si="2"/>
        <v>84049.291076002002</v>
      </c>
      <c r="H24" s="10">
        <f t="shared" si="3"/>
        <v>0.37649745151407454</v>
      </c>
      <c r="I24" s="22"/>
    </row>
    <row r="25" spans="2:9">
      <c r="B25" s="20" t="str">
        <f>'County Data'!$B$16</f>
        <v>Crook</v>
      </c>
      <c r="C25" s="15">
        <f>VLOOKUP($B25,'County Data'!$B$10:$L$46,2,FALSE)</f>
        <v>23440</v>
      </c>
      <c r="D25" s="34">
        <f>VLOOKUP(B25,'County Data'!$B$10:$L$46,4,FALSE)</f>
        <v>8.3662790000000001E-2</v>
      </c>
      <c r="E25" s="31">
        <f t="shared" si="0"/>
        <v>1961.0557976</v>
      </c>
      <c r="F25" s="6">
        <f t="shared" si="1"/>
        <v>7.1229514025776914E-3</v>
      </c>
      <c r="G25" s="14">
        <f t="shared" si="2"/>
        <v>9681.2781146701782</v>
      </c>
      <c r="H25" s="10">
        <f t="shared" si="3"/>
        <v>0.41302381035282332</v>
      </c>
      <c r="I25" s="22"/>
    </row>
    <row r="26" spans="2:9">
      <c r="B26" s="20" t="str">
        <f>'County Data'!$B$14</f>
        <v>Columbia</v>
      </c>
      <c r="C26" s="15">
        <f>VLOOKUP($B26,'County Data'!$B$10:$L$46,2,FALSE)</f>
        <v>53280</v>
      </c>
      <c r="D26" s="34">
        <f>VLOOKUP(B26,'County Data'!$B$10:$L$46,4,FALSE)</f>
        <v>7.1908329999999993E-2</v>
      </c>
      <c r="E26" s="31">
        <f t="shared" si="0"/>
        <v>3831.2758223999995</v>
      </c>
      <c r="F26" s="6">
        <f t="shared" si="1"/>
        <v>1.3915968901152329E-2</v>
      </c>
      <c r="G26" s="14">
        <f t="shared" si="2"/>
        <v>18914.121064816205</v>
      </c>
      <c r="H26" s="10">
        <f t="shared" si="3"/>
        <v>0.35499476473003388</v>
      </c>
      <c r="I26" s="22"/>
    </row>
    <row r="27" spans="2:9">
      <c r="B27" s="20" t="str">
        <f>'County Data'!$B$42</f>
        <v>Wallowa</v>
      </c>
      <c r="C27" s="15">
        <f>VLOOKUP($B27,'County Data'!$B$10:$L$46,2,FALSE)</f>
        <v>7160</v>
      </c>
      <c r="D27" s="34">
        <f>VLOOKUP(B27,'County Data'!$B$10:$L$46,4,FALSE)</f>
        <v>6.8052559999999998E-2</v>
      </c>
      <c r="E27" s="31">
        <f t="shared" si="0"/>
        <v>487.25632959999996</v>
      </c>
      <c r="F27" s="6">
        <f t="shared" si="1"/>
        <v>1.7698135670523654E-3</v>
      </c>
      <c r="G27" s="14">
        <f t="shared" si="2"/>
        <v>2405.4716065520065</v>
      </c>
      <c r="H27" s="10">
        <f t="shared" si="3"/>
        <v>0.33595972158547577</v>
      </c>
      <c r="I27" s="22"/>
    </row>
    <row r="28" spans="2:9">
      <c r="B28" s="20" t="str">
        <f>'County Data'!$B$39</f>
        <v>Tillamook</v>
      </c>
      <c r="C28" s="15">
        <f>VLOOKUP($B28,'County Data'!$B$10:$L$46,2,FALSE)</f>
        <v>26530</v>
      </c>
      <c r="D28" s="34">
        <f>VLOOKUP(B28,'County Data'!$B$10:$L$46,4,FALSE)</f>
        <v>8.2220169999999995E-2</v>
      </c>
      <c r="E28" s="31">
        <f t="shared" si="0"/>
        <v>2181.3011100999997</v>
      </c>
      <c r="F28" s="6">
        <f t="shared" si="1"/>
        <v>7.9229269359118153E-3</v>
      </c>
      <c r="G28" s="14">
        <f t="shared" si="2"/>
        <v>10768.578193726808</v>
      </c>
      <c r="H28" s="10">
        <f t="shared" si="3"/>
        <v>0.40590192965423322</v>
      </c>
      <c r="I28" s="22"/>
    </row>
    <row r="29" spans="2:9">
      <c r="B29" s="20" t="str">
        <f>'County Data'!$B$28</f>
        <v>Lake</v>
      </c>
      <c r="C29" s="15">
        <f>VLOOKUP($B29,'County Data'!$B$10:$L$46,2,FALSE)</f>
        <v>8075</v>
      </c>
      <c r="D29" s="34">
        <f>VLOOKUP(B29,'County Data'!$B$10:$L$46,4,FALSE)</f>
        <v>9.3079839999999997E-2</v>
      </c>
      <c r="E29" s="31">
        <f t="shared" si="0"/>
        <v>751.61970799999995</v>
      </c>
      <c r="F29" s="6">
        <f t="shared" si="1"/>
        <v>2.730034841362351E-3</v>
      </c>
      <c r="G29" s="14">
        <f t="shared" si="2"/>
        <v>3710.5723552183281</v>
      </c>
      <c r="H29" s="10">
        <f t="shared" si="3"/>
        <v>0.45951360436140287</v>
      </c>
      <c r="I29" s="22"/>
    </row>
    <row r="30" spans="2:9">
      <c r="B30" s="20" t="str">
        <f>'County Data'!$B$36</f>
        <v>Gilliam, Sherman, Wasco</v>
      </c>
      <c r="C30" s="15">
        <f>VLOOKUP($B30,'County Data'!$B$10:$L$46,2,FALSE)</f>
        <v>31080</v>
      </c>
      <c r="D30" s="34">
        <f>VLOOKUP(B30,'County Data'!$B$10:$L$46,4,FALSE)</f>
        <v>8.1669599999999995E-2</v>
      </c>
      <c r="E30" s="31">
        <f t="shared" si="0"/>
        <v>2538.2911679999997</v>
      </c>
      <c r="F30" s="6">
        <f t="shared" si="1"/>
        <v>9.2195870496816941E-3</v>
      </c>
      <c r="G30" s="14">
        <f t="shared" si="2"/>
        <v>12530.955398359034</v>
      </c>
      <c r="H30" s="10">
        <f t="shared" si="3"/>
        <v>0.40318389312609504</v>
      </c>
      <c r="I30" s="22"/>
    </row>
    <row r="31" spans="2:9">
      <c r="B31" s="20" t="str">
        <f>'County Data'!$B$10</f>
        <v>Baker</v>
      </c>
      <c r="C31" s="15">
        <f>VLOOKUP($B31,'County Data'!$B$10:$L$46,2,FALSE)</f>
        <v>16910</v>
      </c>
      <c r="D31" s="34">
        <f>VLOOKUP(B31,'County Data'!$B$10:$L$46,4,FALSE)</f>
        <v>8.6297479999999996E-2</v>
      </c>
      <c r="E31" s="31">
        <f t="shared" si="0"/>
        <v>1459.2903867999999</v>
      </c>
      <c r="F31" s="6">
        <f t="shared" si="1"/>
        <v>5.3004379172414432E-3</v>
      </c>
      <c r="G31" s="14">
        <f t="shared" si="2"/>
        <v>7204.1785358506604</v>
      </c>
      <c r="H31" s="10">
        <f t="shared" si="3"/>
        <v>0.4260306644500686</v>
      </c>
      <c r="I31" s="22"/>
    </row>
    <row r="32" spans="2:9">
      <c r="B32" s="20" t="str">
        <f>'County Data'!$B$13</f>
        <v>Clatsop</v>
      </c>
      <c r="C32" s="15">
        <f>VLOOKUP($B32,'County Data'!$B$10:$L$46,2,FALSE)</f>
        <v>39455</v>
      </c>
      <c r="D32" s="34">
        <f>VLOOKUP(B32,'County Data'!$B$10:$L$46,4,FALSE)</f>
        <v>8.1797190000000006E-2</v>
      </c>
      <c r="E32" s="31">
        <f t="shared" si="0"/>
        <v>3227.30813145</v>
      </c>
      <c r="F32" s="6">
        <f t="shared" si="1"/>
        <v>1.1722236057533668E-2</v>
      </c>
      <c r="G32" s="14">
        <f t="shared" si="2"/>
        <v>15932.472508197841</v>
      </c>
      <c r="H32" s="10">
        <f t="shared" si="3"/>
        <v>0.40381377539469882</v>
      </c>
      <c r="I32" s="22"/>
    </row>
    <row r="33" spans="2:9">
      <c r="B33" s="20" t="str">
        <f>'County Data'!$B$26</f>
        <v>Josephine</v>
      </c>
      <c r="C33" s="15">
        <f>VLOOKUP($B33,'County Data'!$B$10:$L$46,2,FALSE)</f>
        <v>86560</v>
      </c>
      <c r="D33" s="34">
        <f>VLOOKUP(B33,'County Data'!$B$10:$L$46,4,FALSE)</f>
        <v>9.9210980000000004E-2</v>
      </c>
      <c r="E33" s="31">
        <f t="shared" si="0"/>
        <v>8587.7024288000011</v>
      </c>
      <c r="F33" s="6">
        <f t="shared" si="1"/>
        <v>3.1192272619168852E-2</v>
      </c>
      <c r="G33" s="14">
        <f t="shared" si="2"/>
        <v>42395.497201553662</v>
      </c>
      <c r="H33" s="10">
        <f t="shared" si="3"/>
        <v>0.48978162201425213</v>
      </c>
      <c r="I33" s="22"/>
    </row>
    <row r="34" spans="2:9">
      <c r="B34" s="20" t="str">
        <f>'County Data'!$B$19</f>
        <v>Douglas</v>
      </c>
      <c r="C34" s="15">
        <f>VLOOKUP($B34,'County Data'!$B$10:$L$46,2,FALSE)</f>
        <v>112530</v>
      </c>
      <c r="D34" s="34">
        <f>VLOOKUP(B34,'County Data'!$B$10:$L$46,4,FALSE)</f>
        <v>0.10093575</v>
      </c>
      <c r="E34" s="31">
        <f t="shared" si="0"/>
        <v>11358.2999475</v>
      </c>
      <c r="F34" s="6">
        <f t="shared" si="1"/>
        <v>4.1255643333023354E-2</v>
      </c>
      <c r="G34" s="14">
        <f t="shared" si="2"/>
        <v>56073.295230134237</v>
      </c>
      <c r="H34" s="10">
        <f t="shared" si="3"/>
        <v>0.49829641189135554</v>
      </c>
      <c r="I34" s="22"/>
    </row>
    <row r="35" spans="2:9">
      <c r="B35" s="20" t="str">
        <f>'County Data'!$B$27</f>
        <v>Klamath</v>
      </c>
      <c r="C35" s="15">
        <f>VLOOKUP($B35,'County Data'!$B$10:$L$46,2,FALSE)</f>
        <v>68075</v>
      </c>
      <c r="D35" s="34">
        <f>VLOOKUP(B35,'County Data'!$B$10:$L$46,4,FALSE)</f>
        <v>9.6826550000000011E-2</v>
      </c>
      <c r="E35" s="31">
        <f t="shared" si="0"/>
        <v>6591.4673912500011</v>
      </c>
      <c r="F35" s="6">
        <f t="shared" si="1"/>
        <v>2.3941543099900073E-2</v>
      </c>
      <c r="G35" s="14">
        <f t="shared" si="2"/>
        <v>32540.547329947512</v>
      </c>
      <c r="H35" s="10">
        <f t="shared" si="3"/>
        <v>0.47801024355413163</v>
      </c>
      <c r="I35" s="22"/>
    </row>
    <row r="36" spans="2:9">
      <c r="B36" s="20" t="str">
        <f>'County Data'!$B$15</f>
        <v>Coos</v>
      </c>
      <c r="C36" s="15">
        <f>VLOOKUP($B36,'County Data'!$B$10:$L$46,2,FALSE)</f>
        <v>63315</v>
      </c>
      <c r="D36" s="34">
        <f>VLOOKUP(B36,'County Data'!$B$10:$L$46,4,FALSE)</f>
        <v>9.8415849999999985E-2</v>
      </c>
      <c r="E36" s="31">
        <f t="shared" si="0"/>
        <v>6231.1995427499987</v>
      </c>
      <c r="F36" s="6">
        <f t="shared" si="1"/>
        <v>2.2632977387533653E-2</v>
      </c>
      <c r="G36" s="14">
        <f t="shared" si="2"/>
        <v>30761.988432556154</v>
      </c>
      <c r="H36" s="10">
        <f t="shared" si="3"/>
        <v>0.48585624942835276</v>
      </c>
      <c r="I36" s="22"/>
    </row>
    <row r="37" spans="2:9">
      <c r="B37" s="20" t="str">
        <f>'County Data'!$B$30</f>
        <v>Lincoln</v>
      </c>
      <c r="C37" s="15">
        <f>VLOOKUP($B37,'County Data'!$B$10:$L$46,2,FALSE)</f>
        <v>48305</v>
      </c>
      <c r="D37" s="34">
        <f>VLOOKUP(B37,'County Data'!$B$10:$L$46,4,FALSE)</f>
        <v>9.7818940000000007E-2</v>
      </c>
      <c r="E37" s="31">
        <f t="shared" si="0"/>
        <v>4725.1438967000004</v>
      </c>
      <c r="F37" s="6">
        <f t="shared" si="1"/>
        <v>1.7162678587509399E-2</v>
      </c>
      <c r="G37" s="14">
        <f t="shared" si="2"/>
        <v>23326.940646856521</v>
      </c>
      <c r="H37" s="10">
        <f t="shared" si="3"/>
        <v>0.48290944305675437</v>
      </c>
      <c r="I37" s="22"/>
    </row>
    <row r="38" spans="2:9">
      <c r="B38" s="20" t="str">
        <f>'County Data'!$B$25</f>
        <v>Jefferson</v>
      </c>
      <c r="C38" s="15">
        <f>VLOOKUP($B38,'County Data'!$B$10:$L$46,2,FALSE)</f>
        <v>24105</v>
      </c>
      <c r="D38" s="34">
        <f>VLOOKUP(B38,'County Data'!$B$10:$L$46,4,FALSE)</f>
        <v>8.5968059999999999E-2</v>
      </c>
      <c r="E38" s="31">
        <f t="shared" si="0"/>
        <v>2072.2600862999998</v>
      </c>
      <c r="F38" s="6">
        <f t="shared" si="1"/>
        <v>7.5268678771306941E-3</v>
      </c>
      <c r="G38" s="14">
        <f t="shared" si="2"/>
        <v>10230.267923000134</v>
      </c>
      <c r="H38" s="10">
        <f t="shared" si="3"/>
        <v>0.42440439423356707</v>
      </c>
      <c r="I38" s="22"/>
    </row>
    <row r="39" spans="2:9">
      <c r="B39" s="20" t="str">
        <f>'County Data'!$B$22</f>
        <v>Harney</v>
      </c>
      <c r="C39" s="15">
        <f>VLOOKUP($B39,'County Data'!$B$10:$L$46,2,FALSE)</f>
        <v>7280</v>
      </c>
      <c r="D39" s="34">
        <f>VLOOKUP(B39,'County Data'!$B$10:$L$46,4,FALSE)</f>
        <v>9.5802139999999994E-2</v>
      </c>
      <c r="E39" s="31">
        <f t="shared" si="0"/>
        <v>697.43957919999991</v>
      </c>
      <c r="F39" s="6">
        <f t="shared" si="1"/>
        <v>2.5332416522546755E-3</v>
      </c>
      <c r="G39" s="14">
        <f t="shared" si="2"/>
        <v>3443.0976123561459</v>
      </c>
      <c r="H39" s="10">
        <f t="shared" si="3"/>
        <v>0.47295296873023984</v>
      </c>
      <c r="I39" s="22"/>
    </row>
    <row r="40" spans="2:9">
      <c r="B40" s="20" t="str">
        <f>'County Data'!$B$17</f>
        <v>Curry</v>
      </c>
      <c r="C40" s="15">
        <f>VLOOKUP($B40,'County Data'!$B$10:$L$46,2,FALSE)</f>
        <v>23005</v>
      </c>
      <c r="D40" s="34">
        <f>VLOOKUP(B40,'County Data'!$B$10:$L$46,4,FALSE)</f>
        <v>9.8974709999999994E-2</v>
      </c>
      <c r="E40" s="31">
        <f t="shared" si="0"/>
        <v>2276.9132035499997</v>
      </c>
      <c r="F40" s="6">
        <f t="shared" si="1"/>
        <v>8.270209402824049E-3</v>
      </c>
      <c r="G40" s="14">
        <f t="shared" si="2"/>
        <v>11240.592946671686</v>
      </c>
      <c r="H40" s="10">
        <f t="shared" si="3"/>
        <v>0.48861521176577638</v>
      </c>
      <c r="I40" s="22"/>
    </row>
    <row r="41" spans="2:9">
      <c r="B41" s="4" t="s">
        <v>83</v>
      </c>
      <c r="C41" s="5">
        <f>SUM(C6:C40)</f>
        <v>4268055</v>
      </c>
      <c r="D41" s="5">
        <f>SUM(D6:D40)</f>
        <v>2.5689659599999994</v>
      </c>
      <c r="E41" s="5">
        <f>SUM(E6:E40)</f>
        <v>275315.06067700009</v>
      </c>
      <c r="F41" s="8">
        <f>SUM(F6:F40)</f>
        <v>0.99999999999999978</v>
      </c>
      <c r="G41" s="11">
        <f>SUM(G6:G40)</f>
        <v>1359166.6666666656</v>
      </c>
      <c r="H41" s="12">
        <f t="shared" ref="H41" si="4">G41/C41</f>
        <v>0.31845106650843663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>
      <c r="B3" t="s">
        <v>120</v>
      </c>
      <c r="C3" s="1">
        <f>'County Data'!C5</f>
        <v>10000000</v>
      </c>
    </row>
    <row r="4" spans="2:12">
      <c r="B4" t="s">
        <v>121</v>
      </c>
      <c r="C4" s="14">
        <f>'County Data'!F9</f>
        <v>1359166.6666666665</v>
      </c>
      <c r="D4" s="9"/>
    </row>
    <row r="6" spans="2:12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12">
      <c r="B7" s="20" t="str">
        <f>+'County Data'!$B$18</f>
        <v>Deschutes</v>
      </c>
      <c r="C7" s="15">
        <f>VLOOKUP($B7,'County Data'!$B$10:$L$46,2,FALSE)</f>
        <v>197015</v>
      </c>
      <c r="D7" s="29">
        <f>VLOOKUP($B7,'County Data'!$B$10:$L$46,5,FALSE)</f>
        <v>0.13699999999999998</v>
      </c>
      <c r="E7" s="31">
        <f t="shared" ref="E7:E40" si="0">C7*D7</f>
        <v>26991.054999999997</v>
      </c>
      <c r="F7" s="6">
        <f t="shared" ref="F7:F40" si="1">E7/$E$41</f>
        <v>3.7592227668518177E-2</v>
      </c>
      <c r="G7" s="14">
        <f t="shared" ref="G7:G40" si="2">$C$4*F7</f>
        <v>51094.102772794286</v>
      </c>
      <c r="H7" s="10">
        <f t="shared" ref="H7:H40" si="3">G7/C7</f>
        <v>0.25934118099025094</v>
      </c>
      <c r="J7" s="185"/>
      <c r="K7" s="185"/>
      <c r="L7" s="22"/>
    </row>
    <row r="8" spans="2:12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Data'!$B$10:$L$46,5,FALSE)</f>
        <v>0.14899999999999999</v>
      </c>
      <c r="E8" s="31">
        <f t="shared" si="0"/>
        <v>1066.8399999999999</v>
      </c>
      <c r="F8" s="6">
        <f t="shared" si="1"/>
        <v>1.4858586359770647E-3</v>
      </c>
      <c r="G8" s="14">
        <f t="shared" si="2"/>
        <v>2019.5295293988268</v>
      </c>
      <c r="H8" s="10">
        <f t="shared" si="3"/>
        <v>0.28205719684341157</v>
      </c>
      <c r="J8" s="185"/>
      <c r="K8" s="185"/>
      <c r="L8" s="22"/>
    </row>
    <row r="9" spans="2:12">
      <c r="B9" s="20" t="str">
        <f>+'County Data'!$B$28</f>
        <v>Lake</v>
      </c>
      <c r="C9" s="15">
        <f>VLOOKUP($B9,'County Data'!$B$10:$L$46,2,FALSE)</f>
        <v>8075</v>
      </c>
      <c r="D9" s="29">
        <f>VLOOKUP($B9,'County Data'!$B$10:$L$46,5,FALSE)</f>
        <v>0.17899999999999999</v>
      </c>
      <c r="E9" s="31">
        <f t="shared" si="0"/>
        <v>1445.425</v>
      </c>
      <c r="F9" s="6">
        <f t="shared" si="1"/>
        <v>2.0131390076367113E-3</v>
      </c>
      <c r="G9" s="14">
        <f t="shared" si="2"/>
        <v>2736.1914345462296</v>
      </c>
      <c r="H9" s="10">
        <f t="shared" si="3"/>
        <v>0.33884723647631326</v>
      </c>
      <c r="J9" s="185"/>
      <c r="K9" s="185"/>
      <c r="L9" s="22"/>
    </row>
    <row r="10" spans="2:12">
      <c r="B10" s="20" t="str">
        <f>+'County Data'!$B$44</f>
        <v>Washington</v>
      </c>
      <c r="C10" s="15">
        <f>VLOOKUP($B10,'County Data'!$B$10:$L$46,2,FALSE)</f>
        <v>620080</v>
      </c>
      <c r="D10" s="29">
        <f>VLOOKUP($B10,'County Data'!$B$10:$L$46,5,FALSE)</f>
        <v>0.151</v>
      </c>
      <c r="E10" s="31">
        <f t="shared" si="0"/>
        <v>93632.08</v>
      </c>
      <c r="F10" s="6">
        <f t="shared" si="1"/>
        <v>0.13040759127188278</v>
      </c>
      <c r="G10" s="14">
        <f t="shared" si="2"/>
        <v>177245.651137034</v>
      </c>
      <c r="H10" s="10">
        <f t="shared" si="3"/>
        <v>0.2858431994856051</v>
      </c>
      <c r="J10" s="185"/>
      <c r="K10" s="185"/>
      <c r="L10" s="22"/>
    </row>
    <row r="11" spans="2:12">
      <c r="B11" s="20" t="str">
        <f>+'County Data'!$B$10</f>
        <v>Baker</v>
      </c>
      <c r="C11" s="15">
        <f>VLOOKUP($B11,'County Data'!$B$10:$L$46,2,FALSE)</f>
        <v>16910</v>
      </c>
      <c r="D11" s="29">
        <f>VLOOKUP($B11,'County Data'!$B$10:$L$46,5,FALSE)</f>
        <v>0.18899999999999997</v>
      </c>
      <c r="E11" s="31">
        <f t="shared" si="0"/>
        <v>3195.9899999999993</v>
      </c>
      <c r="F11" s="6">
        <f t="shared" si="1"/>
        <v>4.4512666772865087E-3</v>
      </c>
      <c r="G11" s="14">
        <f t="shared" si="2"/>
        <v>6050.0132922119128</v>
      </c>
      <c r="H11" s="10">
        <f t="shared" si="3"/>
        <v>0.35777724968728047</v>
      </c>
      <c r="J11" s="185"/>
      <c r="K11" s="185"/>
      <c r="L11" s="22"/>
    </row>
    <row r="12" spans="2:12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Data'!$B$10:$L$46,5,FALSE)</f>
        <v>0.113</v>
      </c>
      <c r="E12" s="31">
        <f t="shared" si="0"/>
        <v>10697.145</v>
      </c>
      <c r="F12" s="6">
        <f t="shared" si="1"/>
        <v>1.4898621422658393E-2</v>
      </c>
      <c r="G12" s="14">
        <f t="shared" si="2"/>
        <v>20249.709616963199</v>
      </c>
      <c r="H12" s="10">
        <f t="shared" si="3"/>
        <v>0.21390914928392962</v>
      </c>
      <c r="J12" s="185"/>
      <c r="K12" s="185"/>
      <c r="L12" s="22"/>
    </row>
    <row r="13" spans="2:12">
      <c r="B13" s="20" t="str">
        <f>+'County Data'!$B$41</f>
        <v>Union</v>
      </c>
      <c r="C13" s="15">
        <f>VLOOKUP($B13,'County Data'!$B$10:$L$46,2,FALSE)</f>
        <v>26840</v>
      </c>
      <c r="D13" s="29">
        <f>VLOOKUP($B13,'County Data'!$B$10:$L$46,5,FALSE)</f>
        <v>0.106</v>
      </c>
      <c r="E13" s="31">
        <f t="shared" si="0"/>
        <v>2845.04</v>
      </c>
      <c r="F13" s="6">
        <f t="shared" si="1"/>
        <v>3.9624753980917367E-3</v>
      </c>
      <c r="G13" s="14">
        <f t="shared" si="2"/>
        <v>5385.6644785730177</v>
      </c>
      <c r="H13" s="10">
        <f t="shared" si="3"/>
        <v>0.20065814003625251</v>
      </c>
      <c r="J13" s="185"/>
      <c r="K13" s="185"/>
      <c r="L13" s="22"/>
    </row>
    <row r="14" spans="2:12">
      <c r="B14" s="20" t="str">
        <f>+'County Data'!$B$37</f>
        <v>Polk</v>
      </c>
      <c r="C14" s="15">
        <f>VLOOKUP($B14,'County Data'!$B$10:$L$46,2,FALSE)</f>
        <v>83805</v>
      </c>
      <c r="D14" s="29">
        <f>VLOOKUP($B14,'County Data'!$B$10:$L$46,5,FALSE)</f>
        <v>0.183</v>
      </c>
      <c r="E14" s="31">
        <f t="shared" si="0"/>
        <v>15336.315000000001</v>
      </c>
      <c r="F14" s="6">
        <f t="shared" si="1"/>
        <v>2.1359900347582207E-2</v>
      </c>
      <c r="G14" s="14">
        <f t="shared" si="2"/>
        <v>29031.66455575548</v>
      </c>
      <c r="H14" s="10">
        <f t="shared" si="3"/>
        <v>0.34641924176070021</v>
      </c>
      <c r="J14" s="185"/>
      <c r="K14" s="185"/>
      <c r="L14" s="22"/>
    </row>
    <row r="15" spans="2:12">
      <c r="B15" s="20" t="str">
        <f>+'County Data'!$B$12</f>
        <v>Clackamas</v>
      </c>
      <c r="C15" s="15">
        <f>VLOOKUP($B15,'County Data'!$B$10:$L$46,2,FALSE)</f>
        <v>426515</v>
      </c>
      <c r="D15" s="29">
        <f>VLOOKUP($B15,'County Data'!$B$10:$L$46,5,FALSE)</f>
        <v>0.14499999999999999</v>
      </c>
      <c r="E15" s="31">
        <f t="shared" si="0"/>
        <v>61844.674999999996</v>
      </c>
      <c r="F15" s="6">
        <f t="shared" si="1"/>
        <v>8.613516969549781E-2</v>
      </c>
      <c r="G15" s="14">
        <f t="shared" si="2"/>
        <v>117072.05147779743</v>
      </c>
      <c r="H15" s="10">
        <f t="shared" si="3"/>
        <v>0.27448519155902473</v>
      </c>
      <c r="J15" s="185"/>
      <c r="K15" s="185"/>
      <c r="L15" s="22"/>
    </row>
    <row r="16" spans="2:12">
      <c r="B16" s="20" t="str">
        <f>+'County Data'!$B$13</f>
        <v>Clatsop</v>
      </c>
      <c r="C16" s="15">
        <f>VLOOKUP($B16,'County Data'!$B$10:$L$46,2,FALSE)</f>
        <v>39455</v>
      </c>
      <c r="D16" s="29">
        <f>VLOOKUP($B16,'County Data'!$B$10:$L$46,5,FALSE)</f>
        <v>0.15</v>
      </c>
      <c r="E16" s="31">
        <f t="shared" si="0"/>
        <v>5918.25</v>
      </c>
      <c r="F16" s="6">
        <f t="shared" si="1"/>
        <v>8.2427382478827797E-3</v>
      </c>
      <c r="G16" s="14">
        <f t="shared" si="2"/>
        <v>11203.255068580676</v>
      </c>
      <c r="H16" s="10">
        <f t="shared" si="3"/>
        <v>0.28395019816450834</v>
      </c>
      <c r="J16" s="185"/>
      <c r="K16" s="185"/>
      <c r="L16" s="22"/>
    </row>
    <row r="17" spans="2:12">
      <c r="B17" s="20" t="str">
        <f>+'County Data'!$B$36</f>
        <v>Gilliam, Sherman, Wasco</v>
      </c>
      <c r="C17" s="15">
        <f>VLOOKUP($B17,'County Data'!$B$10:$L$46,2,FALSE)</f>
        <v>31080</v>
      </c>
      <c r="D17" s="29">
        <f>VLOOKUP($B17,'County Data'!$B$10:$L$46,5,FALSE)</f>
        <v>0.13800000000000001</v>
      </c>
      <c r="E17" s="31">
        <f t="shared" si="0"/>
        <v>4289.04</v>
      </c>
      <c r="F17" s="6">
        <f t="shared" si="1"/>
        <v>5.9736297139693587E-3</v>
      </c>
      <c r="G17" s="14">
        <f t="shared" si="2"/>
        <v>8119.1583862366861</v>
      </c>
      <c r="H17" s="10">
        <f t="shared" si="3"/>
        <v>0.26123418231134771</v>
      </c>
      <c r="J17" s="185"/>
      <c r="K17" s="185"/>
      <c r="L17" s="22"/>
    </row>
    <row r="18" spans="2:12">
      <c r="B18" s="20" t="str">
        <f>+'County Data'!$B$29</f>
        <v>Lane</v>
      </c>
      <c r="C18" s="15">
        <f>VLOOKUP($B18,'County Data'!$B$10:$L$46,2,FALSE)</f>
        <v>381365</v>
      </c>
      <c r="D18" s="29">
        <f>VLOOKUP($B18,'County Data'!$B$10:$L$46,5,FALSE)</f>
        <v>0.16600000000000001</v>
      </c>
      <c r="E18" s="31">
        <f t="shared" si="0"/>
        <v>63306.590000000004</v>
      </c>
      <c r="F18" s="6">
        <f t="shared" si="1"/>
        <v>8.8171275416894096E-2</v>
      </c>
      <c r="G18" s="14">
        <f t="shared" si="2"/>
        <v>119839.45850412855</v>
      </c>
      <c r="H18" s="10">
        <f t="shared" si="3"/>
        <v>0.31423821930205592</v>
      </c>
      <c r="J18" s="185"/>
      <c r="K18" s="185"/>
      <c r="L18" s="22"/>
    </row>
    <row r="19" spans="2:12">
      <c r="B19" s="20" t="str">
        <f>+'County Data'!$B$35</f>
        <v>Multnomah</v>
      </c>
      <c r="C19" s="15">
        <f>VLOOKUP($B19,'County Data'!$B$10:$L$46,2,FALSE)</f>
        <v>829560</v>
      </c>
      <c r="D19" s="29">
        <f>VLOOKUP($B19,'County Data'!$B$10:$L$46,5,FALSE)</f>
        <v>0.161</v>
      </c>
      <c r="E19" s="31">
        <f t="shared" si="0"/>
        <v>133559.16</v>
      </c>
      <c r="F19" s="6">
        <f t="shared" si="1"/>
        <v>0.18601667663364943</v>
      </c>
      <c r="G19" s="14">
        <f t="shared" si="2"/>
        <v>252827.66632456848</v>
      </c>
      <c r="H19" s="10">
        <f t="shared" si="3"/>
        <v>0.30477321269657226</v>
      </c>
      <c r="J19" s="185"/>
      <c r="K19" s="185"/>
      <c r="L19" s="22"/>
    </row>
    <row r="20" spans="2:12">
      <c r="B20" s="20" t="str">
        <f>+'County Data'!$B$21</f>
        <v>Grant</v>
      </c>
      <c r="C20" s="15">
        <f>VLOOKUP($B20,'County Data'!$B$10:$L$46,2,FALSE)</f>
        <v>7315</v>
      </c>
      <c r="D20" s="29">
        <f>VLOOKUP($B20,'County Data'!$B$10:$L$46,5,FALSE)</f>
        <v>0.155</v>
      </c>
      <c r="E20" s="31">
        <f t="shared" si="0"/>
        <v>1133.825</v>
      </c>
      <c r="F20" s="6">
        <f t="shared" si="1"/>
        <v>1.5791530763157508E-3</v>
      </c>
      <c r="G20" s="14">
        <f t="shared" si="2"/>
        <v>2146.3322228924912</v>
      </c>
      <c r="H20" s="10">
        <f t="shared" si="3"/>
        <v>0.29341520476999194</v>
      </c>
      <c r="J20" s="185"/>
      <c r="K20" s="185"/>
      <c r="L20" s="22"/>
    </row>
    <row r="21" spans="2:12">
      <c r="B21" s="20" t="str">
        <f>+'County Data'!$B$24</f>
        <v>Jackson</v>
      </c>
      <c r="C21" s="15">
        <f>VLOOKUP($B21,'County Data'!$B$10:$L$46,2,FALSE)</f>
        <v>223240</v>
      </c>
      <c r="D21" s="29">
        <f>VLOOKUP($B21,'County Data'!$B$10:$L$46,5,FALSE)</f>
        <v>0.184</v>
      </c>
      <c r="E21" s="31">
        <f t="shared" si="0"/>
        <v>41076.159999999996</v>
      </c>
      <c r="F21" s="6">
        <f t="shared" si="1"/>
        <v>5.7209485085650769E-2</v>
      </c>
      <c r="G21" s="14">
        <f t="shared" si="2"/>
        <v>77757.225145580334</v>
      </c>
      <c r="H21" s="10">
        <f t="shared" si="3"/>
        <v>0.34831224308179687</v>
      </c>
      <c r="J21" s="185"/>
      <c r="K21" s="185"/>
      <c r="L21" s="22"/>
    </row>
    <row r="22" spans="2:12">
      <c r="B22" s="20" t="str">
        <f>+'County Data'!$B$31</f>
        <v>Linn</v>
      </c>
      <c r="C22" s="15">
        <f>VLOOKUP($B22,'County Data'!$B$10:$L$46,2,FALSE)</f>
        <v>127320</v>
      </c>
      <c r="D22" s="29">
        <f>VLOOKUP($B22,'County Data'!$B$10:$L$46,5,FALSE)</f>
        <v>0.18100000000000002</v>
      </c>
      <c r="E22" s="31">
        <f t="shared" si="0"/>
        <v>23044.920000000002</v>
      </c>
      <c r="F22" s="6">
        <f t="shared" si="1"/>
        <v>3.2096184430093155E-2</v>
      </c>
      <c r="G22" s="14">
        <f t="shared" si="2"/>
        <v>43624.064004568274</v>
      </c>
      <c r="H22" s="10">
        <f t="shared" si="3"/>
        <v>0.34263323911850668</v>
      </c>
      <c r="J22" s="185"/>
      <c r="K22" s="185"/>
      <c r="L22" s="22"/>
    </row>
    <row r="23" spans="2:12">
      <c r="B23" s="20" t="str">
        <f>+'County Data'!$B$25</f>
        <v>Jefferson</v>
      </c>
      <c r="C23" s="15">
        <f>VLOOKUP($B23,'County Data'!$B$10:$L$46,2,FALSE)</f>
        <v>24105</v>
      </c>
      <c r="D23" s="29">
        <f>VLOOKUP($B23,'County Data'!$B$10:$L$46,5,FALSE)</f>
        <v>0.13699999999999998</v>
      </c>
      <c r="E23" s="31">
        <f t="shared" si="0"/>
        <v>3302.3849999999998</v>
      </c>
      <c r="F23" s="6">
        <f t="shared" si="1"/>
        <v>4.5994500314678107E-3</v>
      </c>
      <c r="G23" s="14">
        <f t="shared" si="2"/>
        <v>6251.4191677699982</v>
      </c>
      <c r="H23" s="10">
        <f t="shared" si="3"/>
        <v>0.25934118099025089</v>
      </c>
      <c r="J23" s="185"/>
      <c r="K23" s="185"/>
      <c r="L23" s="22"/>
    </row>
    <row r="24" spans="2:12">
      <c r="B24" s="20" t="str">
        <f>+'County Data'!$B$46</f>
        <v>Yamhill</v>
      </c>
      <c r="C24" s="15">
        <f>VLOOKUP($B24,'County Data'!$B$10:$L$46,2,FALSE)</f>
        <v>108605</v>
      </c>
      <c r="D24" s="29">
        <f>VLOOKUP($B24,'County Data'!$B$10:$L$46,5,FALSE)</f>
        <v>0.184</v>
      </c>
      <c r="E24" s="31">
        <f t="shared" si="0"/>
        <v>19983.32</v>
      </c>
      <c r="F24" s="6">
        <f t="shared" si="1"/>
        <v>2.7832091595265642E-2</v>
      </c>
      <c r="G24" s="14">
        <f t="shared" si="2"/>
        <v>37828.451159898548</v>
      </c>
      <c r="H24" s="10">
        <f t="shared" si="3"/>
        <v>0.34831224308179687</v>
      </c>
      <c r="J24" s="185"/>
      <c r="K24" s="185"/>
      <c r="L24" s="22"/>
    </row>
    <row r="25" spans="2:12">
      <c r="B25" s="20" t="str">
        <f>+'County Data'!$B$26</f>
        <v>Josephine</v>
      </c>
      <c r="C25" s="15">
        <f>VLOOKUP($B25,'County Data'!$B$10:$L$46,2,FALSE)</f>
        <v>86560</v>
      </c>
      <c r="D25" s="29">
        <f>VLOOKUP($B25,'County Data'!$B$10:$L$46,5,FALSE)</f>
        <v>0.218</v>
      </c>
      <c r="E25" s="31">
        <f t="shared" si="0"/>
        <v>18870.080000000002</v>
      </c>
      <c r="F25" s="6">
        <f t="shared" si="1"/>
        <v>2.6281608610080325E-2</v>
      </c>
      <c r="G25" s="14">
        <f t="shared" si="2"/>
        <v>35721.086369200835</v>
      </c>
      <c r="H25" s="10">
        <f t="shared" si="3"/>
        <v>0.41267428799908545</v>
      </c>
      <c r="J25" s="185"/>
      <c r="K25" s="185"/>
      <c r="L25" s="22"/>
    </row>
    <row r="26" spans="2:12">
      <c r="B26" s="20" t="str">
        <f>+'County Data'!$B$14</f>
        <v>Columbia</v>
      </c>
      <c r="C26" s="15">
        <f>VLOOKUP($B26,'County Data'!$B$10:$L$46,2,FALSE)</f>
        <v>53280</v>
      </c>
      <c r="D26" s="29">
        <f>VLOOKUP($B26,'County Data'!$B$10:$L$46,5,FALSE)</f>
        <v>0.20499999999999999</v>
      </c>
      <c r="E26" s="31">
        <f t="shared" si="0"/>
        <v>10922.4</v>
      </c>
      <c r="F26" s="6">
        <f t="shared" si="1"/>
        <v>1.5212348961039981E-2</v>
      </c>
      <c r="G26" s="14">
        <f t="shared" si="2"/>
        <v>20676.117629546839</v>
      </c>
      <c r="H26" s="10">
        <f t="shared" si="3"/>
        <v>0.38806527082482806</v>
      </c>
      <c r="J26" s="185"/>
      <c r="K26" s="185"/>
      <c r="L26" s="22"/>
    </row>
    <row r="27" spans="2:12">
      <c r="B27" s="20" t="str">
        <f>+'County Data'!$B$39</f>
        <v>Tillamook</v>
      </c>
      <c r="C27" s="15">
        <f>VLOOKUP($B27,'County Data'!$B$10:$L$46,2,FALSE)</f>
        <v>26530</v>
      </c>
      <c r="D27" s="29">
        <f>VLOOKUP($B27,'County Data'!$B$10:$L$46,5,FALSE)</f>
        <v>0.16899999999999998</v>
      </c>
      <c r="E27" s="31">
        <f t="shared" si="0"/>
        <v>4483.57</v>
      </c>
      <c r="F27" s="6">
        <f t="shared" si="1"/>
        <v>6.2445645124926778E-3</v>
      </c>
      <c r="G27" s="14">
        <f t="shared" si="2"/>
        <v>8487.4039332296306</v>
      </c>
      <c r="H27" s="10">
        <f t="shared" si="3"/>
        <v>0.31991722326534605</v>
      </c>
      <c r="J27" s="185"/>
      <c r="K27" s="185"/>
      <c r="L27" s="22"/>
    </row>
    <row r="28" spans="2:12">
      <c r="B28" s="20" t="str">
        <f>+'County Data'!$B$33</f>
        <v>Marion</v>
      </c>
      <c r="C28" s="15">
        <f>VLOOKUP($B28,'County Data'!$B$10:$L$46,2,FALSE)</f>
        <v>349120</v>
      </c>
      <c r="D28" s="29">
        <f>VLOOKUP($B28,'County Data'!$B$10:$L$46,5,FALSE)</f>
        <v>0.192</v>
      </c>
      <c r="E28" s="31">
        <f t="shared" si="0"/>
        <v>67031.040000000008</v>
      </c>
      <c r="F28" s="6">
        <f t="shared" si="1"/>
        <v>9.3358563292081365E-2</v>
      </c>
      <c r="G28" s="14">
        <f t="shared" si="2"/>
        <v>126889.84727448724</v>
      </c>
      <c r="H28" s="10">
        <f t="shared" si="3"/>
        <v>0.36345625365057072</v>
      </c>
      <c r="J28" s="185"/>
      <c r="K28" s="185"/>
      <c r="L28" s="22"/>
    </row>
    <row r="29" spans="2:12">
      <c r="B29" s="20" t="str">
        <f>+'County Data'!$B$23</f>
        <v>Hood River</v>
      </c>
      <c r="C29" s="15">
        <f>VLOOKUP($B29,'County Data'!$B$10:$L$46,2,FALSE)</f>
        <v>25640</v>
      </c>
      <c r="D29" s="29">
        <f>VLOOKUP($B29,'County Data'!$B$10:$L$46,5,FALSE)</f>
        <v>0.16399999999999998</v>
      </c>
      <c r="E29" s="31">
        <f t="shared" si="0"/>
        <v>4204.9599999999991</v>
      </c>
      <c r="F29" s="6">
        <f t="shared" si="1"/>
        <v>5.8565259363523277E-3</v>
      </c>
      <c r="G29" s="14">
        <f t="shared" si="2"/>
        <v>7959.994835158871</v>
      </c>
      <c r="H29" s="10">
        <f t="shared" si="3"/>
        <v>0.31045221665986233</v>
      </c>
      <c r="J29" s="185"/>
      <c r="K29" s="185"/>
      <c r="L29" s="22"/>
    </row>
    <row r="30" spans="2:12">
      <c r="B30" s="20" t="str">
        <f>+'County Data'!$B$30</f>
        <v>Lincoln</v>
      </c>
      <c r="C30" s="15">
        <f>VLOOKUP($B30,'County Data'!$B$10:$L$46,2,FALSE)</f>
        <v>48305</v>
      </c>
      <c r="D30" s="29">
        <f>VLOOKUP($B30,'County Data'!$B$10:$L$46,5,FALSE)</f>
        <v>0.21299999999999999</v>
      </c>
      <c r="E30" s="31">
        <f t="shared" si="0"/>
        <v>10288.965</v>
      </c>
      <c r="F30" s="6">
        <f t="shared" si="1"/>
        <v>1.4330122136886283E-2</v>
      </c>
      <c r="G30" s="14">
        <f t="shared" si="2"/>
        <v>19477.024337717936</v>
      </c>
      <c r="H30" s="10">
        <f t="shared" si="3"/>
        <v>0.40320928139360179</v>
      </c>
      <c r="J30" s="185"/>
      <c r="K30" s="185"/>
      <c r="L30" s="22"/>
    </row>
    <row r="31" spans="2:12">
      <c r="B31" s="20" t="str">
        <f>+'County Data'!$B$27</f>
        <v>Klamath</v>
      </c>
      <c r="C31" s="15">
        <f>VLOOKUP($B31,'County Data'!$B$10:$L$46,2,FALSE)</f>
        <v>68075</v>
      </c>
      <c r="D31" s="29">
        <f>VLOOKUP($B31,'County Data'!$B$10:$L$46,5,FALSE)</f>
        <v>0.17399999999999999</v>
      </c>
      <c r="E31" s="31">
        <f t="shared" si="0"/>
        <v>11845.05</v>
      </c>
      <c r="F31" s="6">
        <f t="shared" si="1"/>
        <v>1.6497384646320095E-2</v>
      </c>
      <c r="G31" s="14">
        <f t="shared" si="2"/>
        <v>22422.695298456725</v>
      </c>
      <c r="H31" s="10">
        <f t="shared" si="3"/>
        <v>0.3293822298708296</v>
      </c>
      <c r="J31" s="185"/>
      <c r="K31" s="185"/>
      <c r="L31" s="22"/>
    </row>
    <row r="32" spans="2:12">
      <c r="B32" s="20" t="str">
        <f>+'County Data'!$B$15</f>
        <v>Coos</v>
      </c>
      <c r="C32" s="15">
        <f>VLOOKUP($B32,'County Data'!$B$10:$L$46,2,FALSE)</f>
        <v>63315</v>
      </c>
      <c r="D32" s="29">
        <f>VLOOKUP($B32,'County Data'!$B$10:$L$46,5,FALSE)</f>
        <v>0.214</v>
      </c>
      <c r="E32" s="31">
        <f t="shared" si="0"/>
        <v>13549.41</v>
      </c>
      <c r="F32" s="6">
        <f t="shared" si="1"/>
        <v>1.8871159556160252E-2</v>
      </c>
      <c r="G32" s="14">
        <f t="shared" si="2"/>
        <v>25649.05103008114</v>
      </c>
      <c r="H32" s="10">
        <f t="shared" si="3"/>
        <v>0.40510228271469856</v>
      </c>
      <c r="J32" s="185"/>
      <c r="K32" s="185"/>
      <c r="L32" s="22"/>
    </row>
    <row r="33" spans="2:12">
      <c r="B33" s="20" t="str">
        <f>+'County Data'!$B$40</f>
        <v>Umatilla</v>
      </c>
      <c r="C33" s="15">
        <f>VLOOKUP($B33,'County Data'!$B$10:$L$46,2,FALSE)</f>
        <v>81495</v>
      </c>
      <c r="D33" s="29">
        <f>VLOOKUP($B33,'County Data'!$B$10:$L$46,5,FALSE)</f>
        <v>0.184</v>
      </c>
      <c r="E33" s="31">
        <f t="shared" si="0"/>
        <v>14995.08</v>
      </c>
      <c r="F33" s="6">
        <f t="shared" si="1"/>
        <v>2.0884639791502912E-2</v>
      </c>
      <c r="G33" s="14">
        <f t="shared" si="2"/>
        <v>28385.706249951039</v>
      </c>
      <c r="H33" s="10">
        <f t="shared" si="3"/>
        <v>0.34831224308179692</v>
      </c>
      <c r="J33" s="185"/>
      <c r="K33" s="185"/>
      <c r="L33" s="22"/>
    </row>
    <row r="34" spans="2:12">
      <c r="B34" s="20" t="str">
        <f>+'County Data'!$B$19</f>
        <v>Douglas</v>
      </c>
      <c r="C34" s="15">
        <f>VLOOKUP($B34,'County Data'!$B$10:$L$46,2,FALSE)</f>
        <v>112530</v>
      </c>
      <c r="D34" s="29">
        <f>VLOOKUP($B34,'County Data'!$B$10:$L$46,5,FALSE)</f>
        <v>0.222</v>
      </c>
      <c r="E34" s="31">
        <f t="shared" si="0"/>
        <v>24981.66</v>
      </c>
      <c r="F34" s="6">
        <f t="shared" si="1"/>
        <v>3.4793610337110349E-2</v>
      </c>
      <c r="G34" s="14">
        <f t="shared" si="2"/>
        <v>47290.315383189147</v>
      </c>
      <c r="H34" s="10">
        <f t="shared" si="3"/>
        <v>0.42024629328347241</v>
      </c>
      <c r="J34" s="185"/>
      <c r="K34" s="185"/>
      <c r="L34" s="22"/>
    </row>
    <row r="35" spans="2:12">
      <c r="B35" s="20" t="str">
        <f>+'County Data'!$B$17</f>
        <v>Curry</v>
      </c>
      <c r="C35" s="15">
        <f>VLOOKUP($B35,'County Data'!$B$10:$L$46,2,FALSE)</f>
        <v>23005</v>
      </c>
      <c r="D35" s="29">
        <f>VLOOKUP($B35,'County Data'!$B$10:$L$46,5,FALSE)</f>
        <v>0.20399999999999999</v>
      </c>
      <c r="E35" s="31">
        <f t="shared" si="0"/>
        <v>4693.0199999999995</v>
      </c>
      <c r="F35" s="6">
        <f t="shared" si="1"/>
        <v>6.536279381925204E-3</v>
      </c>
      <c r="G35" s="14">
        <f t="shared" si="2"/>
        <v>8883.893059933338</v>
      </c>
      <c r="H35" s="10">
        <f t="shared" si="3"/>
        <v>0.38617226950373129</v>
      </c>
      <c r="J35" s="185"/>
      <c r="K35" s="185"/>
      <c r="L35" s="22"/>
    </row>
    <row r="36" spans="2:12">
      <c r="B36" s="20" t="str">
        <f>+'County Data'!$B$16</f>
        <v>Crook</v>
      </c>
      <c r="C36" s="15">
        <f>VLOOKUP($B36,'County Data'!$B$10:$L$46,2,FALSE)</f>
        <v>23440</v>
      </c>
      <c r="D36" s="29">
        <f>VLOOKUP($B36,'County Data'!$B$10:$L$46,5,FALSE)</f>
        <v>0.23</v>
      </c>
      <c r="E36" s="31">
        <f t="shared" si="0"/>
        <v>5391.2</v>
      </c>
      <c r="F36" s="6">
        <f t="shared" si="1"/>
        <v>7.508680850248914E-3</v>
      </c>
      <c r="G36" s="14">
        <f t="shared" si="2"/>
        <v>10205.548722296648</v>
      </c>
      <c r="H36" s="10">
        <f t="shared" si="3"/>
        <v>0.43539030385224609</v>
      </c>
      <c r="J36" s="185"/>
      <c r="K36" s="185"/>
      <c r="L36" s="22"/>
    </row>
    <row r="37" spans="2:12">
      <c r="B37" s="20" t="str">
        <f>+'County Data'!$B$34</f>
        <v>Morrow</v>
      </c>
      <c r="C37" s="15">
        <f>VLOOKUP($B37,'County Data'!$B$10:$L$46,2,FALSE)</f>
        <v>12825</v>
      </c>
      <c r="D37" s="29">
        <f>VLOOKUP($B37,'County Data'!$B$10:$L$46,5,FALSE)</f>
        <v>0.312</v>
      </c>
      <c r="E37" s="31">
        <f t="shared" si="0"/>
        <v>4001.4</v>
      </c>
      <c r="F37" s="6">
        <f t="shared" si="1"/>
        <v>5.5730144595240406E-3</v>
      </c>
      <c r="G37" s="14">
        <f t="shared" si="2"/>
        <v>7574.6554862364246</v>
      </c>
      <c r="H37" s="10">
        <f t="shared" si="3"/>
        <v>0.59061641218217731</v>
      </c>
      <c r="J37" s="185"/>
      <c r="K37" s="185"/>
      <c r="L37" s="22"/>
    </row>
    <row r="38" spans="2:12">
      <c r="B38" s="20" t="str">
        <f>+'County Data'!$B$22</f>
        <v>Harney</v>
      </c>
      <c r="C38" s="15">
        <f>VLOOKUP($B38,'County Data'!$B$10:$L$46,2,FALSE)</f>
        <v>7280</v>
      </c>
      <c r="D38" s="29">
        <f>VLOOKUP($B38,'County Data'!$B$10:$L$46,5,FALSE)</f>
        <v>0.122</v>
      </c>
      <c r="E38" s="31">
        <f t="shared" si="0"/>
        <v>888.16</v>
      </c>
      <c r="F38" s="6">
        <f t="shared" si="1"/>
        <v>1.2369991808794101E-3</v>
      </c>
      <c r="G38" s="14">
        <f t="shared" si="2"/>
        <v>1681.2880533452646</v>
      </c>
      <c r="H38" s="10">
        <f t="shared" si="3"/>
        <v>0.2309461611738001</v>
      </c>
      <c r="J38" s="185"/>
      <c r="K38" s="185"/>
      <c r="L38" s="22"/>
    </row>
    <row r="39" spans="2:12">
      <c r="B39" s="20" t="str">
        <f>+'County Data'!$B$32</f>
        <v>Malheur</v>
      </c>
      <c r="C39" s="15">
        <f>VLOOKUP($B39,'County Data'!$B$10:$L$46,2,FALSE)</f>
        <v>32105</v>
      </c>
      <c r="D39" s="29">
        <f>VLOOKUP($B39,'County Data'!$B$10:$L$46,5,FALSE)</f>
        <v>0.27100000000000002</v>
      </c>
      <c r="E39" s="31">
        <f t="shared" si="0"/>
        <v>8700.4549999999999</v>
      </c>
      <c r="F39" s="6">
        <f t="shared" si="1"/>
        <v>1.2117699185144758E-2</v>
      </c>
      <c r="G39" s="14">
        <f t="shared" si="2"/>
        <v>16469.972809142582</v>
      </c>
      <c r="H39" s="10">
        <f t="shared" si="3"/>
        <v>0.51300335801721175</v>
      </c>
      <c r="J39" s="185"/>
      <c r="K39" s="185"/>
      <c r="L39" s="22"/>
    </row>
    <row r="40" spans="2:12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Data'!$B$10:$L$46,5,FALSE)</f>
        <v>0.33399999999999996</v>
      </c>
      <c r="E40" s="31">
        <f t="shared" si="0"/>
        <v>480.95999999999992</v>
      </c>
      <c r="F40" s="6">
        <f t="shared" si="1"/>
        <v>6.6986480593109459E-4</v>
      </c>
      <c r="G40" s="14">
        <f t="shared" si="2"/>
        <v>910.45791539467928</v>
      </c>
      <c r="H40" s="10">
        <f t="shared" si="3"/>
        <v>0.63226244124630504</v>
      </c>
      <c r="J40" s="185"/>
      <c r="K40" s="185"/>
      <c r="L40" s="22"/>
    </row>
    <row r="41" spans="2:12">
      <c r="B41" s="4" t="s">
        <v>83</v>
      </c>
      <c r="C41" s="5">
        <f>SUM(C6:C40)</f>
        <v>4268055</v>
      </c>
      <c r="D41" s="5">
        <f>SUM(D6:D40)</f>
        <v>6.2360000000000015</v>
      </c>
      <c r="E41" s="5">
        <f>SUM(E6:E40)</f>
        <v>717995.62499999988</v>
      </c>
      <c r="F41" s="8">
        <f>SUM(F6:F40)</f>
        <v>1</v>
      </c>
      <c r="G41" s="11">
        <f>SUM(G6:G40)</f>
        <v>1359166.6666666667</v>
      </c>
      <c r="H41" s="12">
        <f t="shared" ref="H41" si="4">G41/C41</f>
        <v>0.31845106650843691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120</v>
      </c>
      <c r="C3" s="1">
        <f>'County Data'!C5</f>
        <v>10000000</v>
      </c>
    </row>
    <row r="4" spans="2:8">
      <c r="B4" t="s">
        <v>121</v>
      </c>
      <c r="C4" s="14">
        <f>'County Data'!G9</f>
        <v>1359166.6666666665</v>
      </c>
      <c r="D4" s="9"/>
    </row>
    <row r="6" spans="2:8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>
      <c r="B7" s="20" t="str">
        <f>'County Data'!$B$45</f>
        <v>Wheeler</v>
      </c>
      <c r="C7" s="15">
        <f>VLOOKUP($B7,'County Data'!$B$10:$L$46,2,FALSE)</f>
        <v>1440</v>
      </c>
      <c r="D7" s="29">
        <f>VLOOKUP($B7,'County Data'!$B$10:$L$46,6,FALSE)</f>
        <v>6.1711079943899017E-2</v>
      </c>
      <c r="E7" s="31">
        <f t="shared" ref="E7:E40" si="0">C7*D7</f>
        <v>88.86395511921458</v>
      </c>
      <c r="F7" s="6">
        <f t="shared" ref="F7:F40" si="1">E7/$E$41</f>
        <v>1.3351210192391402E-4</v>
      </c>
      <c r="G7" s="14">
        <f t="shared" ref="G7:G40" si="2">$C$4*F7</f>
        <v>181.46519853158645</v>
      </c>
      <c r="H7" s="10">
        <f t="shared" ref="H7:H40" si="3">G7/C7</f>
        <v>0.12601749898026837</v>
      </c>
    </row>
    <row r="8" spans="2:8">
      <c r="B8" s="20" t="str">
        <f>+'County Data'!$B$42</f>
        <v>Wallowa</v>
      </c>
      <c r="C8" s="15">
        <f>VLOOKUP($B8,'County Data'!$B$10:$L$46,2,FALSE)</f>
        <v>7160</v>
      </c>
      <c r="D8" s="29">
        <f>VLOOKUP($B8,'County Data'!$B$10:$L$46,6,FALSE)</f>
        <v>4.9393414211438474E-2</v>
      </c>
      <c r="E8" s="31">
        <f t="shared" si="0"/>
        <v>353.65684575389946</v>
      </c>
      <c r="F8" s="6">
        <f t="shared" si="1"/>
        <v>5.3134556944984526E-4</v>
      </c>
      <c r="G8" s="14">
        <f t="shared" si="2"/>
        <v>722.18718647724791</v>
      </c>
      <c r="H8" s="10">
        <f t="shared" si="3"/>
        <v>0.10086413218955977</v>
      </c>
    </row>
    <row r="9" spans="2:8">
      <c r="B9" s="20" t="str">
        <f>+'County Data'!$B$21</f>
        <v>Grant</v>
      </c>
      <c r="C9" s="15">
        <f>VLOOKUP($B9,'County Data'!$B$10:$L$46,2,FALSE)</f>
        <v>7315</v>
      </c>
      <c r="D9" s="29">
        <f>VLOOKUP($B9,'County Data'!$B$10:$L$46,6,FALSE)</f>
        <v>5.3181122093832661E-2</v>
      </c>
      <c r="E9" s="31">
        <f t="shared" si="0"/>
        <v>389.01990811638592</v>
      </c>
      <c r="F9" s="6">
        <f t="shared" si="1"/>
        <v>5.8447618669671517E-4</v>
      </c>
      <c r="G9" s="14">
        <f t="shared" si="2"/>
        <v>794.40055041861865</v>
      </c>
      <c r="H9" s="10">
        <f t="shared" si="3"/>
        <v>0.10859884489659859</v>
      </c>
    </row>
    <row r="10" spans="2:8">
      <c r="B10" s="20" t="str">
        <f>+'County Data'!$B$10</f>
        <v>Baker</v>
      </c>
      <c r="C10" s="15">
        <f>VLOOKUP($B10,'County Data'!$B$10:$L$46,2,FALSE)</f>
        <v>16910</v>
      </c>
      <c r="D10" s="29">
        <f>VLOOKUP($B10,'County Data'!$B$10:$L$46,6,FALSE)</f>
        <v>7.063313313313313E-2</v>
      </c>
      <c r="E10" s="31">
        <f t="shared" si="0"/>
        <v>1194.4062812812813</v>
      </c>
      <c r="F10" s="6">
        <f t="shared" si="1"/>
        <v>1.7945149183497089E-3</v>
      </c>
      <c r="G10" s="14">
        <f t="shared" si="2"/>
        <v>2439.0448598569792</v>
      </c>
      <c r="H10" s="10">
        <f t="shared" si="3"/>
        <v>0.14423683381768063</v>
      </c>
    </row>
    <row r="11" spans="2:8">
      <c r="B11" s="20" t="str">
        <f>+'County Data'!$B$41</f>
        <v>Union</v>
      </c>
      <c r="C11" s="15">
        <f>VLOOKUP($B11,'County Data'!$B$10:$L$46,2,FALSE)</f>
        <v>26840</v>
      </c>
      <c r="D11" s="29">
        <f>VLOOKUP($B11,'County Data'!$B$10:$L$46,6,FALSE)</f>
        <v>7.9414476717381277E-2</v>
      </c>
      <c r="E11" s="31">
        <f t="shared" si="0"/>
        <v>2131.4845550945133</v>
      </c>
      <c r="F11" s="6">
        <f t="shared" si="1"/>
        <v>3.2024118528964076E-3</v>
      </c>
      <c r="G11" s="14">
        <f t="shared" si="2"/>
        <v>4352.6114433950333</v>
      </c>
      <c r="H11" s="10">
        <f t="shared" si="3"/>
        <v>0.16216883172112642</v>
      </c>
    </row>
    <row r="12" spans="2:8">
      <c r="B12" s="20" t="str">
        <f>+'County Data'!$B$14</f>
        <v>Columbia</v>
      </c>
      <c r="C12" s="15">
        <f>VLOOKUP($B12,'County Data'!$B$10:$L$46,2,FALSE)</f>
        <v>53280</v>
      </c>
      <c r="D12" s="29">
        <f>VLOOKUP($B12,'County Data'!$B$10:$L$46,6,FALSE)</f>
        <v>7.1640675699592926E-2</v>
      </c>
      <c r="E12" s="31">
        <f t="shared" si="0"/>
        <v>3817.015201274311</v>
      </c>
      <c r="F12" s="6">
        <f t="shared" si="1"/>
        <v>5.7348080210248608E-3</v>
      </c>
      <c r="G12" s="14">
        <f t="shared" si="2"/>
        <v>7794.5599019096226</v>
      </c>
      <c r="H12" s="10">
        <f t="shared" si="3"/>
        <v>0.14629429245325867</v>
      </c>
    </row>
    <row r="13" spans="2:8">
      <c r="B13" s="20" t="str">
        <f>+'County Data'!$B$19</f>
        <v>Douglas</v>
      </c>
      <c r="C13" s="15">
        <f>VLOOKUP($B13,'County Data'!$B$10:$L$46,2,FALSE)</f>
        <v>112530</v>
      </c>
      <c r="D13" s="29">
        <f>VLOOKUP($B13,'County Data'!$B$10:$L$46,6,FALSE)</f>
        <v>7.483175318261126E-2</v>
      </c>
      <c r="E13" s="31">
        <f t="shared" si="0"/>
        <v>8420.8171856392455</v>
      </c>
      <c r="F13" s="6">
        <f t="shared" si="1"/>
        <v>1.2651710143482197E-2</v>
      </c>
      <c r="G13" s="14">
        <f t="shared" si="2"/>
        <v>17195.782703349549</v>
      </c>
      <c r="H13" s="10">
        <f t="shared" si="3"/>
        <v>0.15281065230027147</v>
      </c>
    </row>
    <row r="14" spans="2:8">
      <c r="B14" s="20" t="str">
        <f>+'County Data'!$B$16</f>
        <v>Crook</v>
      </c>
      <c r="C14" s="15">
        <f>VLOOKUP($B14,'County Data'!$B$10:$L$46,2,FALSE)</f>
        <v>23440</v>
      </c>
      <c r="D14" s="29">
        <f>VLOOKUP($B14,'County Data'!$B$10:$L$46,6,FALSE)</f>
        <v>7.2167256122129209E-2</v>
      </c>
      <c r="E14" s="31">
        <f t="shared" si="0"/>
        <v>1691.6004835027086</v>
      </c>
      <c r="F14" s="6">
        <f t="shared" si="1"/>
        <v>2.5415156895162963E-3</v>
      </c>
      <c r="G14" s="14">
        <f t="shared" si="2"/>
        <v>3454.3434080008992</v>
      </c>
      <c r="H14" s="10">
        <f t="shared" si="3"/>
        <v>0.14736959931744451</v>
      </c>
    </row>
    <row r="15" spans="2:8">
      <c r="B15" s="20" t="str">
        <f>+'County Data'!$B$18</f>
        <v>Deschutes</v>
      </c>
      <c r="C15" s="15">
        <f>VLOOKUP($B15,'County Data'!$B$10:$L$46,2,FALSE)</f>
        <v>197015</v>
      </c>
      <c r="D15" s="29">
        <f>VLOOKUP($B15,'County Data'!$B$10:$L$46,6,FALSE)</f>
        <v>6.5085252435783877E-2</v>
      </c>
      <c r="E15" s="31">
        <f t="shared" si="0"/>
        <v>12822.77100863596</v>
      </c>
      <c r="F15" s="6">
        <f t="shared" si="1"/>
        <v>1.9265349010803127E-2</v>
      </c>
      <c r="G15" s="14">
        <f t="shared" si="2"/>
        <v>26184.820197183246</v>
      </c>
      <c r="H15" s="10">
        <f t="shared" si="3"/>
        <v>0.13290774914185846</v>
      </c>
    </row>
    <row r="16" spans="2:8">
      <c r="B16" s="20" t="str">
        <f>+'County Data'!$B$26</f>
        <v>Josephine</v>
      </c>
      <c r="C16" s="15">
        <f>VLOOKUP($B16,'County Data'!$B$10:$L$46,2,FALSE)</f>
        <v>86560</v>
      </c>
      <c r="D16" s="29">
        <f>VLOOKUP($B16,'County Data'!$B$10:$L$46,6,FALSE)</f>
        <v>7.9491348954738486E-2</v>
      </c>
      <c r="E16" s="31">
        <f t="shared" si="0"/>
        <v>6880.7711655221638</v>
      </c>
      <c r="F16" s="6">
        <f t="shared" si="1"/>
        <v>1.0337894818364723E-2</v>
      </c>
      <c r="G16" s="14">
        <f t="shared" si="2"/>
        <v>14050.922040627385</v>
      </c>
      <c r="H16" s="10">
        <f t="shared" si="3"/>
        <v>0.16232580915697073</v>
      </c>
    </row>
    <row r="17" spans="2:8">
      <c r="B17" s="20" t="str">
        <f>+'County Data'!$B$17</f>
        <v>Curry</v>
      </c>
      <c r="C17" s="15">
        <f>VLOOKUP($B17,'County Data'!$B$10:$L$46,2,FALSE)</f>
        <v>23005</v>
      </c>
      <c r="D17" s="29">
        <f>VLOOKUP($B17,'County Data'!$B$10:$L$46,6,FALSE)</f>
        <v>9.2726707246634385E-2</v>
      </c>
      <c r="E17" s="31">
        <f t="shared" si="0"/>
        <v>2133.1779002088242</v>
      </c>
      <c r="F17" s="6">
        <f t="shared" si="1"/>
        <v>3.2049559897761016E-3</v>
      </c>
      <c r="G17" s="14">
        <f t="shared" si="2"/>
        <v>4356.0693494373509</v>
      </c>
      <c r="H17" s="10">
        <f t="shared" si="3"/>
        <v>0.18935315581123022</v>
      </c>
    </row>
    <row r="18" spans="2:8">
      <c r="B18" s="20" t="str">
        <f>+'County Data'!$B$22</f>
        <v>Harney</v>
      </c>
      <c r="C18" s="15">
        <f>VLOOKUP($B18,'County Data'!$B$10:$L$46,2,FALSE)</f>
        <v>7280</v>
      </c>
      <c r="D18" s="29">
        <f>VLOOKUP($B18,'County Data'!$B$10:$L$46,6,FALSE)</f>
        <v>9.0896513558384059E-2</v>
      </c>
      <c r="E18" s="31">
        <f t="shared" si="0"/>
        <v>661.726618705036</v>
      </c>
      <c r="F18" s="6">
        <f t="shared" si="1"/>
        <v>9.9419963520406738E-4</v>
      </c>
      <c r="G18" s="14">
        <f t="shared" si="2"/>
        <v>1351.283004181528</v>
      </c>
      <c r="H18" s="10">
        <f t="shared" si="3"/>
        <v>0.1856157972776824</v>
      </c>
    </row>
    <row r="19" spans="2:8">
      <c r="B19" s="20" t="str">
        <f>+'County Data'!$B$13</f>
        <v>Clatsop</v>
      </c>
      <c r="C19" s="15">
        <f>VLOOKUP($B19,'County Data'!$B$10:$L$46,2,FALSE)</f>
        <v>39455</v>
      </c>
      <c r="D19" s="29">
        <f>VLOOKUP($B19,'County Data'!$B$10:$L$46,6,FALSE)</f>
        <v>8.7962242622270634E-2</v>
      </c>
      <c r="E19" s="31">
        <f t="shared" si="0"/>
        <v>3470.550282661688</v>
      </c>
      <c r="F19" s="6">
        <f t="shared" si="1"/>
        <v>5.2142678372707942E-3</v>
      </c>
      <c r="G19" s="14">
        <f t="shared" si="2"/>
        <v>7087.0590354905535</v>
      </c>
      <c r="H19" s="10">
        <f t="shared" si="3"/>
        <v>0.17962385085516547</v>
      </c>
    </row>
    <row r="20" spans="2:8">
      <c r="B20" s="20" t="str">
        <f>+'County Data'!$B$31</f>
        <v>Linn</v>
      </c>
      <c r="C20" s="15">
        <f>VLOOKUP($B20,'County Data'!$B$10:$L$46,2,FALSE)</f>
        <v>127320</v>
      </c>
      <c r="D20" s="29">
        <f>VLOOKUP($B20,'County Data'!$B$10:$L$46,6,FALSE)</f>
        <v>9.5881826320501337E-2</v>
      </c>
      <c r="E20" s="31">
        <f t="shared" si="0"/>
        <v>12207.674127126231</v>
      </c>
      <c r="F20" s="6">
        <f t="shared" si="1"/>
        <v>1.8341207412254677E-2</v>
      </c>
      <c r="G20" s="14">
        <f t="shared" si="2"/>
        <v>24928.757741156143</v>
      </c>
      <c r="H20" s="10">
        <f t="shared" si="3"/>
        <v>0.19579608656264644</v>
      </c>
    </row>
    <row r="21" spans="2:8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Data'!$B$10:$L$46,6,FALSE)</f>
        <v>0.11684147343147785</v>
      </c>
      <c r="E21" s="31">
        <f t="shared" si="0"/>
        <v>7397.8178903140206</v>
      </c>
      <c r="F21" s="6">
        <f t="shared" si="1"/>
        <v>1.1114722666362566E-2</v>
      </c>
      <c r="G21" s="14">
        <f t="shared" si="2"/>
        <v>15106.760557364452</v>
      </c>
      <c r="H21" s="10">
        <f t="shared" si="3"/>
        <v>0.23859686578795627</v>
      </c>
    </row>
    <row r="22" spans="2:8">
      <c r="B22" s="20" t="str">
        <f>+'County Data'!$B$28</f>
        <v>Lake</v>
      </c>
      <c r="C22" s="15">
        <f>VLOOKUP($B22,'County Data'!$B$10:$L$46,2,FALSE)</f>
        <v>8075</v>
      </c>
      <c r="D22" s="29">
        <f>VLOOKUP($B22,'County Data'!$B$10:$L$46,6,FALSE)</f>
        <v>8.9506566364911389E-2</v>
      </c>
      <c r="E22" s="31">
        <f t="shared" si="0"/>
        <v>722.76552339665943</v>
      </c>
      <c r="F22" s="6">
        <f t="shared" si="1"/>
        <v>1.0859064746484666E-3</v>
      </c>
      <c r="G22" s="14">
        <f t="shared" si="2"/>
        <v>1475.9278834597073</v>
      </c>
      <c r="H22" s="10">
        <f t="shared" si="3"/>
        <v>0.18277744686807521</v>
      </c>
    </row>
    <row r="23" spans="2:8">
      <c r="B23" s="20" t="str">
        <f>+'County Data'!$B$39</f>
        <v>Tillamook</v>
      </c>
      <c r="C23" s="15">
        <f>VLOOKUP($B23,'County Data'!$B$10:$L$46,2,FALSE)</f>
        <v>26530</v>
      </c>
      <c r="D23" s="29">
        <f>VLOOKUP($B23,'County Data'!$B$10:$L$46,6,FALSE)</f>
        <v>7.5088203712225798E-2</v>
      </c>
      <c r="E23" s="31">
        <f t="shared" si="0"/>
        <v>1992.0900444853505</v>
      </c>
      <c r="F23" s="6">
        <f t="shared" si="1"/>
        <v>2.9929809977975383E-3</v>
      </c>
      <c r="G23" s="14">
        <f t="shared" si="2"/>
        <v>4067.9600061731535</v>
      </c>
      <c r="H23" s="10">
        <f t="shared" si="3"/>
        <v>0.15333433871742003</v>
      </c>
    </row>
    <row r="24" spans="2:8">
      <c r="B24" s="20" t="str">
        <f>+'County Data'!$B$12</f>
        <v>Clackamas</v>
      </c>
      <c r="C24" s="15">
        <f>VLOOKUP($B24,'County Data'!$B$10:$L$46,2,FALSE)</f>
        <v>426515</v>
      </c>
      <c r="D24" s="29">
        <f>VLOOKUP($B24,'County Data'!$B$10:$L$46,6,FALSE)</f>
        <v>0.11963882618510158</v>
      </c>
      <c r="E24" s="31">
        <f t="shared" si="0"/>
        <v>51027.7539503386</v>
      </c>
      <c r="F24" s="6">
        <f t="shared" si="1"/>
        <v>7.6665760343733708E-2</v>
      </c>
      <c r="G24" s="14">
        <f t="shared" si="2"/>
        <v>104201.54593385805</v>
      </c>
      <c r="H24" s="10">
        <f t="shared" si="3"/>
        <v>0.24430921757466456</v>
      </c>
    </row>
    <row r="25" spans="2:8">
      <c r="B25" s="20" t="str">
        <f>+'County Data'!$B$29</f>
        <v>Lane</v>
      </c>
      <c r="C25" s="15">
        <f>VLOOKUP($B25,'County Data'!$B$10:$L$46,2,FALSE)</f>
        <v>381365</v>
      </c>
      <c r="D25" s="29">
        <f>VLOOKUP($B25,'County Data'!$B$10:$L$46,6,FALSE)</f>
        <v>0.1300198979619499</v>
      </c>
      <c r="E25" s="31">
        <f t="shared" si="0"/>
        <v>49585.038386259024</v>
      </c>
      <c r="F25" s="6">
        <f t="shared" si="1"/>
        <v>7.4498177467412233E-2</v>
      </c>
      <c r="G25" s="14">
        <f t="shared" si="2"/>
        <v>101255.43954112445</v>
      </c>
      <c r="H25" s="10">
        <f t="shared" si="3"/>
        <v>0.26550795049657006</v>
      </c>
    </row>
    <row r="26" spans="2:8">
      <c r="B26" s="20" t="str">
        <f>+'County Data'!$B$30</f>
        <v>Lincoln</v>
      </c>
      <c r="C26" s="15">
        <f>VLOOKUP($B26,'County Data'!$B$10:$L$46,2,FALSE)</f>
        <v>48305</v>
      </c>
      <c r="D26" s="29">
        <f>VLOOKUP($B26,'County Data'!$B$10:$L$46,6,FALSE)</f>
        <v>0.11814707295169274</v>
      </c>
      <c r="E26" s="31">
        <f t="shared" si="0"/>
        <v>5707.0943589315184</v>
      </c>
      <c r="F26" s="6">
        <f t="shared" si="1"/>
        <v>8.5745245382883445E-3</v>
      </c>
      <c r="G26" s="14">
        <f t="shared" si="2"/>
        <v>11654.207934956907</v>
      </c>
      <c r="H26" s="10">
        <f t="shared" si="3"/>
        <v>0.2412629735008158</v>
      </c>
    </row>
    <row r="27" spans="2:8">
      <c r="B27" s="20" t="str">
        <f>+'County Data'!$B$24</f>
        <v>Jackson</v>
      </c>
      <c r="C27" s="15">
        <f>VLOOKUP($B27,'County Data'!$B$10:$L$46,2,FALSE)</f>
        <v>223240</v>
      </c>
      <c r="D27" s="29">
        <f>VLOOKUP($B27,'County Data'!$B$10:$L$46,6,FALSE)</f>
        <v>8.6331539621126913E-2</v>
      </c>
      <c r="E27" s="31">
        <f t="shared" si="0"/>
        <v>19272.652905020372</v>
      </c>
      <c r="F27" s="6">
        <f t="shared" si="1"/>
        <v>2.8955861750102577E-2</v>
      </c>
      <c r="G27" s="14">
        <f t="shared" si="2"/>
        <v>39355.842095347747</v>
      </c>
      <c r="H27" s="10">
        <f t="shared" si="3"/>
        <v>0.17629386353407878</v>
      </c>
    </row>
    <row r="28" spans="2:8">
      <c r="B28" s="20" t="str">
        <f>+'County Data'!$B$11</f>
        <v>Benton</v>
      </c>
      <c r="C28" s="15">
        <f>VLOOKUP($B28,'County Data'!$B$10:$L$46,2,FALSE)</f>
        <v>94665</v>
      </c>
      <c r="D28" s="29">
        <f>VLOOKUP($B28,'County Data'!$B$10:$L$46,6,FALSE)</f>
        <v>0.14361773223435065</v>
      </c>
      <c r="E28" s="31">
        <f t="shared" si="0"/>
        <v>13595.572621964804</v>
      </c>
      <c r="F28" s="6">
        <f t="shared" si="1"/>
        <v>2.0426431337459732E-2</v>
      </c>
      <c r="G28" s="14">
        <f t="shared" si="2"/>
        <v>27762.924592830685</v>
      </c>
      <c r="H28" s="10">
        <f t="shared" si="3"/>
        <v>0.29327549350689996</v>
      </c>
    </row>
    <row r="29" spans="2:8">
      <c r="B29" s="20" t="str">
        <f>+'County Data'!$B$27</f>
        <v>Klamath</v>
      </c>
      <c r="C29" s="15">
        <f>VLOOKUP($B29,'County Data'!$B$10:$L$46,2,FALSE)</f>
        <v>68075</v>
      </c>
      <c r="D29" s="29">
        <f>VLOOKUP($B29,'County Data'!$B$10:$L$46,6,FALSE)</f>
        <v>0.12005730659025787</v>
      </c>
      <c r="E29" s="31">
        <f t="shared" si="0"/>
        <v>8172.901146131805</v>
      </c>
      <c r="F29" s="6">
        <f t="shared" si="1"/>
        <v>1.2279233007044978E-2</v>
      </c>
      <c r="G29" s="14">
        <f t="shared" si="2"/>
        <v>16689.52419540863</v>
      </c>
      <c r="H29" s="10">
        <f t="shared" si="3"/>
        <v>0.24516377811837869</v>
      </c>
    </row>
    <row r="30" spans="2:8">
      <c r="B30" s="20" t="str">
        <f>+'County Data'!$B$37</f>
        <v>Polk</v>
      </c>
      <c r="C30" s="15">
        <f>VLOOKUP($B30,'County Data'!$B$10:$L$46,2,FALSE)</f>
        <v>83805</v>
      </c>
      <c r="D30" s="29">
        <f>VLOOKUP($B30,'County Data'!$B$10:$L$46,6,FALSE)</f>
        <v>0.12019354759477814</v>
      </c>
      <c r="E30" s="31">
        <f t="shared" si="0"/>
        <v>10072.820256180383</v>
      </c>
      <c r="F30" s="6">
        <f t="shared" si="1"/>
        <v>1.5133733389429485E-2</v>
      </c>
      <c r="G30" s="14">
        <f t="shared" si="2"/>
        <v>20569.265965132905</v>
      </c>
      <c r="H30" s="10">
        <f t="shared" si="3"/>
        <v>0.24544198991865526</v>
      </c>
    </row>
    <row r="31" spans="2:8">
      <c r="B31" s="20" t="str">
        <f>+'County Data'!$B$46</f>
        <v>Yamhill</v>
      </c>
      <c r="C31" s="15">
        <f>VLOOKUP($B31,'County Data'!$B$10:$L$46,2,FALSE)</f>
        <v>108605</v>
      </c>
      <c r="D31" s="29">
        <f>VLOOKUP($B31,'County Data'!$B$10:$L$46,6,FALSE)</f>
        <v>0.11686572914659989</v>
      </c>
      <c r="E31" s="31">
        <f t="shared" si="0"/>
        <v>12692.20251396648</v>
      </c>
      <c r="F31" s="6">
        <f t="shared" si="1"/>
        <v>1.9069178649659766E-2</v>
      </c>
      <c r="G31" s="14">
        <f t="shared" si="2"/>
        <v>25918.19198132923</v>
      </c>
      <c r="H31" s="10">
        <f t="shared" si="3"/>
        <v>0.2386463973235968</v>
      </c>
    </row>
    <row r="32" spans="2:8">
      <c r="B32" s="20" t="str">
        <f>+'County Data'!$B$36</f>
        <v>Gilliam, Sherman, Wasco</v>
      </c>
      <c r="C32" s="15">
        <f>VLOOKUP($B32,'County Data'!$B$10:$L$46,2,FALSE)</f>
        <v>31080</v>
      </c>
      <c r="D32" s="29">
        <f>VLOOKUP($B32,'County Data'!$B$10:$L$46,6,FALSE)</f>
        <v>0.11961331608686772</v>
      </c>
      <c r="E32" s="31">
        <f t="shared" si="0"/>
        <v>3717.5818639798485</v>
      </c>
      <c r="F32" s="6">
        <f t="shared" si="1"/>
        <v>5.5854161349031643E-3</v>
      </c>
      <c r="G32" s="14">
        <f t="shared" si="2"/>
        <v>7591.5114300225496</v>
      </c>
      <c r="H32" s="10">
        <f t="shared" si="3"/>
        <v>0.24425712451810005</v>
      </c>
    </row>
    <row r="33" spans="2:8">
      <c r="B33" s="20" t="str">
        <f>+'County Data'!$B$35</f>
        <v>Multnomah</v>
      </c>
      <c r="C33" s="15">
        <f>VLOOKUP($B33,'County Data'!$B$10:$L$46,2,FALSE)</f>
        <v>829560</v>
      </c>
      <c r="D33" s="29">
        <f>VLOOKUP($B33,'County Data'!$B$10:$L$46,6,FALSE)</f>
        <v>0.22188526345181289</v>
      </c>
      <c r="E33" s="31">
        <f t="shared" si="0"/>
        <v>184067.13914908591</v>
      </c>
      <c r="F33" s="6">
        <f t="shared" si="1"/>
        <v>0.27654846793559223</v>
      </c>
      <c r="G33" s="14">
        <f t="shared" si="2"/>
        <v>375875.4593357924</v>
      </c>
      <c r="H33" s="10">
        <f t="shared" si="3"/>
        <v>0.45310219795529244</v>
      </c>
    </row>
    <row r="34" spans="2:8">
      <c r="B34" s="20" t="str">
        <f>+'County Data'!$B$44</f>
        <v>Washington</v>
      </c>
      <c r="C34" s="15">
        <f>VLOOKUP($B34,'County Data'!$B$10:$L$46,2,FALSE)</f>
        <v>620080</v>
      </c>
      <c r="D34" s="29">
        <f>VLOOKUP($B34,'County Data'!$B$10:$L$46,6,FALSE)</f>
        <v>0.2386094692353834</v>
      </c>
      <c r="E34" s="31">
        <f t="shared" si="0"/>
        <v>147956.95968347654</v>
      </c>
      <c r="F34" s="6">
        <f t="shared" si="1"/>
        <v>0.22229535760716376</v>
      </c>
      <c r="G34" s="14">
        <f t="shared" si="2"/>
        <v>302136.44021440338</v>
      </c>
      <c r="H34" s="10">
        <f t="shared" si="3"/>
        <v>0.48725396757580214</v>
      </c>
    </row>
    <row r="35" spans="2:8">
      <c r="B35" s="20" t="str">
        <f>+'County Data'!$B$40</f>
        <v>Umatilla</v>
      </c>
      <c r="C35" s="15">
        <f>VLOOKUP($B35,'County Data'!$B$10:$L$46,2,FALSE)</f>
        <v>81495</v>
      </c>
      <c r="D35" s="29">
        <f>VLOOKUP($B35,'County Data'!$B$10:$L$46,6,FALSE)</f>
        <v>0.14515331998231423</v>
      </c>
      <c r="E35" s="31">
        <f t="shared" si="0"/>
        <v>11829.269811958698</v>
      </c>
      <c r="F35" s="6">
        <f t="shared" si="1"/>
        <v>1.7772680438327849E-2</v>
      </c>
      <c r="G35" s="14">
        <f t="shared" si="2"/>
        <v>24156.034829093933</v>
      </c>
      <c r="H35" s="10">
        <f t="shared" si="3"/>
        <v>0.29641125012692721</v>
      </c>
    </row>
    <row r="36" spans="2:8">
      <c r="B36" s="20" t="str">
        <f>+'County Data'!$B$33</f>
        <v>Marion</v>
      </c>
      <c r="C36" s="15">
        <f>VLOOKUP($B36,'County Data'!$B$10:$L$46,2,FALSE)</f>
        <v>349120</v>
      </c>
      <c r="D36" s="29">
        <f>VLOOKUP($B36,'County Data'!$B$10:$L$46,6,FALSE)</f>
        <v>0.18943058175608621</v>
      </c>
      <c r="E36" s="31">
        <f t="shared" si="0"/>
        <v>66134.004702684819</v>
      </c>
      <c r="F36" s="6">
        <f t="shared" si="1"/>
        <v>9.9361883731779427E-2</v>
      </c>
      <c r="G36" s="14">
        <f t="shared" si="2"/>
        <v>135049.36030544352</v>
      </c>
      <c r="H36" s="10">
        <f t="shared" si="3"/>
        <v>0.38682791104904768</v>
      </c>
    </row>
    <row r="37" spans="2:8">
      <c r="B37" s="20" t="str">
        <f>+'County Data'!$B$23</f>
        <v>Hood River</v>
      </c>
      <c r="C37" s="15">
        <f>VLOOKUP($B37,'County Data'!$B$10:$L$46,2,FALSE)</f>
        <v>25640</v>
      </c>
      <c r="D37" s="29">
        <f>VLOOKUP($B37,'County Data'!$B$10:$L$46,6,FALSE)</f>
        <v>0.13401928148372313</v>
      </c>
      <c r="E37" s="31">
        <f t="shared" si="0"/>
        <v>3436.2543772426611</v>
      </c>
      <c r="F37" s="6">
        <f t="shared" si="1"/>
        <v>5.1627405513905373E-3</v>
      </c>
      <c r="G37" s="14">
        <f t="shared" si="2"/>
        <v>7017.0248660983043</v>
      </c>
      <c r="H37" s="10">
        <f t="shared" si="3"/>
        <v>0.27367491677450484</v>
      </c>
    </row>
    <row r="38" spans="2:8">
      <c r="B38" s="20" t="str">
        <f>+'County Data'!$B$32</f>
        <v>Malheur</v>
      </c>
      <c r="C38" s="15">
        <f>VLOOKUP($B38,'County Data'!$B$10:$L$46,2,FALSE)</f>
        <v>32105</v>
      </c>
      <c r="D38" s="29">
        <f>VLOOKUP($B38,'County Data'!$B$10:$L$46,6,FALSE)</f>
        <v>0.10926357990207354</v>
      </c>
      <c r="E38" s="31">
        <f t="shared" si="0"/>
        <v>3507.9072327560712</v>
      </c>
      <c r="F38" s="6">
        <f t="shared" si="1"/>
        <v>5.2703941364196085E-3</v>
      </c>
      <c r="G38" s="14">
        <f t="shared" si="2"/>
        <v>7163.3440304169835</v>
      </c>
      <c r="H38" s="10">
        <f t="shared" si="3"/>
        <v>0.22312238063905881</v>
      </c>
    </row>
    <row r="39" spans="2:8">
      <c r="B39" s="20" t="str">
        <f>+'County Data'!$B$34</f>
        <v>Morrow</v>
      </c>
      <c r="C39" s="15">
        <f>VLOOKUP($B39,'County Data'!$B$10:$L$46,2,FALSE)</f>
        <v>12825</v>
      </c>
      <c r="D39" s="29">
        <f>VLOOKUP($B39,'County Data'!$B$10:$L$46,6,FALSE)</f>
        <v>0.11404369148461882</v>
      </c>
      <c r="E39" s="31">
        <f t="shared" si="0"/>
        <v>1462.6103432902364</v>
      </c>
      <c r="F39" s="6">
        <f t="shared" si="1"/>
        <v>2.1974734409060011E-3</v>
      </c>
      <c r="G39" s="14">
        <f t="shared" si="2"/>
        <v>2986.7326517647393</v>
      </c>
      <c r="H39" s="10">
        <f t="shared" si="3"/>
        <v>0.23288363756450209</v>
      </c>
    </row>
    <row r="40" spans="2:8">
      <c r="B40" s="20" t="str">
        <f>+'County Data'!$B$25</f>
        <v>Jefferson</v>
      </c>
      <c r="C40" s="15">
        <f>VLOOKUP($B40,'County Data'!$B$10:$L$46,2,FALSE)</f>
        <v>24105</v>
      </c>
      <c r="D40" s="29">
        <f>VLOOKUP($B40,'County Data'!$B$10:$L$46,6,FALSE)</f>
        <v>0.28928833772631035</v>
      </c>
      <c r="E40" s="31">
        <f t="shared" si="0"/>
        <v>6973.2953808927114</v>
      </c>
      <c r="F40" s="6">
        <f t="shared" si="1"/>
        <v>1.0476906214564798E-2</v>
      </c>
      <c r="G40" s="14">
        <f t="shared" si="2"/>
        <v>14239.861696629319</v>
      </c>
      <c r="H40" s="10">
        <f t="shared" si="3"/>
        <v>0.59074306976267654</v>
      </c>
    </row>
    <row r="41" spans="2:8">
      <c r="B41" s="4" t="s">
        <v>83</v>
      </c>
      <c r="C41" s="5">
        <f>SUM(C7:C40)</f>
        <v>4268055</v>
      </c>
      <c r="D41" s="5"/>
      <c r="E41" s="5">
        <f>SUM(E7:E40)</f>
        <v>665587.26766099781</v>
      </c>
      <c r="F41" s="8">
        <f>SUM(F7:F40)</f>
        <v>1.0000000000000002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>
      <selection activeCell="I27" sqref="I27"/>
    </sheetView>
  </sheetViews>
  <sheetFormatPr defaultRowHeight="1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>
      <c r="B3" t="s">
        <v>120</v>
      </c>
      <c r="C3" s="1">
        <f>'County Data'!C5</f>
        <v>10000000</v>
      </c>
    </row>
    <row r="4" spans="2:8">
      <c r="B4" t="s">
        <v>121</v>
      </c>
      <c r="C4" s="14">
        <f>'County Data'!I9</f>
        <v>1359166.6666666665</v>
      </c>
      <c r="D4" s="9"/>
    </row>
    <row r="6" spans="2:8" s="2" customFormat="1" ht="30">
      <c r="B6" s="3" t="s">
        <v>32</v>
      </c>
      <c r="C6" s="3" t="s">
        <v>101</v>
      </c>
      <c r="D6" s="3" t="s">
        <v>136</v>
      </c>
      <c r="E6" s="3" t="s">
        <v>137</v>
      </c>
      <c r="F6" s="3" t="s">
        <v>138</v>
      </c>
      <c r="G6" s="13" t="s">
        <v>123</v>
      </c>
      <c r="H6" s="3" t="s">
        <v>124</v>
      </c>
    </row>
    <row r="7" spans="2:8">
      <c r="B7" s="20" t="str">
        <f>+'County Data'!$B$35</f>
        <v>Multnomah</v>
      </c>
      <c r="C7" s="15">
        <f>VLOOKUP($B7,'County Data'!$B$10:$L$46,2,FALSE)</f>
        <v>829560</v>
      </c>
      <c r="D7" s="29">
        <f>VLOOKUP($B7,'County Data'!$B$10:$L$46,8,FALSE)</f>
        <v>1.2999999999999999E-2</v>
      </c>
      <c r="E7" s="31">
        <f t="shared" ref="E7:E40" si="0">C7*D7</f>
        <v>10784.279999999999</v>
      </c>
      <c r="F7" s="6">
        <f t="shared" ref="F7:F40" si="1">IF(E7=0,0,E7/$E$41)</f>
        <v>1.3592126723024216E-2</v>
      </c>
      <c r="G7" s="14">
        <f t="shared" ref="G7:G40" si="2">$C$4*F7</f>
        <v>18473.965571043744</v>
      </c>
      <c r="H7" s="10">
        <f t="shared" ref="H7:H40" si="3">G7/C7</f>
        <v>2.2269595413283841E-2</v>
      </c>
    </row>
    <row r="8" spans="2:8">
      <c r="B8" s="20" t="str">
        <f>+'County Data'!$B$44</f>
        <v>Washington</v>
      </c>
      <c r="C8" s="15">
        <f>VLOOKUP($B8,'County Data'!$B$10:$L$46,2,FALSE)</f>
        <v>620080</v>
      </c>
      <c r="D8" s="29">
        <f>VLOOKUP($B8,'County Data'!$B$10:$L$46,8,FALSE)</f>
        <v>5.6000000000000001E-2</v>
      </c>
      <c r="E8" s="31">
        <f t="shared" si="0"/>
        <v>34724.480000000003</v>
      </c>
      <c r="F8" s="6">
        <f t="shared" si="1"/>
        <v>4.3765511703249549E-2</v>
      </c>
      <c r="G8" s="14">
        <f t="shared" si="2"/>
        <v>59484.624656666674</v>
      </c>
      <c r="H8" s="10">
        <f t="shared" si="3"/>
        <v>9.5930564857222733E-2</v>
      </c>
    </row>
    <row r="9" spans="2:8">
      <c r="B9" s="20" t="str">
        <f>+'County Data'!$B$33</f>
        <v>Marion</v>
      </c>
      <c r="C9" s="15">
        <f>VLOOKUP($B9,'County Data'!$B$10:$L$46,2,FALSE)</f>
        <v>349120</v>
      </c>
      <c r="D9" s="29">
        <f>VLOOKUP($B9,'County Data'!$B$10:$L$46,8,FALSE)</f>
        <v>0.13100000000000001</v>
      </c>
      <c r="E9" s="31">
        <f t="shared" si="0"/>
        <v>45734.720000000001</v>
      </c>
      <c r="F9" s="6">
        <f t="shared" si="1"/>
        <v>5.7642430452661673E-2</v>
      </c>
      <c r="G9" s="14">
        <f t="shared" si="2"/>
        <v>78345.670056909323</v>
      </c>
      <c r="H9" s="10">
        <f t="shared" si="3"/>
        <v>0.22440899993386035</v>
      </c>
    </row>
    <row r="10" spans="2:8">
      <c r="B10" s="20" t="str">
        <f>+'County Data'!$B$29</f>
        <v>Lane</v>
      </c>
      <c r="C10" s="15">
        <f>VLOOKUP($B10,'County Data'!$B$10:$L$46,2,FALSE)</f>
        <v>381365</v>
      </c>
      <c r="D10" s="29">
        <f>VLOOKUP($B10,'County Data'!$B$10:$L$46,8,FALSE)</f>
        <v>0.17499999999999999</v>
      </c>
      <c r="E10" s="31">
        <f t="shared" si="0"/>
        <v>66738.875</v>
      </c>
      <c r="F10" s="6">
        <f t="shared" si="1"/>
        <v>8.4115327713307972E-2</v>
      </c>
      <c r="G10" s="14">
        <f t="shared" si="2"/>
        <v>114326.74958367107</v>
      </c>
      <c r="H10" s="10">
        <f t="shared" si="3"/>
        <v>0.299783015178821</v>
      </c>
    </row>
    <row r="11" spans="2:8">
      <c r="B11" s="20" t="str">
        <f>+'County Data'!$B$12</f>
        <v>Clackamas</v>
      </c>
      <c r="C11" s="15">
        <f>VLOOKUP($B11,'County Data'!$B$10:$L$46,2,FALSE)</f>
        <v>426515</v>
      </c>
      <c r="D11" s="29">
        <f>VLOOKUP($B11,'County Data'!$B$10:$L$46,8,FALSE)</f>
        <v>0.18099999999999999</v>
      </c>
      <c r="E11" s="31">
        <f t="shared" si="0"/>
        <v>77199.214999999997</v>
      </c>
      <c r="F11" s="6">
        <f t="shared" si="1"/>
        <v>9.7299171868496737E-2</v>
      </c>
      <c r="G11" s="14">
        <f t="shared" si="2"/>
        <v>132245.7910979318</v>
      </c>
      <c r="H11" s="10">
        <f t="shared" si="3"/>
        <v>0.31006128998495197</v>
      </c>
    </row>
    <row r="12" spans="2:8">
      <c r="B12" s="20" t="str">
        <f>+'County Data'!$B$11</f>
        <v>Benton</v>
      </c>
      <c r="C12" s="15">
        <f>VLOOKUP($B12,'County Data'!$B$10:$L$46,2,FALSE)</f>
        <v>94665</v>
      </c>
      <c r="D12" s="29">
        <f>VLOOKUP($B12,'County Data'!$B$10:$L$46,8,FALSE)</f>
        <v>0.188</v>
      </c>
      <c r="E12" s="31">
        <f t="shared" si="0"/>
        <v>17797.02</v>
      </c>
      <c r="F12" s="6">
        <f t="shared" si="1"/>
        <v>2.2430737252018353E-2</v>
      </c>
      <c r="G12" s="14">
        <f t="shared" si="2"/>
        <v>30487.110381701608</v>
      </c>
      <c r="H12" s="10">
        <f t="shared" si="3"/>
        <v>0.32205261059210488</v>
      </c>
    </row>
    <row r="13" spans="2:8">
      <c r="B13" s="20" t="str">
        <f>+'County Data'!$B$37</f>
        <v>Polk</v>
      </c>
      <c r="C13" s="15">
        <f>VLOOKUP($B13,'County Data'!$B$10:$L$46,2,FALSE)</f>
        <v>83805</v>
      </c>
      <c r="D13" s="29">
        <f>VLOOKUP($B13,'County Data'!$B$10:$L$46,8,FALSE)</f>
        <v>0.19900000000000001</v>
      </c>
      <c r="E13" s="31">
        <f t="shared" si="0"/>
        <v>16677.195</v>
      </c>
      <c r="F13" s="6">
        <f t="shared" si="1"/>
        <v>2.101934925879019E-2</v>
      </c>
      <c r="G13" s="14">
        <f t="shared" si="2"/>
        <v>28568.798867572332</v>
      </c>
      <c r="H13" s="10">
        <f t="shared" si="3"/>
        <v>0.34089611440334505</v>
      </c>
    </row>
    <row r="14" spans="2:8">
      <c r="B14" s="20" t="str">
        <f>+'County Data'!$B$24</f>
        <v>Jackson</v>
      </c>
      <c r="C14" s="15">
        <f>VLOOKUP($B14,'County Data'!$B$10:$L$46,2,FALSE)</f>
        <v>223240</v>
      </c>
      <c r="D14" s="29">
        <f>VLOOKUP($B14,'County Data'!$B$10:$L$46,8,FALSE)</f>
        <v>0.20100000000000001</v>
      </c>
      <c r="E14" s="31">
        <f t="shared" si="0"/>
        <v>44871.240000000005</v>
      </c>
      <c r="F14" s="6">
        <f t="shared" si="1"/>
        <v>5.6554130669755731E-2</v>
      </c>
      <c r="G14" s="14">
        <f t="shared" si="2"/>
        <v>76866.489268642996</v>
      </c>
      <c r="H14" s="10">
        <f t="shared" si="3"/>
        <v>0.34432220600538882</v>
      </c>
    </row>
    <row r="15" spans="2:8">
      <c r="B15" s="20" t="str">
        <f>+'County Data'!$B$46</f>
        <v>Yamhill</v>
      </c>
      <c r="C15" s="15">
        <f>VLOOKUP($B15,'County Data'!$B$10:$L$46,2,FALSE)</f>
        <v>108605</v>
      </c>
      <c r="D15" s="29">
        <f>VLOOKUP($B15,'County Data'!$B$10:$L$46,8,FALSE)</f>
        <v>0.22600000000000001</v>
      </c>
      <c r="E15" s="31">
        <f t="shared" si="0"/>
        <v>24544.73</v>
      </c>
      <c r="F15" s="6">
        <f t="shared" si="1"/>
        <v>3.0935313302549103E-2</v>
      </c>
      <c r="G15" s="14">
        <f t="shared" si="2"/>
        <v>42046.24666371465</v>
      </c>
      <c r="H15" s="10">
        <f t="shared" si="3"/>
        <v>0.38714835103093459</v>
      </c>
    </row>
    <row r="16" spans="2:8">
      <c r="B16" s="20" t="str">
        <f>+'County Data'!$B$18</f>
        <v>Deschutes</v>
      </c>
      <c r="C16" s="15">
        <f>VLOOKUP($B16,'County Data'!$B$10:$L$46,2,FALSE)</f>
        <v>197015</v>
      </c>
      <c r="D16" s="29">
        <f>VLOOKUP($B16,'County Data'!$B$10:$L$46,8,FALSE)</f>
        <v>0.27600000000000002</v>
      </c>
      <c r="E16" s="31">
        <f t="shared" si="0"/>
        <v>54376.140000000007</v>
      </c>
      <c r="F16" s="6">
        <f t="shared" si="1"/>
        <v>6.853377189658523E-2</v>
      </c>
      <c r="G16" s="14">
        <f t="shared" si="2"/>
        <v>93148.818302775413</v>
      </c>
      <c r="H16" s="10">
        <f t="shared" si="3"/>
        <v>0.4728006410820263</v>
      </c>
    </row>
    <row r="17" spans="2:8">
      <c r="B17" s="20" t="str">
        <f>+'County Data'!$B$40</f>
        <v>Umatilla</v>
      </c>
      <c r="C17" s="15">
        <f>VLOOKUP($B17,'County Data'!$B$10:$L$46,2,FALSE)</f>
        <v>81495</v>
      </c>
      <c r="D17" s="29">
        <f>VLOOKUP($B17,'County Data'!$B$10:$L$46,8,FALSE)</f>
        <v>0.29099999999999998</v>
      </c>
      <c r="E17" s="31">
        <f t="shared" si="0"/>
        <v>23715.044999999998</v>
      </c>
      <c r="F17" s="6">
        <f t="shared" si="1"/>
        <v>2.9889607547487811E-2</v>
      </c>
      <c r="G17" s="14">
        <f t="shared" si="2"/>
        <v>40624.958258293846</v>
      </c>
      <c r="H17" s="10">
        <f t="shared" si="3"/>
        <v>0.49849632809735378</v>
      </c>
    </row>
    <row r="18" spans="2:8">
      <c r="B18" s="20" t="str">
        <f>+'County Data'!$B$31</f>
        <v>Linn</v>
      </c>
      <c r="C18" s="15">
        <f>VLOOKUP($B18,'County Data'!$B$10:$L$46,2,FALSE)</f>
        <v>127320</v>
      </c>
      <c r="D18" s="29">
        <f>VLOOKUP($B18,'County Data'!$B$10:$L$46,8,FALSE)</f>
        <v>0.316</v>
      </c>
      <c r="E18" s="31">
        <f t="shared" si="0"/>
        <v>40233.120000000003</v>
      </c>
      <c r="F18" s="6">
        <f t="shared" si="1"/>
        <v>5.0708407561992103E-2</v>
      </c>
      <c r="G18" s="14">
        <f t="shared" si="2"/>
        <v>68921.177278007584</v>
      </c>
      <c r="H18" s="10">
        <f t="shared" si="3"/>
        <v>0.54132247312289961</v>
      </c>
    </row>
    <row r="19" spans="2:8">
      <c r="B19" s="20" t="str">
        <f>+'County Data'!$B$27</f>
        <v>Klamath</v>
      </c>
      <c r="C19" s="15">
        <f>VLOOKUP($B19,'County Data'!$B$10:$L$46,2,FALSE)</f>
        <v>68075</v>
      </c>
      <c r="D19" s="29">
        <f>VLOOKUP($B19,'County Data'!$B$10:$L$46,8,FALSE)</f>
        <v>0.376</v>
      </c>
      <c r="E19" s="31">
        <f t="shared" si="0"/>
        <v>25596.2</v>
      </c>
      <c r="F19" s="6">
        <f t="shared" si="1"/>
        <v>3.2260549061028876E-2</v>
      </c>
      <c r="G19" s="14">
        <f t="shared" si="2"/>
        <v>43847.462932115079</v>
      </c>
      <c r="H19" s="10">
        <f t="shared" si="3"/>
        <v>0.64410522118420976</v>
      </c>
    </row>
    <row r="20" spans="2:8">
      <c r="B20" s="20" t="str">
        <f>+'County Data'!$B$30</f>
        <v>Lincoln</v>
      </c>
      <c r="C20" s="15">
        <f>VLOOKUP($B20,'County Data'!$B$10:$L$46,2,FALSE)</f>
        <v>48305</v>
      </c>
      <c r="D20" s="29">
        <f>VLOOKUP($B20,'County Data'!$B$10:$L$46,8,FALSE)</f>
        <v>0.376</v>
      </c>
      <c r="E20" s="31">
        <f t="shared" si="0"/>
        <v>18162.68</v>
      </c>
      <c r="F20" s="6">
        <f t="shared" si="1"/>
        <v>2.289160223860448E-2</v>
      </c>
      <c r="G20" s="14">
        <f t="shared" si="2"/>
        <v>31113.502709303251</v>
      </c>
      <c r="H20" s="10">
        <f t="shared" si="3"/>
        <v>0.64410522118420976</v>
      </c>
    </row>
    <row r="21" spans="2:8">
      <c r="B21" s="20" t="str">
        <f>+'County Data'!$B$15</f>
        <v>Coos</v>
      </c>
      <c r="C21" s="15">
        <f>VLOOKUP($B21,'County Data'!$B$10:$L$46,2,FALSE)</f>
        <v>63315</v>
      </c>
      <c r="D21" s="29">
        <f>VLOOKUP($B21,'County Data'!$B$10:$L$46,8,FALSE)</f>
        <v>0.38400000000000001</v>
      </c>
      <c r="E21" s="31">
        <f t="shared" si="0"/>
        <v>24312.959999999999</v>
      </c>
      <c r="F21" s="6">
        <f t="shared" si="1"/>
        <v>3.0643198556771421E-2</v>
      </c>
      <c r="G21" s="14">
        <f t="shared" si="2"/>
        <v>41649.214038411817</v>
      </c>
      <c r="H21" s="10">
        <f t="shared" si="3"/>
        <v>0.65780958759238439</v>
      </c>
    </row>
    <row r="22" spans="2:8">
      <c r="B22" s="20" t="str">
        <f>+'County Data'!$B$17</f>
        <v>Curry</v>
      </c>
      <c r="C22" s="15">
        <f>VLOOKUP($B22,'County Data'!$B$10:$L$46,2,FALSE)</f>
        <v>23005</v>
      </c>
      <c r="D22" s="29">
        <f>VLOOKUP($B22,'County Data'!$B$10:$L$46,8,FALSE)</f>
        <v>0.38700000000000001</v>
      </c>
      <c r="E22" s="31">
        <f t="shared" si="0"/>
        <v>8902.9349999999995</v>
      </c>
      <c r="F22" s="6">
        <f t="shared" si="1"/>
        <v>1.1220945740174366E-2</v>
      </c>
      <c r="G22" s="14">
        <f t="shared" si="2"/>
        <v>15251.135418520324</v>
      </c>
      <c r="H22" s="10">
        <f t="shared" si="3"/>
        <v>0.66294872499544988</v>
      </c>
    </row>
    <row r="23" spans="2:8">
      <c r="B23" s="20" t="str">
        <f>+'County Data'!$B$13</f>
        <v>Clatsop</v>
      </c>
      <c r="C23" s="15">
        <f>VLOOKUP($B23,'County Data'!$B$10:$L$46,2,FALSE)</f>
        <v>39455</v>
      </c>
      <c r="D23" s="29">
        <f>VLOOKUP($B23,'County Data'!$B$10:$L$46,8,FALSE)</f>
        <v>0.39</v>
      </c>
      <c r="E23" s="31">
        <f t="shared" si="0"/>
        <v>15387.45</v>
      </c>
      <c r="F23" s="6">
        <f t="shared" si="1"/>
        <v>1.9393800081618711E-2</v>
      </c>
      <c r="G23" s="14">
        <f t="shared" si="2"/>
        <v>26359.406610933427</v>
      </c>
      <c r="H23" s="10">
        <f t="shared" si="3"/>
        <v>0.66808786239851548</v>
      </c>
    </row>
    <row r="24" spans="2:8">
      <c r="B24" s="20" t="str">
        <f>+'County Data'!$B$10</f>
        <v>Baker</v>
      </c>
      <c r="C24" s="15">
        <f>VLOOKUP($B24,'County Data'!$B$10:$L$46,2,FALSE)</f>
        <v>16910</v>
      </c>
      <c r="D24" s="29">
        <f>VLOOKUP($B24,'County Data'!$B$10:$L$46,8,FALSE)</f>
        <v>0.41</v>
      </c>
      <c r="E24" s="31">
        <f t="shared" si="0"/>
        <v>6933.0999999999995</v>
      </c>
      <c r="F24" s="6">
        <f t="shared" si="1"/>
        <v>8.7382350776685318E-3</v>
      </c>
      <c r="G24" s="14">
        <f t="shared" si="2"/>
        <v>11876.717843064478</v>
      </c>
      <c r="H24" s="10">
        <f t="shared" si="3"/>
        <v>0.70234877841895194</v>
      </c>
    </row>
    <row r="25" spans="2:8">
      <c r="B25" s="20" t="str">
        <f>+'County Data'!$B$19</f>
        <v>Douglas</v>
      </c>
      <c r="C25" s="15">
        <f>VLOOKUP($B25,'County Data'!$B$10:$L$46,2,FALSE)</f>
        <v>112530</v>
      </c>
      <c r="D25" s="29">
        <f>VLOOKUP($B25,'County Data'!$B$10:$L$46,8,FALSE)</f>
        <v>0.41199999999999998</v>
      </c>
      <c r="E25" s="31">
        <f t="shared" si="0"/>
        <v>46362.36</v>
      </c>
      <c r="F25" s="6">
        <f t="shared" si="1"/>
        <v>5.8433485805122747E-2</v>
      </c>
      <c r="G25" s="14">
        <f t="shared" si="2"/>
        <v>79420.846123462659</v>
      </c>
      <c r="H25" s="10">
        <f t="shared" si="3"/>
        <v>0.70577487002099581</v>
      </c>
    </row>
    <row r="26" spans="2:8">
      <c r="B26" s="20" t="str">
        <f>+'County Data'!$B$36</f>
        <v>Gilliam, Sherman, Wasco</v>
      </c>
      <c r="C26" s="15">
        <f>VLOOKUP($B26,'County Data'!$B$10:$L$46,2,FALSE)</f>
        <v>31080</v>
      </c>
      <c r="D26" s="29">
        <f>VLOOKUP($B26,'County Data'!$B$10:$L$46,8,FALSE)</f>
        <v>0.41499999999999998</v>
      </c>
      <c r="E26" s="31">
        <f t="shared" si="0"/>
        <v>12898.199999999999</v>
      </c>
      <c r="F26" s="6">
        <f t="shared" si="1"/>
        <v>1.6256437045302139E-2</v>
      </c>
      <c r="G26" s="14">
        <f t="shared" si="2"/>
        <v>22095.20735073982</v>
      </c>
      <c r="H26" s="10">
        <f t="shared" si="3"/>
        <v>0.71091400742406108</v>
      </c>
    </row>
    <row r="27" spans="2:8">
      <c r="B27" s="20" t="str">
        <f>+'County Data'!$B$41</f>
        <v>Union</v>
      </c>
      <c r="C27" s="15">
        <f>VLOOKUP($B27,'County Data'!$B$10:$L$46,2,FALSE)</f>
        <v>26840</v>
      </c>
      <c r="D27" s="29">
        <f>VLOOKUP($B27,'County Data'!$B$10:$L$46,8,FALSE)</f>
        <v>0.42099999999999999</v>
      </c>
      <c r="E27" s="31">
        <f t="shared" si="0"/>
        <v>11299.64</v>
      </c>
      <c r="F27" s="6">
        <f t="shared" si="1"/>
        <v>1.4241668317639506E-2</v>
      </c>
      <c r="G27" s="14">
        <f t="shared" si="2"/>
        <v>19356.800855058358</v>
      </c>
      <c r="H27" s="10">
        <f t="shared" si="3"/>
        <v>0.72119228223019216</v>
      </c>
    </row>
    <row r="28" spans="2:8">
      <c r="B28" s="20" t="str">
        <f>+'County Data'!$B$14</f>
        <v>Columbia</v>
      </c>
      <c r="C28" s="15">
        <f>VLOOKUP($B28,'County Data'!$B$10:$L$46,2,FALSE)</f>
        <v>53280</v>
      </c>
      <c r="D28" s="29">
        <f>VLOOKUP($B28,'County Data'!$B$10:$L$46,8,FALSE)</f>
        <v>0.436</v>
      </c>
      <c r="E28" s="31">
        <f t="shared" si="0"/>
        <v>23230.080000000002</v>
      </c>
      <c r="F28" s="6">
        <f t="shared" si="1"/>
        <v>2.9278374740454669E-2</v>
      </c>
      <c r="G28" s="14">
        <f t="shared" si="2"/>
        <v>39794.191001401297</v>
      </c>
      <c r="H28" s="10">
        <f t="shared" si="3"/>
        <v>0.74688796924551981</v>
      </c>
    </row>
    <row r="29" spans="2:8">
      <c r="B29" s="20" t="str">
        <f>+'County Data'!$B$22</f>
        <v>Harney</v>
      </c>
      <c r="C29" s="15">
        <f>VLOOKUP($B29,'County Data'!$B$10:$L$46,2,FALSE)</f>
        <v>7280</v>
      </c>
      <c r="D29" s="29">
        <f>VLOOKUP($B29,'County Data'!$B$10:$L$46,8,FALSE)</f>
        <v>0.443</v>
      </c>
      <c r="E29" s="31">
        <f t="shared" si="0"/>
        <v>3225.04</v>
      </c>
      <c r="F29" s="6">
        <f t="shared" si="1"/>
        <v>4.0647268400692514E-3</v>
      </c>
      <c r="G29" s="14">
        <f t="shared" si="2"/>
        <v>5524.6412301274568</v>
      </c>
      <c r="H29" s="10">
        <f t="shared" si="3"/>
        <v>0.75887928985267261</v>
      </c>
    </row>
    <row r="30" spans="2:8">
      <c r="B30" s="20" t="str">
        <f>+'County Data'!$B$26</f>
        <v>Josephine</v>
      </c>
      <c r="C30" s="15">
        <f>VLOOKUP($B30,'County Data'!$B$10:$L$46,2,FALSE)</f>
        <v>86560</v>
      </c>
      <c r="D30" s="29">
        <f>VLOOKUP($B30,'County Data'!$B$10:$L$46,8,FALSE)</f>
        <v>0.45</v>
      </c>
      <c r="E30" s="31">
        <f t="shared" si="0"/>
        <v>38952</v>
      </c>
      <c r="F30" s="6">
        <f t="shared" si="1"/>
        <v>4.9093729031074805E-2</v>
      </c>
      <c r="G30" s="14">
        <f t="shared" si="2"/>
        <v>66726.560041402496</v>
      </c>
      <c r="H30" s="10">
        <f t="shared" si="3"/>
        <v>0.77087061045982552</v>
      </c>
    </row>
    <row r="31" spans="2:8">
      <c r="B31" s="20" t="str">
        <f>+'County Data'!$B$34</f>
        <v>Morrow</v>
      </c>
      <c r="C31" s="15">
        <f>VLOOKUP($B31,'County Data'!$B$10:$L$46,2,FALSE)</f>
        <v>12825</v>
      </c>
      <c r="D31" s="29">
        <f>VLOOKUP($B31,'County Data'!$B$10:$L$46,8,FALSE)</f>
        <v>0.45900000000000002</v>
      </c>
      <c r="E31" s="31">
        <f t="shared" si="0"/>
        <v>5886.6750000000002</v>
      </c>
      <c r="F31" s="6">
        <f t="shared" si="1"/>
        <v>7.4193578595194666E-3</v>
      </c>
      <c r="G31" s="14">
        <f t="shared" si="2"/>
        <v>10084.143890730207</v>
      </c>
      <c r="H31" s="10">
        <f t="shared" si="3"/>
        <v>0.78628802266902198</v>
      </c>
    </row>
    <row r="32" spans="2:8">
      <c r="B32" s="20" t="str">
        <f>+'County Data'!$B$16</f>
        <v>Crook</v>
      </c>
      <c r="C32" s="15">
        <f>VLOOKUP($B32,'County Data'!$B$10:$L$46,2,FALSE)</f>
        <v>23440</v>
      </c>
      <c r="D32" s="29">
        <f>VLOOKUP($B32,'County Data'!$B$10:$L$46,8,FALSE)</f>
        <v>0.48</v>
      </c>
      <c r="E32" s="31">
        <f t="shared" si="0"/>
        <v>11251.199999999999</v>
      </c>
      <c r="F32" s="6">
        <f t="shared" si="1"/>
        <v>1.4180616247546435E-2</v>
      </c>
      <c r="G32" s="14">
        <f t="shared" si="2"/>
        <v>19273.820916456862</v>
      </c>
      <c r="H32" s="10">
        <f t="shared" si="3"/>
        <v>0.82226198449048049</v>
      </c>
    </row>
    <row r="33" spans="2:8">
      <c r="B33" s="20" t="str">
        <f>+'County Data'!$B$32</f>
        <v>Malheur</v>
      </c>
      <c r="C33" s="15">
        <f>VLOOKUP($B33,'County Data'!$B$10:$L$46,2,FALSE)</f>
        <v>32105</v>
      </c>
      <c r="D33" s="29">
        <f>VLOOKUP($B33,'County Data'!$B$10:$L$46,8,FALSE)</f>
        <v>0.48399999999999999</v>
      </c>
      <c r="E33" s="31">
        <f t="shared" si="0"/>
        <v>15538.82</v>
      </c>
      <c r="F33" s="6">
        <f t="shared" si="1"/>
        <v>1.9584581498835636E-2</v>
      </c>
      <c r="G33" s="14">
        <f t="shared" si="2"/>
        <v>26618.7103538341</v>
      </c>
      <c r="H33" s="10">
        <f t="shared" si="3"/>
        <v>0.82911416769456781</v>
      </c>
    </row>
    <row r="34" spans="2:8">
      <c r="B34" s="20" t="str">
        <f>+'County Data'!$B$23</f>
        <v>Hood River</v>
      </c>
      <c r="C34" s="15">
        <f>VLOOKUP($B34,'County Data'!$B$10:$L$46,2,FALSE)</f>
        <v>25640</v>
      </c>
      <c r="D34" s="29">
        <f>VLOOKUP($B34,'County Data'!$B$10:$L$46,8,FALSE)</f>
        <v>0.52200000000000002</v>
      </c>
      <c r="E34" s="31">
        <f t="shared" si="0"/>
        <v>13384.08</v>
      </c>
      <c r="F34" s="6">
        <f t="shared" si="1"/>
        <v>1.6868823086111821E-2</v>
      </c>
      <c r="G34" s="14">
        <f t="shared" si="2"/>
        <v>22927.542044540314</v>
      </c>
      <c r="H34" s="10">
        <f t="shared" si="3"/>
        <v>0.89420990813339762</v>
      </c>
    </row>
    <row r="35" spans="2:8">
      <c r="B35" s="20" t="str">
        <f>+'County Data'!$B$25</f>
        <v>Jefferson</v>
      </c>
      <c r="C35" s="15">
        <f>VLOOKUP($B35,'County Data'!$B$10:$L$46,2,FALSE)</f>
        <v>24105</v>
      </c>
      <c r="D35" s="29">
        <f>VLOOKUP($B35,'County Data'!$B$10:$L$46,8,FALSE)</f>
        <v>0.63100000000000001</v>
      </c>
      <c r="E35" s="31">
        <f t="shared" si="0"/>
        <v>15210.255000000001</v>
      </c>
      <c r="F35" s="6">
        <f t="shared" si="1"/>
        <v>1.9170469743878382E-2</v>
      </c>
      <c r="G35" s="14">
        <f t="shared" si="2"/>
        <v>26055.863460221364</v>
      </c>
      <c r="H35" s="10">
        <f t="shared" si="3"/>
        <v>1.0809319004447777</v>
      </c>
    </row>
    <row r="36" spans="2:8">
      <c r="B36" s="20" t="str">
        <f>+'County Data'!$B$28</f>
        <v>Lake</v>
      </c>
      <c r="C36" s="15">
        <f>VLOOKUP($B36,'County Data'!$B$10:$L$46,2,FALSE)</f>
        <v>8075</v>
      </c>
      <c r="D36" s="29">
        <f>VLOOKUP($B36,'County Data'!$B$10:$L$46,8,FALSE)</f>
        <v>0.63300000000000001</v>
      </c>
      <c r="E36" s="31">
        <f t="shared" si="0"/>
        <v>5111.4750000000004</v>
      </c>
      <c r="F36" s="6">
        <f t="shared" si="1"/>
        <v>6.4423230796650513E-3</v>
      </c>
      <c r="G36" s="14">
        <f t="shared" si="2"/>
        <v>8756.1907857780807</v>
      </c>
      <c r="H36" s="10">
        <f t="shared" si="3"/>
        <v>1.0843579920468212</v>
      </c>
    </row>
    <row r="37" spans="2:8">
      <c r="B37" s="20" t="str">
        <f>+'County Data'!$B$39</f>
        <v>Tillamook</v>
      </c>
      <c r="C37" s="15">
        <f>VLOOKUP($B37,'County Data'!$B$10:$L$46,2,FALSE)</f>
        <v>26530</v>
      </c>
      <c r="D37" s="29">
        <f>VLOOKUP($B37,'County Data'!$B$10:$L$46,8,FALSE)</f>
        <v>0.69599999999999995</v>
      </c>
      <c r="E37" s="31">
        <f t="shared" si="0"/>
        <v>18464.879999999997</v>
      </c>
      <c r="F37" s="6">
        <f t="shared" si="1"/>
        <v>2.3272484476055462E-2</v>
      </c>
      <c r="G37" s="14">
        <f t="shared" si="2"/>
        <v>31631.185150372046</v>
      </c>
      <c r="H37" s="10">
        <f t="shared" si="3"/>
        <v>1.1922798775111967</v>
      </c>
    </row>
    <row r="38" spans="2:8">
      <c r="B38" s="20" t="str">
        <f>+'County Data'!$B$21</f>
        <v>Grant</v>
      </c>
      <c r="C38" s="15">
        <f>VLOOKUP($B38,'County Data'!$B$10:$L$46,2,FALSE)</f>
        <v>7315</v>
      </c>
      <c r="D38" s="29">
        <f>VLOOKUP($B38,'County Data'!$B$10:$L$46,8,FALSE)</f>
        <v>1</v>
      </c>
      <c r="E38" s="31">
        <f t="shared" si="0"/>
        <v>7315</v>
      </c>
      <c r="F38" s="6">
        <f t="shared" si="1"/>
        <v>9.2195683883321052E-3</v>
      </c>
      <c r="G38" s="14">
        <f t="shared" si="2"/>
        <v>12530.930034474719</v>
      </c>
      <c r="H38" s="10">
        <f t="shared" si="3"/>
        <v>1.7130458010218343</v>
      </c>
    </row>
    <row r="39" spans="2:8">
      <c r="B39" s="20" t="str">
        <f>+'County Data'!$B$42</f>
        <v>Wallowa</v>
      </c>
      <c r="C39" s="15">
        <f>VLOOKUP($B39,'County Data'!$B$10:$L$46,2,FALSE)</f>
        <v>7160</v>
      </c>
      <c r="D39" s="29">
        <f>VLOOKUP($B39,'County Data'!$B$10:$L$46,8,FALSE)</f>
        <v>1</v>
      </c>
      <c r="E39" s="31">
        <f t="shared" si="0"/>
        <v>7160</v>
      </c>
      <c r="F39" s="6">
        <f t="shared" si="1"/>
        <v>9.024211846952547E-3</v>
      </c>
      <c r="G39" s="14">
        <f t="shared" si="2"/>
        <v>12265.407935316336</v>
      </c>
      <c r="H39" s="10">
        <f t="shared" si="3"/>
        <v>1.7130458010218346</v>
      </c>
    </row>
    <row r="40" spans="2:8">
      <c r="B40" s="20" t="str">
        <f>'County Data'!$B$45</f>
        <v>Wheeler</v>
      </c>
      <c r="C40" s="15">
        <f>VLOOKUP($B40,'County Data'!$B$10:$L$46,2,FALSE)</f>
        <v>1440</v>
      </c>
      <c r="D40" s="29">
        <f>VLOOKUP($B40,'County Data'!$B$10:$L$46,8,FALSE)</f>
        <v>1</v>
      </c>
      <c r="E40" s="31">
        <f t="shared" si="0"/>
        <v>1440</v>
      </c>
      <c r="F40" s="6">
        <f t="shared" si="1"/>
        <v>1.8149252876552607E-3</v>
      </c>
      <c r="G40" s="14">
        <f t="shared" si="2"/>
        <v>2466.7859534714416</v>
      </c>
      <c r="H40" s="10">
        <f t="shared" si="3"/>
        <v>1.7130458010218346</v>
      </c>
    </row>
    <row r="41" spans="2:8">
      <c r="B41" s="4" t="s">
        <v>83</v>
      </c>
      <c r="C41" s="5">
        <f>SUM(C7:C40)</f>
        <v>4268055</v>
      </c>
      <c r="D41" s="5">
        <f>SUM(D7:D40)</f>
        <v>14.057999999999998</v>
      </c>
      <c r="E41" s="5">
        <f>SUM(E7:E40)</f>
        <v>793421.08999999973</v>
      </c>
      <c r="F41" s="8">
        <f>SUM(F7:F40)</f>
        <v>1.0000000000000004</v>
      </c>
      <c r="G41" s="11">
        <f>SUM(G7:G40)</f>
        <v>1359166.666666667</v>
      </c>
      <c r="H41" s="12">
        <f t="shared" ref="H41" si="4">G41/C41</f>
        <v>0.31845106650843696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4727F62793E46BB1E5FABCDB5D2E7" ma:contentTypeVersion="23" ma:contentTypeDescription="Create a new document." ma:contentTypeScope="" ma:versionID="195901bad83ce543e71cda8eb000f1d4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09207eb7-70e0-4957-a658-5743f843bbb6" targetNamespace="http://schemas.microsoft.com/office/2006/metadata/properties" ma:root="true" ma:fieldsID="c4820f3c511a42a50a72e7a154daca81" ns1:_="" ns2:_="" ns3:_="">
    <xsd:import namespace="http://schemas.microsoft.com/sharepoint/v3"/>
    <xsd:import namespace="59da1016-2a1b-4f8a-9768-d7a4932f6f16"/>
    <xsd:import namespace="09207eb7-70e0-4957-a658-5743f843bbb6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DocumentExpirationDate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0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1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2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07eb7-70e0-4957-a658-5743f843bbb6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Category" ma:index="18" nillable="true" ma:displayName="Area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AC"/>
                    <xsd:enumeration value="Community-DM"/>
                    <xsd:enumeration value="Indicators"/>
                    <xsd:enumeration value="phab"/>
                    <xsd:enumeration value="sha"/>
                    <xsd:enumeration value="ship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Meta_x0020_Description xmlns="09207eb7-70e0-4957-a658-5743f843bbb6" xsi:nil="true"/>
    <DocumentExpirationDate xmlns="59da1016-2a1b-4f8a-9768-d7a4932f6f16" xsi:nil="true"/>
    <IATopic xmlns="59da1016-2a1b-4f8a-9768-d7a4932f6f16" xsi:nil="true"/>
    <Meta_x0020_Keywords xmlns="09207eb7-70e0-4957-a658-5743f843bbb6" xsi:nil="true"/>
    <IASubtopic xmlns="59da1016-2a1b-4f8a-9768-d7a4932f6f16" xsi:nil="true"/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Category xmlns="09207eb7-70e0-4957-a658-5743f843bbb6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C6D15-6F13-4CC9-B66E-F6A4CBAEDD20}"/>
</file>

<file path=customXml/itemProps2.xml><?xml version="1.0" encoding="utf-8"?>
<ds:datastoreItem xmlns:ds="http://schemas.openxmlformats.org/officeDocument/2006/customXml" ds:itemID="{38E51E5A-8DD2-46A9-B16F-E60CFAC6EC88}"/>
</file>

<file path=customXml/itemProps3.xml><?xml version="1.0" encoding="utf-8"?>
<ds:datastoreItem xmlns:ds="http://schemas.openxmlformats.org/officeDocument/2006/customXml" ds:itemID="{8CDF707D-B078-4D42-A6A0-D8DBB5F126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Oregon DHS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Curtis Christopher J</dc:creator>
  <cp:keywords/>
  <dc:description/>
  <cp:lastModifiedBy/>
  <cp:revision/>
  <dcterms:created xsi:type="dcterms:W3CDTF">2016-05-10T19:52:04Z</dcterms:created>
  <dcterms:modified xsi:type="dcterms:W3CDTF">2022-04-13T18:57:44Z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0x010100ED24727F62793E46BB1E5FABCDB5D2E7</vt:lpwstr>
  </property>
</Properties>
</file>