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drawings/drawing2.xml" ContentType="application/vnd.openxmlformats-officedocument.drawing+xml"/>
  <Override PartName="/xl/styles.xml" ContentType="application/vnd.openxmlformats-officedocument.spreadsheetml.styles+xml"/>
  <Override PartName="/xl/drawings/drawing1.xml" ContentType="application/vnd.openxmlformats-officedocument.drawing+xml"/>
  <Override PartName="/xl/worksheets/sheet11.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omments4.xml" ContentType="application/vnd.openxmlformats-officedocument.spreadsheetml.comments+xml"/>
  <Override PartName="/xl/comments3.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PH Modernization\PHAB\Incentives and Funding Subcommittee\2018 meetings\February 2018\"/>
    </mc:Choice>
  </mc:AlternateContent>
  <bookViews>
    <workbookView xWindow="0" yWindow="0" windowWidth="28800" windowHeight="13575" tabRatio="684" activeTab="1"/>
  </bookViews>
  <sheets>
    <sheet name="Input" sheetId="13" r:id="rId1"/>
    <sheet name="Summary" sheetId="1" r:id="rId2"/>
    <sheet name="County Data" sheetId="2" r:id="rId3"/>
    <sheet name="Population" sheetId="4" state="hidden" r:id="rId4"/>
    <sheet name="Burden" sheetId="14" state="hidden" r:id="rId5"/>
    <sheet name="Health Status" sheetId="15" state="hidden" r:id="rId6"/>
    <sheet name="Ethnicity" sheetId="16" state="hidden" r:id="rId7"/>
    <sheet name="Poverty" sheetId="17" state="hidden" r:id="rId8"/>
    <sheet name="Income Inequality" sheetId="19" state="hidden" r:id="rId9"/>
    <sheet name="Education" sheetId="20" state="hidden" r:id="rId10"/>
    <sheet name="Language" sheetId="18" state="hidden" r:id="rId11"/>
    <sheet name="Matching" sheetId="8" state="hidden" r:id="rId12"/>
    <sheet name="Incentives" sheetId="9" state="hidden" r:id="rId13"/>
  </sheets>
  <definedNames>
    <definedName name="_xlnm.Print_Area" localSheetId="2">'County Data'!$A$1:$M$46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5" l="1"/>
  <c r="C36" i="2" l="1"/>
  <c r="C10" i="13" l="1"/>
  <c r="C9" i="13"/>
  <c r="C8" i="13"/>
  <c r="C7" i="13"/>
  <c r="C6" i="13"/>
  <c r="B7" i="9" l="1"/>
  <c r="B8" i="9"/>
  <c r="B11" i="9"/>
  <c r="B9" i="9"/>
  <c r="B10" i="9"/>
  <c r="B34" i="9"/>
  <c r="B16" i="9"/>
  <c r="B14" i="9"/>
  <c r="B25" i="9"/>
  <c r="B24" i="9"/>
  <c r="B22" i="9"/>
  <c r="B31" i="9"/>
  <c r="B39" i="9"/>
  <c r="B19" i="9"/>
  <c r="B38" i="9"/>
  <c r="B28" i="9"/>
  <c r="B18" i="9"/>
  <c r="B27" i="9"/>
  <c r="B20" i="9"/>
  <c r="B40" i="9"/>
  <c r="B12" i="9"/>
  <c r="B36" i="9"/>
  <c r="B21" i="9"/>
  <c r="B33" i="9"/>
  <c r="B23" i="9"/>
  <c r="B30" i="9"/>
  <c r="B37" i="9"/>
  <c r="B26" i="9"/>
  <c r="B29" i="9"/>
  <c r="B15" i="9"/>
  <c r="B35" i="9"/>
  <c r="B17" i="9"/>
  <c r="B32" i="9"/>
  <c r="B13" i="9"/>
  <c r="B7" i="8"/>
  <c r="B8" i="8"/>
  <c r="B11" i="8"/>
  <c r="B9" i="8"/>
  <c r="B10" i="8"/>
  <c r="B34" i="8"/>
  <c r="B16" i="8"/>
  <c r="B14" i="8"/>
  <c r="B25" i="8"/>
  <c r="B24" i="8"/>
  <c r="B22" i="8"/>
  <c r="B31" i="8"/>
  <c r="B39" i="8"/>
  <c r="B19" i="8"/>
  <c r="B38" i="8"/>
  <c r="B28" i="8"/>
  <c r="B18" i="8"/>
  <c r="B27" i="8"/>
  <c r="B20" i="8"/>
  <c r="B40" i="8"/>
  <c r="B12" i="8"/>
  <c r="B36" i="8"/>
  <c r="B21" i="8"/>
  <c r="B33" i="8"/>
  <c r="B23" i="8"/>
  <c r="B30" i="8"/>
  <c r="B37" i="8"/>
  <c r="B26" i="8"/>
  <c r="B29" i="8"/>
  <c r="B15" i="8"/>
  <c r="B35" i="8"/>
  <c r="B17" i="8"/>
  <c r="B32" i="8"/>
  <c r="B13" i="8"/>
  <c r="B10" i="18"/>
  <c r="B7" i="18"/>
  <c r="B18" i="18"/>
  <c r="B8" i="18"/>
  <c r="B9" i="18"/>
  <c r="B21" i="18"/>
  <c r="B13" i="18"/>
  <c r="B17" i="18"/>
  <c r="B16" i="18"/>
  <c r="B14" i="18"/>
  <c r="B22" i="18"/>
  <c r="B31" i="18"/>
  <c r="B36" i="18"/>
  <c r="B19" i="18"/>
  <c r="B29" i="18"/>
  <c r="B34" i="18"/>
  <c r="B26" i="18"/>
  <c r="B30" i="18"/>
  <c r="B33" i="18"/>
  <c r="B35" i="18"/>
  <c r="B39" i="18"/>
  <c r="B38" i="18"/>
  <c r="B37" i="18"/>
  <c r="B20" i="18"/>
  <c r="B24" i="18"/>
  <c r="B25" i="18"/>
  <c r="B23" i="18"/>
  <c r="B27" i="18"/>
  <c r="B15" i="18"/>
  <c r="B32" i="18"/>
  <c r="B28" i="18"/>
  <c r="B40" i="18"/>
  <c r="B12" i="18"/>
  <c r="B11" i="18"/>
  <c r="B22" i="20"/>
  <c r="B8" i="20"/>
  <c r="B33" i="20"/>
  <c r="B29" i="20"/>
  <c r="B28" i="20"/>
  <c r="B9" i="20"/>
  <c r="B14" i="20"/>
  <c r="B34" i="20"/>
  <c r="B25" i="20"/>
  <c r="B19" i="20"/>
  <c r="B12" i="20"/>
  <c r="B31" i="20"/>
  <c r="B15" i="20"/>
  <c r="B13" i="20"/>
  <c r="B10" i="20"/>
  <c r="B37" i="20"/>
  <c r="B21" i="20"/>
  <c r="B16" i="20"/>
  <c r="B32" i="20"/>
  <c r="B17" i="20"/>
  <c r="B40" i="20"/>
  <c r="B36" i="20"/>
  <c r="B39" i="20"/>
  <c r="B20" i="20"/>
  <c r="B26" i="20"/>
  <c r="B7" i="20"/>
  <c r="B11" i="20"/>
  <c r="B30" i="20"/>
  <c r="B24" i="20"/>
  <c r="B35" i="20"/>
  <c r="B23" i="20"/>
  <c r="B38" i="20"/>
  <c r="B27" i="20"/>
  <c r="B18" i="20"/>
  <c r="B30" i="19"/>
  <c r="B17" i="19"/>
  <c r="B33" i="19"/>
  <c r="B19" i="19"/>
  <c r="B27" i="19"/>
  <c r="B34" i="19"/>
  <c r="B12" i="19"/>
  <c r="B14" i="19"/>
  <c r="B35" i="19"/>
  <c r="B16" i="19"/>
  <c r="B25" i="19"/>
  <c r="B15" i="19"/>
  <c r="B23" i="19"/>
  <c r="B36" i="19"/>
  <c r="B28" i="19"/>
  <c r="B10" i="19"/>
  <c r="B11" i="19"/>
  <c r="B13" i="19"/>
  <c r="B21" i="19"/>
  <c r="B39" i="19"/>
  <c r="B7" i="19"/>
  <c r="B22" i="19"/>
  <c r="B32" i="19"/>
  <c r="B8" i="19"/>
  <c r="B24" i="19"/>
  <c r="B40" i="19"/>
  <c r="B37" i="19"/>
  <c r="B26" i="19"/>
  <c r="B38" i="19"/>
  <c r="B20" i="19"/>
  <c r="B29" i="19"/>
  <c r="B9" i="19"/>
  <c r="B18" i="19"/>
  <c r="B31" i="19"/>
  <c r="B25" i="17"/>
  <c r="B10" i="17"/>
  <c r="B23" i="17"/>
  <c r="B38" i="17"/>
  <c r="B13" i="17"/>
  <c r="B11" i="17"/>
  <c r="B12" i="17"/>
  <c r="B36" i="17"/>
  <c r="B24" i="17"/>
  <c r="B9" i="17"/>
  <c r="B15" i="17"/>
  <c r="B17" i="17"/>
  <c r="B8" i="17"/>
  <c r="B29" i="17"/>
  <c r="B7" i="17"/>
  <c r="B19" i="17"/>
  <c r="B21" i="17"/>
  <c r="B18" i="17"/>
  <c r="B16" i="17"/>
  <c r="B27" i="17"/>
  <c r="B31" i="17"/>
  <c r="B30" i="17"/>
  <c r="B40" i="17"/>
  <c r="B32" i="17"/>
  <c r="B20" i="17"/>
  <c r="B39" i="17"/>
  <c r="B35" i="17"/>
  <c r="B28" i="17"/>
  <c r="B34" i="17"/>
  <c r="B37" i="17"/>
  <c r="B22" i="17"/>
  <c r="B14" i="17"/>
  <c r="B33" i="17"/>
  <c r="B26" i="17"/>
  <c r="B9" i="16"/>
  <c r="B7" i="16"/>
  <c r="B20" i="16"/>
  <c r="B13" i="16"/>
  <c r="B8" i="16"/>
  <c r="B21" i="16"/>
  <c r="B16" i="16"/>
  <c r="B19" i="16"/>
  <c r="B15" i="16"/>
  <c r="B12" i="16"/>
  <c r="B23" i="16"/>
  <c r="B33" i="16"/>
  <c r="B34" i="16"/>
  <c r="B11" i="16"/>
  <c r="B24" i="16"/>
  <c r="B36" i="16"/>
  <c r="B27" i="16"/>
  <c r="B31" i="16"/>
  <c r="B32" i="16"/>
  <c r="B28" i="16"/>
  <c r="B40" i="16"/>
  <c r="B37" i="16"/>
  <c r="B39" i="16"/>
  <c r="B25" i="16"/>
  <c r="B26" i="16"/>
  <c r="B18" i="16"/>
  <c r="B22" i="16"/>
  <c r="B29" i="16"/>
  <c r="B17" i="16"/>
  <c r="B35" i="16"/>
  <c r="B30" i="16"/>
  <c r="B38" i="16"/>
  <c r="B14" i="16"/>
  <c r="B10" i="16"/>
  <c r="B7" i="15"/>
  <c r="B8" i="15"/>
  <c r="B11" i="15"/>
  <c r="B37" i="15"/>
  <c r="B9" i="15"/>
  <c r="B10" i="15"/>
  <c r="B38" i="15"/>
  <c r="B18" i="15"/>
  <c r="B25" i="15"/>
  <c r="B31" i="15"/>
  <c r="B24" i="15"/>
  <c r="B15" i="15"/>
  <c r="B12" i="15"/>
  <c r="B22" i="15"/>
  <c r="B14" i="15"/>
  <c r="B33" i="15"/>
  <c r="B26" i="15"/>
  <c r="B17" i="15"/>
  <c r="B34" i="15"/>
  <c r="B20" i="15"/>
  <c r="B40" i="15"/>
  <c r="B32" i="15"/>
  <c r="B39" i="15"/>
  <c r="B27" i="15"/>
  <c r="B29" i="15"/>
  <c r="B16" i="15"/>
  <c r="B21" i="15"/>
  <c r="B35" i="15"/>
  <c r="B23" i="15"/>
  <c r="B30" i="15"/>
  <c r="B28" i="15"/>
  <c r="B13" i="15"/>
  <c r="B36" i="15"/>
  <c r="B19" i="15"/>
  <c r="B16" i="4"/>
  <c r="B13" i="14"/>
  <c r="B16" i="14"/>
  <c r="B8" i="14"/>
  <c r="B27" i="14"/>
  <c r="B20" i="14"/>
  <c r="B23" i="14"/>
  <c r="B28" i="14"/>
  <c r="B11" i="14"/>
  <c r="B30" i="14"/>
  <c r="B18" i="14"/>
  <c r="B15" i="14"/>
  <c r="B17" i="14"/>
  <c r="B21" i="14"/>
  <c r="B22" i="14"/>
  <c r="B37" i="14"/>
  <c r="B19" i="14"/>
  <c r="B29" i="14"/>
  <c r="B35" i="14"/>
  <c r="B33" i="14"/>
  <c r="B38" i="14"/>
  <c r="B24" i="14"/>
  <c r="B9" i="14"/>
  <c r="B39" i="14"/>
  <c r="B14" i="14"/>
  <c r="B34" i="14"/>
  <c r="B12" i="14"/>
  <c r="B40" i="14"/>
  <c r="B25" i="14"/>
  <c r="B36" i="14"/>
  <c r="B26" i="14"/>
  <c r="B32" i="14"/>
  <c r="B10" i="14"/>
  <c r="B7" i="14"/>
  <c r="B31" i="14"/>
  <c r="B21" i="4"/>
  <c r="B28" i="4"/>
  <c r="B26" i="4"/>
  <c r="B14" i="4"/>
  <c r="B19" i="4"/>
  <c r="B10" i="4"/>
  <c r="B35" i="4"/>
  <c r="B17" i="4"/>
  <c r="B8" i="4"/>
  <c r="B29" i="4"/>
  <c r="B15" i="4"/>
  <c r="B12" i="4"/>
  <c r="B25" i="4"/>
  <c r="B23" i="4"/>
  <c r="B13" i="4"/>
  <c r="B32" i="4"/>
  <c r="B31" i="4"/>
  <c r="B30" i="4"/>
  <c r="B18" i="4"/>
  <c r="B22" i="4"/>
  <c r="B27" i="4"/>
  <c r="B24" i="4"/>
  <c r="B9" i="4"/>
  <c r="B34" i="4"/>
  <c r="B11" i="4"/>
  <c r="B33" i="4"/>
  <c r="B7" i="4"/>
  <c r="B20" i="4"/>
  <c r="B38" i="4"/>
  <c r="B36" i="4"/>
  <c r="B37" i="4"/>
  <c r="B39" i="4"/>
  <c r="B40" i="4"/>
  <c r="D8" i="18" l="1"/>
  <c r="D9" i="18"/>
  <c r="D10" i="18"/>
  <c r="D11" i="18"/>
  <c r="D12" i="18"/>
  <c r="D13" i="18"/>
  <c r="D14" i="18"/>
  <c r="D15" i="18"/>
  <c r="D16" i="18"/>
  <c r="D17" i="18"/>
  <c r="D18" i="18"/>
  <c r="D19" i="18"/>
  <c r="D20" i="18"/>
  <c r="D21" i="18"/>
  <c r="D22" i="18"/>
  <c r="D23" i="18"/>
  <c r="D24" i="18"/>
  <c r="D25" i="18"/>
  <c r="D26" i="18"/>
  <c r="D27" i="18"/>
  <c r="D28" i="18"/>
  <c r="D29" i="18"/>
  <c r="D30" i="18"/>
  <c r="D31" i="18"/>
  <c r="D32" i="18"/>
  <c r="D33" i="18"/>
  <c r="D34" i="18"/>
  <c r="D35" i="18"/>
  <c r="D36" i="18"/>
  <c r="D37" i="18"/>
  <c r="D38" i="18"/>
  <c r="D39" i="18"/>
  <c r="D40" i="18"/>
  <c r="D7" i="18"/>
  <c r="D30" i="9"/>
  <c r="D38" i="9"/>
  <c r="D22" i="9"/>
  <c r="D24" i="9"/>
  <c r="D25" i="9"/>
  <c r="D14" i="9"/>
  <c r="D16" i="9"/>
  <c r="D34" i="9"/>
  <c r="D32" i="9"/>
  <c r="D10" i="9"/>
  <c r="D9" i="9"/>
  <c r="D17" i="9"/>
  <c r="D35" i="9"/>
  <c r="D15" i="9"/>
  <c r="D29" i="9"/>
  <c r="D26" i="9"/>
  <c r="D11" i="9"/>
  <c r="D37" i="9"/>
  <c r="D23" i="9"/>
  <c r="D33" i="9"/>
  <c r="D21" i="9"/>
  <c r="D36" i="9"/>
  <c r="D12" i="9"/>
  <c r="D40" i="9"/>
  <c r="D20" i="9"/>
  <c r="D27" i="9"/>
  <c r="D18" i="9"/>
  <c r="D28" i="9"/>
  <c r="D19" i="9"/>
  <c r="D8" i="9"/>
  <c r="D39" i="9"/>
  <c r="D7" i="9"/>
  <c r="D31" i="9"/>
  <c r="D13" i="9"/>
  <c r="D30" i="8"/>
  <c r="D38" i="8"/>
  <c r="D22" i="8"/>
  <c r="D24" i="8"/>
  <c r="D25" i="8"/>
  <c r="D14" i="8"/>
  <c r="D16" i="8"/>
  <c r="D34" i="8"/>
  <c r="D32" i="8"/>
  <c r="D10" i="8"/>
  <c r="D9" i="8"/>
  <c r="D17" i="8"/>
  <c r="D35" i="8"/>
  <c r="D15" i="8"/>
  <c r="D29" i="8"/>
  <c r="D26" i="8"/>
  <c r="D11" i="8"/>
  <c r="D37" i="8"/>
  <c r="D23" i="8"/>
  <c r="D33" i="8"/>
  <c r="D21" i="8"/>
  <c r="D36" i="8"/>
  <c r="D12" i="8"/>
  <c r="D40" i="8"/>
  <c r="D20" i="8"/>
  <c r="D27" i="8"/>
  <c r="D18" i="8"/>
  <c r="D28" i="8"/>
  <c r="D19" i="8"/>
  <c r="D8" i="8"/>
  <c r="D39" i="8"/>
  <c r="D7" i="8"/>
  <c r="D31" i="8"/>
  <c r="D13" i="8"/>
  <c r="D15" i="20"/>
  <c r="D19" i="20"/>
  <c r="D8" i="20"/>
  <c r="D14" i="20"/>
  <c r="D12" i="20"/>
  <c r="D9" i="20"/>
  <c r="D28" i="20"/>
  <c r="D38" i="20"/>
  <c r="D26" i="20"/>
  <c r="D16" i="20"/>
  <c r="D31" i="20"/>
  <c r="D25" i="20"/>
  <c r="D32" i="20"/>
  <c r="D21" i="20"/>
  <c r="D18" i="20"/>
  <c r="D22" i="20"/>
  <c r="D37" i="20"/>
  <c r="D23" i="20"/>
  <c r="D30" i="20"/>
  <c r="D40" i="20"/>
  <c r="D13" i="20"/>
  <c r="D34" i="20"/>
  <c r="D33" i="20"/>
  <c r="D36" i="20"/>
  <c r="D17" i="20"/>
  <c r="D24" i="20"/>
  <c r="D27" i="20"/>
  <c r="D20" i="20"/>
  <c r="D11" i="20"/>
  <c r="D35" i="20"/>
  <c r="D29" i="20"/>
  <c r="D7" i="20"/>
  <c r="D39" i="20"/>
  <c r="D10" i="20"/>
  <c r="D23" i="19"/>
  <c r="D16" i="19"/>
  <c r="D17" i="19"/>
  <c r="D12" i="19"/>
  <c r="D25" i="19"/>
  <c r="D34" i="19"/>
  <c r="D27" i="19"/>
  <c r="D9" i="19"/>
  <c r="D24" i="19"/>
  <c r="D13" i="19"/>
  <c r="D15" i="19"/>
  <c r="D35" i="19"/>
  <c r="D21" i="19"/>
  <c r="D11" i="19"/>
  <c r="D31" i="19"/>
  <c r="D30" i="19"/>
  <c r="D10" i="19"/>
  <c r="D29" i="19"/>
  <c r="D26" i="19"/>
  <c r="D7" i="19"/>
  <c r="D36" i="19"/>
  <c r="D14" i="19"/>
  <c r="D33" i="19"/>
  <c r="D22" i="19"/>
  <c r="D39" i="19"/>
  <c r="D38" i="19"/>
  <c r="D18" i="19"/>
  <c r="D8" i="19"/>
  <c r="D37" i="19"/>
  <c r="D20" i="19"/>
  <c r="D19" i="19"/>
  <c r="D40" i="19"/>
  <c r="D32" i="19"/>
  <c r="D28" i="19"/>
  <c r="J9" i="2"/>
  <c r="I9" i="2"/>
  <c r="C39" i="20" l="1"/>
  <c r="C7" i="20"/>
  <c r="C29" i="20"/>
  <c r="C35" i="20"/>
  <c r="C11" i="20"/>
  <c r="C20" i="20"/>
  <c r="C27" i="20"/>
  <c r="C24" i="20"/>
  <c r="C17" i="20"/>
  <c r="C36" i="20"/>
  <c r="C33" i="20"/>
  <c r="C34" i="20"/>
  <c r="C13" i="20"/>
  <c r="C40" i="20"/>
  <c r="C30" i="20"/>
  <c r="C23" i="20"/>
  <c r="C37" i="20"/>
  <c r="C22" i="20"/>
  <c r="C18" i="20"/>
  <c r="C21" i="20"/>
  <c r="C32" i="20"/>
  <c r="C25" i="20"/>
  <c r="C31" i="20"/>
  <c r="C16" i="20"/>
  <c r="C26" i="20"/>
  <c r="C38" i="20"/>
  <c r="C28" i="20"/>
  <c r="C9" i="20"/>
  <c r="C12" i="20"/>
  <c r="C14" i="20"/>
  <c r="C8" i="20"/>
  <c r="C19" i="20"/>
  <c r="C15" i="20"/>
  <c r="C10" i="20"/>
  <c r="C32" i="19"/>
  <c r="C40" i="19"/>
  <c r="C19" i="19"/>
  <c r="C20" i="19"/>
  <c r="C37" i="19"/>
  <c r="C8" i="19"/>
  <c r="C18" i="19"/>
  <c r="C38" i="19"/>
  <c r="C39" i="19"/>
  <c r="C22" i="19"/>
  <c r="C33" i="19"/>
  <c r="C14" i="19"/>
  <c r="C36" i="19"/>
  <c r="C7" i="19"/>
  <c r="C26" i="19"/>
  <c r="C29" i="19"/>
  <c r="C10" i="19"/>
  <c r="C30" i="19"/>
  <c r="C31" i="19"/>
  <c r="C11" i="19"/>
  <c r="C21" i="19"/>
  <c r="C35" i="19"/>
  <c r="C15" i="19"/>
  <c r="C13" i="19"/>
  <c r="C24" i="19"/>
  <c r="C9" i="19"/>
  <c r="C27" i="19"/>
  <c r="C34" i="19"/>
  <c r="C25" i="19"/>
  <c r="C12" i="19"/>
  <c r="C17" i="19"/>
  <c r="C16" i="19"/>
  <c r="C23" i="19"/>
  <c r="C28" i="19"/>
  <c r="C41" i="20" l="1"/>
  <c r="E12" i="19"/>
  <c r="E35" i="19"/>
  <c r="E30" i="19"/>
  <c r="E7" i="19"/>
  <c r="E8" i="19"/>
  <c r="E40" i="19"/>
  <c r="E19" i="20"/>
  <c r="E16" i="19"/>
  <c r="E29" i="19"/>
  <c r="E14" i="19"/>
  <c r="E22" i="20"/>
  <c r="E40" i="20"/>
  <c r="E36" i="20"/>
  <c r="E20" i="20"/>
  <c r="E7" i="20"/>
  <c r="E25" i="19"/>
  <c r="E24" i="19"/>
  <c r="E21" i="19"/>
  <c r="E10" i="19"/>
  <c r="E39" i="19"/>
  <c r="E32" i="19"/>
  <c r="E28" i="20"/>
  <c r="E31" i="20"/>
  <c r="E18" i="20"/>
  <c r="E30" i="20"/>
  <c r="E33" i="20"/>
  <c r="E27" i="20"/>
  <c r="E26" i="19"/>
  <c r="E33" i="19"/>
  <c r="E32" i="20"/>
  <c r="E11" i="20"/>
  <c r="E14" i="20"/>
  <c r="E39" i="20"/>
  <c r="E23" i="19"/>
  <c r="E36" i="19"/>
  <c r="E35" i="20"/>
  <c r="E37" i="19"/>
  <c r="E27" i="19"/>
  <c r="E15" i="19"/>
  <c r="E38" i="19"/>
  <c r="E20" i="19"/>
  <c r="E10" i="20"/>
  <c r="E9" i="19"/>
  <c r="E31" i="19"/>
  <c r="E38" i="20"/>
  <c r="E25" i="20"/>
  <c r="E29" i="20"/>
  <c r="E11" i="19"/>
  <c r="E15" i="20"/>
  <c r="E26" i="20"/>
  <c r="E34" i="19"/>
  <c r="E18" i="19"/>
  <c r="E9" i="20"/>
  <c r="E16" i="20"/>
  <c r="E37" i="20"/>
  <c r="E13" i="20"/>
  <c r="E17" i="20"/>
  <c r="E12" i="20"/>
  <c r="E17" i="19"/>
  <c r="E13" i="19"/>
  <c r="E22" i="19"/>
  <c r="E19" i="19"/>
  <c r="E8" i="20"/>
  <c r="E21" i="20"/>
  <c r="E23" i="20"/>
  <c r="E34" i="20"/>
  <c r="E24" i="20"/>
  <c r="C41" i="19"/>
  <c r="E28" i="19"/>
  <c r="E41" i="20" l="1"/>
  <c r="F40" i="20" s="1"/>
  <c r="E41" i="19"/>
  <c r="F28" i="19" s="1"/>
  <c r="F14" i="20" l="1"/>
  <c r="F35" i="20"/>
  <c r="F17" i="20"/>
  <c r="F30" i="20"/>
  <c r="F12" i="20"/>
  <c r="F7" i="20"/>
  <c r="F23" i="20"/>
  <c r="F28" i="20"/>
  <c r="F16" i="20"/>
  <c r="F9" i="20"/>
  <c r="F34" i="20"/>
  <c r="F37" i="20"/>
  <c r="F11" i="20"/>
  <c r="F15" i="20"/>
  <c r="F39" i="20"/>
  <c r="F27" i="20"/>
  <c r="F33" i="20"/>
  <c r="F31" i="20"/>
  <c r="F22" i="20"/>
  <c r="F19" i="20"/>
  <c r="F38" i="20"/>
  <c r="F24" i="20"/>
  <c r="F20" i="20"/>
  <c r="F18" i="20"/>
  <c r="F29" i="20"/>
  <c r="F8" i="20"/>
  <c r="F36" i="20"/>
  <c r="F21" i="20"/>
  <c r="F10" i="20"/>
  <c r="F32" i="20"/>
  <c r="F13" i="20"/>
  <c r="F26" i="20"/>
  <c r="F25" i="20"/>
  <c r="F37" i="19"/>
  <c r="F21" i="19"/>
  <c r="F25" i="19"/>
  <c r="F9" i="19"/>
  <c r="F7" i="19"/>
  <c r="F26" i="19"/>
  <c r="F16" i="19"/>
  <c r="F32" i="19"/>
  <c r="F36" i="19"/>
  <c r="F18" i="19"/>
  <c r="F38" i="19"/>
  <c r="F24" i="19"/>
  <c r="F35" i="19"/>
  <c r="F27" i="19"/>
  <c r="F22" i="19"/>
  <c r="F39" i="19"/>
  <c r="F11" i="19"/>
  <c r="F34" i="19"/>
  <c r="F10" i="19"/>
  <c r="F23" i="19"/>
  <c r="F33" i="19"/>
  <c r="F31" i="19"/>
  <c r="F8" i="19"/>
  <c r="F30" i="19"/>
  <c r="F20" i="19"/>
  <c r="F14" i="19"/>
  <c r="F12" i="19"/>
  <c r="F15" i="19"/>
  <c r="F17" i="19"/>
  <c r="F19" i="19"/>
  <c r="F40" i="19"/>
  <c r="F29" i="19"/>
  <c r="F13" i="19"/>
  <c r="C42" i="2"/>
  <c r="C35" i="2"/>
  <c r="C13" i="2"/>
  <c r="C43" i="2"/>
  <c r="C41" i="2"/>
  <c r="C34" i="2"/>
  <c r="C28" i="2"/>
  <c r="C22" i="2"/>
  <c r="C21" i="2"/>
  <c r="C11" i="2"/>
  <c r="F41" i="20" l="1"/>
  <c r="F41" i="19"/>
  <c r="D14" i="15"/>
  <c r="D16" i="15"/>
  <c r="D13" i="15"/>
  <c r="D10" i="15"/>
  <c r="D17" i="15"/>
  <c r="D9" i="15"/>
  <c r="D15" i="15"/>
  <c r="D31" i="15"/>
  <c r="D40" i="15"/>
  <c r="D21" i="15"/>
  <c r="D32" i="15"/>
  <c r="D20" i="15"/>
  <c r="D18" i="15"/>
  <c r="D19" i="15"/>
  <c r="D11" i="15"/>
  <c r="D34" i="15"/>
  <c r="D28" i="15"/>
  <c r="D27" i="15"/>
  <c r="D22" i="15"/>
  <c r="D8" i="15"/>
  <c r="D33" i="15"/>
  <c r="D26" i="15"/>
  <c r="D24" i="15"/>
  <c r="D23" i="15"/>
  <c r="D29" i="15"/>
  <c r="D39" i="15"/>
  <c r="D36" i="15"/>
  <c r="D38" i="15"/>
  <c r="D25" i="15"/>
  <c r="D37" i="15"/>
  <c r="D35" i="15"/>
  <c r="D30" i="15"/>
  <c r="D12" i="15"/>
  <c r="D41" i="15" l="1"/>
  <c r="C8" i="18"/>
  <c r="C9" i="18"/>
  <c r="C10" i="18"/>
  <c r="C11" i="18"/>
  <c r="C12" i="18"/>
  <c r="C13" i="18"/>
  <c r="C14" i="18"/>
  <c r="C15" i="18"/>
  <c r="C16" i="18"/>
  <c r="C17" i="18"/>
  <c r="C18" i="18"/>
  <c r="C19" i="18"/>
  <c r="C20" i="18"/>
  <c r="C21" i="18"/>
  <c r="C22" i="18"/>
  <c r="C23" i="18"/>
  <c r="C24" i="18"/>
  <c r="C25" i="18"/>
  <c r="C26" i="18"/>
  <c r="C27" i="18"/>
  <c r="C28" i="18"/>
  <c r="C29" i="18"/>
  <c r="C30" i="18"/>
  <c r="C31" i="18"/>
  <c r="C32" i="18"/>
  <c r="C33" i="18"/>
  <c r="C34" i="18"/>
  <c r="C35" i="18"/>
  <c r="C36" i="18"/>
  <c r="C37" i="18"/>
  <c r="C38" i="18"/>
  <c r="C39" i="18"/>
  <c r="C40" i="18"/>
  <c r="C7" i="18"/>
  <c r="C8" i="17"/>
  <c r="D8" i="17"/>
  <c r="C9" i="17"/>
  <c r="D9" i="17"/>
  <c r="C10" i="17"/>
  <c r="D10" i="17"/>
  <c r="C12" i="17"/>
  <c r="D12" i="17"/>
  <c r="C15" i="17"/>
  <c r="D15" i="17"/>
  <c r="C11" i="17"/>
  <c r="D11" i="17"/>
  <c r="C13" i="17"/>
  <c r="D13" i="17"/>
  <c r="C14" i="17"/>
  <c r="D14" i="17"/>
  <c r="C20" i="17"/>
  <c r="D20" i="17"/>
  <c r="C18" i="17"/>
  <c r="D18" i="17"/>
  <c r="C17" i="17"/>
  <c r="D17" i="17"/>
  <c r="C24" i="17"/>
  <c r="D24" i="17"/>
  <c r="C16" i="17"/>
  <c r="D16" i="17"/>
  <c r="C21" i="17"/>
  <c r="D21" i="17"/>
  <c r="C26" i="17"/>
  <c r="D26" i="17"/>
  <c r="C25" i="17"/>
  <c r="D25" i="17"/>
  <c r="C19" i="17"/>
  <c r="D19" i="17"/>
  <c r="C22" i="17"/>
  <c r="D22" i="17"/>
  <c r="C28" i="17"/>
  <c r="D28" i="17"/>
  <c r="C31" i="17"/>
  <c r="D31" i="17"/>
  <c r="C29" i="17"/>
  <c r="D29" i="17"/>
  <c r="C36" i="17"/>
  <c r="D36" i="17"/>
  <c r="C23" i="17"/>
  <c r="D23" i="17"/>
  <c r="C30" i="17"/>
  <c r="D30" i="17"/>
  <c r="C27" i="17"/>
  <c r="D27" i="17"/>
  <c r="C34" i="17"/>
  <c r="D34" i="17"/>
  <c r="C33" i="17"/>
  <c r="D33" i="17"/>
  <c r="C32" i="17"/>
  <c r="D32" i="17"/>
  <c r="C35" i="17"/>
  <c r="D35" i="17"/>
  <c r="C37" i="17"/>
  <c r="D37" i="17"/>
  <c r="C38" i="17"/>
  <c r="D38" i="17"/>
  <c r="C39" i="17"/>
  <c r="D39" i="17"/>
  <c r="C40" i="17"/>
  <c r="D40" i="17"/>
  <c r="D7" i="17"/>
  <c r="C7" i="17"/>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0" i="16"/>
  <c r="D30" i="16"/>
  <c r="C31" i="16"/>
  <c r="D31" i="16"/>
  <c r="C32" i="16"/>
  <c r="D32" i="16"/>
  <c r="C33" i="16"/>
  <c r="D33" i="16"/>
  <c r="C34" i="16"/>
  <c r="D34" i="16"/>
  <c r="C35" i="16"/>
  <c r="D35" i="16"/>
  <c r="C36" i="16"/>
  <c r="D36" i="16"/>
  <c r="C37" i="16"/>
  <c r="D37" i="16"/>
  <c r="C38" i="16"/>
  <c r="D38" i="16"/>
  <c r="C39" i="16"/>
  <c r="D39" i="16"/>
  <c r="C40" i="16"/>
  <c r="D40" i="16"/>
  <c r="D7" i="16"/>
  <c r="C7" i="16"/>
  <c r="C14" i="15"/>
  <c r="E14" i="15" s="1"/>
  <c r="C16" i="15"/>
  <c r="E16" i="15" s="1"/>
  <c r="C13" i="15"/>
  <c r="E13" i="15" s="1"/>
  <c r="C10" i="15"/>
  <c r="E10" i="15" s="1"/>
  <c r="C17" i="15"/>
  <c r="E17" i="15" s="1"/>
  <c r="C9" i="15"/>
  <c r="E9" i="15" s="1"/>
  <c r="C15" i="15"/>
  <c r="E15" i="15" s="1"/>
  <c r="C31" i="15"/>
  <c r="E31" i="15" s="1"/>
  <c r="C40" i="15"/>
  <c r="E40" i="15" s="1"/>
  <c r="C21" i="15"/>
  <c r="E21" i="15" s="1"/>
  <c r="C32" i="15"/>
  <c r="E32" i="15" s="1"/>
  <c r="C20" i="15"/>
  <c r="E20" i="15" s="1"/>
  <c r="C18" i="15"/>
  <c r="E18" i="15" s="1"/>
  <c r="C7" i="15"/>
  <c r="E7" i="15" s="1"/>
  <c r="C19" i="15"/>
  <c r="E19" i="15" s="1"/>
  <c r="C11" i="15"/>
  <c r="E11" i="15" s="1"/>
  <c r="C34" i="15"/>
  <c r="E34" i="15" s="1"/>
  <c r="C28" i="15"/>
  <c r="E28" i="15" s="1"/>
  <c r="C27" i="15"/>
  <c r="E27" i="15" s="1"/>
  <c r="C22" i="15"/>
  <c r="E22" i="15" s="1"/>
  <c r="C8" i="15"/>
  <c r="E8" i="15" s="1"/>
  <c r="C33" i="15"/>
  <c r="E33" i="15" s="1"/>
  <c r="C26" i="15"/>
  <c r="E26" i="15" s="1"/>
  <c r="C24" i="15"/>
  <c r="E24" i="15" s="1"/>
  <c r="C23" i="15"/>
  <c r="E23" i="15" s="1"/>
  <c r="C29" i="15"/>
  <c r="E29" i="15" s="1"/>
  <c r="C39" i="15"/>
  <c r="E39" i="15" s="1"/>
  <c r="C36" i="15"/>
  <c r="E36" i="15" s="1"/>
  <c r="C38" i="15"/>
  <c r="E38" i="15" s="1"/>
  <c r="C25" i="15"/>
  <c r="E25" i="15" s="1"/>
  <c r="C37" i="15"/>
  <c r="E37" i="15" s="1"/>
  <c r="C35" i="15"/>
  <c r="E35" i="15" s="1"/>
  <c r="C30" i="15"/>
  <c r="E30" i="15" s="1"/>
  <c r="C12" i="15"/>
  <c r="E12" i="15" s="1"/>
  <c r="D10" i="14"/>
  <c r="D7" i="14"/>
  <c r="D9" i="14"/>
  <c r="D27" i="14"/>
  <c r="D12" i="14"/>
  <c r="D40" i="14"/>
  <c r="D14" i="14"/>
  <c r="D16" i="14"/>
  <c r="D19" i="14"/>
  <c r="D25" i="14"/>
  <c r="D31" i="14"/>
  <c r="D37" i="14"/>
  <c r="D28" i="14"/>
  <c r="D18" i="14"/>
  <c r="D32" i="14"/>
  <c r="D15" i="14"/>
  <c r="D30" i="14"/>
  <c r="D20" i="14"/>
  <c r="D26" i="14"/>
  <c r="D17" i="14"/>
  <c r="D13" i="14"/>
  <c r="D11" i="14"/>
  <c r="D33" i="14"/>
  <c r="D36" i="14"/>
  <c r="D29" i="14"/>
  <c r="D24" i="14"/>
  <c r="D34" i="14"/>
  <c r="D22" i="14"/>
  <c r="D39" i="14"/>
  <c r="D23" i="14"/>
  <c r="D35" i="14"/>
  <c r="D38" i="14"/>
  <c r="D21" i="14"/>
  <c r="D8" i="14"/>
  <c r="C10" i="14"/>
  <c r="C7" i="14"/>
  <c r="C9" i="14"/>
  <c r="C27" i="14"/>
  <c r="C12" i="14"/>
  <c r="C40" i="14"/>
  <c r="C14" i="14"/>
  <c r="C16" i="14"/>
  <c r="C19" i="14"/>
  <c r="C25" i="14"/>
  <c r="C31" i="14"/>
  <c r="C37" i="14"/>
  <c r="C28" i="14"/>
  <c r="C18" i="14"/>
  <c r="C32" i="14"/>
  <c r="C15" i="14"/>
  <c r="C30" i="14"/>
  <c r="C20" i="14"/>
  <c r="C26" i="14"/>
  <c r="C17" i="14"/>
  <c r="C13" i="14"/>
  <c r="C11" i="14"/>
  <c r="C33" i="14"/>
  <c r="C36" i="14"/>
  <c r="C29" i="14"/>
  <c r="C24" i="14"/>
  <c r="C34" i="14"/>
  <c r="C22" i="14"/>
  <c r="C39" i="14"/>
  <c r="C23" i="14"/>
  <c r="C35" i="14"/>
  <c r="C38" i="14"/>
  <c r="C21" i="14"/>
  <c r="C8" i="14"/>
  <c r="M9" i="2"/>
  <c r="L9" i="2"/>
  <c r="K9" i="2"/>
  <c r="H9" i="2"/>
  <c r="G9" i="2"/>
  <c r="F9" i="2"/>
  <c r="C6" i="2"/>
  <c r="E9" i="2"/>
  <c r="D9" i="2"/>
  <c r="C33" i="2"/>
  <c r="C29" i="2"/>
  <c r="C24" i="2"/>
  <c r="C19" i="2"/>
  <c r="C31" i="2"/>
  <c r="C20" i="2"/>
  <c r="C44" i="2"/>
  <c r="C26" i="2"/>
  <c r="C39" i="2"/>
  <c r="C37" i="2"/>
  <c r="C12" i="2"/>
  <c r="C40" i="2"/>
  <c r="C38" i="2"/>
  <c r="C32" i="2"/>
  <c r="C30" i="2"/>
  <c r="C27" i="2"/>
  <c r="C25" i="2"/>
  <c r="C23" i="2"/>
  <c r="C18" i="2"/>
  <c r="C17" i="2"/>
  <c r="C16" i="2"/>
  <c r="C15" i="2"/>
  <c r="C14" i="2"/>
  <c r="N9" i="2" l="1"/>
  <c r="E35" i="14"/>
  <c r="E33" i="14"/>
  <c r="E32" i="14"/>
  <c r="E14" i="14"/>
  <c r="E22" i="14"/>
  <c r="E17" i="14"/>
  <c r="E37" i="14"/>
  <c r="E27" i="14"/>
  <c r="E8" i="14"/>
  <c r="E24" i="14"/>
  <c r="E20" i="14"/>
  <c r="E25" i="14"/>
  <c r="E7" i="14"/>
  <c r="E23" i="14"/>
  <c r="E11" i="14"/>
  <c r="E18" i="14"/>
  <c r="E40" i="14"/>
  <c r="E39" i="14"/>
  <c r="E13" i="14"/>
  <c r="E28" i="14"/>
  <c r="E12" i="14"/>
  <c r="E34" i="14"/>
  <c r="E26" i="14"/>
  <c r="E31" i="14"/>
  <c r="E9" i="14"/>
  <c r="C3" i="16"/>
  <c r="C3" i="20"/>
  <c r="C3" i="19"/>
  <c r="E21" i="14"/>
  <c r="E29" i="14"/>
  <c r="E30" i="14"/>
  <c r="E19" i="14"/>
  <c r="E10" i="14"/>
  <c r="E38" i="14"/>
  <c r="E36" i="14"/>
  <c r="E15" i="14"/>
  <c r="E16" i="14"/>
  <c r="C41" i="15"/>
  <c r="D41" i="14"/>
  <c r="C41" i="14"/>
  <c r="E37" i="16"/>
  <c r="E33" i="16"/>
  <c r="E29" i="16"/>
  <c r="E25" i="16"/>
  <c r="E21" i="16"/>
  <c r="E17" i="16"/>
  <c r="E13" i="16"/>
  <c r="E9" i="16"/>
  <c r="E7" i="18"/>
  <c r="E33" i="18"/>
  <c r="E25" i="18"/>
  <c r="E21" i="18"/>
  <c r="E17" i="18"/>
  <c r="E13" i="18"/>
  <c r="E9" i="18"/>
  <c r="C3" i="17"/>
  <c r="C3" i="18"/>
  <c r="E26" i="16"/>
  <c r="E20" i="17"/>
  <c r="E34" i="18"/>
  <c r="C3" i="14"/>
  <c r="E14" i="16"/>
  <c r="E15" i="17"/>
  <c r="E8" i="17"/>
  <c r="E18" i="18"/>
  <c r="C3" i="15"/>
  <c r="E37" i="17"/>
  <c r="E22" i="17"/>
  <c r="E21" i="17"/>
  <c r="E39" i="18"/>
  <c r="E35" i="18"/>
  <c r="E27" i="18"/>
  <c r="E23" i="18"/>
  <c r="E19" i="18"/>
  <c r="E11" i="18"/>
  <c r="E11" i="16"/>
  <c r="E31" i="17"/>
  <c r="E35" i="16"/>
  <c r="E36" i="17"/>
  <c r="E11" i="17"/>
  <c r="E31" i="18"/>
  <c r="E15" i="18"/>
  <c r="E37" i="18"/>
  <c r="E40" i="16"/>
  <c r="E28" i="16"/>
  <c r="E20" i="16"/>
  <c r="E16" i="16"/>
  <c r="E38" i="17"/>
  <c r="E33" i="17"/>
  <c r="E23" i="17"/>
  <c r="E28" i="17"/>
  <c r="E26" i="17"/>
  <c r="E17" i="17"/>
  <c r="E13" i="17"/>
  <c r="E10" i="17"/>
  <c r="E40" i="18"/>
  <c r="E32" i="18"/>
  <c r="E28" i="18"/>
  <c r="E24" i="18"/>
  <c r="E20" i="18"/>
  <c r="E16" i="18"/>
  <c r="E8" i="18"/>
  <c r="C41" i="17"/>
  <c r="E38" i="16"/>
  <c r="E34" i="16"/>
  <c r="E30" i="16"/>
  <c r="E22" i="16"/>
  <c r="E40" i="17"/>
  <c r="E35" i="17"/>
  <c r="E27" i="17"/>
  <c r="E29" i="17"/>
  <c r="E16" i="17"/>
  <c r="C45" i="2"/>
  <c r="L10" i="2" s="1"/>
  <c r="E39" i="17"/>
  <c r="E30" i="17"/>
  <c r="E25" i="17"/>
  <c r="E12" i="17"/>
  <c r="E36" i="16"/>
  <c r="E32" i="16"/>
  <c r="E24" i="16"/>
  <c r="E12" i="16"/>
  <c r="E8" i="16"/>
  <c r="E12" i="18"/>
  <c r="E27" i="16"/>
  <c r="E19" i="16"/>
  <c r="E15" i="16"/>
  <c r="E7" i="17"/>
  <c r="E34" i="17"/>
  <c r="E18" i="17"/>
  <c r="E39" i="16"/>
  <c r="E31" i="16"/>
  <c r="E23" i="16"/>
  <c r="E36" i="18"/>
  <c r="E18" i="16"/>
  <c r="E10" i="16"/>
  <c r="E19" i="17"/>
  <c r="E32" i="17"/>
  <c r="E24" i="17"/>
  <c r="E14" i="17"/>
  <c r="E38" i="18"/>
  <c r="E30" i="18"/>
  <c r="E26" i="18"/>
  <c r="E22" i="18"/>
  <c r="E14" i="18"/>
  <c r="E10" i="18"/>
  <c r="E29" i="18"/>
  <c r="E7" i="16"/>
  <c r="C41" i="16"/>
  <c r="C41" i="18"/>
  <c r="E9" i="17"/>
  <c r="C30" i="9"/>
  <c r="C38" i="9"/>
  <c r="C22" i="9"/>
  <c r="C24" i="9"/>
  <c r="C25" i="9"/>
  <c r="C14" i="9"/>
  <c r="C16" i="9"/>
  <c r="C34" i="9"/>
  <c r="C32" i="9"/>
  <c r="C10" i="9"/>
  <c r="C9" i="9"/>
  <c r="C17" i="9"/>
  <c r="C35" i="9"/>
  <c r="C15" i="9"/>
  <c r="C29" i="9"/>
  <c r="C26" i="9"/>
  <c r="C11" i="9"/>
  <c r="C37" i="9"/>
  <c r="C23" i="9"/>
  <c r="C33" i="9"/>
  <c r="C21" i="9"/>
  <c r="C36" i="9"/>
  <c r="C12" i="9"/>
  <c r="C40" i="9"/>
  <c r="C20" i="9"/>
  <c r="C27" i="9"/>
  <c r="C18" i="9"/>
  <c r="C28" i="9"/>
  <c r="C19" i="9"/>
  <c r="C8" i="9"/>
  <c r="C39" i="9"/>
  <c r="C7" i="9"/>
  <c r="C31" i="9"/>
  <c r="C13" i="9"/>
  <c r="C30" i="8"/>
  <c r="C38" i="8"/>
  <c r="C22" i="8"/>
  <c r="C24" i="8"/>
  <c r="C25" i="8"/>
  <c r="C14" i="8"/>
  <c r="C16" i="8"/>
  <c r="C34" i="8"/>
  <c r="C32" i="8"/>
  <c r="C10" i="8"/>
  <c r="C9" i="8"/>
  <c r="C17" i="8"/>
  <c r="C35" i="8"/>
  <c r="C15" i="8"/>
  <c r="C29" i="8"/>
  <c r="C26" i="8"/>
  <c r="C11" i="8"/>
  <c r="C37" i="8"/>
  <c r="C23" i="8"/>
  <c r="C33" i="8"/>
  <c r="C21" i="8"/>
  <c r="C36" i="8"/>
  <c r="C12" i="8"/>
  <c r="C40" i="8"/>
  <c r="C20" i="8"/>
  <c r="C27" i="8"/>
  <c r="C18" i="8"/>
  <c r="C28" i="8"/>
  <c r="C19" i="8"/>
  <c r="C8" i="8"/>
  <c r="C39" i="8"/>
  <c r="C7" i="8"/>
  <c r="C31" i="8"/>
  <c r="C13" i="8"/>
  <c r="C39" i="4"/>
  <c r="C37" i="4"/>
  <c r="C36" i="4"/>
  <c r="C38" i="4"/>
  <c r="C20" i="4"/>
  <c r="C7" i="4"/>
  <c r="C33" i="4"/>
  <c r="C11" i="4"/>
  <c r="C34" i="4"/>
  <c r="C9" i="4"/>
  <c r="C24" i="4"/>
  <c r="C27" i="4"/>
  <c r="C22" i="4"/>
  <c r="C18" i="4"/>
  <c r="C30" i="4"/>
  <c r="C16" i="4"/>
  <c r="C31" i="4"/>
  <c r="C32" i="4"/>
  <c r="C13" i="4"/>
  <c r="C23" i="4"/>
  <c r="C25" i="4"/>
  <c r="C12" i="4"/>
  <c r="C15" i="4"/>
  <c r="C29" i="4"/>
  <c r="C8" i="4"/>
  <c r="C17" i="4"/>
  <c r="C35" i="4"/>
  <c r="C10" i="4"/>
  <c r="C19" i="4"/>
  <c r="C14" i="4"/>
  <c r="C26" i="4"/>
  <c r="C28" i="4"/>
  <c r="C21" i="4"/>
  <c r="C40" i="4"/>
  <c r="D23" i="1"/>
  <c r="D25" i="1"/>
  <c r="D31" i="1"/>
  <c r="C12" i="1"/>
  <c r="C13" i="1"/>
  <c r="C14" i="1"/>
  <c r="C15" i="1"/>
  <c r="C16" i="1"/>
  <c r="C17" i="1"/>
  <c r="C18" i="1"/>
  <c r="C20" i="1"/>
  <c r="C19" i="1"/>
  <c r="C21" i="1"/>
  <c r="C22" i="1"/>
  <c r="C23" i="1"/>
  <c r="C24" i="1"/>
  <c r="C25" i="1"/>
  <c r="C26" i="1"/>
  <c r="C27" i="1"/>
  <c r="C28" i="1"/>
  <c r="C29" i="1"/>
  <c r="C30" i="1"/>
  <c r="C32" i="1"/>
  <c r="C31" i="1"/>
  <c r="C33" i="1"/>
  <c r="C34" i="1"/>
  <c r="C35" i="1"/>
  <c r="C36" i="1"/>
  <c r="C37" i="1"/>
  <c r="C38" i="1"/>
  <c r="C39" i="1"/>
  <c r="C40" i="1"/>
  <c r="C41" i="1"/>
  <c r="C42" i="1"/>
  <c r="C43" i="1"/>
  <c r="C44" i="1"/>
  <c r="C11" i="1"/>
  <c r="D24" i="1"/>
  <c r="D34" i="1"/>
  <c r="D42" i="1"/>
  <c r="D26" i="1"/>
  <c r="D28" i="1"/>
  <c r="D29" i="1"/>
  <c r="D18" i="1"/>
  <c r="D19" i="1"/>
  <c r="D38" i="1"/>
  <c r="D36" i="1"/>
  <c r="D14" i="1"/>
  <c r="D13" i="1"/>
  <c r="D21" i="1"/>
  <c r="D39" i="1"/>
  <c r="D20" i="1"/>
  <c r="D33" i="1"/>
  <c r="D30" i="1"/>
  <c r="D15" i="1"/>
  <c r="D41" i="1"/>
  <c r="D27" i="1"/>
  <c r="D37" i="1"/>
  <c r="D40" i="1"/>
  <c r="D16" i="1"/>
  <c r="D44" i="1"/>
  <c r="D32" i="1"/>
  <c r="D22" i="1"/>
  <c r="D12" i="1"/>
  <c r="D43" i="1"/>
  <c r="D11" i="1"/>
  <c r="D35" i="1"/>
  <c r="D17" i="1"/>
  <c r="J10" i="2" l="1"/>
  <c r="C4" i="20" s="1"/>
  <c r="I10" i="2"/>
  <c r="C4" i="19" s="1"/>
  <c r="E10" i="2"/>
  <c r="C4" i="14" s="1"/>
  <c r="D10" i="2"/>
  <c r="H10" i="2"/>
  <c r="G10" i="2"/>
  <c r="C4" i="16" s="1"/>
  <c r="M10" i="2"/>
  <c r="K10" i="2"/>
  <c r="C4" i="18" s="1"/>
  <c r="F10" i="2"/>
  <c r="C4" i="15" s="1"/>
  <c r="E41" i="18"/>
  <c r="F7" i="18" s="1"/>
  <c r="E41" i="16"/>
  <c r="F10" i="16" s="1"/>
  <c r="E41" i="17"/>
  <c r="D45" i="1"/>
  <c r="C4" i="17" l="1"/>
  <c r="E41" i="15"/>
  <c r="F26" i="15" s="1"/>
  <c r="G26" i="15" s="1"/>
  <c r="G22" i="1" s="1"/>
  <c r="E41" i="14"/>
  <c r="F38" i="14" s="1"/>
  <c r="G38" i="14" s="1"/>
  <c r="F20" i="1" s="1"/>
  <c r="G10" i="16"/>
  <c r="H17" i="1" s="1"/>
  <c r="F34" i="16"/>
  <c r="G34" i="16" s="1"/>
  <c r="H43" i="1" s="1"/>
  <c r="F31" i="16"/>
  <c r="G31" i="16" s="1"/>
  <c r="H32" i="1" s="1"/>
  <c r="F40" i="18"/>
  <c r="G40" i="18" s="1"/>
  <c r="L21" i="1" s="1"/>
  <c r="F37" i="16"/>
  <c r="G37" i="16" s="1"/>
  <c r="H40" i="1" s="1"/>
  <c r="F27" i="16"/>
  <c r="G27" i="16" s="1"/>
  <c r="H22" i="1" s="1"/>
  <c r="F40" i="16"/>
  <c r="G40" i="16" s="1"/>
  <c r="H16" i="1" s="1"/>
  <c r="F19" i="16"/>
  <c r="G19" i="16" s="1"/>
  <c r="H18" i="1" s="1"/>
  <c r="F21" i="16"/>
  <c r="G21" i="16" s="1"/>
  <c r="H38" i="1" s="1"/>
  <c r="F25" i="18"/>
  <c r="G25" i="18" s="1"/>
  <c r="L34" i="1" s="1"/>
  <c r="F17" i="16"/>
  <c r="G17" i="16" s="1"/>
  <c r="H33" i="1" s="1"/>
  <c r="F28" i="16"/>
  <c r="G28" i="16" s="1"/>
  <c r="H44" i="1" s="1"/>
  <c r="F22" i="18"/>
  <c r="G22" i="18" s="1"/>
  <c r="L26" i="1" s="1"/>
  <c r="F24" i="18"/>
  <c r="G24" i="18" s="1"/>
  <c r="L27" i="1" s="1"/>
  <c r="G7" i="18"/>
  <c r="L12" i="1" s="1"/>
  <c r="F32" i="16"/>
  <c r="G32" i="16" s="1"/>
  <c r="H24" i="1" s="1"/>
  <c r="F33" i="16"/>
  <c r="G33" i="16" s="1"/>
  <c r="H35" i="1" s="1"/>
  <c r="F24" i="16"/>
  <c r="G24" i="16" s="1"/>
  <c r="H42" i="1" s="1"/>
  <c r="F18" i="16"/>
  <c r="G18" i="16" s="1"/>
  <c r="H34" i="1" s="1"/>
  <c r="F25" i="16"/>
  <c r="G25" i="16" s="1"/>
  <c r="H37" i="1" s="1"/>
  <c r="F21" i="18"/>
  <c r="G21" i="18" s="1"/>
  <c r="L38" i="1" s="1"/>
  <c r="F13" i="16"/>
  <c r="G13" i="16" s="1"/>
  <c r="H13" i="1" s="1"/>
  <c r="F16" i="18"/>
  <c r="G16" i="18" s="1"/>
  <c r="L29" i="1" s="1"/>
  <c r="F16" i="16"/>
  <c r="G16" i="16" s="1"/>
  <c r="H19" i="1" s="1"/>
  <c r="F35" i="18"/>
  <c r="G35" i="18" s="1"/>
  <c r="L44" i="1" s="1"/>
  <c r="F11" i="18"/>
  <c r="G11" i="18" s="1"/>
  <c r="L17" i="1" s="1"/>
  <c r="F7" i="16"/>
  <c r="G7" i="16" s="1"/>
  <c r="H12" i="1" s="1"/>
  <c r="F8" i="16"/>
  <c r="G8" i="16" s="1"/>
  <c r="H14" i="1" s="1"/>
  <c r="F35" i="16"/>
  <c r="G35" i="16" s="1"/>
  <c r="H20" i="1" s="1"/>
  <c r="F11" i="16"/>
  <c r="G11" i="16" s="1"/>
  <c r="H23" i="1" s="1"/>
  <c r="F38" i="18"/>
  <c r="G38" i="18" s="1"/>
  <c r="L40" i="1" s="1"/>
  <c r="F22" i="16"/>
  <c r="G22" i="16" s="1"/>
  <c r="H41" i="1" s="1"/>
  <c r="F29" i="16"/>
  <c r="G29" i="16" s="1"/>
  <c r="H30" i="1" s="1"/>
  <c r="F12" i="16"/>
  <c r="G12" i="16" s="1"/>
  <c r="H28" i="1" s="1"/>
  <c r="F20" i="16"/>
  <c r="G20" i="16" s="1"/>
  <c r="H15" i="1" s="1"/>
  <c r="F38" i="16"/>
  <c r="G38" i="16" s="1"/>
  <c r="H21" i="1" s="1"/>
  <c r="F29" i="18"/>
  <c r="G29" i="18" s="1"/>
  <c r="L42" i="1" s="1"/>
  <c r="F39" i="18"/>
  <c r="G39" i="18" s="1"/>
  <c r="L16" i="1" s="1"/>
  <c r="F32" i="18"/>
  <c r="G32" i="18" s="1"/>
  <c r="L20" i="1" s="1"/>
  <c r="F36" i="18"/>
  <c r="G36" i="18" s="1"/>
  <c r="L43" i="1" s="1"/>
  <c r="F8" i="18"/>
  <c r="G8" i="18" s="1"/>
  <c r="L13" i="1" s="1"/>
  <c r="F33" i="18"/>
  <c r="G33" i="18" s="1"/>
  <c r="L24" i="1" s="1"/>
  <c r="F39" i="16"/>
  <c r="G39" i="16" s="1"/>
  <c r="H25" i="1" s="1"/>
  <c r="F23" i="18"/>
  <c r="G23" i="18" s="1"/>
  <c r="L41" i="1" s="1"/>
  <c r="F30" i="16"/>
  <c r="G30" i="16" s="1"/>
  <c r="H39" i="1" s="1"/>
  <c r="F23" i="16"/>
  <c r="G23" i="16" s="1"/>
  <c r="H26" i="1" s="1"/>
  <c r="F9" i="18"/>
  <c r="G9" i="18" s="1"/>
  <c r="L14" i="1" s="1"/>
  <c r="F9" i="16"/>
  <c r="G9" i="16" s="1"/>
  <c r="H11" i="1" s="1"/>
  <c r="F18" i="18"/>
  <c r="G18" i="18" s="1"/>
  <c r="L15" i="1" s="1"/>
  <c r="F15" i="18"/>
  <c r="G15" i="18" s="1"/>
  <c r="L33" i="1" s="1"/>
  <c r="F20" i="18"/>
  <c r="G20" i="18" s="1"/>
  <c r="L37" i="1" s="1"/>
  <c r="F10" i="18"/>
  <c r="G10" i="18" s="1"/>
  <c r="L11" i="1" s="1"/>
  <c r="F27" i="18"/>
  <c r="G27" i="18" s="1"/>
  <c r="L30" i="1" s="1"/>
  <c r="F14" i="18"/>
  <c r="G14" i="18" s="1"/>
  <c r="L28" i="1" s="1"/>
  <c r="F19" i="18"/>
  <c r="G19" i="18" s="1"/>
  <c r="L23" i="1" s="1"/>
  <c r="F26" i="18"/>
  <c r="G26" i="18" s="1"/>
  <c r="L22" i="1" s="1"/>
  <c r="F37" i="18"/>
  <c r="G37" i="18" s="1"/>
  <c r="L25" i="1" s="1"/>
  <c r="F12" i="18"/>
  <c r="G12" i="18" s="1"/>
  <c r="L36" i="1" s="1"/>
  <c r="F15" i="16"/>
  <c r="G15" i="16" s="1"/>
  <c r="H29" i="1" s="1"/>
  <c r="F30" i="18"/>
  <c r="G30" i="18" s="1"/>
  <c r="L32" i="1" s="1"/>
  <c r="F26" i="16"/>
  <c r="G26" i="16" s="1"/>
  <c r="H27" i="1" s="1"/>
  <c r="F28" i="18"/>
  <c r="G28" i="18" s="1"/>
  <c r="L39" i="1" s="1"/>
  <c r="F36" i="16"/>
  <c r="G36" i="16" s="1"/>
  <c r="H31" i="1" s="1"/>
  <c r="F17" i="18"/>
  <c r="G17" i="18" s="1"/>
  <c r="L18" i="1" s="1"/>
  <c r="F34" i="18"/>
  <c r="G34" i="18" s="1"/>
  <c r="L31" i="1" s="1"/>
  <c r="F13" i="18"/>
  <c r="G13" i="18" s="1"/>
  <c r="L19" i="1" s="1"/>
  <c r="F31" i="18"/>
  <c r="G31" i="18" s="1"/>
  <c r="L35" i="1" s="1"/>
  <c r="F14" i="16"/>
  <c r="G14" i="16" s="1"/>
  <c r="H36" i="1" s="1"/>
  <c r="F17" i="17"/>
  <c r="F24" i="17"/>
  <c r="F31" i="17"/>
  <c r="F22" i="17"/>
  <c r="F13" i="17"/>
  <c r="F16" i="17"/>
  <c r="F7" i="17"/>
  <c r="F34" i="17"/>
  <c r="F28" i="17"/>
  <c r="F33" i="17"/>
  <c r="F27" i="17"/>
  <c r="F40" i="17"/>
  <c r="F11" i="17"/>
  <c r="F32" i="17"/>
  <c r="F15" i="17"/>
  <c r="F35" i="17"/>
  <c r="F14" i="17"/>
  <c r="F25" i="17"/>
  <c r="F29" i="17"/>
  <c r="F39" i="17"/>
  <c r="F26" i="17"/>
  <c r="F23" i="17"/>
  <c r="F30" i="17"/>
  <c r="F8" i="17"/>
  <c r="F37" i="17"/>
  <c r="F18" i="17"/>
  <c r="F38" i="17"/>
  <c r="F12" i="17"/>
  <c r="F20" i="17"/>
  <c r="F19" i="17"/>
  <c r="F10" i="17"/>
  <c r="F36" i="17"/>
  <c r="F21" i="17"/>
  <c r="F9" i="17"/>
  <c r="G35" i="17" l="1"/>
  <c r="I41" i="1" s="1"/>
  <c r="G36" i="17"/>
  <c r="I18" i="1" s="1"/>
  <c r="G8" i="17"/>
  <c r="I43" i="1" s="1"/>
  <c r="G34" i="17"/>
  <c r="I33" i="1" s="1"/>
  <c r="G38" i="17"/>
  <c r="I13" i="1" s="1"/>
  <c r="G29" i="17"/>
  <c r="I23" i="1" s="1"/>
  <c r="G27" i="17"/>
  <c r="I44" i="1" s="1"/>
  <c r="G31" i="17"/>
  <c r="I16" i="1" s="1"/>
  <c r="G10" i="17"/>
  <c r="I12" i="1" s="1"/>
  <c r="G30" i="17"/>
  <c r="I40" i="1" s="1"/>
  <c r="G15" i="17"/>
  <c r="I26" i="1" s="1"/>
  <c r="G19" i="17"/>
  <c r="I31" i="1" s="1"/>
  <c r="G23" i="17"/>
  <c r="I15" i="1" s="1"/>
  <c r="G32" i="17"/>
  <c r="I37" i="1" s="1"/>
  <c r="G16" i="17"/>
  <c r="I24" i="1" s="1"/>
  <c r="G20" i="17"/>
  <c r="I27" i="1" s="1"/>
  <c r="G26" i="17"/>
  <c r="I17" i="1" s="1"/>
  <c r="G11" i="17"/>
  <c r="I38" i="1" s="1"/>
  <c r="G13" i="17"/>
  <c r="I14" i="1" s="1"/>
  <c r="G9" i="17"/>
  <c r="I28" i="1" s="1"/>
  <c r="G18" i="17"/>
  <c r="I32" i="1" s="1"/>
  <c r="G25" i="17"/>
  <c r="I11" i="1" s="1"/>
  <c r="G33" i="17"/>
  <c r="I36" i="1" s="1"/>
  <c r="G24" i="17"/>
  <c r="I29" i="1" s="1"/>
  <c r="G21" i="17"/>
  <c r="I22" i="1" s="1"/>
  <c r="G37" i="17"/>
  <c r="I20" i="1" s="1"/>
  <c r="G14" i="17"/>
  <c r="I21" i="1" s="1"/>
  <c r="G28" i="17"/>
  <c r="I30" i="1" s="1"/>
  <c r="G17" i="17"/>
  <c r="I35" i="1" s="1"/>
  <c r="G12" i="17"/>
  <c r="G39" i="17"/>
  <c r="G40" i="17"/>
  <c r="G22" i="17"/>
  <c r="G28" i="20"/>
  <c r="K14" i="1" s="1"/>
  <c r="G32" i="20"/>
  <c r="K24" i="1" s="1"/>
  <c r="G24" i="20"/>
  <c r="K33" i="1" s="1"/>
  <c r="G10" i="20"/>
  <c r="K42" i="1" s="1"/>
  <c r="G37" i="20"/>
  <c r="K31" i="1" s="1"/>
  <c r="G14" i="20"/>
  <c r="K19" i="1" s="1"/>
  <c r="G36" i="20"/>
  <c r="K40" i="1" s="1"/>
  <c r="G25" i="20"/>
  <c r="K29" i="1" s="1"/>
  <c r="G23" i="20"/>
  <c r="K39" i="1" s="1"/>
  <c r="G31" i="20"/>
  <c r="K35" i="1" s="1"/>
  <c r="G18" i="20"/>
  <c r="K17" i="1" s="1"/>
  <c r="G40" i="20"/>
  <c r="K16" i="1" s="1"/>
  <c r="G33" i="20"/>
  <c r="K15" i="1" s="1"/>
  <c r="G12" i="20"/>
  <c r="K26" i="1" s="1"/>
  <c r="G29" i="20"/>
  <c r="K13" i="1" s="1"/>
  <c r="G27" i="20"/>
  <c r="K36" i="1" s="1"/>
  <c r="G30" i="20"/>
  <c r="K30" i="1" s="1"/>
  <c r="G34" i="20"/>
  <c r="K18" i="1" s="1"/>
  <c r="G8" i="20"/>
  <c r="G7" i="20"/>
  <c r="K34" i="1" s="1"/>
  <c r="G35" i="20"/>
  <c r="K20" i="1" s="1"/>
  <c r="G20" i="20"/>
  <c r="K37" i="1" s="1"/>
  <c r="G13" i="20"/>
  <c r="K23" i="1" s="1"/>
  <c r="G39" i="20"/>
  <c r="K25" i="1" s="1"/>
  <c r="G17" i="20"/>
  <c r="K44" i="1" s="1"/>
  <c r="G22" i="20"/>
  <c r="K11" i="1" s="1"/>
  <c r="G21" i="20"/>
  <c r="K22" i="1" s="1"/>
  <c r="G16" i="20"/>
  <c r="K32" i="1" s="1"/>
  <c r="G9" i="20"/>
  <c r="K38" i="1" s="1"/>
  <c r="G19" i="20"/>
  <c r="K28" i="1" s="1"/>
  <c r="G15" i="20"/>
  <c r="K43" i="1" s="1"/>
  <c r="G11" i="20"/>
  <c r="K41" i="1" s="1"/>
  <c r="G38" i="20"/>
  <c r="K21" i="1" s="1"/>
  <c r="G26" i="20"/>
  <c r="K27" i="1" s="1"/>
  <c r="G28" i="19"/>
  <c r="J42" i="1" s="1"/>
  <c r="G13" i="19"/>
  <c r="J32" i="1" s="1"/>
  <c r="G7" i="19"/>
  <c r="J16" i="1" s="1"/>
  <c r="G25" i="19"/>
  <c r="J26" i="1" s="1"/>
  <c r="G37" i="19"/>
  <c r="J41" i="1" s="1"/>
  <c r="G16" i="19"/>
  <c r="J28" i="1" s="1"/>
  <c r="G19" i="19"/>
  <c r="J13" i="1" s="1"/>
  <c r="G15" i="19"/>
  <c r="J35" i="1" s="1"/>
  <c r="G14" i="19"/>
  <c r="J18" i="1" s="1"/>
  <c r="G29" i="19"/>
  <c r="J39" i="1" s="1"/>
  <c r="G31" i="19"/>
  <c r="J17" i="1" s="1"/>
  <c r="G23" i="19"/>
  <c r="J43" i="1" s="1"/>
  <c r="G34" i="19"/>
  <c r="J38" i="1" s="1"/>
  <c r="G30" i="19"/>
  <c r="J11" i="1" s="1"/>
  <c r="G27" i="19"/>
  <c r="J14" i="1" s="1"/>
  <c r="G24" i="19"/>
  <c r="J27" i="1" s="1"/>
  <c r="G18" i="19"/>
  <c r="J36" i="1" s="1"/>
  <c r="G39" i="19"/>
  <c r="J44" i="1" s="1"/>
  <c r="G26" i="19"/>
  <c r="J30" i="1" s="1"/>
  <c r="G9" i="19"/>
  <c r="J21" i="1" s="1"/>
  <c r="G21" i="19"/>
  <c r="J24" i="1" s="1"/>
  <c r="G32" i="19"/>
  <c r="J25" i="1" s="1"/>
  <c r="G12" i="19"/>
  <c r="J19" i="1" s="1"/>
  <c r="G20" i="19"/>
  <c r="J20" i="1" s="1"/>
  <c r="G40" i="19"/>
  <c r="J34" i="1" s="1"/>
  <c r="G33" i="19"/>
  <c r="J15" i="1" s="1"/>
  <c r="G10" i="19"/>
  <c r="J31" i="1" s="1"/>
  <c r="G11" i="19"/>
  <c r="J22" i="1" s="1"/>
  <c r="G8" i="19"/>
  <c r="J37" i="1" s="1"/>
  <c r="G17" i="19"/>
  <c r="J12" i="1" s="1"/>
  <c r="G35" i="19"/>
  <c r="J29" i="1" s="1"/>
  <c r="G38" i="19"/>
  <c r="J33" i="1" s="1"/>
  <c r="G36" i="19"/>
  <c r="J23" i="1" s="1"/>
  <c r="G22" i="19"/>
  <c r="J40" i="1" s="1"/>
  <c r="H28" i="18"/>
  <c r="H31" i="18"/>
  <c r="H12" i="18"/>
  <c r="H15" i="18"/>
  <c r="H11" i="18"/>
  <c r="H39" i="18"/>
  <c r="H27" i="18"/>
  <c r="H34" i="18"/>
  <c r="H18" i="18"/>
  <c r="H35" i="18"/>
  <c r="H17" i="18"/>
  <c r="H9" i="18"/>
  <c r="H32" i="18"/>
  <c r="H38" i="18"/>
  <c r="H16" i="18"/>
  <c r="H38" i="16"/>
  <c r="H8" i="16"/>
  <c r="H28" i="16"/>
  <c r="H15" i="16"/>
  <c r="H39" i="16"/>
  <c r="H18" i="16"/>
  <c r="H12" i="16"/>
  <c r="H24" i="16"/>
  <c r="H29" i="16"/>
  <c r="H33" i="16"/>
  <c r="H10" i="16"/>
  <c r="H25" i="16"/>
  <c r="H19" i="16"/>
  <c r="H40" i="16"/>
  <c r="H23" i="16"/>
  <c r="H11" i="16"/>
  <c r="H13" i="16"/>
  <c r="H27" i="16"/>
  <c r="H26" i="16"/>
  <c r="H30" i="16"/>
  <c r="H35" i="16"/>
  <c r="H37" i="16"/>
  <c r="H38" i="14"/>
  <c r="H20" i="16"/>
  <c r="H34" i="16"/>
  <c r="H17" i="16"/>
  <c r="H31" i="16"/>
  <c r="H8" i="18"/>
  <c r="F12" i="15"/>
  <c r="H26" i="18"/>
  <c r="H21" i="16"/>
  <c r="H40" i="18"/>
  <c r="H32" i="16"/>
  <c r="H23" i="18"/>
  <c r="H13" i="18"/>
  <c r="H22" i="18"/>
  <c r="H29" i="18"/>
  <c r="H33" i="18"/>
  <c r="H37" i="18"/>
  <c r="H24" i="18"/>
  <c r="H14" i="18"/>
  <c r="H22" i="16"/>
  <c r="H25" i="18"/>
  <c r="H7" i="18"/>
  <c r="H16" i="16"/>
  <c r="F26" i="14"/>
  <c r="G26" i="14" s="1"/>
  <c r="F40" i="14"/>
  <c r="G40" i="14" s="1"/>
  <c r="F8" i="14"/>
  <c r="H9" i="16"/>
  <c r="F30" i="14"/>
  <c r="G30" i="14" s="1"/>
  <c r="F24" i="1" s="1"/>
  <c r="F36" i="14"/>
  <c r="G36" i="14" s="1"/>
  <c r="F29" i="1" s="1"/>
  <c r="F12" i="14"/>
  <c r="G12" i="14" s="1"/>
  <c r="F38" i="1" s="1"/>
  <c r="F7" i="14"/>
  <c r="F31" i="14"/>
  <c r="G31" i="14" s="1"/>
  <c r="H21" i="18"/>
  <c r="H20" i="18"/>
  <c r="F28" i="14"/>
  <c r="G28" i="14" s="1"/>
  <c r="F22" i="1" s="1"/>
  <c r="F35" i="14"/>
  <c r="G35" i="14" s="1"/>
  <c r="F32" i="14"/>
  <c r="G32" i="14" s="1"/>
  <c r="F26" i="1" s="1"/>
  <c r="F27" i="14"/>
  <c r="G27" i="14" s="1"/>
  <c r="F12" i="1" s="1"/>
  <c r="F19" i="14"/>
  <c r="G19" i="14" s="1"/>
  <c r="F18" i="14"/>
  <c r="G18" i="14" s="1"/>
  <c r="F44" i="1" s="1"/>
  <c r="F33" i="14"/>
  <c r="G33" i="14" s="1"/>
  <c r="F24" i="14"/>
  <c r="G24" i="14" s="1"/>
  <c r="H36" i="18"/>
  <c r="F9" i="14"/>
  <c r="G9" i="14" s="1"/>
  <c r="F21" i="1" s="1"/>
  <c r="F15" i="14"/>
  <c r="G15" i="14" s="1"/>
  <c r="F34" i="14"/>
  <c r="G34" i="14" s="1"/>
  <c r="F39" i="14"/>
  <c r="G39" i="14" s="1"/>
  <c r="F10" i="14"/>
  <c r="G10" i="14" s="1"/>
  <c r="F22" i="14"/>
  <c r="G22" i="14" s="1"/>
  <c r="F37" i="1" s="1"/>
  <c r="F37" i="14"/>
  <c r="G37" i="14" s="1"/>
  <c r="F23" i="14"/>
  <c r="G23" i="14" s="1"/>
  <c r="F21" i="14"/>
  <c r="G21" i="14" s="1"/>
  <c r="F29" i="14"/>
  <c r="G29" i="14" s="1"/>
  <c r="F11" i="14"/>
  <c r="G11" i="14" s="1"/>
  <c r="F14" i="14"/>
  <c r="G14" i="14" s="1"/>
  <c r="F16" i="14"/>
  <c r="G16" i="14" s="1"/>
  <c r="F13" i="14"/>
  <c r="G13" i="14" s="1"/>
  <c r="F17" i="14"/>
  <c r="G17" i="14" s="1"/>
  <c r="F20" i="14"/>
  <c r="G20" i="14" s="1"/>
  <c r="F25" i="14"/>
  <c r="G25" i="14" s="1"/>
  <c r="H36" i="16"/>
  <c r="F41" i="18"/>
  <c r="H19" i="18"/>
  <c r="H10" i="18"/>
  <c r="G41" i="18"/>
  <c r="H41" i="18" s="1"/>
  <c r="H30" i="18"/>
  <c r="F41" i="16"/>
  <c r="H14" i="16"/>
  <c r="H26" i="15"/>
  <c r="F22" i="15"/>
  <c r="G22" i="15" s="1"/>
  <c r="G23" i="1" s="1"/>
  <c r="F37" i="15"/>
  <c r="G37" i="15" s="1"/>
  <c r="G13" i="1" s="1"/>
  <c r="F14" i="15"/>
  <c r="G14" i="15" s="1"/>
  <c r="G42" i="1" s="1"/>
  <c r="F29" i="15"/>
  <c r="G29" i="15" s="1"/>
  <c r="G27" i="1" s="1"/>
  <c r="F16" i="15"/>
  <c r="G16" i="15" s="1"/>
  <c r="G34" i="1" s="1"/>
  <c r="F24" i="15"/>
  <c r="G24" i="15" s="1"/>
  <c r="G26" i="1" s="1"/>
  <c r="F19" i="15"/>
  <c r="G19" i="15" s="1"/>
  <c r="G17" i="1" s="1"/>
  <c r="G7" i="17"/>
  <c r="I42" i="1" s="1"/>
  <c r="F41" i="17"/>
  <c r="G41" i="16"/>
  <c r="H41" i="16" s="1"/>
  <c r="H7" i="16"/>
  <c r="F28" i="15"/>
  <c r="G28" i="15" s="1"/>
  <c r="G39" i="1" s="1"/>
  <c r="F17" i="15"/>
  <c r="G17" i="15" s="1"/>
  <c r="G32" i="1" s="1"/>
  <c r="F39" i="15"/>
  <c r="G39" i="15" s="1"/>
  <c r="G25" i="1" s="1"/>
  <c r="F23" i="15"/>
  <c r="G23" i="15" s="1"/>
  <c r="G33" i="1" s="1"/>
  <c r="F7" i="15"/>
  <c r="G7" i="15" s="1"/>
  <c r="G11" i="1" s="1"/>
  <c r="F18" i="15"/>
  <c r="G18" i="15" s="1"/>
  <c r="G18" i="1" s="1"/>
  <c r="F9" i="15"/>
  <c r="G9" i="15" s="1"/>
  <c r="G14" i="1" s="1"/>
  <c r="F33" i="15"/>
  <c r="G33" i="15" s="1"/>
  <c r="G31" i="1" s="1"/>
  <c r="F20" i="15"/>
  <c r="G20" i="15" s="1"/>
  <c r="G44" i="1" s="1"/>
  <c r="F34" i="15"/>
  <c r="G34" i="15" s="1"/>
  <c r="G24" i="1" s="1"/>
  <c r="F25" i="15"/>
  <c r="G25" i="15" s="1"/>
  <c r="G29" i="1" s="1"/>
  <c r="F13" i="15"/>
  <c r="G13" i="15" s="1"/>
  <c r="G21" i="1" s="1"/>
  <c r="F31" i="15"/>
  <c r="G31" i="15" s="1"/>
  <c r="G28" i="1" s="1"/>
  <c r="F38" i="15"/>
  <c r="G38" i="15" s="1"/>
  <c r="G19" i="1" s="1"/>
  <c r="F35" i="15"/>
  <c r="G35" i="15" s="1"/>
  <c r="G30" i="1" s="1"/>
  <c r="F36" i="15"/>
  <c r="G36" i="15" s="1"/>
  <c r="G36" i="1" s="1"/>
  <c r="F30" i="15"/>
  <c r="G30" i="15" s="1"/>
  <c r="G20" i="1" s="1"/>
  <c r="F10" i="15"/>
  <c r="G10" i="15" s="1"/>
  <c r="G38" i="1" s="1"/>
  <c r="F40" i="15"/>
  <c r="G40" i="15" s="1"/>
  <c r="G16" i="1" s="1"/>
  <c r="F11" i="15"/>
  <c r="G11" i="15" s="1"/>
  <c r="G15" i="1" s="1"/>
  <c r="F32" i="15"/>
  <c r="G32" i="15" s="1"/>
  <c r="G40" i="1" s="1"/>
  <c r="F27" i="15"/>
  <c r="G27" i="15" s="1"/>
  <c r="G37" i="1" s="1"/>
  <c r="F8" i="15"/>
  <c r="G8" i="15" s="1"/>
  <c r="G12" i="1" s="1"/>
  <c r="F21" i="15"/>
  <c r="G21" i="15" s="1"/>
  <c r="G41" i="1" s="1"/>
  <c r="F15" i="15"/>
  <c r="G15" i="15" s="1"/>
  <c r="G35" i="1" s="1"/>
  <c r="G7" i="14" l="1"/>
  <c r="F34" i="1" s="1"/>
  <c r="H36" i="17"/>
  <c r="H35" i="17"/>
  <c r="H8" i="17"/>
  <c r="H34" i="17"/>
  <c r="H26" i="17"/>
  <c r="H29" i="17"/>
  <c r="H14" i="17"/>
  <c r="H37" i="17"/>
  <c r="H11" i="17"/>
  <c r="H31" i="17"/>
  <c r="H21" i="17"/>
  <c r="H27" i="17"/>
  <c r="H38" i="17"/>
  <c r="H25" i="17"/>
  <c r="H15" i="17"/>
  <c r="H30" i="17"/>
  <c r="H18" i="17"/>
  <c r="H10" i="17"/>
  <c r="H9" i="17"/>
  <c r="H13" i="17"/>
  <c r="H20" i="17"/>
  <c r="H17" i="17"/>
  <c r="H28" i="17"/>
  <c r="H19" i="17"/>
  <c r="H24" i="17"/>
  <c r="H23" i="17"/>
  <c r="H33" i="17"/>
  <c r="H16" i="17"/>
  <c r="H32" i="17"/>
  <c r="H39" i="17"/>
  <c r="I34" i="1"/>
  <c r="H22" i="17"/>
  <c r="I39" i="1"/>
  <c r="H40" i="17"/>
  <c r="I25" i="1"/>
  <c r="H12" i="17"/>
  <c r="I19" i="1"/>
  <c r="K12" i="1"/>
  <c r="G41" i="20"/>
  <c r="H41" i="20" s="1"/>
  <c r="H38" i="19"/>
  <c r="H20" i="19"/>
  <c r="H24" i="19"/>
  <c r="H15" i="19"/>
  <c r="H26" i="20"/>
  <c r="H22" i="20"/>
  <c r="H34" i="20"/>
  <c r="H31" i="20"/>
  <c r="H32" i="20"/>
  <c r="H35" i="19"/>
  <c r="H12" i="19"/>
  <c r="H27" i="19"/>
  <c r="H19" i="19"/>
  <c r="H38" i="20"/>
  <c r="H17" i="20"/>
  <c r="H30" i="20"/>
  <c r="H23" i="20"/>
  <c r="H28" i="20"/>
  <c r="H22" i="19"/>
  <c r="H33" i="19"/>
  <c r="H39" i="19"/>
  <c r="H29" i="19"/>
  <c r="H13" i="19"/>
  <c r="H16" i="20"/>
  <c r="H40" i="20"/>
  <c r="H36" i="19"/>
  <c r="H40" i="19"/>
  <c r="H18" i="19"/>
  <c r="H14" i="19"/>
  <c r="H21" i="20"/>
  <c r="H8" i="20"/>
  <c r="H18" i="20"/>
  <c r="H24" i="20"/>
  <c r="H17" i="19"/>
  <c r="H32" i="19"/>
  <c r="H30" i="19"/>
  <c r="H16" i="19"/>
  <c r="H11" i="20"/>
  <c r="H39" i="20"/>
  <c r="H27" i="20"/>
  <c r="H25" i="20"/>
  <c r="H13" i="20"/>
  <c r="H11" i="19"/>
  <c r="H9" i="19"/>
  <c r="H23" i="19"/>
  <c r="H25" i="19"/>
  <c r="H19" i="20"/>
  <c r="H20" i="20"/>
  <c r="H12" i="20"/>
  <c r="H14" i="20"/>
  <c r="H7" i="20"/>
  <c r="H8" i="19"/>
  <c r="H21" i="19"/>
  <c r="H34" i="19"/>
  <c r="H37" i="19"/>
  <c r="H15" i="20"/>
  <c r="H29" i="20"/>
  <c r="H36" i="20"/>
  <c r="H10" i="19"/>
  <c r="H26" i="19"/>
  <c r="H31" i="19"/>
  <c r="H7" i="19"/>
  <c r="H9" i="20"/>
  <c r="H35" i="20"/>
  <c r="H33" i="20"/>
  <c r="H37" i="20"/>
  <c r="G41" i="19"/>
  <c r="H41" i="19" s="1"/>
  <c r="H28" i="19"/>
  <c r="H10" i="20"/>
  <c r="F31" i="1"/>
  <c r="F33" i="1"/>
  <c r="F32" i="1"/>
  <c r="F41" i="1"/>
  <c r="F17" i="1"/>
  <c r="F18" i="1"/>
  <c r="F15" i="1"/>
  <c r="F36" i="1"/>
  <c r="F39" i="1"/>
  <c r="F14" i="1"/>
  <c r="F42" i="1"/>
  <c r="F13" i="1"/>
  <c r="F23" i="1"/>
  <c r="F25" i="1"/>
  <c r="F16" i="1"/>
  <c r="F28" i="1"/>
  <c r="F35" i="1"/>
  <c r="F30" i="1"/>
  <c r="F27" i="1"/>
  <c r="F19" i="1"/>
  <c r="F11" i="1"/>
  <c r="F40" i="1"/>
  <c r="G12" i="15"/>
  <c r="G43" i="1" s="1"/>
  <c r="F41" i="15"/>
  <c r="H34" i="14"/>
  <c r="H21" i="14"/>
  <c r="H26" i="14"/>
  <c r="H17" i="14"/>
  <c r="H13" i="14"/>
  <c r="H37" i="14"/>
  <c r="H24" i="14"/>
  <c r="H40" i="14"/>
  <c r="H29" i="14"/>
  <c r="H20" i="14"/>
  <c r="H15" i="14"/>
  <c r="H14" i="14"/>
  <c r="H10" i="14"/>
  <c r="H25" i="14"/>
  <c r="H23" i="14"/>
  <c r="H35" i="14"/>
  <c r="H16" i="14"/>
  <c r="H33" i="14"/>
  <c r="H11" i="14"/>
  <c r="H39" i="14"/>
  <c r="H19" i="14"/>
  <c r="H31" i="14"/>
  <c r="F41" i="14"/>
  <c r="G8" i="14"/>
  <c r="F43" i="1" s="1"/>
  <c r="H36" i="14"/>
  <c r="H9" i="14"/>
  <c r="H12" i="14"/>
  <c r="H30" i="14"/>
  <c r="H32" i="14"/>
  <c r="H18" i="14"/>
  <c r="H27" i="14"/>
  <c r="H28" i="14"/>
  <c r="H22" i="14"/>
  <c r="H32" i="15"/>
  <c r="H11" i="15"/>
  <c r="H19" i="15"/>
  <c r="H40" i="15"/>
  <c r="H25" i="15"/>
  <c r="H39" i="15"/>
  <c r="H24" i="15"/>
  <c r="H18" i="15"/>
  <c r="H22" i="15"/>
  <c r="H7" i="15"/>
  <c r="H13" i="15"/>
  <c r="H23" i="15"/>
  <c r="H10" i="15"/>
  <c r="H34" i="15"/>
  <c r="H17" i="15"/>
  <c r="H16" i="15"/>
  <c r="H38" i="15"/>
  <c r="H31" i="15"/>
  <c r="H30" i="15"/>
  <c r="H28" i="15"/>
  <c r="H21" i="15"/>
  <c r="H27" i="15"/>
  <c r="H15" i="15"/>
  <c r="H20" i="15"/>
  <c r="H29" i="15"/>
  <c r="H36" i="15"/>
  <c r="H33" i="15"/>
  <c r="H14" i="15"/>
  <c r="H8" i="15"/>
  <c r="H35" i="15"/>
  <c r="H9" i="15"/>
  <c r="H37" i="15"/>
  <c r="H7" i="17"/>
  <c r="G41" i="17"/>
  <c r="H41" i="17" s="1"/>
  <c r="C45" i="1"/>
  <c r="Q24" i="1" s="1"/>
  <c r="H7" i="14" l="1"/>
  <c r="K45" i="1"/>
  <c r="J45" i="1"/>
  <c r="H12" i="15"/>
  <c r="G41" i="15"/>
  <c r="H41" i="15" s="1"/>
  <c r="H8" i="14"/>
  <c r="G41" i="14"/>
  <c r="H41" i="14" s="1"/>
  <c r="Q44" i="1"/>
  <c r="Q20" i="1"/>
  <c r="Q13" i="1"/>
  <c r="Q36" i="1"/>
  <c r="Q41" i="1"/>
  <c r="Q27" i="1"/>
  <c r="Q34" i="1"/>
  <c r="Q23" i="1"/>
  <c r="Q32" i="1"/>
  <c r="Q28" i="1"/>
  <c r="Q25" i="1"/>
  <c r="Q11" i="1"/>
  <c r="Q30" i="1"/>
  <c r="Q43" i="1"/>
  <c r="Q29" i="1"/>
  <c r="Q42" i="1"/>
  <c r="Q17" i="1"/>
  <c r="Q33" i="1"/>
  <c r="Q37" i="1"/>
  <c r="Q39" i="1"/>
  <c r="Q14" i="1"/>
  <c r="Q12" i="1"/>
  <c r="Q26" i="1"/>
  <c r="Q22" i="1"/>
  <c r="Q31" i="1"/>
  <c r="Q35" i="1"/>
  <c r="Q18" i="1"/>
  <c r="Q40" i="1"/>
  <c r="Q38" i="1"/>
  <c r="Q19" i="1"/>
  <c r="Q16" i="1"/>
  <c r="Q21" i="1"/>
  <c r="Q15" i="1"/>
  <c r="E7" i="9"/>
  <c r="E26" i="9"/>
  <c r="E34" i="9"/>
  <c r="C3" i="9"/>
  <c r="C3" i="8"/>
  <c r="Q45" i="1" l="1"/>
  <c r="E13" i="9"/>
  <c r="E30" i="9"/>
  <c r="E38" i="9"/>
  <c r="E22" i="9"/>
  <c r="E24" i="9"/>
  <c r="E25" i="9"/>
  <c r="E14" i="9"/>
  <c r="E16" i="9"/>
  <c r="E32" i="9"/>
  <c r="E10" i="9"/>
  <c r="E9" i="9"/>
  <c r="E17" i="9"/>
  <c r="E35" i="9"/>
  <c r="E29" i="9"/>
  <c r="E15" i="9"/>
  <c r="E11" i="9"/>
  <c r="E37" i="9"/>
  <c r="E23" i="9"/>
  <c r="E21" i="9"/>
  <c r="E33" i="9"/>
  <c r="E36" i="9"/>
  <c r="E12" i="9"/>
  <c r="E40" i="9"/>
  <c r="E31" i="9"/>
  <c r="E19" i="9"/>
  <c r="E20" i="9"/>
  <c r="E27" i="9"/>
  <c r="E18" i="9"/>
  <c r="E28" i="9"/>
  <c r="E8" i="9"/>
  <c r="E31" i="8"/>
  <c r="E39" i="8"/>
  <c r="E39" i="9"/>
  <c r="E7" i="8"/>
  <c r="E8" i="8"/>
  <c r="E19" i="8"/>
  <c r="E28" i="8"/>
  <c r="E18" i="8"/>
  <c r="E27" i="8"/>
  <c r="E36" i="8"/>
  <c r="E20" i="8"/>
  <c r="E40" i="8"/>
  <c r="E12" i="8"/>
  <c r="E21" i="8"/>
  <c r="E11" i="8"/>
  <c r="E33" i="8"/>
  <c r="E23" i="8"/>
  <c r="E37" i="8"/>
  <c r="E35" i="8"/>
  <c r="E32" i="8"/>
  <c r="E25" i="8"/>
  <c r="E26" i="8"/>
  <c r="E29" i="8"/>
  <c r="E15" i="8"/>
  <c r="E17" i="8"/>
  <c r="E9" i="8"/>
  <c r="E10" i="8"/>
  <c r="E34" i="8"/>
  <c r="E16" i="8"/>
  <c r="E14" i="8"/>
  <c r="E24" i="8"/>
  <c r="E22" i="8"/>
  <c r="E38" i="8"/>
  <c r="E30" i="8"/>
  <c r="E13" i="8"/>
  <c r="C41" i="9"/>
  <c r="C41" i="8"/>
  <c r="E41" i="9" l="1"/>
  <c r="F34" i="9" s="1"/>
  <c r="E41" i="8"/>
  <c r="F8" i="8" s="1"/>
  <c r="F13" i="8" l="1"/>
  <c r="F29" i="9"/>
  <c r="F12" i="9"/>
  <c r="F40" i="9"/>
  <c r="F11" i="9"/>
  <c r="F18" i="9"/>
  <c r="F37" i="9"/>
  <c r="F28" i="9"/>
  <c r="F16" i="9"/>
  <c r="F31" i="9"/>
  <c r="F25" i="9"/>
  <c r="F38" i="9"/>
  <c r="F14" i="9"/>
  <c r="F17" i="9"/>
  <c r="F26" i="9"/>
  <c r="F10" i="9"/>
  <c r="F20" i="9"/>
  <c r="F30" i="9"/>
  <c r="F13" i="9"/>
  <c r="F22" i="9"/>
  <c r="F7" i="9"/>
  <c r="F19" i="9"/>
  <c r="F27" i="9"/>
  <c r="F39" i="9"/>
  <c r="F36" i="9"/>
  <c r="F15" i="9"/>
  <c r="F9" i="9"/>
  <c r="F33" i="9"/>
  <c r="F35" i="9"/>
  <c r="F21" i="9"/>
  <c r="F24" i="9"/>
  <c r="F33" i="8"/>
  <c r="F23" i="9"/>
  <c r="F8" i="9"/>
  <c r="F32" i="9"/>
  <c r="F18" i="8"/>
  <c r="F36" i="8"/>
  <c r="F40" i="8"/>
  <c r="F11" i="8"/>
  <c r="F7" i="8"/>
  <c r="F32" i="8"/>
  <c r="F24" i="8"/>
  <c r="F31" i="8"/>
  <c r="F17" i="8"/>
  <c r="F37" i="8"/>
  <c r="F20" i="8"/>
  <c r="F27" i="8"/>
  <c r="F16" i="8"/>
  <c r="F38" i="8"/>
  <c r="F19" i="8"/>
  <c r="F39" i="8"/>
  <c r="F35" i="8"/>
  <c r="F15" i="8"/>
  <c r="F34" i="8"/>
  <c r="F10" i="8"/>
  <c r="F22" i="8"/>
  <c r="F26" i="8"/>
  <c r="F29" i="8"/>
  <c r="F28" i="8"/>
  <c r="F9" i="8"/>
  <c r="F14" i="8"/>
  <c r="F12" i="8"/>
  <c r="F25" i="8"/>
  <c r="F23" i="8"/>
  <c r="F30" i="8"/>
  <c r="F21" i="8"/>
  <c r="F41" i="9" l="1"/>
  <c r="F41" i="8"/>
  <c r="C3" i="4" l="1"/>
  <c r="C41" i="4" l="1"/>
  <c r="D32" i="4" s="1"/>
  <c r="D8" i="4" l="1"/>
  <c r="D40" i="4"/>
  <c r="D16" i="4"/>
  <c r="D30" i="4"/>
  <c r="D39" i="4"/>
  <c r="D11" i="4"/>
  <c r="D29" i="4"/>
  <c r="D25" i="4"/>
  <c r="D9" i="4"/>
  <c r="D27" i="4"/>
  <c r="D34" i="4"/>
  <c r="D26" i="4"/>
  <c r="D7" i="4"/>
  <c r="D28" i="4"/>
  <c r="D12" i="4"/>
  <c r="D22" i="4"/>
  <c r="D23" i="4"/>
  <c r="D36" i="4"/>
  <c r="D38" i="4"/>
  <c r="D21" i="4"/>
  <c r="D35" i="4"/>
  <c r="D10" i="4"/>
  <c r="D20" i="4"/>
  <c r="D14" i="4"/>
  <c r="D13" i="4"/>
  <c r="D24" i="4"/>
  <c r="D37" i="4"/>
  <c r="D18" i="4"/>
  <c r="D19" i="4"/>
  <c r="D33" i="4"/>
  <c r="D15" i="4"/>
  <c r="D17" i="4"/>
  <c r="D31" i="4"/>
  <c r="D41" i="4" l="1"/>
  <c r="D45" i="2" l="1"/>
  <c r="C4" i="8"/>
  <c r="C4" i="9"/>
  <c r="C4" i="4"/>
  <c r="E32" i="4" l="1"/>
  <c r="E31" i="4"/>
  <c r="E23" i="4"/>
  <c r="E8" i="4"/>
  <c r="E21" i="4"/>
  <c r="E30" i="4"/>
  <c r="E38" i="4"/>
  <c r="E16" i="4"/>
  <c r="E36" i="4"/>
  <c r="E40" i="4"/>
  <c r="E11" i="1" s="1"/>
  <c r="E19" i="4"/>
  <c r="E7" i="4"/>
  <c r="E17" i="1" s="1"/>
  <c r="E17" i="4"/>
  <c r="E22" i="4"/>
  <c r="E15" i="4"/>
  <c r="E12" i="4"/>
  <c r="E33" i="4"/>
  <c r="E28" i="4"/>
  <c r="E13" i="4"/>
  <c r="E9" i="4"/>
  <c r="E18" i="4"/>
  <c r="E26" i="4"/>
  <c r="E37" i="4"/>
  <c r="E34" i="4"/>
  <c r="E24" i="4"/>
  <c r="E27" i="4"/>
  <c r="E35" i="4"/>
  <c r="E39" i="4"/>
  <c r="E14" i="4"/>
  <c r="E25" i="4"/>
  <c r="E20" i="4"/>
  <c r="E29" i="4"/>
  <c r="E10" i="4"/>
  <c r="E11" i="4"/>
  <c r="G8" i="8"/>
  <c r="G12" i="8"/>
  <c r="G35" i="8"/>
  <c r="G13" i="8"/>
  <c r="G39" i="8"/>
  <c r="G18" i="8"/>
  <c r="G34" i="8"/>
  <c r="G30" i="8"/>
  <c r="G38" i="8"/>
  <c r="G23" i="8"/>
  <c r="G20" i="8"/>
  <c r="G16" i="8"/>
  <c r="G25" i="8"/>
  <c r="G27" i="8"/>
  <c r="G33" i="8"/>
  <c r="G19" i="8"/>
  <c r="G14" i="8"/>
  <c r="G37" i="8"/>
  <c r="G9" i="8"/>
  <c r="G17" i="8"/>
  <c r="G28" i="8"/>
  <c r="G31" i="8"/>
  <c r="G21" i="8"/>
  <c r="G24" i="8"/>
  <c r="G26" i="8"/>
  <c r="G32" i="8"/>
  <c r="G22" i="8"/>
  <c r="G36" i="8"/>
  <c r="G10" i="8"/>
  <c r="G7" i="8"/>
  <c r="G29" i="8"/>
  <c r="G11" i="8"/>
  <c r="G15" i="8"/>
  <c r="G40" i="8"/>
  <c r="G34" i="9"/>
  <c r="G32" i="9"/>
  <c r="G13" i="9"/>
  <c r="G12" i="9"/>
  <c r="G19" i="9"/>
  <c r="G18" i="9"/>
  <c r="G22" i="9"/>
  <c r="G40" i="9"/>
  <c r="G7" i="9"/>
  <c r="G11" i="9"/>
  <c r="G20" i="9"/>
  <c r="G9" i="9"/>
  <c r="G21" i="9"/>
  <c r="G17" i="9"/>
  <c r="G35" i="9"/>
  <c r="G24" i="9"/>
  <c r="G26" i="9"/>
  <c r="G8" i="9"/>
  <c r="G30" i="9"/>
  <c r="G29" i="9"/>
  <c r="G10" i="9"/>
  <c r="G23" i="9"/>
  <c r="G33" i="9"/>
  <c r="G27" i="9"/>
  <c r="G37" i="9"/>
  <c r="G15" i="9"/>
  <c r="G31" i="9"/>
  <c r="G39" i="9"/>
  <c r="G28" i="9"/>
  <c r="G36" i="9"/>
  <c r="G16" i="9"/>
  <c r="G25" i="9"/>
  <c r="G38" i="9"/>
  <c r="G14" i="9"/>
  <c r="F7" i="4" l="1"/>
  <c r="E35" i="1"/>
  <c r="F29" i="4"/>
  <c r="E12" i="1"/>
  <c r="F39" i="4"/>
  <c r="E19" i="1"/>
  <c r="F34" i="4"/>
  <c r="E21" i="1"/>
  <c r="F9" i="4"/>
  <c r="E33" i="1"/>
  <c r="F12" i="4"/>
  <c r="E27" i="1"/>
  <c r="F16" i="4"/>
  <c r="E36" i="1"/>
  <c r="F8" i="4"/>
  <c r="E41" i="4"/>
  <c r="F41" i="4" s="1"/>
  <c r="E16" i="1"/>
  <c r="F20" i="4"/>
  <c r="E38" i="1"/>
  <c r="F35" i="4"/>
  <c r="E13" i="1"/>
  <c r="F37" i="4"/>
  <c r="E30" i="1"/>
  <c r="F13" i="4"/>
  <c r="E34" i="1"/>
  <c r="F15" i="4"/>
  <c r="E40" i="1"/>
  <c r="F19" i="4"/>
  <c r="E15" i="1"/>
  <c r="F38" i="4"/>
  <c r="E32" i="1"/>
  <c r="F23" i="4"/>
  <c r="E20" i="1"/>
  <c r="F11" i="4"/>
  <c r="E31" i="1"/>
  <c r="F25" i="4"/>
  <c r="E23" i="1"/>
  <c r="F27" i="4"/>
  <c r="E42" i="1"/>
  <c r="F26" i="4"/>
  <c r="E43" i="1"/>
  <c r="F28" i="4"/>
  <c r="E24" i="1"/>
  <c r="F22" i="4"/>
  <c r="F40" i="4"/>
  <c r="E26" i="1"/>
  <c r="F30" i="4"/>
  <c r="E28" i="1"/>
  <c r="F31" i="4"/>
  <c r="E39" i="1"/>
  <c r="F10" i="4"/>
  <c r="E41" i="1"/>
  <c r="F14" i="4"/>
  <c r="E22" i="1"/>
  <c r="F24" i="4"/>
  <c r="E25" i="1"/>
  <c r="F18" i="4"/>
  <c r="E18" i="1"/>
  <c r="F33" i="4"/>
  <c r="E37" i="1"/>
  <c r="F17" i="4"/>
  <c r="E14" i="1"/>
  <c r="F36" i="4"/>
  <c r="E44" i="1"/>
  <c r="F21" i="4"/>
  <c r="E29" i="1"/>
  <c r="F32" i="4"/>
  <c r="M33" i="1"/>
  <c r="H29" i="8"/>
  <c r="H9" i="8"/>
  <c r="M13" i="1"/>
  <c r="H34" i="8"/>
  <c r="M38" i="1"/>
  <c r="M15" i="1"/>
  <c r="H11" i="8"/>
  <c r="H36" i="8"/>
  <c r="M40" i="1"/>
  <c r="H24" i="8"/>
  <c r="M28" i="1"/>
  <c r="M21" i="1"/>
  <c r="H17" i="8"/>
  <c r="H19" i="8"/>
  <c r="M23" i="1"/>
  <c r="M19" i="1"/>
  <c r="H16" i="8"/>
  <c r="H30" i="8"/>
  <c r="M34" i="1"/>
  <c r="M17" i="1"/>
  <c r="H13" i="8"/>
  <c r="G41" i="8"/>
  <c r="H41" i="8" s="1"/>
  <c r="H22" i="8"/>
  <c r="M26" i="1"/>
  <c r="H33" i="8"/>
  <c r="M37" i="1"/>
  <c r="M24" i="1"/>
  <c r="H20" i="8"/>
  <c r="M44" i="1"/>
  <c r="H40" i="8"/>
  <c r="M11" i="1"/>
  <c r="H7" i="8"/>
  <c r="M36" i="1"/>
  <c r="H32" i="8"/>
  <c r="H31" i="8"/>
  <c r="M35" i="1"/>
  <c r="H37" i="8"/>
  <c r="M41" i="1"/>
  <c r="H27" i="8"/>
  <c r="M32" i="1"/>
  <c r="H23" i="8"/>
  <c r="M27" i="1"/>
  <c r="H18" i="8"/>
  <c r="M22" i="1"/>
  <c r="H12" i="8"/>
  <c r="M16" i="1"/>
  <c r="H21" i="8"/>
  <c r="M25" i="1"/>
  <c r="M39" i="1"/>
  <c r="H35" i="8"/>
  <c r="H15" i="8"/>
  <c r="M20" i="1"/>
  <c r="M14" i="1"/>
  <c r="H10" i="8"/>
  <c r="M30" i="1"/>
  <c r="H26" i="8"/>
  <c r="M31" i="1"/>
  <c r="H28" i="8"/>
  <c r="M18" i="1"/>
  <c r="H14" i="8"/>
  <c r="H25" i="8"/>
  <c r="M29" i="1"/>
  <c r="H38" i="8"/>
  <c r="M42" i="1"/>
  <c r="H39" i="8"/>
  <c r="M43" i="1"/>
  <c r="H8" i="8"/>
  <c r="M12" i="1"/>
  <c r="N19" i="1"/>
  <c r="H16" i="9"/>
  <c r="N35" i="1"/>
  <c r="H31" i="9"/>
  <c r="N37" i="1"/>
  <c r="H33" i="9"/>
  <c r="H30" i="9"/>
  <c r="N34" i="1"/>
  <c r="H35" i="9"/>
  <c r="N39" i="1"/>
  <c r="N24" i="1"/>
  <c r="H20" i="9"/>
  <c r="N26" i="1"/>
  <c r="H22" i="9"/>
  <c r="N17" i="1"/>
  <c r="H13" i="9"/>
  <c r="G41" i="9"/>
  <c r="H41" i="9" s="1"/>
  <c r="N18" i="1"/>
  <c r="H14" i="9"/>
  <c r="N40" i="1"/>
  <c r="H36" i="9"/>
  <c r="H15" i="9"/>
  <c r="N20" i="1"/>
  <c r="N27" i="1"/>
  <c r="H23" i="9"/>
  <c r="N12" i="1"/>
  <c r="H8" i="9"/>
  <c r="N21" i="1"/>
  <c r="H17" i="9"/>
  <c r="H11" i="9"/>
  <c r="N15" i="1"/>
  <c r="H18" i="9"/>
  <c r="N22" i="1"/>
  <c r="N36" i="1"/>
  <c r="H32" i="9"/>
  <c r="H38" i="9"/>
  <c r="N42" i="1"/>
  <c r="H28" i="9"/>
  <c r="N31" i="1"/>
  <c r="H37" i="9"/>
  <c r="N41" i="1"/>
  <c r="N14" i="1"/>
  <c r="H10" i="9"/>
  <c r="N30" i="1"/>
  <c r="H26" i="9"/>
  <c r="N25" i="1"/>
  <c r="H21" i="9"/>
  <c r="H7" i="9"/>
  <c r="N11" i="1"/>
  <c r="N23" i="1"/>
  <c r="H19" i="9"/>
  <c r="N38" i="1"/>
  <c r="H34" i="9"/>
  <c r="N29" i="1"/>
  <c r="H25" i="9"/>
  <c r="H39" i="9"/>
  <c r="N43" i="1"/>
  <c r="N32" i="1"/>
  <c r="H27" i="9"/>
  <c r="N33" i="1"/>
  <c r="H29" i="9"/>
  <c r="N28" i="1"/>
  <c r="H24" i="9"/>
  <c r="N13" i="1"/>
  <c r="H9" i="9"/>
  <c r="N44" i="1"/>
  <c r="H40" i="9"/>
  <c r="H12" i="9"/>
  <c r="N16" i="1"/>
  <c r="O17" i="1" l="1"/>
  <c r="O32" i="1"/>
  <c r="O25" i="1"/>
  <c r="O41" i="1"/>
  <c r="O28" i="1"/>
  <c r="O27" i="1"/>
  <c r="O12" i="1"/>
  <c r="O29" i="1"/>
  <c r="O14" i="1"/>
  <c r="O18" i="1"/>
  <c r="O22" i="1"/>
  <c r="O39" i="1"/>
  <c r="O26" i="1"/>
  <c r="O36" i="1"/>
  <c r="O33" i="1"/>
  <c r="O19" i="1"/>
  <c r="O35" i="1"/>
  <c r="O30" i="1"/>
  <c r="O43" i="1"/>
  <c r="O23" i="1"/>
  <c r="O20" i="1"/>
  <c r="O15" i="1"/>
  <c r="O34" i="1"/>
  <c r="O13" i="1"/>
  <c r="O16" i="1"/>
  <c r="O42" i="1"/>
  <c r="O31" i="1"/>
  <c r="O11" i="1"/>
  <c r="R11" i="1" s="1"/>
  <c r="O24" i="1"/>
  <c r="O21" i="1"/>
  <c r="O40" i="1"/>
  <c r="O44" i="1"/>
  <c r="O37" i="1"/>
  <c r="O38" i="1"/>
  <c r="S17" i="1" l="1"/>
  <c r="S41" i="1"/>
  <c r="S44" i="1"/>
  <c r="S30" i="1"/>
  <c r="S37" i="1"/>
  <c r="L45" i="1"/>
  <c r="R17" i="1"/>
  <c r="E45" i="1" l="1"/>
  <c r="F45" i="1"/>
  <c r="R38" i="1" l="1"/>
  <c r="R31" i="1"/>
  <c r="R27" i="1"/>
  <c r="R37" i="1"/>
  <c r="R22" i="1"/>
  <c r="R30" i="1"/>
  <c r="R13" i="1"/>
  <c r="R39" i="1"/>
  <c r="R42" i="1"/>
  <c r="R15" i="1"/>
  <c r="R21" i="1"/>
  <c r="R36" i="1"/>
  <c r="R16" i="1"/>
  <c r="R25" i="1"/>
  <c r="R40" i="1"/>
  <c r="R14" i="1"/>
  <c r="R35" i="1"/>
  <c r="R23" i="1"/>
  <c r="R44" i="1"/>
  <c r="R20" i="1"/>
  <c r="R32" i="1"/>
  <c r="R12" i="1"/>
  <c r="R41" i="1"/>
  <c r="R34" i="1"/>
  <c r="R29" i="1"/>
  <c r="R24" i="1"/>
  <c r="R18" i="1"/>
  <c r="R26" i="1"/>
  <c r="R43" i="1"/>
  <c r="R19" i="1"/>
  <c r="R28" i="1"/>
  <c r="R33" i="1"/>
  <c r="M45" i="1"/>
  <c r="G45" i="1"/>
  <c r="H45" i="1"/>
  <c r="I45" i="1"/>
  <c r="N45" i="1"/>
  <c r="O45" i="1" l="1"/>
  <c r="S45" i="1" l="1"/>
  <c r="R45" i="1"/>
  <c r="P17" i="1"/>
  <c r="P34" i="1"/>
  <c r="P37" i="1"/>
  <c r="P20" i="1"/>
  <c r="P16" i="1"/>
  <c r="P40" i="1"/>
  <c r="P14" i="1"/>
  <c r="P44" i="1"/>
  <c r="P19" i="1"/>
  <c r="P39" i="1"/>
  <c r="P22" i="1"/>
  <c r="P31" i="1"/>
  <c r="P21" i="1"/>
  <c r="P42" i="1"/>
  <c r="P15" i="1"/>
  <c r="P27" i="1"/>
  <c r="P25" i="1"/>
  <c r="P29" i="1"/>
  <c r="P11" i="1"/>
  <c r="P26" i="1"/>
  <c r="P28" i="1"/>
  <c r="P13" i="1"/>
  <c r="P35" i="1"/>
  <c r="P32" i="1"/>
  <c r="P24" i="1"/>
  <c r="P33" i="1"/>
  <c r="P23" i="1"/>
  <c r="P12" i="1"/>
  <c r="P30" i="1"/>
  <c r="P18" i="1"/>
  <c r="P38" i="1"/>
  <c r="P36" i="1"/>
  <c r="P41" i="1"/>
  <c r="P43" i="1"/>
  <c r="P45" i="1" l="1"/>
</calcChain>
</file>

<file path=xl/comments1.xml><?xml version="1.0" encoding="utf-8"?>
<comments xmlns="http://schemas.openxmlformats.org/spreadsheetml/2006/main">
  <authors>
    <author>Curtis Christopher J</author>
  </authors>
  <commentList>
    <comment ref="E6" authorId="0" shapeId="0">
      <text>
        <r>
          <rPr>
            <sz val="9"/>
            <color indexed="81"/>
            <rFont val="Tahoma"/>
            <family val="2"/>
          </rPr>
          <t>Weight is calculated as County Population multiplied by rank weight.</t>
        </r>
      </text>
    </comment>
  </commentList>
</comments>
</file>

<file path=xl/comments2.xml><?xml version="1.0" encoding="utf-8"?>
<comments xmlns="http://schemas.openxmlformats.org/spreadsheetml/2006/main">
  <authors>
    <author>Curtis Christopher J</author>
  </authors>
  <commentList>
    <comment ref="E6" authorId="0" shapeId="0">
      <text>
        <r>
          <rPr>
            <sz val="9"/>
            <color indexed="81"/>
            <rFont val="Tahoma"/>
            <family val="2"/>
          </rPr>
          <t>Weight is calculated as County Population multiplied by rank weight.</t>
        </r>
      </text>
    </comment>
  </commentList>
</comments>
</file>

<file path=xl/comments3.xml><?xml version="1.0" encoding="utf-8"?>
<comments xmlns="http://schemas.openxmlformats.org/spreadsheetml/2006/main">
  <authors>
    <author>Curtis Christopher J</author>
  </authors>
  <commentList>
    <comment ref="E6" authorId="0" shapeId="0">
      <text>
        <r>
          <rPr>
            <sz val="9"/>
            <color indexed="81"/>
            <rFont val="Tahoma"/>
            <family val="2"/>
          </rPr>
          <t>Weight is calculated as County Population multiplied population percentage group.</t>
        </r>
      </text>
    </comment>
  </commentList>
</comments>
</file>

<file path=xl/comments4.xml><?xml version="1.0" encoding="utf-8"?>
<comments xmlns="http://schemas.openxmlformats.org/spreadsheetml/2006/main">
  <authors>
    <author>Curtis Christopher J</author>
  </authors>
  <commentList>
    <comment ref="E6" authorId="0" shapeId="0">
      <text>
        <r>
          <rPr>
            <sz val="9"/>
            <color indexed="81"/>
            <rFont val="Tahoma"/>
            <family val="2"/>
          </rPr>
          <t>Weight is calculated as County Population multiplied population percentage group.</t>
        </r>
      </text>
    </comment>
  </commentList>
</comments>
</file>

<file path=xl/comments5.xml><?xml version="1.0" encoding="utf-8"?>
<comments xmlns="http://schemas.openxmlformats.org/spreadsheetml/2006/main">
  <authors>
    <author>Curtis Christopher J</author>
  </authors>
  <commentList>
    <comment ref="E6" authorId="0" shapeId="0">
      <text>
        <r>
          <rPr>
            <sz val="9"/>
            <color indexed="81"/>
            <rFont val="Tahoma"/>
            <family val="2"/>
          </rPr>
          <t>Weight is calculated as County Population multiplied population percentage group.</t>
        </r>
      </text>
    </comment>
  </commentList>
</comments>
</file>

<file path=xl/comments6.xml><?xml version="1.0" encoding="utf-8"?>
<comments xmlns="http://schemas.openxmlformats.org/spreadsheetml/2006/main">
  <authors>
    <author>Curtis Christopher J</author>
  </authors>
  <commentList>
    <comment ref="E6" authorId="0" shapeId="0">
      <text>
        <r>
          <rPr>
            <sz val="9"/>
            <color indexed="81"/>
            <rFont val="Tahoma"/>
            <family val="2"/>
          </rPr>
          <t>Weight is calculated as County Population multiplied population percentage group.</t>
        </r>
      </text>
    </comment>
  </commentList>
</comments>
</file>

<file path=xl/comments7.xml><?xml version="1.0" encoding="utf-8"?>
<comments xmlns="http://schemas.openxmlformats.org/spreadsheetml/2006/main">
  <authors>
    <author>Curtis Christopher J</author>
  </authors>
  <commentList>
    <comment ref="E6" authorId="0" shapeId="0">
      <text>
        <r>
          <rPr>
            <sz val="9"/>
            <color indexed="81"/>
            <rFont val="Tahoma"/>
            <family val="2"/>
          </rPr>
          <t>Weight is calculated as County Population multiplied population percentage group.</t>
        </r>
      </text>
    </comment>
  </commentList>
</comments>
</file>

<file path=xl/sharedStrings.xml><?xml version="1.0" encoding="utf-8"?>
<sst xmlns="http://schemas.openxmlformats.org/spreadsheetml/2006/main" count="307" uniqueCount="111">
  <si>
    <t>Total Pool</t>
  </si>
  <si>
    <t>County Population</t>
  </si>
  <si>
    <t>Incentives</t>
  </si>
  <si>
    <t>Total</t>
  </si>
  <si>
    <t>% Split</t>
  </si>
  <si>
    <t>Y</t>
  </si>
  <si>
    <t>Award Percentage</t>
  </si>
  <si>
    <t>Weighted Per Capita</t>
  </si>
  <si>
    <t>County Group</t>
  </si>
  <si>
    <t>Burden of Disease Rank</t>
  </si>
  <si>
    <t>Health Status Rank</t>
  </si>
  <si>
    <t>Were Matching  Goals Met</t>
  </si>
  <si>
    <t>Were Incentives Met</t>
  </si>
  <si>
    <t>Category Weight</t>
  </si>
  <si>
    <t>Category Dollars</t>
  </si>
  <si>
    <t>Award Per Capita</t>
  </si>
  <si>
    <t>Weighted Burden Payout</t>
  </si>
  <si>
    <t>Burden Pool</t>
  </si>
  <si>
    <t>Weighted Payout</t>
  </si>
  <si>
    <t>Rank</t>
  </si>
  <si>
    <t>Matched</t>
  </si>
  <si>
    <t>Eligible Population</t>
  </si>
  <si>
    <t>% of Total Population</t>
  </si>
  <si>
    <r>
      <t>Burden of Disease</t>
    </r>
    <r>
      <rPr>
        <vertAlign val="superscript"/>
        <sz val="11"/>
        <color theme="1"/>
        <rFont val="Calibri"/>
        <family val="2"/>
        <scheme val="minor"/>
      </rPr>
      <t>2</t>
    </r>
  </si>
  <si>
    <r>
      <t>Health Status</t>
    </r>
    <r>
      <rPr>
        <vertAlign val="superscript"/>
        <sz val="11"/>
        <color theme="1"/>
        <rFont val="Calibri"/>
        <family val="2"/>
        <scheme val="minor"/>
      </rPr>
      <t>3</t>
    </r>
  </si>
  <si>
    <t>% Non-white Population</t>
  </si>
  <si>
    <t>Population below 100% FPL</t>
  </si>
  <si>
    <t>Limited English Proficiency</t>
  </si>
  <si>
    <t>County 1</t>
  </si>
  <si>
    <t>County 2</t>
  </si>
  <si>
    <t>County 3</t>
  </si>
  <si>
    <t>County 4</t>
  </si>
  <si>
    <t>County 5</t>
  </si>
  <si>
    <t>County 6</t>
  </si>
  <si>
    <t>County 7</t>
  </si>
  <si>
    <t>County 8</t>
  </si>
  <si>
    <t>County 9</t>
  </si>
  <si>
    <t>County 10</t>
  </si>
  <si>
    <t>County 11</t>
  </si>
  <si>
    <t>County 12</t>
  </si>
  <si>
    <t>County 13</t>
  </si>
  <si>
    <t>County 14</t>
  </si>
  <si>
    <t>County 15</t>
  </si>
  <si>
    <t>County 16</t>
  </si>
  <si>
    <t>County 17</t>
  </si>
  <si>
    <t>County 18</t>
  </si>
  <si>
    <t>County 19</t>
  </si>
  <si>
    <t>County 20</t>
  </si>
  <si>
    <t>County 21</t>
  </si>
  <si>
    <t>County 22</t>
  </si>
  <si>
    <t>County 23</t>
  </si>
  <si>
    <t>County 24</t>
  </si>
  <si>
    <t>County 25</t>
  </si>
  <si>
    <t>County 26</t>
  </si>
  <si>
    <t>County 27</t>
  </si>
  <si>
    <t>County 28</t>
  </si>
  <si>
    <t>County 29</t>
  </si>
  <si>
    <t>County 30</t>
  </si>
  <si>
    <t>County 31</t>
  </si>
  <si>
    <t>County 32</t>
  </si>
  <si>
    <t>County 33</t>
  </si>
  <si>
    <t>County 34</t>
  </si>
  <si>
    <t>Floor</t>
  </si>
  <si>
    <t>Total Pool:</t>
  </si>
  <si>
    <t>Medium County Floor:</t>
  </si>
  <si>
    <t>Large County Floor:</t>
  </si>
  <si>
    <t>Small County Floor:</t>
  </si>
  <si>
    <t>Base Funding</t>
  </si>
  <si>
    <t>Indicator Allocations</t>
  </si>
  <si>
    <t>County Population:</t>
  </si>
  <si>
    <t>Burden of Disease:</t>
  </si>
  <si>
    <t>Health Status:</t>
  </si>
  <si>
    <t>Racial/Ethinic Diversity:</t>
  </si>
  <si>
    <t>Poverty:</t>
  </si>
  <si>
    <t>Limited English Proficiency:</t>
  </si>
  <si>
    <t>Matching Funds:</t>
  </si>
  <si>
    <t>Incentives:</t>
  </si>
  <si>
    <t>Weight</t>
  </si>
  <si>
    <t>Weighted Average</t>
  </si>
  <si>
    <t>Extra Small County Floor:</t>
  </si>
  <si>
    <t>Extra Large County Floor:</t>
  </si>
  <si>
    <t>Avg Award Per Capita</t>
  </si>
  <si>
    <t>Income Inequality:</t>
  </si>
  <si>
    <t>Education:</t>
  </si>
  <si>
    <t>Income Inequality</t>
  </si>
  <si>
    <r>
      <t>Income Inequality</t>
    </r>
    <r>
      <rPr>
        <vertAlign val="superscript"/>
        <sz val="11"/>
        <color theme="1"/>
        <rFont val="Calibri"/>
        <family val="2"/>
      </rPr>
      <t>1</t>
    </r>
  </si>
  <si>
    <t>Total Award</t>
  </si>
  <si>
    <t>High School Education</t>
  </si>
  <si>
    <t>Indicator Pool</t>
  </si>
  <si>
    <t>PHAB Funding and Incentives Subcommittee</t>
  </si>
  <si>
    <t>County Size Bands</t>
  </si>
  <si>
    <t>Extra Small</t>
  </si>
  <si>
    <t>Small</t>
  </si>
  <si>
    <t>Medium</t>
  </si>
  <si>
    <t>Large</t>
  </si>
  <si>
    <t>Extra Large</t>
  </si>
  <si>
    <r>
      <t>Incentives</t>
    </r>
    <r>
      <rPr>
        <vertAlign val="superscript"/>
        <sz val="11"/>
        <color theme="1"/>
        <rFont val="Calibri"/>
        <family val="2"/>
        <scheme val="minor"/>
      </rPr>
      <t>5</t>
    </r>
  </si>
  <si>
    <t>February, 2018</t>
  </si>
  <si>
    <t>Subcommittee Members: Carrie Brogoitti, Bob Dannenhoffer, Jeff Luck, Alejandro Queral, Akiko Saito</t>
  </si>
  <si>
    <t xml:space="preserve">Local public health funding formula model: This model includes a floor payment for each county. Awards for each indicator (burden of disease, health status, racial and ethnic diversity, poverty, income inequality, and limited English proficiency) are tied to each county's ranking on the indicator and the county population. This funding formula assumes an annual allocation to LPHAs of $10 million. This is an example only. </t>
  </si>
  <si>
    <r>
      <t xml:space="preserve">2 </t>
    </r>
    <r>
      <rPr>
        <sz val="11"/>
        <color theme="1"/>
        <rFont val="Calibri"/>
        <family val="2"/>
        <scheme val="minor"/>
      </rPr>
      <t>Source: Premature death: Leading causes of years of potential life lost before age 75. Oregon death certificate data, 2012-2016.</t>
    </r>
  </si>
  <si>
    <r>
      <t xml:space="preserve">3 </t>
    </r>
    <r>
      <rPr>
        <sz val="11"/>
        <color theme="1"/>
        <rFont val="Calibri"/>
        <family val="2"/>
        <scheme val="minor"/>
      </rPr>
      <t>Source: Quality of life: Good or excellent health, 2012-2015.</t>
    </r>
  </si>
  <si>
    <r>
      <rPr>
        <vertAlign val="superscript"/>
        <sz val="11"/>
        <color theme="1"/>
        <rFont val="Calibri"/>
        <family val="2"/>
        <scheme val="minor"/>
      </rPr>
      <t xml:space="preserve">1. </t>
    </r>
    <r>
      <rPr>
        <sz val="11"/>
        <color theme="1"/>
        <rFont val="Calibri"/>
        <family val="2"/>
        <scheme val="minor"/>
      </rPr>
      <t>Source: Portland State University Certified Population estimate July 1, 2017</t>
    </r>
  </si>
  <si>
    <r>
      <t>Population</t>
    </r>
    <r>
      <rPr>
        <vertAlign val="superscript"/>
        <sz val="11"/>
        <color theme="1"/>
        <rFont val="Calibri"/>
        <family val="2"/>
      </rPr>
      <t>1</t>
    </r>
  </si>
  <si>
    <r>
      <t>Race/
Ethnicity</t>
    </r>
    <r>
      <rPr>
        <vertAlign val="superscript"/>
        <sz val="11"/>
        <color theme="1"/>
        <rFont val="Calibri"/>
        <family val="2"/>
        <scheme val="minor"/>
      </rPr>
      <t>4</t>
    </r>
  </si>
  <si>
    <r>
      <t xml:space="preserve">4 </t>
    </r>
    <r>
      <rPr>
        <sz val="11"/>
        <color theme="1"/>
        <rFont val="Calibri"/>
        <family val="2"/>
        <scheme val="minor"/>
      </rPr>
      <t>Source: American Community Survey population 5-year estimate, 2012-2016.</t>
    </r>
  </si>
  <si>
    <r>
      <t>Poverty</t>
    </r>
    <r>
      <rPr>
        <vertAlign val="superscript"/>
        <sz val="11"/>
        <color theme="1"/>
        <rFont val="Calibri"/>
        <family val="2"/>
        <scheme val="minor"/>
      </rPr>
      <t>4</t>
    </r>
  </si>
  <si>
    <r>
      <t>Education</t>
    </r>
    <r>
      <rPr>
        <vertAlign val="superscript"/>
        <sz val="11"/>
        <color theme="1"/>
        <rFont val="Calibri"/>
        <family val="2"/>
      </rPr>
      <t>4</t>
    </r>
  </si>
  <si>
    <r>
      <t>Limited English Proficiency</t>
    </r>
    <r>
      <rPr>
        <vertAlign val="superscript"/>
        <sz val="11"/>
        <color theme="1"/>
        <rFont val="Calibri"/>
        <family val="2"/>
      </rPr>
      <t>4</t>
    </r>
  </si>
  <si>
    <r>
      <t>Matching Funds</t>
    </r>
    <r>
      <rPr>
        <vertAlign val="superscript"/>
        <sz val="11"/>
        <color theme="1"/>
        <rFont val="Calibri"/>
        <family val="2"/>
        <scheme val="minor"/>
      </rPr>
      <t>5</t>
    </r>
  </si>
  <si>
    <r>
      <t>5</t>
    </r>
    <r>
      <rPr>
        <sz val="11"/>
        <color theme="1"/>
        <rFont val="Calibri"/>
        <family val="2"/>
      </rPr>
      <t xml:space="preserve"> Payments for matching funds and incentives will not be awarded until 2019 or thereafter.</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</si>
</sst>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s>
  <fonts count="11" x14ac:knownFonts="1">
    <font>
      <sz val="11"/>
      <color theme="1"/>
      <name val="Calibri"/>
      <family val="2"/>
      <scheme val="minor"/>
    </font>
    <font>
      <sz val="11"/>
      <color theme="1"/>
      <name val="Calibri"/>
      <family val="2"/>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vertAlign val="superscript"/>
      <sz val="11"/>
      <color theme="1"/>
      <name val="Calibri"/>
      <family val="2"/>
      <scheme val="minor"/>
    </font>
    <font>
      <vertAlign val="superscript"/>
      <sz val="11"/>
      <color theme="1"/>
      <name val="Calibri"/>
      <family val="2"/>
    </font>
    <font>
      <sz val="9"/>
      <color indexed="81"/>
      <name val="Tahoma"/>
      <family val="2"/>
    </font>
    <font>
      <sz val="10"/>
      <name val="MS Sans Serif"/>
      <family val="2"/>
    </font>
    <font>
      <b/>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39997558519241921"/>
        <bgColor indexed="64"/>
      </patternFill>
    </fill>
  </fills>
  <borders count="10">
    <border>
      <left/>
      <right/>
      <top/>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3" fontId="9" fillId="0" borderId="0" applyFont="0" applyFill="0" applyBorder="0" applyAlignment="0" applyProtection="0"/>
  </cellStyleXfs>
  <cellXfs count="110">
    <xf numFmtId="0" fontId="0" fillId="0" borderId="0" xfId="0"/>
    <xf numFmtId="6" fontId="0" fillId="3" borderId="0" xfId="0" applyNumberFormat="1" applyFill="1"/>
    <xf numFmtId="0" fontId="0" fillId="0" borderId="0" xfId="0" applyAlignment="1">
      <alignment horizontal="center" vertical="center" wrapText="1"/>
    </xf>
    <xf numFmtId="0" fontId="0" fillId="4" borderId="0" xfId="0" applyFill="1" applyAlignment="1">
      <alignment horizontal="center" vertical="center" wrapText="1"/>
    </xf>
    <xf numFmtId="0" fontId="3" fillId="2" borderId="0" xfId="0" applyFont="1" applyFill="1" applyAlignment="1">
      <alignment horizontal="center" vertical="center" wrapText="1"/>
    </xf>
    <xf numFmtId="0" fontId="3" fillId="2" borderId="0" xfId="0" applyFont="1" applyFill="1"/>
    <xf numFmtId="164" fontId="3" fillId="2" borderId="0" xfId="1" applyNumberFormat="1" applyFont="1" applyFill="1"/>
    <xf numFmtId="10" fontId="0" fillId="0" borderId="0" xfId="3" applyNumberFormat="1" applyFont="1"/>
    <xf numFmtId="165" fontId="3" fillId="2" borderId="0" xfId="0" applyNumberFormat="1" applyFont="1" applyFill="1"/>
    <xf numFmtId="10" fontId="0" fillId="0" borderId="0" xfId="0" applyNumberFormat="1"/>
    <xf numFmtId="43" fontId="3" fillId="2" borderId="0" xfId="1" applyNumberFormat="1" applyFont="1" applyFill="1"/>
    <xf numFmtId="6" fontId="0" fillId="0" borderId="0" xfId="0" applyNumberFormat="1" applyFill="1"/>
    <xf numFmtId="8" fontId="0" fillId="0" borderId="0" xfId="0" applyNumberFormat="1"/>
    <xf numFmtId="6" fontId="3" fillId="2" borderId="0" xfId="0" applyNumberFormat="1" applyFont="1" applyFill="1"/>
    <xf numFmtId="8" fontId="3" fillId="2" borderId="0" xfId="0" applyNumberFormat="1" applyFont="1" applyFill="1"/>
    <xf numFmtId="0" fontId="0" fillId="5" borderId="0" xfId="0" applyFill="1" applyAlignment="1">
      <alignment horizontal="center" vertical="center" wrapText="1"/>
    </xf>
    <xf numFmtId="6" fontId="0" fillId="5" borderId="0" xfId="0" applyNumberFormat="1" applyFill="1"/>
    <xf numFmtId="0" fontId="0" fillId="6" borderId="0" xfId="0" applyFill="1" applyAlignment="1">
      <alignment horizontal="center" vertical="center" wrapText="1"/>
    </xf>
    <xf numFmtId="6" fontId="0" fillId="6" borderId="0" xfId="0" applyNumberFormat="1" applyFill="1"/>
    <xf numFmtId="0" fontId="0" fillId="5" borderId="0" xfId="0" applyFill="1" applyAlignment="1">
      <alignment horizontal="center"/>
    </xf>
    <xf numFmtId="164" fontId="0" fillId="0" borderId="0" xfId="1" applyNumberFormat="1" applyFont="1" applyFill="1"/>
    <xf numFmtId="43" fontId="0" fillId="0" borderId="3" xfId="1" applyFont="1" applyFill="1" applyBorder="1" applyAlignment="1">
      <alignment horizontal="center"/>
    </xf>
    <xf numFmtId="43" fontId="0" fillId="0" borderId="4" xfId="1" applyFont="1" applyFill="1" applyBorder="1" applyAlignment="1">
      <alignment horizontal="center"/>
    </xf>
    <xf numFmtId="43" fontId="0" fillId="0" borderId="0" xfId="1" applyFont="1" applyFill="1" applyBorder="1" applyAlignment="1">
      <alignment horizontal="center"/>
    </xf>
    <xf numFmtId="43" fontId="0" fillId="0" borderId="6" xfId="1" applyFont="1" applyFill="1" applyBorder="1" applyAlignment="1">
      <alignment horizontal="center"/>
    </xf>
    <xf numFmtId="43" fontId="0" fillId="0" borderId="8" xfId="1" applyFont="1" applyFill="1" applyBorder="1" applyAlignment="1">
      <alignment horizontal="center"/>
    </xf>
    <xf numFmtId="43" fontId="0" fillId="0" borderId="9" xfId="1" applyFont="1" applyFill="1" applyBorder="1" applyAlignment="1">
      <alignment horizontal="center"/>
    </xf>
    <xf numFmtId="164" fontId="3" fillId="0" borderId="1" xfId="0" applyNumberFormat="1" applyFont="1" applyBorder="1"/>
    <xf numFmtId="0" fontId="0" fillId="0" borderId="2" xfId="0" applyFill="1" applyBorder="1" applyAlignment="1"/>
    <xf numFmtId="0" fontId="0" fillId="0" borderId="5" xfId="0" applyFill="1" applyBorder="1" applyAlignment="1"/>
    <xf numFmtId="0" fontId="0" fillId="0" borderId="7" xfId="0" applyFill="1" applyBorder="1" applyAlignment="1"/>
    <xf numFmtId="0" fontId="0" fillId="0" borderId="0" xfId="0" applyFill="1" applyBorder="1" applyAlignment="1"/>
    <xf numFmtId="44" fontId="3" fillId="2" borderId="0" xfId="2" applyNumberFormat="1" applyFont="1" applyFill="1" applyAlignment="1">
      <alignment horizontal="center"/>
    </xf>
    <xf numFmtId="166" fontId="3" fillId="2" borderId="0" xfId="3" applyNumberFormat="1" applyFont="1" applyFill="1"/>
    <xf numFmtId="43" fontId="0" fillId="0" borderId="0" xfId="1" applyFont="1"/>
    <xf numFmtId="0" fontId="4" fillId="0" borderId="0" xfId="0" applyFont="1" applyAlignment="1">
      <alignment vertical="center"/>
    </xf>
    <xf numFmtId="0" fontId="5" fillId="0" borderId="0" xfId="0" applyFont="1"/>
    <xf numFmtId="0" fontId="6" fillId="0" borderId="0" xfId="0" applyFont="1" applyAlignment="1">
      <alignment horizontal="left"/>
    </xf>
    <xf numFmtId="164" fontId="3" fillId="2" borderId="0" xfId="0" applyNumberFormat="1" applyFont="1" applyFill="1"/>
    <xf numFmtId="0" fontId="0" fillId="6" borderId="0" xfId="0" applyFill="1" applyAlignment="1"/>
    <xf numFmtId="164" fontId="0" fillId="6" borderId="0" xfId="1" applyNumberFormat="1" applyFont="1" applyFill="1" applyAlignment="1"/>
    <xf numFmtId="165" fontId="2" fillId="6" borderId="0" xfId="2" applyNumberFormat="1" applyFont="1" applyFill="1" applyAlignment="1">
      <alignment horizontal="center"/>
    </xf>
    <xf numFmtId="0" fontId="0" fillId="5" borderId="0" xfId="0" applyFill="1" applyAlignment="1"/>
    <xf numFmtId="164" fontId="0" fillId="5" borderId="0" xfId="1" applyNumberFormat="1" applyFont="1" applyFill="1" applyAlignment="1"/>
    <xf numFmtId="165" fontId="2" fillId="5" borderId="0" xfId="2" applyNumberFormat="1" applyFont="1" applyFill="1" applyAlignment="1">
      <alignment horizontal="center"/>
    </xf>
    <xf numFmtId="0" fontId="0" fillId="7" borderId="0" xfId="0" applyFill="1" applyAlignment="1"/>
    <xf numFmtId="0" fontId="0" fillId="8" borderId="0" xfId="0" applyFill="1" applyAlignment="1"/>
    <xf numFmtId="164" fontId="0" fillId="8" borderId="0" xfId="1" applyNumberFormat="1" applyFont="1" applyFill="1" applyAlignment="1"/>
    <xf numFmtId="165" fontId="2" fillId="8" borderId="0" xfId="2" applyNumberFormat="1" applyFont="1" applyFill="1" applyAlignment="1">
      <alignment horizontal="center"/>
    </xf>
    <xf numFmtId="164" fontId="0" fillId="7" borderId="0" xfId="1" applyNumberFormat="1" applyFont="1" applyFill="1" applyAlignment="1"/>
    <xf numFmtId="165" fontId="2" fillId="7" borderId="0" xfId="2" applyNumberFormat="1" applyFont="1" applyFill="1" applyAlignment="1">
      <alignment horizontal="center"/>
    </xf>
    <xf numFmtId="0" fontId="0" fillId="2" borderId="0" xfId="0" applyFill="1" applyAlignment="1">
      <alignment horizontal="center" vertical="center" wrapText="1"/>
    </xf>
    <xf numFmtId="165" fontId="3" fillId="5" borderId="0" xfId="2" applyNumberFormat="1" applyFont="1" applyFill="1" applyAlignment="1">
      <alignment horizontal="center"/>
    </xf>
    <xf numFmtId="166" fontId="3" fillId="5" borderId="0" xfId="3" applyNumberFormat="1" applyFont="1" applyFill="1"/>
    <xf numFmtId="44" fontId="3" fillId="5" borderId="0" xfId="2" applyNumberFormat="1" applyFont="1" applyFill="1" applyAlignment="1">
      <alignment horizontal="center"/>
    </xf>
    <xf numFmtId="165" fontId="3" fillId="8" borderId="0" xfId="2" applyNumberFormat="1" applyFont="1" applyFill="1" applyAlignment="1">
      <alignment horizontal="center"/>
    </xf>
    <xf numFmtId="166" fontId="3" fillId="8" borderId="0" xfId="3" applyNumberFormat="1" applyFont="1" applyFill="1"/>
    <xf numFmtId="44" fontId="3" fillId="8" borderId="0" xfId="2" applyNumberFormat="1" applyFont="1" applyFill="1" applyAlignment="1">
      <alignment horizontal="center"/>
    </xf>
    <xf numFmtId="165" fontId="3" fillId="7" borderId="0" xfId="2" applyNumberFormat="1" applyFont="1" applyFill="1" applyAlignment="1">
      <alignment horizontal="center"/>
    </xf>
    <xf numFmtId="166" fontId="3" fillId="7" borderId="0" xfId="3" applyNumberFormat="1" applyFont="1" applyFill="1"/>
    <xf numFmtId="44" fontId="3" fillId="7" borderId="0" xfId="2" applyNumberFormat="1" applyFont="1" applyFill="1" applyAlignment="1">
      <alignment horizontal="center"/>
    </xf>
    <xf numFmtId="165" fontId="3" fillId="6" borderId="0" xfId="2" applyNumberFormat="1" applyFont="1" applyFill="1" applyAlignment="1">
      <alignment horizontal="center"/>
    </xf>
    <xf numFmtId="166" fontId="3" fillId="6" borderId="0" xfId="3" applyNumberFormat="1" applyFont="1" applyFill="1"/>
    <xf numFmtId="44" fontId="3" fillId="6" borderId="0" xfId="2" applyNumberFormat="1" applyFont="1" applyFill="1" applyAlignment="1">
      <alignment horizontal="center"/>
    </xf>
    <xf numFmtId="0" fontId="0" fillId="0" borderId="0" xfId="0" applyAlignment="1">
      <alignment horizontal="center"/>
    </xf>
    <xf numFmtId="0" fontId="0" fillId="9" borderId="5" xfId="0" applyFill="1" applyBorder="1" applyAlignment="1"/>
    <xf numFmtId="43" fontId="0" fillId="9" borderId="0" xfId="1" applyFont="1" applyFill="1" applyBorder="1" applyAlignment="1">
      <alignment horizontal="center"/>
    </xf>
    <xf numFmtId="43" fontId="0" fillId="9" borderId="6" xfId="1" applyFont="1" applyFill="1" applyBorder="1" applyAlignment="1">
      <alignment horizontal="center"/>
    </xf>
    <xf numFmtId="0" fontId="0" fillId="0" borderId="0" xfId="0" applyFill="1" applyAlignment="1">
      <alignment vertical="top" wrapText="1"/>
    </xf>
    <xf numFmtId="6" fontId="0" fillId="0" borderId="3" xfId="0" applyNumberFormat="1" applyFill="1" applyBorder="1" applyAlignment="1"/>
    <xf numFmtId="6" fontId="0" fillId="9" borderId="0" xfId="0" applyNumberFormat="1" applyFill="1" applyBorder="1" applyAlignment="1"/>
    <xf numFmtId="6" fontId="0" fillId="0" borderId="0" xfId="0" applyNumberFormat="1" applyFill="1" applyBorder="1" applyAlignment="1"/>
    <xf numFmtId="6" fontId="0" fillId="0" borderId="8" xfId="0" applyNumberFormat="1" applyFill="1" applyBorder="1" applyAlignment="1"/>
    <xf numFmtId="166" fontId="0" fillId="0" borderId="0" xfId="3" applyNumberFormat="1" applyFont="1" applyFill="1"/>
    <xf numFmtId="6" fontId="0" fillId="8" borderId="0" xfId="0" applyNumberFormat="1" applyFill="1"/>
    <xf numFmtId="166" fontId="0" fillId="8" borderId="0" xfId="3" applyNumberFormat="1" applyFont="1" applyFill="1"/>
    <xf numFmtId="0" fontId="3" fillId="0" borderId="0" xfId="0" applyFont="1"/>
    <xf numFmtId="9" fontId="0" fillId="5" borderId="0" xfId="3" applyFont="1" applyFill="1" applyAlignment="1">
      <alignment horizontal="center"/>
    </xf>
    <xf numFmtId="5" fontId="3" fillId="0" borderId="1" xfId="0" applyNumberFormat="1" applyFont="1" applyBorder="1"/>
    <xf numFmtId="164" fontId="0" fillId="0" borderId="0" xfId="1" applyNumberFormat="1" applyFont="1"/>
    <xf numFmtId="43" fontId="0" fillId="0" borderId="0" xfId="0" applyNumberFormat="1"/>
    <xf numFmtId="10" fontId="3" fillId="2" borderId="0" xfId="1" applyNumberFormat="1" applyFont="1" applyFill="1"/>
    <xf numFmtId="10" fontId="0" fillId="0" borderId="0" xfId="3" applyNumberFormat="1" applyFont="1" applyFill="1"/>
    <xf numFmtId="164" fontId="0" fillId="3" borderId="3" xfId="1" applyNumberFormat="1" applyFont="1" applyFill="1" applyBorder="1"/>
    <xf numFmtId="166" fontId="0" fillId="3" borderId="3" xfId="3" applyNumberFormat="1" applyFont="1" applyFill="1" applyBorder="1"/>
    <xf numFmtId="164" fontId="0" fillId="3" borderId="0" xfId="1" applyNumberFormat="1" applyFont="1" applyFill="1" applyBorder="1"/>
    <xf numFmtId="166" fontId="0" fillId="3" borderId="0" xfId="3" applyNumberFormat="1" applyFont="1" applyFill="1" applyBorder="1"/>
    <xf numFmtId="164" fontId="0" fillId="3" borderId="8" xfId="1" applyNumberFormat="1" applyFont="1" applyFill="1" applyBorder="1"/>
    <xf numFmtId="166" fontId="0" fillId="3" borderId="8" xfId="3" applyNumberFormat="1" applyFont="1" applyFill="1" applyBorder="1"/>
    <xf numFmtId="166" fontId="0" fillId="0" borderId="0" xfId="3" applyNumberFormat="1" applyFont="1"/>
    <xf numFmtId="0" fontId="0" fillId="0" borderId="0" xfId="0" quotePrefix="1"/>
    <xf numFmtId="0" fontId="6" fillId="0" borderId="0" xfId="0" applyFont="1" applyFill="1" applyAlignment="1">
      <alignment horizontal="left"/>
    </xf>
    <xf numFmtId="166" fontId="0" fillId="3" borderId="3" xfId="3" applyNumberFormat="1" applyFont="1" applyFill="1" applyBorder="1" applyAlignment="1"/>
    <xf numFmtId="166" fontId="0" fillId="3" borderId="0" xfId="3" applyNumberFormat="1" applyFont="1" applyFill="1" applyBorder="1" applyAlignment="1"/>
    <xf numFmtId="166" fontId="0" fillId="3" borderId="8" xfId="3" applyNumberFormat="1" applyFont="1" applyFill="1" applyBorder="1" applyAlignment="1"/>
    <xf numFmtId="0" fontId="0" fillId="7" borderId="0" xfId="0" applyFill="1" applyBorder="1" applyAlignment="1">
      <alignment horizontal="center"/>
    </xf>
    <xf numFmtId="9" fontId="0" fillId="8" borderId="0" xfId="3" applyFont="1" applyFill="1" applyBorder="1" applyAlignment="1">
      <alignment horizontal="center"/>
    </xf>
    <xf numFmtId="9" fontId="0" fillId="10" borderId="0" xfId="3" applyFont="1" applyFill="1" applyBorder="1" applyAlignment="1">
      <alignment horizontal="center"/>
    </xf>
    <xf numFmtId="9" fontId="0" fillId="5" borderId="0" xfId="3" applyFont="1" applyFill="1" applyBorder="1" applyAlignment="1">
      <alignment horizontal="center"/>
    </xf>
    <xf numFmtId="9" fontId="0" fillId="6" borderId="0" xfId="3" applyFont="1" applyFill="1" applyBorder="1" applyAlignment="1">
      <alignment horizontal="center"/>
    </xf>
    <xf numFmtId="0" fontId="0" fillId="10" borderId="0" xfId="0" applyFill="1" applyAlignment="1"/>
    <xf numFmtId="164" fontId="0" fillId="10" borderId="0" xfId="1" applyNumberFormat="1" applyFont="1" applyFill="1" applyAlignment="1"/>
    <xf numFmtId="165" fontId="2" fillId="10" borderId="0" xfId="2" applyNumberFormat="1" applyFont="1" applyFill="1" applyAlignment="1">
      <alignment horizontal="center"/>
    </xf>
    <xf numFmtId="165" fontId="3" fillId="10" borderId="0" xfId="2" applyNumberFormat="1" applyFont="1" applyFill="1" applyAlignment="1">
      <alignment horizontal="center"/>
    </xf>
    <xf numFmtId="166" fontId="3" fillId="10" borderId="0" xfId="3" applyNumberFormat="1" applyFont="1" applyFill="1"/>
    <xf numFmtId="44" fontId="3" fillId="10" borderId="0" xfId="2" applyNumberFormat="1" applyFont="1" applyFill="1" applyAlignment="1">
      <alignment horizontal="center"/>
    </xf>
    <xf numFmtId="2" fontId="10" fillId="0" borderId="0" xfId="0" applyNumberFormat="1" applyFont="1" applyAlignment="1">
      <alignment vertical="top" wrapText="1"/>
    </xf>
    <xf numFmtId="2" fontId="4" fillId="0" borderId="0" xfId="0" applyNumberFormat="1" applyFont="1" applyAlignment="1">
      <alignment vertical="top" wrapText="1"/>
    </xf>
    <xf numFmtId="0" fontId="6" fillId="0" borderId="0" xfId="0" applyFont="1" applyAlignment="1">
      <alignment vertical="top" wrapText="1"/>
    </xf>
    <xf numFmtId="0" fontId="0" fillId="0" borderId="0" xfId="0" applyBorder="1" applyAlignment="1">
      <alignment horizontal="center"/>
    </xf>
  </cellXfs>
  <cellStyles count="5">
    <cellStyle name="Comma" xfId="1" builtinId="3"/>
    <cellStyle name="Comma 2" xfId="4"/>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742949</xdr:colOff>
      <xdr:row>16</xdr:row>
      <xdr:rowOff>5516</xdr:rowOff>
    </xdr:from>
    <xdr:ext cx="7414486" cy="3849387"/>
    <xdr:sp macro="" textlink="">
      <xdr:nvSpPr>
        <xdr:cNvPr id="2" name="Rectangle 1"/>
        <xdr:cNvSpPr/>
      </xdr:nvSpPr>
      <xdr:spPr>
        <a:xfrm rot="20395701">
          <a:off x="3095624" y="2777291"/>
          <a:ext cx="7414486" cy="3849387"/>
        </a:xfrm>
        <a:prstGeom prst="rect">
          <a:avLst/>
        </a:prstGeom>
        <a:noFill/>
      </xdr:spPr>
      <xdr:txBody>
        <a:bodyPr wrap="square" lIns="91440" tIns="45720" rIns="91440" bIns="45720">
          <a:spAutoFit/>
        </a:bodyPr>
        <a:lstStyle/>
        <a:p>
          <a:pPr algn="ctr"/>
          <a:r>
            <a:rPr lang="en-US" sz="12000" b="0" cap="none" spc="0">
              <a:ln w="0"/>
              <a:solidFill>
                <a:schemeClr val="bg1">
                  <a:lumMod val="65000"/>
                  <a:alpha val="39000"/>
                </a:schemeClr>
              </a:solidFill>
              <a:effectLst>
                <a:outerShdw blurRad="38100" dist="19050" dir="2700000" algn="tl" rotWithShape="0">
                  <a:schemeClr val="dk1">
                    <a:alpha val="40000"/>
                  </a:schemeClr>
                </a:outerShdw>
              </a:effectLst>
            </a:rPr>
            <a:t>example only</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20126</xdr:colOff>
      <xdr:row>17</xdr:row>
      <xdr:rowOff>120916</xdr:rowOff>
    </xdr:from>
    <xdr:ext cx="5694239" cy="3646182"/>
    <xdr:sp macro="" textlink="">
      <xdr:nvSpPr>
        <xdr:cNvPr id="2" name="Rectangle 1"/>
        <xdr:cNvSpPr/>
      </xdr:nvSpPr>
      <xdr:spPr>
        <a:xfrm rot="20395701">
          <a:off x="1791776" y="3626116"/>
          <a:ext cx="5694239" cy="3646182"/>
        </a:xfrm>
        <a:prstGeom prst="rect">
          <a:avLst/>
        </a:prstGeom>
        <a:noFill/>
      </xdr:spPr>
      <xdr:txBody>
        <a:bodyPr wrap="square" lIns="91440" tIns="45720" rIns="91440" bIns="45720">
          <a:noAutofit/>
        </a:bodyPr>
        <a:lstStyle/>
        <a:p>
          <a:pPr algn="ctr"/>
          <a:r>
            <a:rPr lang="en-US" sz="12000" b="0" cap="none" spc="0">
              <a:ln w="0"/>
              <a:solidFill>
                <a:schemeClr val="bg1">
                  <a:lumMod val="65000"/>
                  <a:alpha val="39000"/>
                </a:schemeClr>
              </a:solidFill>
              <a:effectLst>
                <a:outerShdw blurRad="38100" dist="19050" dir="2700000" algn="tl" rotWithShape="0">
                  <a:schemeClr val="dk1">
                    <a:alpha val="40000"/>
                  </a:schemeClr>
                </a:outerShdw>
              </a:effectLst>
            </a:rPr>
            <a:t>example only</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2"/>
  <sheetViews>
    <sheetView workbookViewId="0"/>
  </sheetViews>
  <sheetFormatPr defaultRowHeight="15" x14ac:dyDescent="0.25"/>
  <cols>
    <col min="2" max="2" width="25.85546875" bestFit="1" customWidth="1"/>
    <col min="3" max="3" width="11.85546875" bestFit="1" customWidth="1"/>
  </cols>
  <sheetData>
    <row r="1" spans="2:4" ht="18.75" x14ac:dyDescent="0.3">
      <c r="B1" s="36" t="s">
        <v>89</v>
      </c>
      <c r="C1" s="36"/>
    </row>
    <row r="2" spans="2:4" ht="15.75" x14ac:dyDescent="0.25">
      <c r="B2" s="35" t="s">
        <v>98</v>
      </c>
      <c r="C2" s="35"/>
    </row>
    <row r="3" spans="2:4" ht="15.75" x14ac:dyDescent="0.25">
      <c r="B3" s="35" t="s">
        <v>97</v>
      </c>
    </row>
    <row r="4" spans="2:4" x14ac:dyDescent="0.25">
      <c r="B4" s="76" t="s">
        <v>67</v>
      </c>
    </row>
    <row r="5" spans="2:4" x14ac:dyDescent="0.25">
      <c r="B5" t="s">
        <v>63</v>
      </c>
      <c r="C5" s="74">
        <v>10000000</v>
      </c>
    </row>
    <row r="6" spans="2:4" x14ac:dyDescent="0.25">
      <c r="B6" t="s">
        <v>79</v>
      </c>
      <c r="C6" s="74">
        <f>IF($C$5&gt;=10000000,(30000+($C$5-10000000)*0.003),30000)</f>
        <v>30000</v>
      </c>
      <c r="D6" s="7"/>
    </row>
    <row r="7" spans="2:4" x14ac:dyDescent="0.25">
      <c r="B7" t="s">
        <v>66</v>
      </c>
      <c r="C7" s="74">
        <f>IF($C$5&gt;=10000000,(45000+($C$5-10000000)*0.0045),45000)</f>
        <v>45000</v>
      </c>
      <c r="D7" s="7"/>
    </row>
    <row r="8" spans="2:4" x14ac:dyDescent="0.25">
      <c r="B8" t="s">
        <v>64</v>
      </c>
      <c r="C8" s="74">
        <f>IF($C$5&gt;=10000000,(60000+($C$5-10000000)*0.006),60000)</f>
        <v>60000</v>
      </c>
      <c r="D8" s="7"/>
    </row>
    <row r="9" spans="2:4" x14ac:dyDescent="0.25">
      <c r="B9" t="s">
        <v>65</v>
      </c>
      <c r="C9" s="74">
        <f>IF($C$5&gt;=10000000,(75000+($C$5-10000000)*0.0075),75000)</f>
        <v>75000</v>
      </c>
      <c r="D9" s="7"/>
    </row>
    <row r="10" spans="2:4" x14ac:dyDescent="0.25">
      <c r="B10" t="s">
        <v>80</v>
      </c>
      <c r="C10" s="74">
        <f>IF($C$5&gt;=10000000,(90000+($C$5-10000000)*0.009),90000)</f>
        <v>90000</v>
      </c>
      <c r="D10" s="7"/>
    </row>
    <row r="12" spans="2:4" x14ac:dyDescent="0.25">
      <c r="B12" s="76" t="s">
        <v>68</v>
      </c>
    </row>
    <row r="13" spans="2:4" hidden="1" x14ac:dyDescent="0.25">
      <c r="B13" t="s">
        <v>69</v>
      </c>
      <c r="C13" s="75">
        <v>0</v>
      </c>
    </row>
    <row r="14" spans="2:4" x14ac:dyDescent="0.25">
      <c r="B14" t="s">
        <v>70</v>
      </c>
      <c r="C14" s="75">
        <v>0.2</v>
      </c>
    </row>
    <row r="15" spans="2:4" x14ac:dyDescent="0.25">
      <c r="B15" t="s">
        <v>71</v>
      </c>
      <c r="C15" s="75">
        <v>0.2</v>
      </c>
    </row>
    <row r="16" spans="2:4" x14ac:dyDescent="0.25">
      <c r="B16" t="s">
        <v>72</v>
      </c>
      <c r="C16" s="75">
        <v>0.2</v>
      </c>
    </row>
    <row r="17" spans="2:3" x14ac:dyDescent="0.25">
      <c r="B17" t="s">
        <v>73</v>
      </c>
      <c r="C17" s="75">
        <v>0.1</v>
      </c>
    </row>
    <row r="18" spans="2:3" hidden="1" x14ac:dyDescent="0.25">
      <c r="B18" t="s">
        <v>82</v>
      </c>
      <c r="C18" s="75">
        <v>0</v>
      </c>
    </row>
    <row r="19" spans="2:3" x14ac:dyDescent="0.25">
      <c r="B19" t="s">
        <v>83</v>
      </c>
      <c r="C19" s="75">
        <v>0.1</v>
      </c>
    </row>
    <row r="20" spans="2:3" x14ac:dyDescent="0.25">
      <c r="B20" t="s">
        <v>74</v>
      </c>
      <c r="C20" s="75">
        <v>0.2</v>
      </c>
    </row>
    <row r="21" spans="2:3" hidden="1" x14ac:dyDescent="0.25">
      <c r="B21" t="s">
        <v>75</v>
      </c>
      <c r="C21" s="75">
        <v>0</v>
      </c>
    </row>
    <row r="22" spans="2:3" hidden="1" x14ac:dyDescent="0.25">
      <c r="B22" t="s">
        <v>76</v>
      </c>
      <c r="C22" s="75">
        <v>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H41"/>
  <sheetViews>
    <sheetView workbookViewId="0">
      <selection activeCell="D7" sqref="D7"/>
    </sheetView>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88</v>
      </c>
      <c r="C4" s="18">
        <f>'County Data'!J10</f>
        <v>815500</v>
      </c>
      <c r="D4" s="11"/>
    </row>
    <row r="6" spans="2:8" s="2" customFormat="1" ht="30" x14ac:dyDescent="0.25">
      <c r="B6" s="3" t="s">
        <v>8</v>
      </c>
      <c r="C6" s="3" t="s">
        <v>1</v>
      </c>
      <c r="D6" s="3" t="s">
        <v>19</v>
      </c>
      <c r="E6" s="3" t="s">
        <v>77</v>
      </c>
      <c r="F6" s="3" t="s">
        <v>78</v>
      </c>
      <c r="G6" s="17" t="s">
        <v>18</v>
      </c>
      <c r="H6" s="3" t="s">
        <v>7</v>
      </c>
    </row>
    <row r="7" spans="2:8" x14ac:dyDescent="0.25">
      <c r="B7" s="31" t="str">
        <f>+'County Data'!$B$12</f>
        <v>County 2</v>
      </c>
      <c r="C7" s="20">
        <f>VLOOKUP($B7,'County Data'!$B$11:$L$44,3,FALSE)</f>
        <v>92575</v>
      </c>
      <c r="D7" s="73">
        <f>VLOOKUP($B7,'County Data'!$B$11:$L$44,9,FALSE)</f>
        <v>0.05</v>
      </c>
      <c r="E7" s="79">
        <f t="shared" ref="E7:E40" si="0">C7*D7</f>
        <v>4628.75</v>
      </c>
      <c r="F7" s="7">
        <f t="shared" ref="F7:F40" si="1">E7/$E$41</f>
        <v>1.1115689455938545E-2</v>
      </c>
      <c r="G7" s="18">
        <f t="shared" ref="G7:G40" si="2">$C$4*F7</f>
        <v>9064.8447513178835</v>
      </c>
      <c r="H7" s="12">
        <f t="shared" ref="H7:H40" si="3">G7/C7</f>
        <v>9.7918927910536149E-2</v>
      </c>
    </row>
    <row r="8" spans="2:8" x14ac:dyDescent="0.25">
      <c r="B8" s="31" t="str">
        <f>+'County Data'!$B$41</f>
        <v>County 31</v>
      </c>
      <c r="C8" s="20">
        <f>VLOOKUP($B8,'County Data'!$B$11:$L$44,3,FALSE)</f>
        <v>7195</v>
      </c>
      <c r="D8" s="73">
        <f>VLOOKUP($B8,'County Data'!$B$11:$L$44,9,FALSE)</f>
        <v>6.8000000000000005E-2</v>
      </c>
      <c r="E8" s="79">
        <f t="shared" si="0"/>
        <v>489.26000000000005</v>
      </c>
      <c r="F8" s="7">
        <f t="shared" si="1"/>
        <v>1.1749310771185511E-3</v>
      </c>
      <c r="G8" s="18">
        <f t="shared" si="2"/>
        <v>958.15629339017835</v>
      </c>
      <c r="H8" s="12">
        <f t="shared" si="3"/>
        <v>0.13316974195832917</v>
      </c>
    </row>
    <row r="9" spans="2:8" x14ac:dyDescent="0.25">
      <c r="B9" s="31" t="str">
        <f>+'County Data'!$B$19</f>
        <v>County 9</v>
      </c>
      <c r="C9" s="20">
        <f>VLOOKUP($B9,'County Data'!$B$11:$L$44,3,FALSE)</f>
        <v>182930</v>
      </c>
      <c r="D9" s="73">
        <f>VLOOKUP($B9,'County Data'!$B$11:$L$44,9,FALSE)</f>
        <v>7.0000000000000007E-2</v>
      </c>
      <c r="E9" s="79">
        <f t="shared" si="0"/>
        <v>12805.1</v>
      </c>
      <c r="F9" s="7">
        <f t="shared" si="1"/>
        <v>3.0750745893003223E-2</v>
      </c>
      <c r="G9" s="18">
        <f t="shared" si="2"/>
        <v>25077.233275744129</v>
      </c>
      <c r="H9" s="12">
        <f t="shared" si="3"/>
        <v>0.13708649907475062</v>
      </c>
    </row>
    <row r="10" spans="2:8" x14ac:dyDescent="0.25">
      <c r="B10" s="31" t="str">
        <f>+'County Data'!$B$13</f>
        <v>County 3</v>
      </c>
      <c r="C10" s="20">
        <f>VLOOKUP($B10,'County Data'!$B$11:$L$44,3,FALSE)</f>
        <v>413000</v>
      </c>
      <c r="D10" s="73">
        <f>VLOOKUP($B10,'County Data'!$B$11:$L$44,9,FALSE)</f>
        <v>6.7000000000000004E-2</v>
      </c>
      <c r="E10" s="79">
        <f t="shared" si="0"/>
        <v>27671</v>
      </c>
      <c r="F10" s="7">
        <f t="shared" si="1"/>
        <v>6.6450390048128652E-2</v>
      </c>
      <c r="G10" s="18">
        <f t="shared" si="2"/>
        <v>54190.293084248915</v>
      </c>
      <c r="H10" s="12">
        <f t="shared" si="3"/>
        <v>0.13121136340011844</v>
      </c>
    </row>
    <row r="11" spans="2:8" x14ac:dyDescent="0.25">
      <c r="B11" s="31" t="str">
        <f>+'County Data'!$B$29</f>
        <v>County 19</v>
      </c>
      <c r="C11" s="20">
        <f>VLOOKUP($B11,'County Data'!$B$11:$L$44,3,FALSE)</f>
        <v>370600</v>
      </c>
      <c r="D11" s="73">
        <f>VLOOKUP($B11,'County Data'!$B$11:$L$44,9,FALSE)</f>
        <v>8.8999999999999996E-2</v>
      </c>
      <c r="E11" s="79">
        <f t="shared" si="0"/>
        <v>32983.4</v>
      </c>
      <c r="F11" s="7">
        <f t="shared" si="1"/>
        <v>7.9207827513044213E-2</v>
      </c>
      <c r="G11" s="18">
        <f t="shared" si="2"/>
        <v>64593.983336887555</v>
      </c>
      <c r="H11" s="12">
        <f t="shared" si="3"/>
        <v>0.17429569168075434</v>
      </c>
    </row>
    <row r="12" spans="2:8" x14ac:dyDescent="0.25">
      <c r="B12" s="31" t="str">
        <f>+'County Data'!$B$14</f>
        <v>County 4</v>
      </c>
      <c r="C12" s="20">
        <f>VLOOKUP($B12,'County Data'!$B$11:$L$44,3,FALSE)</f>
        <v>38820</v>
      </c>
      <c r="D12" s="73">
        <f>VLOOKUP($B12,'County Data'!$B$11:$L$44,9,FALSE)</f>
        <v>8.1000000000000003E-2</v>
      </c>
      <c r="E12" s="79">
        <f t="shared" si="0"/>
        <v>3144.42</v>
      </c>
      <c r="F12" s="7">
        <f t="shared" si="1"/>
        <v>7.5511523065713813E-3</v>
      </c>
      <c r="G12" s="18">
        <f t="shared" si="2"/>
        <v>6157.9647060089619</v>
      </c>
      <c r="H12" s="12">
        <f t="shared" si="3"/>
        <v>0.15862866321506858</v>
      </c>
    </row>
    <row r="13" spans="2:8" x14ac:dyDescent="0.25">
      <c r="B13" s="31" t="str">
        <f>+'County Data'!$B$40</f>
        <v>County 30</v>
      </c>
      <c r="C13" s="20">
        <f>VLOOKUP($B13,'County Data'!$B$11:$L$44,3,FALSE)</f>
        <v>26900</v>
      </c>
      <c r="D13" s="73">
        <f>VLOOKUP($B13,'County Data'!$B$11:$L$44,9,FALSE)</f>
        <v>7.3999999999999996E-2</v>
      </c>
      <c r="E13" s="79">
        <f t="shared" si="0"/>
        <v>1990.6</v>
      </c>
      <c r="F13" s="7">
        <f t="shared" si="1"/>
        <v>4.7803168092878786E-3</v>
      </c>
      <c r="G13" s="18">
        <f t="shared" si="2"/>
        <v>3898.3483579742651</v>
      </c>
      <c r="H13" s="12">
        <f t="shared" si="3"/>
        <v>0.14492001330759349</v>
      </c>
    </row>
    <row r="14" spans="2:8" x14ac:dyDescent="0.25">
      <c r="B14" s="31" t="str">
        <f>+'County Data'!$B$18</f>
        <v>County 8</v>
      </c>
      <c r="C14" s="20">
        <f>VLOOKUP($B14,'County Data'!$B$11:$L$44,3,FALSE)</f>
        <v>22805</v>
      </c>
      <c r="D14" s="73">
        <f>VLOOKUP($B14,'County Data'!$B$11:$L$44,9,FALSE)</f>
        <v>0.10299999999999999</v>
      </c>
      <c r="E14" s="79">
        <f t="shared" si="0"/>
        <v>2348.915</v>
      </c>
      <c r="F14" s="7">
        <f t="shared" si="1"/>
        <v>5.6407906450760756E-3</v>
      </c>
      <c r="G14" s="18">
        <f t="shared" si="2"/>
        <v>4600.0647710595395</v>
      </c>
      <c r="H14" s="12">
        <f t="shared" si="3"/>
        <v>0.20171299149570443</v>
      </c>
    </row>
    <row r="15" spans="2:8" x14ac:dyDescent="0.25">
      <c r="B15" s="31" t="str">
        <f>+'County Data'!$B$42</f>
        <v>County 32</v>
      </c>
      <c r="C15" s="20">
        <f>VLOOKUP($B15,'County Data'!$B$11:$L$44,3,FALSE)</f>
        <v>595860</v>
      </c>
      <c r="D15" s="73">
        <f>VLOOKUP($B15,'County Data'!$B$11:$L$44,9,FALSE)</f>
        <v>9.1999999999999998E-2</v>
      </c>
      <c r="E15" s="79">
        <f t="shared" si="0"/>
        <v>54819.12</v>
      </c>
      <c r="F15" s="7">
        <f t="shared" si="1"/>
        <v>0.13164511243161325</v>
      </c>
      <c r="G15" s="18">
        <f t="shared" si="2"/>
        <v>107356.58918798061</v>
      </c>
      <c r="H15" s="12">
        <f t="shared" si="3"/>
        <v>0.18017082735538653</v>
      </c>
    </row>
    <row r="16" spans="2:8" x14ac:dyDescent="0.25">
      <c r="B16" s="31" t="str">
        <f>+'County Data'!$B$37</f>
        <v>County 27</v>
      </c>
      <c r="C16" s="20">
        <f>VLOOKUP($B16,'County Data'!$B$11:$L$44,3,FALSE)</f>
        <v>81000</v>
      </c>
      <c r="D16" s="73">
        <f>VLOOKUP($B16,'County Data'!$B$11:$L$44,9,FALSE)</f>
        <v>0.09</v>
      </c>
      <c r="E16" s="79">
        <f t="shared" si="0"/>
        <v>7290</v>
      </c>
      <c r="F16" s="7">
        <f t="shared" si="1"/>
        <v>1.7506535486641533E-2</v>
      </c>
      <c r="G16" s="18">
        <f t="shared" si="2"/>
        <v>14276.579689356169</v>
      </c>
      <c r="H16" s="12">
        <f t="shared" si="3"/>
        <v>0.17625407023896505</v>
      </c>
    </row>
    <row r="17" spans="2:8" x14ac:dyDescent="0.25">
      <c r="B17" s="31" t="str">
        <f>+'County Data'!$B$35</f>
        <v>County 25</v>
      </c>
      <c r="C17" s="20">
        <f>VLOOKUP($B17,'County Data'!$B$11:$L$44,3,FALSE)</f>
        <v>803000</v>
      </c>
      <c r="D17" s="73">
        <f>VLOOKUP($B17,'County Data'!$B$11:$L$44,9,FALSE)</f>
        <v>9.2999999999999999E-2</v>
      </c>
      <c r="E17" s="79">
        <f t="shared" si="0"/>
        <v>74679</v>
      </c>
      <c r="F17" s="7">
        <f t="shared" si="1"/>
        <v>0.17933752587200316</v>
      </c>
      <c r="G17" s="18">
        <f t="shared" si="2"/>
        <v>146249.75234861858</v>
      </c>
      <c r="H17" s="12">
        <f t="shared" si="3"/>
        <v>0.18212920591359724</v>
      </c>
    </row>
    <row r="18" spans="2:8" x14ac:dyDescent="0.25">
      <c r="B18" s="31" t="str">
        <f>+'County Data'!$B$11</f>
        <v>County 1</v>
      </c>
      <c r="C18" s="20">
        <f>VLOOKUP($B18,'County Data'!$B$11:$L$44,3,FALSE)</f>
        <v>16750</v>
      </c>
      <c r="D18" s="73">
        <f>VLOOKUP($B18,'County Data'!$B$11:$L$44,9,FALSE)</f>
        <v>9.6000000000000002E-2</v>
      </c>
      <c r="E18" s="79">
        <f t="shared" si="0"/>
        <v>1608</v>
      </c>
      <c r="F18" s="7">
        <f t="shared" si="1"/>
        <v>3.8615238768888319E-3</v>
      </c>
      <c r="G18" s="18">
        <f t="shared" si="2"/>
        <v>3149.0727216028422</v>
      </c>
      <c r="H18" s="12">
        <f t="shared" si="3"/>
        <v>0.18800434158822937</v>
      </c>
    </row>
    <row r="19" spans="2:8" x14ac:dyDescent="0.25">
      <c r="B19" s="31" t="str">
        <f>+'County Data'!$B$15</f>
        <v>County 5</v>
      </c>
      <c r="C19" s="20">
        <f>VLOOKUP($B19,'County Data'!$B$11:$L$44,3,FALSE)</f>
        <v>51345</v>
      </c>
      <c r="D19" s="73">
        <f>VLOOKUP($B19,'County Data'!$B$11:$L$44,9,FALSE)</f>
        <v>9.6000000000000002E-2</v>
      </c>
      <c r="E19" s="79">
        <f t="shared" si="0"/>
        <v>4929.12</v>
      </c>
      <c r="F19" s="7">
        <f t="shared" si="1"/>
        <v>1.1837011549782511E-2</v>
      </c>
      <c r="G19" s="18">
        <f t="shared" si="2"/>
        <v>9653.0829188476382</v>
      </c>
      <c r="H19" s="12">
        <f t="shared" si="3"/>
        <v>0.1880043415882294</v>
      </c>
    </row>
    <row r="20" spans="2:8" x14ac:dyDescent="0.25">
      <c r="B20" s="31" t="str">
        <f>+'County Data'!$B$31</f>
        <v>County 21</v>
      </c>
      <c r="C20" s="20">
        <f>VLOOKUP($B20,'County Data'!$B$11:$L$44,3,FALSE)</f>
        <v>124010</v>
      </c>
      <c r="D20" s="73">
        <f>VLOOKUP($B20,'County Data'!$B$11:$L$44,9,FALSE)</f>
        <v>0.10299999999999999</v>
      </c>
      <c r="E20" s="79">
        <f t="shared" si="0"/>
        <v>12773.029999999999</v>
      </c>
      <c r="F20" s="7">
        <f t="shared" si="1"/>
        <v>3.0673731545533177E-2</v>
      </c>
      <c r="G20" s="18">
        <f t="shared" si="2"/>
        <v>25014.428075382304</v>
      </c>
      <c r="H20" s="12">
        <f t="shared" si="3"/>
        <v>0.2017129914957044</v>
      </c>
    </row>
    <row r="21" spans="2:8" x14ac:dyDescent="0.25">
      <c r="B21" s="31" t="str">
        <f>+'County Data'!$B$38</f>
        <v>County 28</v>
      </c>
      <c r="C21" s="20">
        <f>VLOOKUP($B21,'County Data'!$B$11:$L$44,3,FALSE)</f>
        <v>26175</v>
      </c>
      <c r="D21" s="73">
        <f>VLOOKUP($B21,'County Data'!$B$11:$L$44,9,FALSE)</f>
        <v>0.10199999999999999</v>
      </c>
      <c r="E21" s="79">
        <f t="shared" si="0"/>
        <v>2669.85</v>
      </c>
      <c r="F21" s="7">
        <f t="shared" si="1"/>
        <v>6.4114984593977905E-3</v>
      </c>
      <c r="G21" s="18">
        <f t="shared" si="2"/>
        <v>5228.5769936388979</v>
      </c>
      <c r="H21" s="12">
        <f t="shared" si="3"/>
        <v>0.19975461293749372</v>
      </c>
    </row>
    <row r="22" spans="2:8" x14ac:dyDescent="0.25">
      <c r="B22" s="31" t="str">
        <f>'County Data'!$B$43</f>
        <v>County 33</v>
      </c>
      <c r="C22" s="20">
        <f>VLOOKUP($B22,'County Data'!$B$11:$L$44,3,FALSE)</f>
        <v>1480</v>
      </c>
      <c r="D22" s="73">
        <f>VLOOKUP($B22,'County Data'!$B$11:$L$44,9,FALSE)</f>
        <v>8.4000000000000005E-2</v>
      </c>
      <c r="E22" s="79">
        <f t="shared" si="0"/>
        <v>124.32000000000001</v>
      </c>
      <c r="F22" s="7">
        <f t="shared" si="1"/>
        <v>2.9854766689976341E-4</v>
      </c>
      <c r="G22" s="18">
        <f t="shared" si="2"/>
        <v>243.46562235675705</v>
      </c>
      <c r="H22" s="12">
        <f t="shared" si="3"/>
        <v>0.16450379888970071</v>
      </c>
    </row>
    <row r="23" spans="2:8" x14ac:dyDescent="0.25">
      <c r="B23" s="31" t="str">
        <f>+'County Data'!$B$24</f>
        <v>County 14</v>
      </c>
      <c r="C23" s="20">
        <f>VLOOKUP($B23,'County Data'!$B$11:$L$44,3,FALSE)</f>
        <v>216900</v>
      </c>
      <c r="D23" s="73">
        <f>VLOOKUP($B23,'County Data'!$B$11:$L$44,9,FALSE)</f>
        <v>0.111</v>
      </c>
      <c r="E23" s="79">
        <f t="shared" si="0"/>
        <v>24075.9</v>
      </c>
      <c r="F23" s="7">
        <f t="shared" si="1"/>
        <v>5.7816954420141689E-2</v>
      </c>
      <c r="G23" s="18">
        <f t="shared" si="2"/>
        <v>47149.726329625548</v>
      </c>
      <c r="H23" s="12">
        <f t="shared" si="3"/>
        <v>0.21738001996139025</v>
      </c>
    </row>
    <row r="24" spans="2:8" x14ac:dyDescent="0.25">
      <c r="B24" s="31" t="str">
        <f>+'County Data'!$B$26</f>
        <v>County 16</v>
      </c>
      <c r="C24" s="20">
        <f>VLOOKUP($B24,'County Data'!$B$11:$L$44,3,FALSE)</f>
        <v>85650</v>
      </c>
      <c r="D24" s="73">
        <f>VLOOKUP($B24,'County Data'!$B$11:$L$44,9,FALSE)</f>
        <v>0.112</v>
      </c>
      <c r="E24" s="79">
        <f t="shared" si="0"/>
        <v>9592.8000000000011</v>
      </c>
      <c r="F24" s="7">
        <f t="shared" si="1"/>
        <v>2.303658348645472E-2</v>
      </c>
      <c r="G24" s="18">
        <f t="shared" si="2"/>
        <v>18786.333833203826</v>
      </c>
      <c r="H24" s="12">
        <f t="shared" si="3"/>
        <v>0.21933839851960099</v>
      </c>
    </row>
    <row r="25" spans="2:8" x14ac:dyDescent="0.25">
      <c r="B25" s="31" t="str">
        <f>+'County Data'!$B$16</f>
        <v>County 6</v>
      </c>
      <c r="C25" s="20">
        <f>VLOOKUP($B25,'County Data'!$B$11:$L$44,3,FALSE)</f>
        <v>63310</v>
      </c>
      <c r="D25" s="73">
        <f>VLOOKUP($B25,'County Data'!$B$11:$L$44,9,FALSE)</f>
        <v>0.111</v>
      </c>
      <c r="E25" s="79">
        <f t="shared" si="0"/>
        <v>7027.41</v>
      </c>
      <c r="F25" s="7">
        <f t="shared" si="1"/>
        <v>1.6875939992342878E-2</v>
      </c>
      <c r="G25" s="18">
        <f t="shared" si="2"/>
        <v>13762.329063755617</v>
      </c>
      <c r="H25" s="12">
        <f t="shared" si="3"/>
        <v>0.21738001996139025</v>
      </c>
    </row>
    <row r="26" spans="2:8" x14ac:dyDescent="0.25">
      <c r="B26" s="31" t="str">
        <f>+'County Data'!$B$30</f>
        <v>County 20</v>
      </c>
      <c r="C26" s="20">
        <f>VLOOKUP($B26,'County Data'!$B$11:$L$44,3,FALSE)</f>
        <v>47960</v>
      </c>
      <c r="D26" s="73">
        <f>VLOOKUP($B26,'County Data'!$B$11:$L$44,9,FALSE)</f>
        <v>0.107</v>
      </c>
      <c r="E26" s="79">
        <f t="shared" si="0"/>
        <v>5131.72</v>
      </c>
      <c r="F26" s="7">
        <f t="shared" si="1"/>
        <v>1.2323544346708928E-2</v>
      </c>
      <c r="G26" s="18">
        <f t="shared" si="2"/>
        <v>10049.850414741131</v>
      </c>
      <c r="H26" s="12">
        <f t="shared" si="3"/>
        <v>0.20954650572854736</v>
      </c>
    </row>
    <row r="27" spans="2:8" x14ac:dyDescent="0.25">
      <c r="B27" s="31" t="str">
        <f>+'County Data'!$B$20</f>
        <v>County 10</v>
      </c>
      <c r="C27" s="20">
        <f>VLOOKUP($B27,'County Data'!$B$11:$L$44,3,FALSE)</f>
        <v>111180</v>
      </c>
      <c r="D27" s="73">
        <f>VLOOKUP($B27,'County Data'!$B$11:$L$44,9,FALSE)</f>
        <v>0.109</v>
      </c>
      <c r="E27" s="79">
        <f t="shared" si="0"/>
        <v>12118.62</v>
      </c>
      <c r="F27" s="7">
        <f t="shared" si="1"/>
        <v>2.9102201794118494E-2</v>
      </c>
      <c r="G27" s="18">
        <f t="shared" si="2"/>
        <v>23732.84556310363</v>
      </c>
      <c r="H27" s="12">
        <f t="shared" si="3"/>
        <v>0.2134632628449688</v>
      </c>
    </row>
    <row r="28" spans="2:8" x14ac:dyDescent="0.25">
      <c r="B28" s="31" t="str">
        <f>+'County Data'!$B$21</f>
        <v>County 11</v>
      </c>
      <c r="C28" s="20">
        <f>VLOOKUP($B28,'County Data'!$B$11:$L$44,3,FALSE)</f>
        <v>7415</v>
      </c>
      <c r="D28" s="73">
        <f>VLOOKUP($B28,'County Data'!$B$11:$L$44,9,FALSE)</f>
        <v>0.104</v>
      </c>
      <c r="E28" s="79">
        <f t="shared" si="0"/>
        <v>771.16</v>
      </c>
      <c r="F28" s="7">
        <f t="shared" si="1"/>
        <v>1.8518984781726315E-3</v>
      </c>
      <c r="G28" s="18">
        <f t="shared" si="2"/>
        <v>1510.2232089497811</v>
      </c>
      <c r="H28" s="12">
        <f t="shared" si="3"/>
        <v>0.2036713700539152</v>
      </c>
    </row>
    <row r="29" spans="2:8" x14ac:dyDescent="0.25">
      <c r="B29" s="31" t="str">
        <f>+'County Data'!$B$22</f>
        <v>County 12</v>
      </c>
      <c r="C29" s="20">
        <f>VLOOKUP($B29,'County Data'!$B$11:$L$44,3,FALSE)</f>
        <v>7360</v>
      </c>
      <c r="D29" s="73">
        <f>VLOOKUP($B29,'County Data'!$B$11:$L$44,9,FALSE)</f>
        <v>0.104</v>
      </c>
      <c r="E29" s="79">
        <f t="shared" si="0"/>
        <v>765.43999999999994</v>
      </c>
      <c r="F29" s="7">
        <f t="shared" si="1"/>
        <v>1.83816221164539E-3</v>
      </c>
      <c r="G29" s="18">
        <f t="shared" si="2"/>
        <v>1499.0212835968155</v>
      </c>
      <c r="H29" s="12">
        <f t="shared" si="3"/>
        <v>0.20367137005391514</v>
      </c>
    </row>
    <row r="30" spans="2:8" x14ac:dyDescent="0.25">
      <c r="B30" s="31" t="str">
        <f>+'County Data'!$B$27</f>
        <v>County 17</v>
      </c>
      <c r="C30" s="20">
        <f>VLOOKUP($B30,'County Data'!$B$11:$L$44,3,FALSE)</f>
        <v>67690</v>
      </c>
      <c r="D30" s="73">
        <f>VLOOKUP($B30,'County Data'!$B$11:$L$44,9,FALSE)</f>
        <v>0.124</v>
      </c>
      <c r="E30" s="79">
        <f t="shared" si="0"/>
        <v>8393.56</v>
      </c>
      <c r="F30" s="7">
        <f t="shared" si="1"/>
        <v>2.0156674348320285E-2</v>
      </c>
      <c r="G30" s="18">
        <f t="shared" si="2"/>
        <v>16437.767931055194</v>
      </c>
      <c r="H30" s="12">
        <f t="shared" si="3"/>
        <v>0.24283894121812963</v>
      </c>
    </row>
    <row r="31" spans="2:8" x14ac:dyDescent="0.25">
      <c r="B31" s="31" t="str">
        <f>+'County Data'!$B$44</f>
        <v>County 34</v>
      </c>
      <c r="C31" s="20">
        <f>VLOOKUP($B31,'County Data'!$B$11:$L$44,3,FALSE)</f>
        <v>106300</v>
      </c>
      <c r="D31" s="73">
        <f>VLOOKUP($B31,'County Data'!$B$11:$L$44,9,FALSE)</f>
        <v>0.12</v>
      </c>
      <c r="E31" s="79">
        <f t="shared" si="0"/>
        <v>12756</v>
      </c>
      <c r="F31" s="7">
        <f t="shared" si="1"/>
        <v>3.0632834933827076E-2</v>
      </c>
      <c r="G31" s="18">
        <f t="shared" si="2"/>
        <v>24981.076888535979</v>
      </c>
      <c r="H31" s="12">
        <f t="shared" si="3"/>
        <v>0.23500542698528673</v>
      </c>
    </row>
    <row r="32" spans="2:8" x14ac:dyDescent="0.25">
      <c r="B32" s="31" t="str">
        <f>+'County Data'!$B$36</f>
        <v>County 26</v>
      </c>
      <c r="C32" s="20">
        <f>VLOOKUP($B32,'County Data'!$B$11:$L$44,3,FALSE)</f>
        <v>30895</v>
      </c>
      <c r="D32" s="73">
        <f>VLOOKUP($B32,'County Data'!$B$11:$L$44,9,FALSE)</f>
        <v>0.13450721447786745</v>
      </c>
      <c r="E32" s="79">
        <f t="shared" si="0"/>
        <v>4155.6003912937149</v>
      </c>
      <c r="F32" s="7">
        <f t="shared" si="1"/>
        <v>9.9794466006152063E-3</v>
      </c>
      <c r="G32" s="18">
        <f t="shared" si="2"/>
        <v>8138.238702801701</v>
      </c>
      <c r="H32" s="12">
        <f t="shared" si="3"/>
        <v>0.26341604475810654</v>
      </c>
    </row>
    <row r="33" spans="2:8" x14ac:dyDescent="0.25">
      <c r="B33" s="31" t="str">
        <f>+'County Data'!$B$28</f>
        <v>County 18</v>
      </c>
      <c r="C33" s="20">
        <f>VLOOKUP($B33,'County Data'!$B$11:$L$44,3,FALSE)</f>
        <v>8120</v>
      </c>
      <c r="D33" s="73">
        <f>VLOOKUP($B33,'County Data'!$B$11:$L$44,9,FALSE)</f>
        <v>0.161</v>
      </c>
      <c r="E33" s="79">
        <f t="shared" si="0"/>
        <v>1307.32</v>
      </c>
      <c r="F33" s="7">
        <f t="shared" si="1"/>
        <v>3.1394573350337733E-3</v>
      </c>
      <c r="G33" s="18">
        <f t="shared" si="2"/>
        <v>2560.227456720042</v>
      </c>
      <c r="H33" s="12">
        <f t="shared" si="3"/>
        <v>0.31529894787192636</v>
      </c>
    </row>
    <row r="34" spans="2:8" x14ac:dyDescent="0.25">
      <c r="B34" s="31" t="str">
        <f>+'County Data'!$B$17</f>
        <v>County 7</v>
      </c>
      <c r="C34" s="20">
        <f>VLOOKUP($B34,'County Data'!$B$11:$L$44,3,FALSE)</f>
        <v>22105</v>
      </c>
      <c r="D34" s="73">
        <f>VLOOKUP($B34,'County Data'!$B$11:$L$44,9,FALSE)</f>
        <v>0.124</v>
      </c>
      <c r="E34" s="79">
        <f t="shared" si="0"/>
        <v>2741.02</v>
      </c>
      <c r="F34" s="7">
        <f t="shared" si="1"/>
        <v>6.5824093140732743E-3</v>
      </c>
      <c r="G34" s="18">
        <f t="shared" si="2"/>
        <v>5367.9547956267552</v>
      </c>
      <c r="H34" s="12">
        <f t="shared" si="3"/>
        <v>0.24283894121812963</v>
      </c>
    </row>
    <row r="35" spans="2:8" x14ac:dyDescent="0.25">
      <c r="B35" s="31" t="str">
        <f>+'County Data'!$B$25</f>
        <v>County 15</v>
      </c>
      <c r="C35" s="20">
        <f>VLOOKUP($B35,'County Data'!$B$11:$L$44,3,FALSE)</f>
        <v>23190</v>
      </c>
      <c r="D35" s="73">
        <f>VLOOKUP($B35,'County Data'!$B$11:$L$44,9,FALSE)</f>
        <v>0.16500000000000001</v>
      </c>
      <c r="E35" s="79">
        <f t="shared" si="0"/>
        <v>3826.3500000000004</v>
      </c>
      <c r="F35" s="7">
        <f t="shared" si="1"/>
        <v>9.1887698298094428E-3</v>
      </c>
      <c r="G35" s="18">
        <f t="shared" si="2"/>
        <v>7493.4417962096004</v>
      </c>
      <c r="H35" s="12">
        <f t="shared" si="3"/>
        <v>0.32313246210476931</v>
      </c>
    </row>
    <row r="36" spans="2:8" x14ac:dyDescent="0.25">
      <c r="B36" s="31" t="str">
        <f>+'County Data'!$B$33</f>
        <v>County 23</v>
      </c>
      <c r="C36" s="20">
        <f>VLOOKUP($B36,'County Data'!$B$11:$L$44,3,FALSE)</f>
        <v>339200</v>
      </c>
      <c r="D36" s="73">
        <f>VLOOKUP($B36,'County Data'!$B$11:$L$44,9,FALSE)</f>
        <v>0.14899999999999999</v>
      </c>
      <c r="E36" s="79">
        <f t="shared" si="0"/>
        <v>50540.799999999996</v>
      </c>
      <c r="F36" s="7">
        <f t="shared" si="1"/>
        <v>0.12137096141608399</v>
      </c>
      <c r="G36" s="18">
        <f t="shared" si="2"/>
        <v>98978.019034816491</v>
      </c>
      <c r="H36" s="12">
        <f t="shared" si="3"/>
        <v>0.29179840517339767</v>
      </c>
    </row>
    <row r="37" spans="2:8" x14ac:dyDescent="0.25">
      <c r="B37" s="31" t="str">
        <f>+'County Data'!$B$39</f>
        <v>County 29</v>
      </c>
      <c r="C37" s="20">
        <f>VLOOKUP($B37,'County Data'!$B$11:$L$44,3,FALSE)</f>
        <v>80500</v>
      </c>
      <c r="D37" s="73">
        <f>VLOOKUP($B37,'County Data'!$B$11:$L$44,9,FALSE)</f>
        <v>0.17399999999999999</v>
      </c>
      <c r="E37" s="79">
        <f t="shared" si="0"/>
        <v>14006.999999999998</v>
      </c>
      <c r="F37" s="7">
        <f t="shared" si="1"/>
        <v>3.3637042875361851E-2</v>
      </c>
      <c r="G37" s="18">
        <f t="shared" si="2"/>
        <v>27431.00846485759</v>
      </c>
      <c r="H37" s="12">
        <f t="shared" si="3"/>
        <v>0.34075786912866574</v>
      </c>
    </row>
    <row r="38" spans="2:8" x14ac:dyDescent="0.25">
      <c r="B38" s="31" t="str">
        <f>+'County Data'!$B$23</f>
        <v>County 13</v>
      </c>
      <c r="C38" s="20">
        <f>VLOOKUP($B38,'County Data'!$B$11:$L$44,3,FALSE)</f>
        <v>25145</v>
      </c>
      <c r="D38" s="73">
        <f>VLOOKUP($B38,'County Data'!$B$11:$L$44,9,FALSE)</f>
        <v>0.19700000000000001</v>
      </c>
      <c r="E38" s="79">
        <f t="shared" si="0"/>
        <v>4953.5650000000005</v>
      </c>
      <c r="F38" s="7">
        <f t="shared" si="1"/>
        <v>1.1895714877624893E-2</v>
      </c>
      <c r="G38" s="18">
        <f t="shared" si="2"/>
        <v>9700.9554827031006</v>
      </c>
      <c r="H38" s="12">
        <f t="shared" si="3"/>
        <v>0.38580057596751244</v>
      </c>
    </row>
    <row r="39" spans="2:8" x14ac:dyDescent="0.25">
      <c r="B39" s="31" t="str">
        <f>+'County Data'!$B$32</f>
        <v>County 22</v>
      </c>
      <c r="C39" s="20">
        <f>VLOOKUP($B39,'County Data'!$B$11:$L$44,3,FALSE)</f>
        <v>31845</v>
      </c>
      <c r="D39" s="73">
        <f>VLOOKUP($B39,'County Data'!$B$11:$L$44,9,FALSE)</f>
        <v>0.19900000000000001</v>
      </c>
      <c r="E39" s="79">
        <f t="shared" si="0"/>
        <v>6337.1550000000007</v>
      </c>
      <c r="F39" s="7">
        <f t="shared" si="1"/>
        <v>1.5218330437839208E-2</v>
      </c>
      <c r="G39" s="18">
        <f t="shared" si="2"/>
        <v>12410.548472057873</v>
      </c>
      <c r="H39" s="12">
        <f t="shared" si="3"/>
        <v>0.38971733308393386</v>
      </c>
    </row>
    <row r="40" spans="2:8" x14ac:dyDescent="0.25">
      <c r="B40" s="31" t="str">
        <f>+'County Data'!$B$34</f>
        <v>County 24</v>
      </c>
      <c r="C40" s="20">
        <f>VLOOKUP($B40,'County Data'!$B$11:$L$44,3,FALSE)</f>
        <v>11890</v>
      </c>
      <c r="D40" s="73">
        <f>VLOOKUP($B40,'County Data'!$B$11:$L$44,9,FALSE)</f>
        <v>0.249</v>
      </c>
      <c r="E40" s="79">
        <f t="shared" si="0"/>
        <v>2960.61</v>
      </c>
      <c r="F40" s="7">
        <f t="shared" si="1"/>
        <v>7.1097426648979133E-3</v>
      </c>
      <c r="G40" s="18">
        <f t="shared" si="2"/>
        <v>5797.9951432242478</v>
      </c>
      <c r="H40" s="12">
        <f t="shared" si="3"/>
        <v>0.48763626099446994</v>
      </c>
    </row>
    <row r="41" spans="2:8" x14ac:dyDescent="0.25">
      <c r="B41" s="5" t="s">
        <v>3</v>
      </c>
      <c r="C41" s="6">
        <f>SUM(C6:C40)</f>
        <v>4141100</v>
      </c>
      <c r="D41" s="6"/>
      <c r="E41" s="6">
        <f>SUM(E6:E40)</f>
        <v>416415.91539129365</v>
      </c>
      <c r="F41" s="10">
        <f>SUM(F6:F40)</f>
        <v>1</v>
      </c>
      <c r="G41" s="13">
        <f>SUM(G6:G40)</f>
        <v>815500.00000000035</v>
      </c>
      <c r="H41" s="14">
        <f t="shared" ref="H41" si="4">G41/C41</f>
        <v>0.19692835237014328</v>
      </c>
    </row>
  </sheetData>
  <sortState ref="B7:H40">
    <sortCondition ref="D7:D40"/>
  </sortState>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J41"/>
  <sheetViews>
    <sheetView workbookViewId="0">
      <selection activeCell="D7" sqref="D7"/>
    </sheetView>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 min="10" max="10" width="10.5703125" bestFit="1" customWidth="1"/>
  </cols>
  <sheetData>
    <row r="3" spans="2:10" x14ac:dyDescent="0.25">
      <c r="B3" t="s">
        <v>0</v>
      </c>
      <c r="C3" s="1">
        <f>'County Data'!C6</f>
        <v>10000000</v>
      </c>
    </row>
    <row r="4" spans="2:10" x14ac:dyDescent="0.25">
      <c r="B4" t="s">
        <v>88</v>
      </c>
      <c r="C4" s="18">
        <f>'County Data'!K10</f>
        <v>1631000</v>
      </c>
      <c r="D4" s="11"/>
    </row>
    <row r="6" spans="2:10" s="2" customFormat="1" ht="30" x14ac:dyDescent="0.25">
      <c r="B6" s="3" t="s">
        <v>8</v>
      </c>
      <c r="C6" s="3" t="s">
        <v>1</v>
      </c>
      <c r="D6" s="3" t="s">
        <v>19</v>
      </c>
      <c r="E6" s="3" t="s">
        <v>77</v>
      </c>
      <c r="F6" s="3" t="s">
        <v>78</v>
      </c>
      <c r="G6" s="17" t="s">
        <v>18</v>
      </c>
      <c r="H6" s="3" t="s">
        <v>7</v>
      </c>
    </row>
    <row r="7" spans="2:10" x14ac:dyDescent="0.25">
      <c r="B7" s="31" t="str">
        <f>+'County Data'!$B$41</f>
        <v>County 31</v>
      </c>
      <c r="C7" s="20">
        <f>VLOOKUP($B7,'County Data'!$B$11:$L$44,3,FALSE)</f>
        <v>7195</v>
      </c>
      <c r="D7" s="73">
        <f>VLOOKUP($B7,'County Data'!$B$11:$L$44,10,FALSE)</f>
        <v>8.0000000000000002E-3</v>
      </c>
      <c r="E7" s="79">
        <f t="shared" ref="E7:E40" si="0">C7*D7</f>
        <v>57.56</v>
      </c>
      <c r="F7" s="7">
        <f t="shared" ref="F7:F40" si="1">E7/$E$41</f>
        <v>2.3276270929221298E-4</v>
      </c>
      <c r="G7" s="18">
        <f t="shared" ref="G7:G40" si="2">$C$4*F7</f>
        <v>379.63597885559938</v>
      </c>
      <c r="H7" s="12">
        <f t="shared" ref="H7:H40" si="3">G7/C7</f>
        <v>5.2763860855538483E-2</v>
      </c>
      <c r="J7" s="80"/>
    </row>
    <row r="8" spans="2:10" x14ac:dyDescent="0.25">
      <c r="B8" s="31" t="str">
        <f>+'County Data'!$B$22</f>
        <v>County 12</v>
      </c>
      <c r="C8" s="20">
        <f>VLOOKUP($B8,'County Data'!$B$11:$L$44,3,FALSE)</f>
        <v>7360</v>
      </c>
      <c r="D8" s="73">
        <f>VLOOKUP($B8,'County Data'!$B$11:$L$44,10,FALSE)</f>
        <v>1.7000000000000001E-2</v>
      </c>
      <c r="E8" s="79">
        <f t="shared" si="0"/>
        <v>125.12</v>
      </c>
      <c r="F8" s="7">
        <f t="shared" si="1"/>
        <v>5.0596369330510225E-4</v>
      </c>
      <c r="G8" s="18">
        <f t="shared" si="2"/>
        <v>825.22678378062176</v>
      </c>
      <c r="H8" s="12">
        <f t="shared" si="3"/>
        <v>0.11212320431801925</v>
      </c>
      <c r="J8" s="80"/>
    </row>
    <row r="9" spans="2:10" x14ac:dyDescent="0.25">
      <c r="B9" s="31" t="str">
        <f>+'County Data'!$B$21</f>
        <v>County 11</v>
      </c>
      <c r="C9" s="20">
        <f>VLOOKUP($B9,'County Data'!$B$11:$L$44,3,FALSE)</f>
        <v>7415</v>
      </c>
      <c r="D9" s="73">
        <f>VLOOKUP($B9,'County Data'!$B$11:$L$44,10,FALSE)</f>
        <v>8.0000000000000002E-3</v>
      </c>
      <c r="E9" s="79">
        <f t="shared" si="0"/>
        <v>59.32</v>
      </c>
      <c r="F9" s="7">
        <f t="shared" si="1"/>
        <v>2.39879845643052E-4</v>
      </c>
      <c r="G9" s="18">
        <f t="shared" si="2"/>
        <v>391.24402824381781</v>
      </c>
      <c r="H9" s="12">
        <f t="shared" si="3"/>
        <v>5.2763860855538476E-2</v>
      </c>
      <c r="J9" s="80"/>
    </row>
    <row r="10" spans="2:10" x14ac:dyDescent="0.25">
      <c r="B10" s="31" t="str">
        <f>'County Data'!$B$43</f>
        <v>County 33</v>
      </c>
      <c r="C10" s="20">
        <f>VLOOKUP($B10,'County Data'!$B$11:$L$44,3,FALSE)</f>
        <v>1480</v>
      </c>
      <c r="D10" s="73">
        <f>VLOOKUP($B10,'County Data'!$B$11:$L$44,10,FALSE)</f>
        <v>1E-3</v>
      </c>
      <c r="E10" s="79">
        <f t="shared" si="0"/>
        <v>1.48</v>
      </c>
      <c r="F10" s="7">
        <f t="shared" si="1"/>
        <v>5.9848646586600966E-6</v>
      </c>
      <c r="G10" s="18">
        <f t="shared" si="2"/>
        <v>9.7613142582746182</v>
      </c>
      <c r="H10" s="12">
        <f t="shared" si="3"/>
        <v>6.5954826069423095E-3</v>
      </c>
      <c r="J10" s="80"/>
    </row>
    <row r="11" spans="2:10" x14ac:dyDescent="0.25">
      <c r="B11" s="31" t="str">
        <f>+'County Data'!$B$11</f>
        <v>County 1</v>
      </c>
      <c r="C11" s="20">
        <f>VLOOKUP($B11,'County Data'!$B$11:$L$44,3,FALSE)</f>
        <v>16750</v>
      </c>
      <c r="D11" s="73">
        <f>VLOOKUP($B11,'County Data'!$B$11:$L$44,10,FALSE)</f>
        <v>0.01</v>
      </c>
      <c r="E11" s="79">
        <f t="shared" si="0"/>
        <v>167.5</v>
      </c>
      <c r="F11" s="7">
        <f t="shared" si="1"/>
        <v>6.7734110157132853E-4</v>
      </c>
      <c r="G11" s="18">
        <f t="shared" si="2"/>
        <v>1104.7433366628368</v>
      </c>
      <c r="H11" s="12">
        <f t="shared" si="3"/>
        <v>6.5954826069423086E-2</v>
      </c>
      <c r="J11" s="80"/>
    </row>
    <row r="12" spans="2:10" x14ac:dyDescent="0.25">
      <c r="B12" s="31" t="str">
        <f>+'County Data'!$B$20</f>
        <v>County 10</v>
      </c>
      <c r="C12" s="20">
        <f>VLOOKUP($B12,'County Data'!$B$11:$L$44,3,FALSE)</f>
        <v>111180</v>
      </c>
      <c r="D12" s="73">
        <f>VLOOKUP($B12,'County Data'!$B$11:$L$44,10,FALSE)</f>
        <v>1.2E-2</v>
      </c>
      <c r="E12" s="79">
        <f t="shared" si="0"/>
        <v>1334.16</v>
      </c>
      <c r="F12" s="7">
        <f t="shared" si="1"/>
        <v>5.3951128601337538E-3</v>
      </c>
      <c r="G12" s="18">
        <f t="shared" si="2"/>
        <v>8799.4290748781532</v>
      </c>
      <c r="H12" s="12">
        <f t="shared" si="3"/>
        <v>7.9145791283307732E-2</v>
      </c>
      <c r="J12" s="80"/>
    </row>
    <row r="13" spans="2:10" x14ac:dyDescent="0.25">
      <c r="B13" s="31" t="str">
        <f>+'County Data'!$B$18</f>
        <v>County 8</v>
      </c>
      <c r="C13" s="20">
        <f>VLOOKUP($B13,'County Data'!$B$11:$L$44,3,FALSE)</f>
        <v>22805</v>
      </c>
      <c r="D13" s="73">
        <f>VLOOKUP($B13,'County Data'!$B$11:$L$44,10,FALSE)</f>
        <v>1.2E-2</v>
      </c>
      <c r="E13" s="79">
        <f t="shared" si="0"/>
        <v>273.66000000000003</v>
      </c>
      <c r="F13" s="7">
        <f t="shared" si="1"/>
        <v>1.1066338260060286E-3</v>
      </c>
      <c r="G13" s="18">
        <f t="shared" si="2"/>
        <v>1804.9197702158326</v>
      </c>
      <c r="H13" s="12">
        <f t="shared" si="3"/>
        <v>7.9145791283307718E-2</v>
      </c>
      <c r="J13" s="80"/>
    </row>
    <row r="14" spans="2:10" x14ac:dyDescent="0.25">
      <c r="B14" s="31" t="str">
        <f>+'County Data'!$B$15</f>
        <v>County 5</v>
      </c>
      <c r="C14" s="20">
        <f>VLOOKUP($B14,'County Data'!$B$11:$L$44,3,FALSE)</f>
        <v>51345</v>
      </c>
      <c r="D14" s="73">
        <f>VLOOKUP($B14,'County Data'!$B$11:$L$44,10,FALSE)</f>
        <v>1.4E-2</v>
      </c>
      <c r="E14" s="79">
        <f t="shared" si="0"/>
        <v>718.83</v>
      </c>
      <c r="F14" s="7">
        <f t="shared" si="1"/>
        <v>2.9068245017463768E-3</v>
      </c>
      <c r="G14" s="18">
        <f t="shared" si="2"/>
        <v>4741.0307623483404</v>
      </c>
      <c r="H14" s="12">
        <f t="shared" si="3"/>
        <v>9.2336756497192335E-2</v>
      </c>
      <c r="J14" s="80"/>
    </row>
    <row r="15" spans="2:10" x14ac:dyDescent="0.25">
      <c r="B15" s="31" t="str">
        <f>+'County Data'!$B$26</f>
        <v>County 16</v>
      </c>
      <c r="C15" s="20">
        <f>VLOOKUP($B15,'County Data'!$B$11:$L$44,3,FALSE)</f>
        <v>85650</v>
      </c>
      <c r="D15" s="73">
        <f>VLOOKUP($B15,'County Data'!$B$11:$L$44,10,FALSE)</f>
        <v>1.2E-2</v>
      </c>
      <c r="E15" s="79">
        <f t="shared" si="0"/>
        <v>1027.8</v>
      </c>
      <c r="F15" s="7">
        <f t="shared" si="1"/>
        <v>4.1562458757911135E-3</v>
      </c>
      <c r="G15" s="18">
        <f t="shared" si="2"/>
        <v>6778.8370234153062</v>
      </c>
      <c r="H15" s="12">
        <f t="shared" si="3"/>
        <v>7.9145791283307718E-2</v>
      </c>
      <c r="J15" s="80"/>
    </row>
    <row r="16" spans="2:10" x14ac:dyDescent="0.25">
      <c r="B16" s="31" t="str">
        <f>+'County Data'!$B$16</f>
        <v>County 6</v>
      </c>
      <c r="C16" s="20">
        <f>VLOOKUP($B16,'County Data'!$B$11:$L$44,3,FALSE)</f>
        <v>63310</v>
      </c>
      <c r="D16" s="73">
        <f>VLOOKUP($B16,'County Data'!$B$11:$L$44,10,FALSE)</f>
        <v>1.4999999999999999E-2</v>
      </c>
      <c r="E16" s="79">
        <f t="shared" si="0"/>
        <v>949.65</v>
      </c>
      <c r="F16" s="7">
        <f t="shared" si="1"/>
        <v>3.8402207588490275E-3</v>
      </c>
      <c r="G16" s="18">
        <f t="shared" si="2"/>
        <v>6263.4000576827639</v>
      </c>
      <c r="H16" s="12">
        <f t="shared" si="3"/>
        <v>9.8932239104134637E-2</v>
      </c>
      <c r="J16" s="80"/>
    </row>
    <row r="17" spans="2:10" x14ac:dyDescent="0.25">
      <c r="B17" s="31" t="str">
        <f>+'County Data'!$B$17</f>
        <v>County 7</v>
      </c>
      <c r="C17" s="20">
        <f>VLOOKUP($B17,'County Data'!$B$11:$L$44,3,FALSE)</f>
        <v>22105</v>
      </c>
      <c r="D17" s="73">
        <f>VLOOKUP($B17,'County Data'!$B$11:$L$44,10,FALSE)</f>
        <v>7.0000000000000001E-3</v>
      </c>
      <c r="E17" s="79">
        <f t="shared" si="0"/>
        <v>154.73500000000001</v>
      </c>
      <c r="F17" s="7">
        <f t="shared" si="1"/>
        <v>6.2572164389038522E-4</v>
      </c>
      <c r="G17" s="18">
        <f t="shared" si="2"/>
        <v>1020.5520011852183</v>
      </c>
      <c r="H17" s="12">
        <f t="shared" si="3"/>
        <v>4.6168378248596167E-2</v>
      </c>
      <c r="J17" s="80"/>
    </row>
    <row r="18" spans="2:10" x14ac:dyDescent="0.25">
      <c r="B18" s="31" t="str">
        <f>+'County Data'!$B$28</f>
        <v>County 18</v>
      </c>
      <c r="C18" s="20">
        <f>VLOOKUP($B18,'County Data'!$B$11:$L$44,3,FALSE)</f>
        <v>8120</v>
      </c>
      <c r="D18" s="73">
        <f>VLOOKUP($B18,'County Data'!$B$11:$L$44,10,FALSE)</f>
        <v>2.5000000000000001E-2</v>
      </c>
      <c r="E18" s="79">
        <f t="shared" si="0"/>
        <v>203</v>
      </c>
      <c r="F18" s="7">
        <f t="shared" si="1"/>
        <v>8.2089697682972951E-4</v>
      </c>
      <c r="G18" s="18">
        <f t="shared" si="2"/>
        <v>1338.8829692092888</v>
      </c>
      <c r="H18" s="12">
        <f t="shared" si="3"/>
        <v>0.16488706517355775</v>
      </c>
      <c r="J18" s="80"/>
    </row>
    <row r="19" spans="2:10" x14ac:dyDescent="0.25">
      <c r="B19" s="31" t="str">
        <f>+'County Data'!$B$40</f>
        <v>County 30</v>
      </c>
      <c r="C19" s="20">
        <f>VLOOKUP($B19,'County Data'!$B$11:$L$44,3,FALSE)</f>
        <v>26900</v>
      </c>
      <c r="D19" s="73">
        <f>VLOOKUP($B19,'County Data'!$B$11:$L$44,10,FALSE)</f>
        <v>1.4E-2</v>
      </c>
      <c r="E19" s="79">
        <f t="shared" si="0"/>
        <v>376.6</v>
      </c>
      <c r="F19" s="7">
        <f t="shared" si="1"/>
        <v>1.5229054259806706E-3</v>
      </c>
      <c r="G19" s="18">
        <f t="shared" si="2"/>
        <v>2483.8587497744738</v>
      </c>
      <c r="H19" s="12">
        <f t="shared" si="3"/>
        <v>9.2336756497192335E-2</v>
      </c>
      <c r="J19" s="80"/>
    </row>
    <row r="20" spans="2:10" x14ac:dyDescent="0.25">
      <c r="B20" s="31" t="str">
        <f>+'County Data'!$B$31</f>
        <v>County 21</v>
      </c>
      <c r="C20" s="20">
        <f>VLOOKUP($B20,'County Data'!$B$11:$L$44,3,FALSE)</f>
        <v>124010</v>
      </c>
      <c r="D20" s="73">
        <f>VLOOKUP($B20,'County Data'!$B$11:$L$44,10,FALSE)</f>
        <v>2.1000000000000001E-2</v>
      </c>
      <c r="E20" s="79">
        <f t="shared" si="0"/>
        <v>2604.21</v>
      </c>
      <c r="F20" s="7">
        <f t="shared" si="1"/>
        <v>1.0530975941033251E-2</v>
      </c>
      <c r="G20" s="18">
        <f t="shared" si="2"/>
        <v>17176.021759825231</v>
      </c>
      <c r="H20" s="12">
        <f t="shared" si="3"/>
        <v>0.13850513474578849</v>
      </c>
      <c r="J20" s="80"/>
    </row>
    <row r="21" spans="2:10" x14ac:dyDescent="0.25">
      <c r="B21" s="31" t="str">
        <f>+'County Data'!$B$19</f>
        <v>County 9</v>
      </c>
      <c r="C21" s="20">
        <f>VLOOKUP($B21,'County Data'!$B$11:$L$44,3,FALSE)</f>
        <v>182930</v>
      </c>
      <c r="D21" s="73">
        <f>VLOOKUP($B21,'County Data'!$B$11:$L$44,10,FALSE)</f>
        <v>0.02</v>
      </c>
      <c r="E21" s="79">
        <f t="shared" si="0"/>
        <v>3658.6</v>
      </c>
      <c r="F21" s="7">
        <f t="shared" si="1"/>
        <v>1.4794747189306642E-2</v>
      </c>
      <c r="G21" s="18">
        <f t="shared" si="2"/>
        <v>24130.232665759133</v>
      </c>
      <c r="H21" s="12">
        <f t="shared" si="3"/>
        <v>0.13190965213884617</v>
      </c>
      <c r="J21" s="80"/>
    </row>
    <row r="22" spans="2:10" x14ac:dyDescent="0.25">
      <c r="B22" s="31" t="str">
        <f>+'County Data'!$B$14</f>
        <v>County 4</v>
      </c>
      <c r="C22" s="20">
        <f>VLOOKUP($B22,'County Data'!$B$11:$L$44,3,FALSE)</f>
        <v>38820</v>
      </c>
      <c r="D22" s="73">
        <f>VLOOKUP($B22,'County Data'!$B$11:$L$44,10,FALSE)</f>
        <v>2.9000000000000001E-2</v>
      </c>
      <c r="E22" s="79">
        <f t="shared" si="0"/>
        <v>1125.78</v>
      </c>
      <c r="F22" s="7">
        <f t="shared" si="1"/>
        <v>4.5524600915043002E-3</v>
      </c>
      <c r="G22" s="18">
        <f t="shared" si="2"/>
        <v>7425.0624092435137</v>
      </c>
      <c r="H22" s="12">
        <f t="shared" si="3"/>
        <v>0.19126899560132699</v>
      </c>
      <c r="J22" s="80"/>
    </row>
    <row r="23" spans="2:10" x14ac:dyDescent="0.25">
      <c r="B23" s="31" t="str">
        <f>+'County Data'!$B$29</f>
        <v>County 19</v>
      </c>
      <c r="C23" s="20">
        <f>VLOOKUP($B23,'County Data'!$B$11:$L$44,3,FALSE)</f>
        <v>370600</v>
      </c>
      <c r="D23" s="73">
        <f>VLOOKUP($B23,'County Data'!$B$11:$L$44,10,FALSE)</f>
        <v>2.8000000000000001E-2</v>
      </c>
      <c r="E23" s="79">
        <f t="shared" si="0"/>
        <v>10376.800000000001</v>
      </c>
      <c r="F23" s="7">
        <f t="shared" si="1"/>
        <v>4.1961988912151423E-2</v>
      </c>
      <c r="G23" s="18">
        <f t="shared" si="2"/>
        <v>68440.003915718975</v>
      </c>
      <c r="H23" s="12">
        <f t="shared" si="3"/>
        <v>0.18467351299438473</v>
      </c>
      <c r="J23" s="80"/>
    </row>
    <row r="24" spans="2:10" x14ac:dyDescent="0.25">
      <c r="B24" s="31" t="str">
        <f>+'County Data'!$B$30</f>
        <v>County 20</v>
      </c>
      <c r="C24" s="20">
        <f>VLOOKUP($B24,'County Data'!$B$11:$L$44,3,FALSE)</f>
        <v>47960</v>
      </c>
      <c r="D24" s="73">
        <f>VLOOKUP($B24,'County Data'!$B$11:$L$44,10,FALSE)</f>
        <v>3.1E-2</v>
      </c>
      <c r="E24" s="79">
        <f t="shared" si="0"/>
        <v>1486.76</v>
      </c>
      <c r="F24" s="7">
        <f t="shared" si="1"/>
        <v>6.0122009323712745E-3</v>
      </c>
      <c r="G24" s="18">
        <f t="shared" si="2"/>
        <v>9805.8997206975491</v>
      </c>
      <c r="H24" s="12">
        <f t="shared" si="3"/>
        <v>0.20445996081521162</v>
      </c>
      <c r="J24" s="80"/>
    </row>
    <row r="25" spans="2:10" x14ac:dyDescent="0.25">
      <c r="B25" s="31" t="str">
        <f>+'County Data'!$B$12</f>
        <v>County 2</v>
      </c>
      <c r="C25" s="20">
        <f>VLOOKUP($B25,'County Data'!$B$11:$L$44,3,FALSE)</f>
        <v>92575</v>
      </c>
      <c r="D25" s="73">
        <f>VLOOKUP($B25,'County Data'!$B$11:$L$44,10,FALSE)</f>
        <v>3.9E-2</v>
      </c>
      <c r="E25" s="79">
        <f t="shared" si="0"/>
        <v>3610.4250000000002</v>
      </c>
      <c r="F25" s="7">
        <f t="shared" si="1"/>
        <v>1.4599935800839785E-2</v>
      </c>
      <c r="G25" s="18">
        <f t="shared" si="2"/>
        <v>23812.495291169689</v>
      </c>
      <c r="H25" s="12">
        <f t="shared" si="3"/>
        <v>0.25722382167075009</v>
      </c>
      <c r="J25" s="80"/>
    </row>
    <row r="26" spans="2:10" x14ac:dyDescent="0.25">
      <c r="B26" s="31" t="str">
        <f>+'County Data'!$B$38</f>
        <v>County 28</v>
      </c>
      <c r="C26" s="20">
        <f>VLOOKUP($B26,'County Data'!$B$11:$L$44,3,FALSE)</f>
        <v>26175</v>
      </c>
      <c r="D26" s="73">
        <f>VLOOKUP($B26,'County Data'!$B$11:$L$44,10,FALSE)</f>
        <v>2.4E-2</v>
      </c>
      <c r="E26" s="79">
        <f t="shared" si="0"/>
        <v>628.20000000000005</v>
      </c>
      <c r="F26" s="7">
        <f t="shared" si="1"/>
        <v>2.5403324179528873E-3</v>
      </c>
      <c r="G26" s="18">
        <f t="shared" si="2"/>
        <v>4143.2821736811593</v>
      </c>
      <c r="H26" s="12">
        <f t="shared" si="3"/>
        <v>0.15829158256661544</v>
      </c>
      <c r="J26" s="80"/>
    </row>
    <row r="27" spans="2:10" x14ac:dyDescent="0.25">
      <c r="B27" s="31" t="str">
        <f>+'County Data'!$B$27</f>
        <v>County 17</v>
      </c>
      <c r="C27" s="20">
        <f>VLOOKUP($B27,'County Data'!$B$11:$L$44,3,FALSE)</f>
        <v>67690</v>
      </c>
      <c r="D27" s="73">
        <f>VLOOKUP($B27,'County Data'!$B$11:$L$44,10,FALSE)</f>
        <v>0.03</v>
      </c>
      <c r="E27" s="79">
        <f t="shared" si="0"/>
        <v>2030.6999999999998</v>
      </c>
      <c r="F27" s="7">
        <f t="shared" si="1"/>
        <v>8.2118004475277423E-3</v>
      </c>
      <c r="G27" s="18">
        <f t="shared" si="2"/>
        <v>13393.446529917748</v>
      </c>
      <c r="H27" s="12">
        <f t="shared" si="3"/>
        <v>0.1978644782082693</v>
      </c>
      <c r="J27" s="80"/>
    </row>
    <row r="28" spans="2:10" x14ac:dyDescent="0.25">
      <c r="B28" s="31" t="str">
        <f>+'County Data'!$B$24</f>
        <v>County 14</v>
      </c>
      <c r="C28" s="20">
        <f>VLOOKUP($B28,'County Data'!$B$11:$L$44,3,FALSE)</f>
        <v>216900</v>
      </c>
      <c r="D28" s="73">
        <f>VLOOKUP($B28,'County Data'!$B$11:$L$44,10,FALSE)</f>
        <v>3.5000000000000003E-2</v>
      </c>
      <c r="E28" s="79">
        <f t="shared" si="0"/>
        <v>7591.5000000000009</v>
      </c>
      <c r="F28" s="7">
        <f t="shared" si="1"/>
        <v>3.0698716254201442E-2</v>
      </c>
      <c r="G28" s="18">
        <f t="shared" si="2"/>
        <v>50069.606210602549</v>
      </c>
      <c r="H28" s="12">
        <f t="shared" si="3"/>
        <v>0.23084189124298085</v>
      </c>
      <c r="J28" s="80"/>
    </row>
    <row r="29" spans="2:10" x14ac:dyDescent="0.25">
      <c r="B29" s="31" t="str">
        <f>+'County Data'!$B$13</f>
        <v>County 3</v>
      </c>
      <c r="C29" s="20">
        <f>VLOOKUP($B29,'County Data'!$B$11:$L$44,3,FALSE)</f>
        <v>413000</v>
      </c>
      <c r="D29" s="73">
        <f>VLOOKUP($B29,'County Data'!$B$11:$L$44,10,FALSE)</f>
        <v>4.3999999999999997E-2</v>
      </c>
      <c r="E29" s="79">
        <f t="shared" si="0"/>
        <v>18172</v>
      </c>
      <c r="F29" s="7">
        <f t="shared" si="1"/>
        <v>7.3484432822413029E-2</v>
      </c>
      <c r="G29" s="18">
        <f t="shared" si="2"/>
        <v>119853.10993335565</v>
      </c>
      <c r="H29" s="12">
        <f t="shared" si="3"/>
        <v>0.29020123470546161</v>
      </c>
      <c r="J29" s="80"/>
    </row>
    <row r="30" spans="2:10" x14ac:dyDescent="0.25">
      <c r="B30" s="31" t="str">
        <f>+'County Data'!$B$37</f>
        <v>County 27</v>
      </c>
      <c r="C30" s="20">
        <f>VLOOKUP($B30,'County Data'!$B$11:$L$44,3,FALSE)</f>
        <v>81000</v>
      </c>
      <c r="D30" s="73">
        <f>VLOOKUP($B30,'County Data'!$B$11:$L$44,10,FALSE)</f>
        <v>4.3999999999999997E-2</v>
      </c>
      <c r="E30" s="79">
        <f t="shared" si="0"/>
        <v>3564</v>
      </c>
      <c r="F30" s="7">
        <f t="shared" si="1"/>
        <v>1.4412201110449045E-2</v>
      </c>
      <c r="G30" s="18">
        <f t="shared" si="2"/>
        <v>23506.300011142393</v>
      </c>
      <c r="H30" s="12">
        <f t="shared" si="3"/>
        <v>0.29020123470546166</v>
      </c>
      <c r="J30" s="80"/>
    </row>
    <row r="31" spans="2:10" x14ac:dyDescent="0.25">
      <c r="B31" s="31" t="str">
        <f>+'County Data'!$B$44</f>
        <v>County 34</v>
      </c>
      <c r="C31" s="20">
        <f>VLOOKUP($B31,'County Data'!$B$11:$L$44,3,FALSE)</f>
        <v>106300</v>
      </c>
      <c r="D31" s="73">
        <f>VLOOKUP($B31,'County Data'!$B$11:$L$44,10,FALSE)</f>
        <v>5.3999999999999999E-2</v>
      </c>
      <c r="E31" s="79">
        <f t="shared" si="0"/>
        <v>5740.2</v>
      </c>
      <c r="F31" s="7">
        <f t="shared" si="1"/>
        <v>2.3212378455162629E-2</v>
      </c>
      <c r="G31" s="18">
        <f t="shared" si="2"/>
        <v>37859.389260370248</v>
      </c>
      <c r="H31" s="12">
        <f t="shared" si="3"/>
        <v>0.35615606077488476</v>
      </c>
      <c r="J31" s="80"/>
    </row>
    <row r="32" spans="2:10" x14ac:dyDescent="0.25">
      <c r="B32" s="31" t="str">
        <f>+'County Data'!$B$25</f>
        <v>County 15</v>
      </c>
      <c r="C32" s="20">
        <f>VLOOKUP($B32,'County Data'!$B$11:$L$44,3,FALSE)</f>
        <v>23190</v>
      </c>
      <c r="D32" s="73">
        <f>VLOOKUP($B32,'County Data'!$B$11:$L$44,10,FALSE)</f>
        <v>4.5999999999999999E-2</v>
      </c>
      <c r="E32" s="79">
        <f t="shared" si="0"/>
        <v>1066.74</v>
      </c>
      <c r="F32" s="7">
        <f t="shared" si="1"/>
        <v>4.3137125175534271E-3</v>
      </c>
      <c r="G32" s="18">
        <f t="shared" si="2"/>
        <v>7035.6651161296395</v>
      </c>
      <c r="H32" s="12">
        <f t="shared" si="3"/>
        <v>0.30339219991934624</v>
      </c>
      <c r="J32" s="80"/>
    </row>
    <row r="33" spans="2:10" x14ac:dyDescent="0.25">
      <c r="B33" s="31" t="str">
        <f>+'County Data'!$B$36</f>
        <v>County 26</v>
      </c>
      <c r="C33" s="20">
        <f>VLOOKUP($B33,'County Data'!$B$11:$L$44,3,FALSE)</f>
        <v>30895</v>
      </c>
      <c r="D33" s="73">
        <f>VLOOKUP($B33,'County Data'!$B$11:$L$44,10,FALSE)</f>
        <v>5.5513058682111247E-2</v>
      </c>
      <c r="E33" s="79">
        <f t="shared" si="0"/>
        <v>1715.0759479838271</v>
      </c>
      <c r="F33" s="7">
        <f t="shared" si="1"/>
        <v>6.9354712351394386E-3</v>
      </c>
      <c r="G33" s="18">
        <f t="shared" si="2"/>
        <v>11311.753584512424</v>
      </c>
      <c r="H33" s="12">
        <f t="shared" si="3"/>
        <v>0.36613541299603247</v>
      </c>
      <c r="J33" s="80"/>
    </row>
    <row r="34" spans="2:10" x14ac:dyDescent="0.25">
      <c r="B34" s="31" t="str">
        <f>+'County Data'!$B$39</f>
        <v>County 29</v>
      </c>
      <c r="C34" s="20">
        <f>VLOOKUP($B34,'County Data'!$B$11:$L$44,3,FALSE)</f>
        <v>80500</v>
      </c>
      <c r="D34" s="73">
        <f>VLOOKUP($B34,'County Data'!$B$11:$L$44,10,FALSE)</f>
        <v>0.104</v>
      </c>
      <c r="E34" s="79">
        <f t="shared" si="0"/>
        <v>8372</v>
      </c>
      <c r="F34" s="7">
        <f t="shared" si="1"/>
        <v>3.3854923596150222E-2</v>
      </c>
      <c r="G34" s="18">
        <f t="shared" si="2"/>
        <v>55217.380385321012</v>
      </c>
      <c r="H34" s="12">
        <f t="shared" si="3"/>
        <v>0.68593019112200015</v>
      </c>
      <c r="J34" s="80"/>
    </row>
    <row r="35" spans="2:10" x14ac:dyDescent="0.25">
      <c r="B35" s="31" t="str">
        <f>+'County Data'!$B$35</f>
        <v>County 25</v>
      </c>
      <c r="C35" s="20">
        <f>VLOOKUP($B35,'County Data'!$B$11:$L$44,3,FALSE)</f>
        <v>803000</v>
      </c>
      <c r="D35" s="73">
        <f>VLOOKUP($B35,'County Data'!$B$11:$L$44,10,FALSE)</f>
        <v>8.5999999999999993E-2</v>
      </c>
      <c r="E35" s="79">
        <f t="shared" si="0"/>
        <v>69058</v>
      </c>
      <c r="F35" s="7">
        <f t="shared" si="1"/>
        <v>0.27925863756604663</v>
      </c>
      <c r="G35" s="18">
        <f t="shared" si="2"/>
        <v>455470.83787022205</v>
      </c>
      <c r="H35" s="12">
        <f t="shared" si="3"/>
        <v>0.5672115041970387</v>
      </c>
      <c r="J35" s="80"/>
    </row>
    <row r="36" spans="2:10" x14ac:dyDescent="0.25">
      <c r="B36" s="31" t="str">
        <f>+'County Data'!$B$42</f>
        <v>County 32</v>
      </c>
      <c r="C36" s="20">
        <f>VLOOKUP($B36,'County Data'!$B$11:$L$44,3,FALSE)</f>
        <v>595860</v>
      </c>
      <c r="D36" s="73">
        <f>VLOOKUP($B36,'County Data'!$B$11:$L$44,10,FALSE)</f>
        <v>9.5000000000000001E-2</v>
      </c>
      <c r="E36" s="79">
        <f t="shared" si="0"/>
        <v>56606.7</v>
      </c>
      <c r="F36" s="7">
        <f t="shared" si="1"/>
        <v>0.22890772856309088</v>
      </c>
      <c r="G36" s="18">
        <f t="shared" si="2"/>
        <v>373348.50528640125</v>
      </c>
      <c r="H36" s="12">
        <f t="shared" si="3"/>
        <v>0.62657084765951943</v>
      </c>
      <c r="J36" s="80"/>
    </row>
    <row r="37" spans="2:10" x14ac:dyDescent="0.25">
      <c r="B37" s="31" t="str">
        <f>+'County Data'!$B$32</f>
        <v>County 22</v>
      </c>
      <c r="C37" s="20">
        <f>VLOOKUP($B37,'County Data'!$B$11:$L$44,3,FALSE)</f>
        <v>31845</v>
      </c>
      <c r="D37" s="73">
        <f>VLOOKUP($B37,'County Data'!$B$11:$L$44,10,FALSE)</f>
        <v>9.1999999999999998E-2</v>
      </c>
      <c r="E37" s="79">
        <f t="shared" si="0"/>
        <v>2929.74</v>
      </c>
      <c r="F37" s="7">
        <f t="shared" si="1"/>
        <v>1.1847363098015427E-2</v>
      </c>
      <c r="G37" s="18">
        <f t="shared" si="2"/>
        <v>19323.049212863163</v>
      </c>
      <c r="H37" s="12">
        <f t="shared" si="3"/>
        <v>0.60678439983869248</v>
      </c>
      <c r="J37" s="80"/>
    </row>
    <row r="38" spans="2:10" x14ac:dyDescent="0.25">
      <c r="B38" s="31" t="str">
        <f>+'County Data'!$B$33</f>
        <v>County 23</v>
      </c>
      <c r="C38" s="20">
        <f>VLOOKUP($B38,'County Data'!$B$11:$L$44,3,FALSE)</f>
        <v>339200</v>
      </c>
      <c r="D38" s="73">
        <f>VLOOKUP($B38,'County Data'!$B$11:$L$44,10,FALSE)</f>
        <v>0.106</v>
      </c>
      <c r="E38" s="79">
        <f t="shared" si="0"/>
        <v>35955.199999999997</v>
      </c>
      <c r="F38" s="7">
        <f t="shared" si="1"/>
        <v>0.14539662552368615</v>
      </c>
      <c r="G38" s="18">
        <f t="shared" si="2"/>
        <v>237141.89622913211</v>
      </c>
      <c r="H38" s="12">
        <f t="shared" si="3"/>
        <v>0.69912115633588479</v>
      </c>
      <c r="J38" s="80"/>
    </row>
    <row r="39" spans="2:10" x14ac:dyDescent="0.25">
      <c r="B39" s="31" t="str">
        <f>+'County Data'!$B$34</f>
        <v>County 24</v>
      </c>
      <c r="C39" s="20">
        <f>VLOOKUP($B39,'County Data'!$B$11:$L$44,3,FALSE)</f>
        <v>11890</v>
      </c>
      <c r="D39" s="73">
        <f>VLOOKUP($B39,'County Data'!$B$11:$L$44,10,FALSE)</f>
        <v>0.16</v>
      </c>
      <c r="E39" s="79">
        <f t="shared" si="0"/>
        <v>1902.4</v>
      </c>
      <c r="F39" s="7">
        <f t="shared" si="1"/>
        <v>7.6929773828614658E-3</v>
      </c>
      <c r="G39" s="18">
        <f t="shared" si="2"/>
        <v>12547.24611144705</v>
      </c>
      <c r="H39" s="12">
        <f t="shared" si="3"/>
        <v>1.0552772171107696</v>
      </c>
      <c r="J39" s="80"/>
    </row>
    <row r="40" spans="2:10" x14ac:dyDescent="0.25">
      <c r="B40" s="31" t="str">
        <f>+'County Data'!$B$23</f>
        <v>County 13</v>
      </c>
      <c r="C40" s="20">
        <f>VLOOKUP($B40,'County Data'!$B$11:$L$44,3,FALSE)</f>
        <v>25145</v>
      </c>
      <c r="D40" s="73">
        <f>VLOOKUP($B40,'County Data'!$B$11:$L$44,10,FALSE)</f>
        <v>0.14499999999999999</v>
      </c>
      <c r="E40" s="79">
        <f t="shared" si="0"/>
        <v>3646.0249999999996</v>
      </c>
      <c r="F40" s="7">
        <f t="shared" si="1"/>
        <v>1.474389605884539E-2</v>
      </c>
      <c r="G40" s="18">
        <f t="shared" si="2"/>
        <v>24047.294471976831</v>
      </c>
      <c r="H40" s="12">
        <f t="shared" si="3"/>
        <v>0.95634497800663476</v>
      </c>
      <c r="J40" s="80"/>
    </row>
    <row r="41" spans="2:10" x14ac:dyDescent="0.25">
      <c r="B41" s="5" t="s">
        <v>3</v>
      </c>
      <c r="C41" s="6">
        <f>SUM(C7:C40)</f>
        <v>4141100</v>
      </c>
      <c r="D41" s="6"/>
      <c r="E41" s="6">
        <f>SUM(E7:E40)</f>
        <v>247290.47094798385</v>
      </c>
      <c r="F41" s="81">
        <f>SUM(F7:F40)</f>
        <v>0.99999999999999989</v>
      </c>
      <c r="G41" s="13">
        <f>SUM(G7:G40)</f>
        <v>1630999.9999999998</v>
      </c>
      <c r="H41" s="14">
        <f t="shared" ref="H41" si="4">G41/C41</f>
        <v>0.39385670474028633</v>
      </c>
    </row>
  </sheetData>
  <sortState ref="B7:H40">
    <sortCondition ref="D7:D40"/>
  </sortState>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41"/>
  <sheetViews>
    <sheetView workbookViewId="0"/>
  </sheetViews>
  <sheetFormatPr defaultRowHeight="15" x14ac:dyDescent="0.25"/>
  <cols>
    <col min="2" max="2" width="17.42578125" bestFit="1" customWidth="1"/>
    <col min="3" max="3" width="11.85546875" bestFit="1" customWidth="1"/>
    <col min="4" max="5" width="11.85546875" customWidth="1"/>
    <col min="6" max="6" width="7.140625" customWidth="1"/>
    <col min="7" max="7" width="14.140625" customWidth="1"/>
    <col min="8" max="8" width="10" bestFit="1" customWidth="1"/>
    <col min="9" max="9" width="13.5703125" bestFit="1" customWidth="1"/>
  </cols>
  <sheetData>
    <row r="3" spans="2:8" x14ac:dyDescent="0.25">
      <c r="B3" t="s">
        <v>0</v>
      </c>
      <c r="C3" s="1">
        <f>'County Data'!C6</f>
        <v>10000000</v>
      </c>
    </row>
    <row r="4" spans="2:8" x14ac:dyDescent="0.25">
      <c r="B4" t="s">
        <v>88</v>
      </c>
      <c r="C4" s="18">
        <f>'County Data'!L10</f>
        <v>0</v>
      </c>
    </row>
    <row r="6" spans="2:8" s="2" customFormat="1" ht="30" x14ac:dyDescent="0.25">
      <c r="B6" s="3" t="s">
        <v>8</v>
      </c>
      <c r="C6" s="3" t="s">
        <v>1</v>
      </c>
      <c r="D6" s="3" t="s">
        <v>20</v>
      </c>
      <c r="E6" s="3" t="s">
        <v>21</v>
      </c>
      <c r="F6" s="3" t="s">
        <v>4</v>
      </c>
      <c r="G6" s="17" t="s">
        <v>16</v>
      </c>
      <c r="H6" s="3" t="s">
        <v>7</v>
      </c>
    </row>
    <row r="7" spans="2:8" x14ac:dyDescent="0.25">
      <c r="B7" s="31" t="str">
        <f>'County Data'!$B$43</f>
        <v>County 33</v>
      </c>
      <c r="C7" s="20">
        <f>VLOOKUP($B7,'County Data'!$B$11:$M$44,3,FALSE)</f>
        <v>1480</v>
      </c>
      <c r="D7" s="20" t="str">
        <f>VLOOKUP(B7,'County Data'!$B$11:$M$44,11,FALSE)</f>
        <v>Y</v>
      </c>
      <c r="E7" s="20">
        <f t="shared" ref="E7:E40" si="0">IF(D7="Y",C7,0)</f>
        <v>1480</v>
      </c>
      <c r="F7" s="7">
        <f t="shared" ref="F7:F40" si="1">E7/$E$41</f>
        <v>3.5739296322233224E-4</v>
      </c>
      <c r="G7" s="18">
        <f t="shared" ref="G7:G40" si="2">$C$4*F7</f>
        <v>0</v>
      </c>
      <c r="H7" s="12">
        <f t="shared" ref="H7:H40" si="3">G7/C7</f>
        <v>0</v>
      </c>
    </row>
    <row r="8" spans="2:8" x14ac:dyDescent="0.25">
      <c r="B8" s="31" t="str">
        <f>+'County Data'!$B$41</f>
        <v>County 31</v>
      </c>
      <c r="C8" s="20">
        <f>VLOOKUP($B8,'County Data'!$B$11:$M$44,3,FALSE)</f>
        <v>7195</v>
      </c>
      <c r="D8" s="20" t="str">
        <f>VLOOKUP(B8,'County Data'!$B$11:$M$44,11,FALSE)</f>
        <v>Y</v>
      </c>
      <c r="E8" s="20">
        <f t="shared" si="0"/>
        <v>7195</v>
      </c>
      <c r="F8" s="7">
        <f t="shared" si="1"/>
        <v>1.7374610610707299E-3</v>
      </c>
      <c r="G8" s="18">
        <f t="shared" si="2"/>
        <v>0</v>
      </c>
      <c r="H8" s="12">
        <f t="shared" si="3"/>
        <v>0</v>
      </c>
    </row>
    <row r="9" spans="2:8" x14ac:dyDescent="0.25">
      <c r="B9" s="31" t="str">
        <f>+'County Data'!$B$22</f>
        <v>County 12</v>
      </c>
      <c r="C9" s="20">
        <f>VLOOKUP($B9,'County Data'!$B$11:$M$44,3,FALSE)</f>
        <v>7360</v>
      </c>
      <c r="D9" s="20" t="str">
        <f>VLOOKUP(B9,'County Data'!$B$11:$M$44,11,FALSE)</f>
        <v>Y</v>
      </c>
      <c r="E9" s="20">
        <f t="shared" si="0"/>
        <v>7360</v>
      </c>
      <c r="F9" s="7">
        <f t="shared" si="1"/>
        <v>1.777305546835382E-3</v>
      </c>
      <c r="G9" s="18">
        <f t="shared" si="2"/>
        <v>0</v>
      </c>
      <c r="H9" s="12">
        <f t="shared" si="3"/>
        <v>0</v>
      </c>
    </row>
    <row r="10" spans="2:8" x14ac:dyDescent="0.25">
      <c r="B10" s="31" t="str">
        <f>+'County Data'!$B$21</f>
        <v>County 11</v>
      </c>
      <c r="C10" s="20">
        <f>VLOOKUP($B10,'County Data'!$B$11:$M$44,3,FALSE)</f>
        <v>7415</v>
      </c>
      <c r="D10" s="20" t="str">
        <f>VLOOKUP(B10,'County Data'!$B$11:$M$44,11,FALSE)</f>
        <v>Y</v>
      </c>
      <c r="E10" s="20">
        <f t="shared" si="0"/>
        <v>7415</v>
      </c>
      <c r="F10" s="7">
        <f t="shared" si="1"/>
        <v>1.7905870420902659E-3</v>
      </c>
      <c r="G10" s="18">
        <f t="shared" si="2"/>
        <v>0</v>
      </c>
      <c r="H10" s="12">
        <f t="shared" si="3"/>
        <v>0</v>
      </c>
    </row>
    <row r="11" spans="2:8" x14ac:dyDescent="0.25">
      <c r="B11" s="31" t="str">
        <f>+'County Data'!$B$28</f>
        <v>County 18</v>
      </c>
      <c r="C11" s="20">
        <f>VLOOKUP($B11,'County Data'!$B$11:$M$44,3,FALSE)</f>
        <v>8120</v>
      </c>
      <c r="D11" s="20" t="str">
        <f>VLOOKUP(B11,'County Data'!$B$11:$M$44,11,FALSE)</f>
        <v>Y</v>
      </c>
      <c r="E11" s="20">
        <f t="shared" si="0"/>
        <v>8120</v>
      </c>
      <c r="F11" s="7">
        <f t="shared" si="1"/>
        <v>1.9608316630846875E-3</v>
      </c>
      <c r="G11" s="18">
        <f t="shared" si="2"/>
        <v>0</v>
      </c>
      <c r="H11" s="12">
        <f t="shared" si="3"/>
        <v>0</v>
      </c>
    </row>
    <row r="12" spans="2:8" x14ac:dyDescent="0.25">
      <c r="B12" s="31" t="str">
        <f>+'County Data'!$B$34</f>
        <v>County 24</v>
      </c>
      <c r="C12" s="20">
        <f>VLOOKUP($B12,'County Data'!$B$11:$M$44,3,FALSE)</f>
        <v>11890</v>
      </c>
      <c r="D12" s="20" t="str">
        <f>VLOOKUP(B12,'County Data'!$B$11:$M$44,11,FALSE)</f>
        <v>Y</v>
      </c>
      <c r="E12" s="20">
        <f t="shared" si="0"/>
        <v>11890</v>
      </c>
      <c r="F12" s="7">
        <f t="shared" si="1"/>
        <v>2.8712177923740068E-3</v>
      </c>
      <c r="G12" s="18">
        <f t="shared" si="2"/>
        <v>0</v>
      </c>
      <c r="H12" s="12">
        <f t="shared" si="3"/>
        <v>0</v>
      </c>
    </row>
    <row r="13" spans="2:8" x14ac:dyDescent="0.25">
      <c r="B13" s="31" t="str">
        <f>+'County Data'!$B$11</f>
        <v>County 1</v>
      </c>
      <c r="C13" s="20">
        <f>VLOOKUP($B13,'County Data'!$B$11:$M$44,3,FALSE)</f>
        <v>16750</v>
      </c>
      <c r="D13" s="20" t="str">
        <f>VLOOKUP(B13,'County Data'!$B$11:$M$44,11,FALSE)</f>
        <v>Y</v>
      </c>
      <c r="E13" s="20">
        <f t="shared" si="0"/>
        <v>16750</v>
      </c>
      <c r="F13" s="7">
        <f t="shared" si="1"/>
        <v>4.0448190094419358E-3</v>
      </c>
      <c r="G13" s="18">
        <f t="shared" si="2"/>
        <v>0</v>
      </c>
      <c r="H13" s="12">
        <f t="shared" si="3"/>
        <v>0</v>
      </c>
    </row>
    <row r="14" spans="2:8" x14ac:dyDescent="0.25">
      <c r="B14" s="31" t="str">
        <f>+'County Data'!$B$17</f>
        <v>County 7</v>
      </c>
      <c r="C14" s="20">
        <f>VLOOKUP($B14,'County Data'!$B$11:$M$44,3,FALSE)</f>
        <v>22105</v>
      </c>
      <c r="D14" s="20" t="str">
        <f>VLOOKUP(B14,'County Data'!$B$11:$M$44,11,FALSE)</f>
        <v>Y</v>
      </c>
      <c r="E14" s="20">
        <f t="shared" si="0"/>
        <v>22105</v>
      </c>
      <c r="F14" s="7">
        <f t="shared" si="1"/>
        <v>5.3379536838038203E-3</v>
      </c>
      <c r="G14" s="18">
        <f t="shared" si="2"/>
        <v>0</v>
      </c>
      <c r="H14" s="12">
        <f t="shared" si="3"/>
        <v>0</v>
      </c>
    </row>
    <row r="15" spans="2:8" x14ac:dyDescent="0.25">
      <c r="B15" s="31" t="str">
        <f>+'County Data'!$B$25</f>
        <v>County 15</v>
      </c>
      <c r="C15" s="20">
        <f>VLOOKUP($B15,'County Data'!$B$11:$M$44,3,FALSE)</f>
        <v>23190</v>
      </c>
      <c r="D15" s="20" t="str">
        <f>VLOOKUP(B15,'County Data'!$B$11:$M$44,11,FALSE)</f>
        <v>Y</v>
      </c>
      <c r="E15" s="20">
        <f t="shared" si="0"/>
        <v>23190</v>
      </c>
      <c r="F15" s="7">
        <f t="shared" si="1"/>
        <v>5.5999613629228945E-3</v>
      </c>
      <c r="G15" s="18">
        <f t="shared" si="2"/>
        <v>0</v>
      </c>
      <c r="H15" s="12">
        <f t="shared" si="3"/>
        <v>0</v>
      </c>
    </row>
    <row r="16" spans="2:8" x14ac:dyDescent="0.25">
      <c r="B16" s="31" t="str">
        <f>+'County Data'!$B$18</f>
        <v>County 8</v>
      </c>
      <c r="C16" s="20">
        <f>VLOOKUP($B16,'County Data'!$B$11:$M$44,3,FALSE)</f>
        <v>22805</v>
      </c>
      <c r="D16" s="20" t="str">
        <f>VLOOKUP(B16,'County Data'!$B$11:$M$44,11,FALSE)</f>
        <v>Y</v>
      </c>
      <c r="E16" s="20">
        <f t="shared" si="0"/>
        <v>22805</v>
      </c>
      <c r="F16" s="7">
        <f t="shared" si="1"/>
        <v>5.5069908961387073E-3</v>
      </c>
      <c r="G16" s="18">
        <f t="shared" si="2"/>
        <v>0</v>
      </c>
      <c r="H16" s="12">
        <f t="shared" si="3"/>
        <v>0</v>
      </c>
    </row>
    <row r="17" spans="2:8" x14ac:dyDescent="0.25">
      <c r="B17" s="31" t="str">
        <f>+'County Data'!$B$23</f>
        <v>County 13</v>
      </c>
      <c r="C17" s="20">
        <f>VLOOKUP($B17,'County Data'!$B$11:$M$44,3,FALSE)</f>
        <v>25145</v>
      </c>
      <c r="D17" s="20" t="str">
        <f>VLOOKUP(B17,'County Data'!$B$11:$M$44,11,FALSE)</f>
        <v>Y</v>
      </c>
      <c r="E17" s="20">
        <f t="shared" si="0"/>
        <v>25145</v>
      </c>
      <c r="F17" s="7">
        <f t="shared" si="1"/>
        <v>6.0720581488010435E-3</v>
      </c>
      <c r="G17" s="18">
        <f t="shared" si="2"/>
        <v>0</v>
      </c>
      <c r="H17" s="12">
        <f t="shared" si="3"/>
        <v>0</v>
      </c>
    </row>
    <row r="18" spans="2:8" x14ac:dyDescent="0.25">
      <c r="B18" s="31" t="str">
        <f>+'County Data'!$B$38</f>
        <v>County 28</v>
      </c>
      <c r="C18" s="20">
        <f>VLOOKUP($B18,'County Data'!$B$11:$M$44,3,FALSE)</f>
        <v>26175</v>
      </c>
      <c r="D18" s="20" t="str">
        <f>VLOOKUP(B18,'County Data'!$B$11:$M$44,11,FALSE)</f>
        <v>Y</v>
      </c>
      <c r="E18" s="20">
        <f t="shared" si="0"/>
        <v>26175</v>
      </c>
      <c r="F18" s="7">
        <f t="shared" si="1"/>
        <v>6.3207843326652342E-3</v>
      </c>
      <c r="G18" s="18">
        <f t="shared" si="2"/>
        <v>0</v>
      </c>
      <c r="H18" s="12">
        <f t="shared" si="3"/>
        <v>0</v>
      </c>
    </row>
    <row r="19" spans="2:8" x14ac:dyDescent="0.25">
      <c r="B19" s="31" t="str">
        <f>+'County Data'!$B$40</f>
        <v>County 30</v>
      </c>
      <c r="C19" s="20">
        <f>VLOOKUP($B19,'County Data'!$B$11:$M$44,3,FALSE)</f>
        <v>26900</v>
      </c>
      <c r="D19" s="20" t="str">
        <f>VLOOKUP(B19,'County Data'!$B$11:$M$44,11,FALSE)</f>
        <v>Y</v>
      </c>
      <c r="E19" s="20">
        <f t="shared" si="0"/>
        <v>26900</v>
      </c>
      <c r="F19" s="7">
        <f t="shared" si="1"/>
        <v>6.4958585882977952E-3</v>
      </c>
      <c r="G19" s="18">
        <f t="shared" si="2"/>
        <v>0</v>
      </c>
      <c r="H19" s="12">
        <f t="shared" si="3"/>
        <v>0</v>
      </c>
    </row>
    <row r="20" spans="2:8" x14ac:dyDescent="0.25">
      <c r="B20" s="31" t="str">
        <f>+'County Data'!$B$36</f>
        <v>County 26</v>
      </c>
      <c r="C20" s="20">
        <f>VLOOKUP($B20,'County Data'!$B$11:$M$44,3,FALSE)</f>
        <v>30895</v>
      </c>
      <c r="D20" s="20" t="str">
        <f>VLOOKUP(B20,'County Data'!$B$11:$M$44,11,FALSE)</f>
        <v>Y</v>
      </c>
      <c r="E20" s="20">
        <f t="shared" si="0"/>
        <v>30895</v>
      </c>
      <c r="F20" s="7">
        <f t="shared" si="1"/>
        <v>7.4605781072661853E-3</v>
      </c>
      <c r="G20" s="18">
        <f t="shared" si="2"/>
        <v>0</v>
      </c>
      <c r="H20" s="12">
        <f t="shared" si="3"/>
        <v>0</v>
      </c>
    </row>
    <row r="21" spans="2:8" x14ac:dyDescent="0.25">
      <c r="B21" s="31" t="str">
        <f>+'County Data'!$B$32</f>
        <v>County 22</v>
      </c>
      <c r="C21" s="20">
        <f>VLOOKUP($B21,'County Data'!$B$11:$M$44,3,FALSE)</f>
        <v>31845</v>
      </c>
      <c r="D21" s="20" t="str">
        <f>VLOOKUP(B21,'County Data'!$B$11:$M$44,11,FALSE)</f>
        <v>Y</v>
      </c>
      <c r="E21" s="20">
        <f t="shared" si="0"/>
        <v>31845</v>
      </c>
      <c r="F21" s="7">
        <f t="shared" si="1"/>
        <v>7.6899857525778176E-3</v>
      </c>
      <c r="G21" s="18">
        <f t="shared" si="2"/>
        <v>0</v>
      </c>
      <c r="H21" s="12">
        <f t="shared" si="3"/>
        <v>0</v>
      </c>
    </row>
    <row r="22" spans="2:8" x14ac:dyDescent="0.25">
      <c r="B22" s="31" t="str">
        <f>+'County Data'!$B$14</f>
        <v>County 4</v>
      </c>
      <c r="C22" s="20">
        <f>VLOOKUP($B22,'County Data'!$B$11:$M$44,3,FALSE)</f>
        <v>38820</v>
      </c>
      <c r="D22" s="20" t="str">
        <f>VLOOKUP(B22,'County Data'!$B$11:$M$44,11,FALSE)</f>
        <v>Y</v>
      </c>
      <c r="E22" s="20">
        <f t="shared" si="0"/>
        <v>38820</v>
      </c>
      <c r="F22" s="7">
        <f t="shared" si="1"/>
        <v>9.3743208326290111E-3</v>
      </c>
      <c r="G22" s="18">
        <f t="shared" si="2"/>
        <v>0</v>
      </c>
      <c r="H22" s="12">
        <f t="shared" si="3"/>
        <v>0</v>
      </c>
    </row>
    <row r="23" spans="2:8" x14ac:dyDescent="0.25">
      <c r="B23" s="31" t="str">
        <f>+'County Data'!$B$30</f>
        <v>County 20</v>
      </c>
      <c r="C23" s="20">
        <f>VLOOKUP($B23,'County Data'!$B$11:$M$44,3,FALSE)</f>
        <v>47960</v>
      </c>
      <c r="D23" s="20" t="str">
        <f>VLOOKUP(B23,'County Data'!$B$11:$M$44,11,FALSE)</f>
        <v>Y</v>
      </c>
      <c r="E23" s="20">
        <f t="shared" si="0"/>
        <v>47960</v>
      </c>
      <c r="F23" s="7">
        <f t="shared" si="1"/>
        <v>1.158146386225882E-2</v>
      </c>
      <c r="G23" s="18">
        <f t="shared" si="2"/>
        <v>0</v>
      </c>
      <c r="H23" s="12">
        <f t="shared" si="3"/>
        <v>0</v>
      </c>
    </row>
    <row r="24" spans="2:8" x14ac:dyDescent="0.25">
      <c r="B24" s="31" t="str">
        <f>+'County Data'!$B$15</f>
        <v>County 5</v>
      </c>
      <c r="C24" s="20">
        <f>VLOOKUP($B24,'County Data'!$B$11:$M$44,3,FALSE)</f>
        <v>51345</v>
      </c>
      <c r="D24" s="20" t="str">
        <f>VLOOKUP(B24,'County Data'!$B$11:$M$44,11,FALSE)</f>
        <v>Y</v>
      </c>
      <c r="E24" s="20">
        <f t="shared" si="0"/>
        <v>51345</v>
      </c>
      <c r="F24" s="7">
        <f t="shared" si="1"/>
        <v>1.2398879524763951E-2</v>
      </c>
      <c r="G24" s="18">
        <f t="shared" si="2"/>
        <v>0</v>
      </c>
      <c r="H24" s="12">
        <f t="shared" si="3"/>
        <v>0</v>
      </c>
    </row>
    <row r="25" spans="2:8" x14ac:dyDescent="0.25">
      <c r="B25" s="31" t="str">
        <f>+'County Data'!$B$16</f>
        <v>County 6</v>
      </c>
      <c r="C25" s="20">
        <f>VLOOKUP($B25,'County Data'!$B$11:$M$44,3,FALSE)</f>
        <v>63310</v>
      </c>
      <c r="D25" s="20" t="str">
        <f>VLOOKUP(B25,'County Data'!$B$11:$M$44,11,FALSE)</f>
        <v>Y</v>
      </c>
      <c r="E25" s="20">
        <f t="shared" si="0"/>
        <v>63310</v>
      </c>
      <c r="F25" s="7">
        <f t="shared" si="1"/>
        <v>1.5288208447030983E-2</v>
      </c>
      <c r="G25" s="18">
        <f t="shared" si="2"/>
        <v>0</v>
      </c>
      <c r="H25" s="12">
        <f t="shared" si="3"/>
        <v>0</v>
      </c>
    </row>
    <row r="26" spans="2:8" x14ac:dyDescent="0.25">
      <c r="B26" s="31" t="str">
        <f>+'County Data'!$B$27</f>
        <v>County 17</v>
      </c>
      <c r="C26" s="20">
        <f>VLOOKUP($B26,'County Data'!$B$11:$M$44,3,FALSE)</f>
        <v>67690</v>
      </c>
      <c r="D26" s="20" t="str">
        <f>VLOOKUP(B26,'County Data'!$B$11:$M$44,11,FALSE)</f>
        <v>Y</v>
      </c>
      <c r="E26" s="20">
        <f t="shared" si="0"/>
        <v>67690</v>
      </c>
      <c r="F26" s="7">
        <f t="shared" si="1"/>
        <v>1.634589843278356E-2</v>
      </c>
      <c r="G26" s="18">
        <f t="shared" si="2"/>
        <v>0</v>
      </c>
      <c r="H26" s="12">
        <f t="shared" si="3"/>
        <v>0</v>
      </c>
    </row>
    <row r="27" spans="2:8" x14ac:dyDescent="0.25">
      <c r="B27" s="31" t="str">
        <f>+'County Data'!$B$37</f>
        <v>County 27</v>
      </c>
      <c r="C27" s="20">
        <f>VLOOKUP($B27,'County Data'!$B$11:$M$44,3,FALSE)</f>
        <v>81000</v>
      </c>
      <c r="D27" s="20" t="str">
        <f>VLOOKUP(B27,'County Data'!$B$11:$M$44,11,FALSE)</f>
        <v>Y</v>
      </c>
      <c r="E27" s="20">
        <f t="shared" si="0"/>
        <v>81000</v>
      </c>
      <c r="F27" s="7">
        <f t="shared" si="1"/>
        <v>1.956002028446548E-2</v>
      </c>
      <c r="G27" s="18">
        <f t="shared" si="2"/>
        <v>0</v>
      </c>
      <c r="H27" s="12">
        <f t="shared" si="3"/>
        <v>0</v>
      </c>
    </row>
    <row r="28" spans="2:8" x14ac:dyDescent="0.25">
      <c r="B28" s="31" t="str">
        <f>+'County Data'!$B$39</f>
        <v>County 29</v>
      </c>
      <c r="C28" s="20">
        <f>VLOOKUP($B28,'County Data'!$B$11:$M$44,3,FALSE)</f>
        <v>80500</v>
      </c>
      <c r="D28" s="20" t="str">
        <f>VLOOKUP(B28,'County Data'!$B$11:$M$44,11,FALSE)</f>
        <v>Y</v>
      </c>
      <c r="E28" s="20">
        <f t="shared" si="0"/>
        <v>80500</v>
      </c>
      <c r="F28" s="7">
        <f t="shared" si="1"/>
        <v>1.9439279418511989E-2</v>
      </c>
      <c r="G28" s="18">
        <f t="shared" si="2"/>
        <v>0</v>
      </c>
      <c r="H28" s="12">
        <f t="shared" si="3"/>
        <v>0</v>
      </c>
    </row>
    <row r="29" spans="2:8" x14ac:dyDescent="0.25">
      <c r="B29" s="31" t="str">
        <f>+'County Data'!$B$26</f>
        <v>County 16</v>
      </c>
      <c r="C29" s="20">
        <f>VLOOKUP($B29,'County Data'!$B$11:$M$44,3,FALSE)</f>
        <v>85650</v>
      </c>
      <c r="D29" s="20" t="str">
        <f>VLOOKUP(B29,'County Data'!$B$11:$M$44,11,FALSE)</f>
        <v>Y</v>
      </c>
      <c r="E29" s="20">
        <f t="shared" si="0"/>
        <v>85650</v>
      </c>
      <c r="F29" s="7">
        <f t="shared" si="1"/>
        <v>2.0682910337832944E-2</v>
      </c>
      <c r="G29" s="18">
        <f t="shared" si="2"/>
        <v>0</v>
      </c>
      <c r="H29" s="12">
        <f t="shared" si="3"/>
        <v>0</v>
      </c>
    </row>
    <row r="30" spans="2:8" x14ac:dyDescent="0.25">
      <c r="B30" s="31" t="str">
        <f>+'County Data'!$B$12</f>
        <v>County 2</v>
      </c>
      <c r="C30" s="20">
        <f>VLOOKUP($B30,'County Data'!$B$11:$M$44,3,FALSE)</f>
        <v>92575</v>
      </c>
      <c r="D30" s="20" t="str">
        <f>VLOOKUP(B30,'County Data'!$B$11:$M$44,11,FALSE)</f>
        <v>Y</v>
      </c>
      <c r="E30" s="20">
        <f t="shared" si="0"/>
        <v>92575</v>
      </c>
      <c r="F30" s="7">
        <f t="shared" si="1"/>
        <v>2.2355171331288788E-2</v>
      </c>
      <c r="G30" s="18">
        <f t="shared" si="2"/>
        <v>0</v>
      </c>
      <c r="H30" s="12">
        <f t="shared" si="3"/>
        <v>0</v>
      </c>
    </row>
    <row r="31" spans="2:8" x14ac:dyDescent="0.25">
      <c r="B31" s="31" t="str">
        <f>+'County Data'!$B$44</f>
        <v>County 34</v>
      </c>
      <c r="C31" s="20">
        <f>VLOOKUP($B31,'County Data'!$B$11:$M$44,3,FALSE)</f>
        <v>106300</v>
      </c>
      <c r="D31" s="20" t="str">
        <f>VLOOKUP(B31,'County Data'!$B$11:$M$44,11,FALSE)</f>
        <v>Y</v>
      </c>
      <c r="E31" s="20">
        <f t="shared" si="0"/>
        <v>106300</v>
      </c>
      <c r="F31" s="7">
        <f t="shared" si="1"/>
        <v>2.5669508101712105E-2</v>
      </c>
      <c r="G31" s="18">
        <f t="shared" si="2"/>
        <v>0</v>
      </c>
      <c r="H31" s="12">
        <f t="shared" si="3"/>
        <v>0</v>
      </c>
    </row>
    <row r="32" spans="2:8" x14ac:dyDescent="0.25">
      <c r="B32" s="31" t="str">
        <f>+'County Data'!$B$20</f>
        <v>County 10</v>
      </c>
      <c r="C32" s="20">
        <f>VLOOKUP($B32,'County Data'!$B$11:$M$44,3,FALSE)</f>
        <v>111180</v>
      </c>
      <c r="D32" s="20" t="str">
        <f>VLOOKUP(B32,'County Data'!$B$11:$M$44,11,FALSE)</f>
        <v>Y</v>
      </c>
      <c r="E32" s="20">
        <f t="shared" si="0"/>
        <v>111180</v>
      </c>
      <c r="F32" s="7">
        <f t="shared" si="1"/>
        <v>2.6847938953418173E-2</v>
      </c>
      <c r="G32" s="18">
        <f t="shared" si="2"/>
        <v>0</v>
      </c>
      <c r="H32" s="12">
        <f t="shared" si="3"/>
        <v>0</v>
      </c>
    </row>
    <row r="33" spans="2:8" x14ac:dyDescent="0.25">
      <c r="B33" s="31" t="str">
        <f>+'County Data'!$B$31</f>
        <v>County 21</v>
      </c>
      <c r="C33" s="20">
        <f>VLOOKUP($B33,'County Data'!$B$11:$M$44,3,FALSE)</f>
        <v>124010</v>
      </c>
      <c r="D33" s="20" t="str">
        <f>VLOOKUP(B33,'County Data'!$B$11:$M$44,11,FALSE)</f>
        <v>Y</v>
      </c>
      <c r="E33" s="20">
        <f t="shared" si="0"/>
        <v>124010</v>
      </c>
      <c r="F33" s="7">
        <f t="shared" si="1"/>
        <v>2.9946149573784744E-2</v>
      </c>
      <c r="G33" s="18">
        <f t="shared" si="2"/>
        <v>0</v>
      </c>
      <c r="H33" s="12">
        <f t="shared" si="3"/>
        <v>0</v>
      </c>
    </row>
    <row r="34" spans="2:8" x14ac:dyDescent="0.25">
      <c r="B34" s="31" t="str">
        <f>+'County Data'!$B$19</f>
        <v>County 9</v>
      </c>
      <c r="C34" s="20">
        <f>VLOOKUP($B34,'County Data'!$B$11:$M$44,3,FALSE)</f>
        <v>182930</v>
      </c>
      <c r="D34" s="20" t="str">
        <f>VLOOKUP(B34,'County Data'!$B$11:$M$44,11,FALSE)</f>
        <v>Y</v>
      </c>
      <c r="E34" s="20">
        <f t="shared" si="0"/>
        <v>182930</v>
      </c>
      <c r="F34" s="7">
        <f t="shared" si="1"/>
        <v>4.4174253217744076E-2</v>
      </c>
      <c r="G34" s="18">
        <f t="shared" si="2"/>
        <v>0</v>
      </c>
      <c r="H34" s="12">
        <f t="shared" si="3"/>
        <v>0</v>
      </c>
    </row>
    <row r="35" spans="2:8" x14ac:dyDescent="0.25">
      <c r="B35" s="31" t="str">
        <f>+'County Data'!$B$24</f>
        <v>County 14</v>
      </c>
      <c r="C35" s="20">
        <f>VLOOKUP($B35,'County Data'!$B$11:$M$44,3,FALSE)</f>
        <v>216900</v>
      </c>
      <c r="D35" s="20" t="str">
        <f>VLOOKUP(B35,'County Data'!$B$11:$M$44,11,FALSE)</f>
        <v>Y</v>
      </c>
      <c r="E35" s="20">
        <f t="shared" si="0"/>
        <v>216900</v>
      </c>
      <c r="F35" s="7">
        <f t="shared" si="1"/>
        <v>5.2377387650624233E-2</v>
      </c>
      <c r="G35" s="18">
        <f t="shared" si="2"/>
        <v>0</v>
      </c>
      <c r="H35" s="12">
        <f t="shared" si="3"/>
        <v>0</v>
      </c>
    </row>
    <row r="36" spans="2:8" x14ac:dyDescent="0.25">
      <c r="B36" s="31" t="str">
        <f>+'County Data'!$B$33</f>
        <v>County 23</v>
      </c>
      <c r="C36" s="20">
        <f>VLOOKUP($B36,'County Data'!$B$11:$M$44,3,FALSE)</f>
        <v>339200</v>
      </c>
      <c r="D36" s="20" t="str">
        <f>VLOOKUP(B36,'County Data'!$B$11:$M$44,11,FALSE)</f>
        <v>Y</v>
      </c>
      <c r="E36" s="20">
        <f t="shared" si="0"/>
        <v>339200</v>
      </c>
      <c r="F36" s="7">
        <f t="shared" si="1"/>
        <v>8.1910603462848036E-2</v>
      </c>
      <c r="G36" s="18">
        <f t="shared" si="2"/>
        <v>0</v>
      </c>
      <c r="H36" s="12">
        <f t="shared" si="3"/>
        <v>0</v>
      </c>
    </row>
    <row r="37" spans="2:8" x14ac:dyDescent="0.25">
      <c r="B37" s="31" t="str">
        <f>+'County Data'!$B$29</f>
        <v>County 19</v>
      </c>
      <c r="C37" s="20">
        <f>VLOOKUP($B37,'County Data'!$B$11:$M$44,3,FALSE)</f>
        <v>370600</v>
      </c>
      <c r="D37" s="20" t="str">
        <f>VLOOKUP(B37,'County Data'!$B$11:$M$44,11,FALSE)</f>
        <v>Y</v>
      </c>
      <c r="E37" s="20">
        <f t="shared" si="0"/>
        <v>370600</v>
      </c>
      <c r="F37" s="7">
        <f t="shared" si="1"/>
        <v>8.9493129844727251E-2</v>
      </c>
      <c r="G37" s="18">
        <f t="shared" si="2"/>
        <v>0</v>
      </c>
      <c r="H37" s="12">
        <f t="shared" si="3"/>
        <v>0</v>
      </c>
    </row>
    <row r="38" spans="2:8" x14ac:dyDescent="0.25">
      <c r="B38" s="31" t="str">
        <f>+'County Data'!$B$13</f>
        <v>County 3</v>
      </c>
      <c r="C38" s="20">
        <f>VLOOKUP($B38,'County Data'!$B$11:$M$44,3,FALSE)</f>
        <v>413000</v>
      </c>
      <c r="D38" s="20" t="str">
        <f>VLOOKUP(B38,'County Data'!$B$11:$M$44,11,FALSE)</f>
        <v>Y</v>
      </c>
      <c r="E38" s="20">
        <f t="shared" si="0"/>
        <v>413000</v>
      </c>
      <c r="F38" s="7">
        <f t="shared" si="1"/>
        <v>9.9731955277583245E-2</v>
      </c>
      <c r="G38" s="18">
        <f t="shared" si="2"/>
        <v>0</v>
      </c>
      <c r="H38" s="12">
        <f t="shared" si="3"/>
        <v>0</v>
      </c>
    </row>
    <row r="39" spans="2:8" x14ac:dyDescent="0.25">
      <c r="B39" s="31" t="str">
        <f>+'County Data'!$B$42</f>
        <v>County 32</v>
      </c>
      <c r="C39" s="20">
        <f>VLOOKUP($B39,'County Data'!$B$11:$M$44,3,FALSE)</f>
        <v>595860</v>
      </c>
      <c r="D39" s="20" t="str">
        <f>VLOOKUP(B39,'County Data'!$B$11:$M$44,11,FALSE)</f>
        <v>Y</v>
      </c>
      <c r="E39" s="20">
        <f t="shared" si="0"/>
        <v>595860</v>
      </c>
      <c r="F39" s="7">
        <f t="shared" si="1"/>
        <v>0.14388930477409384</v>
      </c>
      <c r="G39" s="18">
        <f t="shared" si="2"/>
        <v>0</v>
      </c>
      <c r="H39" s="12">
        <f t="shared" si="3"/>
        <v>0</v>
      </c>
    </row>
    <row r="40" spans="2:8" x14ac:dyDescent="0.25">
      <c r="B40" s="31" t="str">
        <f>+'County Data'!$B$35</f>
        <v>County 25</v>
      </c>
      <c r="C40" s="20">
        <f>VLOOKUP($B40,'County Data'!$B$11:$M$44,3,FALSE)</f>
        <v>803000</v>
      </c>
      <c r="D40" s="20" t="str">
        <f>VLOOKUP(B40,'County Data'!$B$11:$M$44,11,FALSE)</f>
        <v>Y</v>
      </c>
      <c r="E40" s="20">
        <f t="shared" si="0"/>
        <v>803000</v>
      </c>
      <c r="F40" s="7">
        <f t="shared" si="1"/>
        <v>0.19390983072130594</v>
      </c>
      <c r="G40" s="18">
        <f t="shared" si="2"/>
        <v>0</v>
      </c>
      <c r="H40" s="12">
        <f t="shared" si="3"/>
        <v>0</v>
      </c>
    </row>
    <row r="41" spans="2:8" x14ac:dyDescent="0.25">
      <c r="B41" s="5" t="s">
        <v>3</v>
      </c>
      <c r="C41" s="6">
        <f t="shared" ref="C41:F41" si="4">SUM(C7:C40)</f>
        <v>4141100</v>
      </c>
      <c r="D41" s="6"/>
      <c r="E41" s="6">
        <f>SUM(E7:E40)</f>
        <v>4141100</v>
      </c>
      <c r="F41" s="10">
        <f t="shared" si="4"/>
        <v>1</v>
      </c>
      <c r="G41" s="13">
        <f>SUM(G7:G40)</f>
        <v>0</v>
      </c>
      <c r="H41" s="14">
        <f t="shared" ref="H41" si="5">G41/C41</f>
        <v>0</v>
      </c>
    </row>
  </sheetData>
  <sortState ref="B7:H40">
    <sortCondition ref="C7:C40"/>
  </sortState>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41"/>
  <sheetViews>
    <sheetView workbookViewId="0"/>
  </sheetViews>
  <sheetFormatPr defaultRowHeight="15" x14ac:dyDescent="0.25"/>
  <cols>
    <col min="2" max="2" width="17.42578125" bestFit="1" customWidth="1"/>
    <col min="3" max="3" width="11.85546875" bestFit="1" customWidth="1"/>
    <col min="4" max="5" width="11.85546875" customWidth="1"/>
    <col min="6" max="6" width="7.140625" customWidth="1"/>
    <col min="7" max="7" width="14.140625" customWidth="1"/>
    <col min="8" max="8" width="10" bestFit="1" customWidth="1"/>
    <col min="9" max="9" width="13.5703125" bestFit="1" customWidth="1"/>
  </cols>
  <sheetData>
    <row r="3" spans="2:8" x14ac:dyDescent="0.25">
      <c r="B3" t="s">
        <v>0</v>
      </c>
      <c r="C3" s="1">
        <f>'County Data'!C6</f>
        <v>10000000</v>
      </c>
    </row>
    <row r="4" spans="2:8" x14ac:dyDescent="0.25">
      <c r="B4" t="s">
        <v>88</v>
      </c>
      <c r="C4" s="18">
        <f>'County Data'!M10</f>
        <v>0</v>
      </c>
    </row>
    <row r="6" spans="2:8" s="2" customFormat="1" ht="30" x14ac:dyDescent="0.25">
      <c r="B6" s="3" t="s">
        <v>8</v>
      </c>
      <c r="C6" s="3" t="s">
        <v>1</v>
      </c>
      <c r="D6" s="3" t="s">
        <v>2</v>
      </c>
      <c r="E6" s="3" t="s">
        <v>21</v>
      </c>
      <c r="F6" s="3" t="s">
        <v>4</v>
      </c>
      <c r="G6" s="17" t="s">
        <v>16</v>
      </c>
      <c r="H6" s="3" t="s">
        <v>7</v>
      </c>
    </row>
    <row r="7" spans="2:8" x14ac:dyDescent="0.25">
      <c r="B7" s="31" t="str">
        <f>'County Data'!$B$43</f>
        <v>County 33</v>
      </c>
      <c r="C7" s="20">
        <f>VLOOKUP($B7,'County Data'!$B$11:$M$44,3,FALSE)</f>
        <v>1480</v>
      </c>
      <c r="D7" s="20" t="str">
        <f>VLOOKUP(B7,'County Data'!$B$11:$M$44,12,FALSE)</f>
        <v>Y</v>
      </c>
      <c r="E7" s="20">
        <f t="shared" ref="E7:E40" si="0">IF(D7="Y",C7,0)</f>
        <v>1480</v>
      </c>
      <c r="F7" s="7">
        <f t="shared" ref="F7:F40" si="1">E7/$E$41</f>
        <v>3.5739296322233224E-4</v>
      </c>
      <c r="G7" s="18">
        <f t="shared" ref="G7:G40" si="2">$C$4*F7</f>
        <v>0</v>
      </c>
      <c r="H7" s="12">
        <f t="shared" ref="H7:H40" si="3">G7/C7</f>
        <v>0</v>
      </c>
    </row>
    <row r="8" spans="2:8" x14ac:dyDescent="0.25">
      <c r="B8" s="31" t="str">
        <f>+'County Data'!$B$41</f>
        <v>County 31</v>
      </c>
      <c r="C8" s="20">
        <f>VLOOKUP($B8,'County Data'!$B$11:$M$44,3,FALSE)</f>
        <v>7195</v>
      </c>
      <c r="D8" s="20" t="str">
        <f>VLOOKUP(B8,'County Data'!$B$11:$M$44,12,FALSE)</f>
        <v>Y</v>
      </c>
      <c r="E8" s="20">
        <f t="shared" si="0"/>
        <v>7195</v>
      </c>
      <c r="F8" s="7">
        <f t="shared" si="1"/>
        <v>1.7374610610707299E-3</v>
      </c>
      <c r="G8" s="18">
        <f t="shared" si="2"/>
        <v>0</v>
      </c>
      <c r="H8" s="12">
        <f t="shared" si="3"/>
        <v>0</v>
      </c>
    </row>
    <row r="9" spans="2:8" x14ac:dyDescent="0.25">
      <c r="B9" s="31" t="str">
        <f>+'County Data'!$B$22</f>
        <v>County 12</v>
      </c>
      <c r="C9" s="20">
        <f>VLOOKUP($B9,'County Data'!$B$11:$M$44,3,FALSE)</f>
        <v>7360</v>
      </c>
      <c r="D9" s="20" t="str">
        <f>VLOOKUP(B9,'County Data'!$B$11:$M$44,12,FALSE)</f>
        <v>Y</v>
      </c>
      <c r="E9" s="20">
        <f t="shared" si="0"/>
        <v>7360</v>
      </c>
      <c r="F9" s="7">
        <f t="shared" si="1"/>
        <v>1.777305546835382E-3</v>
      </c>
      <c r="G9" s="18">
        <f t="shared" si="2"/>
        <v>0</v>
      </c>
      <c r="H9" s="12">
        <f t="shared" si="3"/>
        <v>0</v>
      </c>
    </row>
    <row r="10" spans="2:8" x14ac:dyDescent="0.25">
      <c r="B10" s="31" t="str">
        <f>+'County Data'!$B$21</f>
        <v>County 11</v>
      </c>
      <c r="C10" s="20">
        <f>VLOOKUP($B10,'County Data'!$B$11:$M$44,3,FALSE)</f>
        <v>7415</v>
      </c>
      <c r="D10" s="20" t="str">
        <f>VLOOKUP(B10,'County Data'!$B$11:$M$44,12,FALSE)</f>
        <v>Y</v>
      </c>
      <c r="E10" s="20">
        <f t="shared" si="0"/>
        <v>7415</v>
      </c>
      <c r="F10" s="7">
        <f t="shared" si="1"/>
        <v>1.7905870420902659E-3</v>
      </c>
      <c r="G10" s="18">
        <f t="shared" si="2"/>
        <v>0</v>
      </c>
      <c r="H10" s="12">
        <f t="shared" si="3"/>
        <v>0</v>
      </c>
    </row>
    <row r="11" spans="2:8" x14ac:dyDescent="0.25">
      <c r="B11" s="31" t="str">
        <f>+'County Data'!$B$28</f>
        <v>County 18</v>
      </c>
      <c r="C11" s="20">
        <f>VLOOKUP($B11,'County Data'!$B$11:$M$44,3,FALSE)</f>
        <v>8120</v>
      </c>
      <c r="D11" s="20" t="str">
        <f>VLOOKUP(B11,'County Data'!$B$11:$M$44,12,FALSE)</f>
        <v>Y</v>
      </c>
      <c r="E11" s="20">
        <f t="shared" si="0"/>
        <v>8120</v>
      </c>
      <c r="F11" s="7">
        <f t="shared" si="1"/>
        <v>1.9608316630846875E-3</v>
      </c>
      <c r="G11" s="18">
        <f t="shared" si="2"/>
        <v>0</v>
      </c>
      <c r="H11" s="12">
        <f t="shared" si="3"/>
        <v>0</v>
      </c>
    </row>
    <row r="12" spans="2:8" x14ac:dyDescent="0.25">
      <c r="B12" s="31" t="str">
        <f>+'County Data'!$B$34</f>
        <v>County 24</v>
      </c>
      <c r="C12" s="20">
        <f>VLOOKUP($B12,'County Data'!$B$11:$M$44,3,FALSE)</f>
        <v>11890</v>
      </c>
      <c r="D12" s="20" t="str">
        <f>VLOOKUP(B12,'County Data'!$B$11:$M$44,12,FALSE)</f>
        <v>Y</v>
      </c>
      <c r="E12" s="20">
        <f t="shared" si="0"/>
        <v>11890</v>
      </c>
      <c r="F12" s="7">
        <f t="shared" si="1"/>
        <v>2.8712177923740068E-3</v>
      </c>
      <c r="G12" s="18">
        <f t="shared" si="2"/>
        <v>0</v>
      </c>
      <c r="H12" s="12">
        <f t="shared" si="3"/>
        <v>0</v>
      </c>
    </row>
    <row r="13" spans="2:8" x14ac:dyDescent="0.25">
      <c r="B13" s="31" t="str">
        <f>+'County Data'!$B$11</f>
        <v>County 1</v>
      </c>
      <c r="C13" s="20">
        <f>VLOOKUP($B13,'County Data'!$B$11:$M$44,3,FALSE)</f>
        <v>16750</v>
      </c>
      <c r="D13" s="20" t="str">
        <f>VLOOKUP(B13,'County Data'!$B$11:$M$44,12,FALSE)</f>
        <v>Y</v>
      </c>
      <c r="E13" s="20">
        <f t="shared" si="0"/>
        <v>16750</v>
      </c>
      <c r="F13" s="7">
        <f t="shared" si="1"/>
        <v>4.0448190094419358E-3</v>
      </c>
      <c r="G13" s="18">
        <f t="shared" si="2"/>
        <v>0</v>
      </c>
      <c r="H13" s="12">
        <f t="shared" si="3"/>
        <v>0</v>
      </c>
    </row>
    <row r="14" spans="2:8" x14ac:dyDescent="0.25">
      <c r="B14" s="31" t="str">
        <f>+'County Data'!$B$17</f>
        <v>County 7</v>
      </c>
      <c r="C14" s="20">
        <f>VLOOKUP($B14,'County Data'!$B$11:$M$44,3,FALSE)</f>
        <v>22105</v>
      </c>
      <c r="D14" s="20" t="str">
        <f>VLOOKUP(B14,'County Data'!$B$11:$M$44,12,FALSE)</f>
        <v>Y</v>
      </c>
      <c r="E14" s="20">
        <f t="shared" si="0"/>
        <v>22105</v>
      </c>
      <c r="F14" s="7">
        <f t="shared" si="1"/>
        <v>5.3379536838038203E-3</v>
      </c>
      <c r="G14" s="18">
        <f t="shared" si="2"/>
        <v>0</v>
      </c>
      <c r="H14" s="12">
        <f t="shared" si="3"/>
        <v>0</v>
      </c>
    </row>
    <row r="15" spans="2:8" x14ac:dyDescent="0.25">
      <c r="B15" s="31" t="str">
        <f>+'County Data'!$B$25</f>
        <v>County 15</v>
      </c>
      <c r="C15" s="20">
        <f>VLOOKUP($B15,'County Data'!$B$11:$M$44,3,FALSE)</f>
        <v>23190</v>
      </c>
      <c r="D15" s="20" t="str">
        <f>VLOOKUP(B15,'County Data'!$B$11:$M$44,12,FALSE)</f>
        <v>Y</v>
      </c>
      <c r="E15" s="20">
        <f t="shared" si="0"/>
        <v>23190</v>
      </c>
      <c r="F15" s="7">
        <f t="shared" si="1"/>
        <v>5.5999613629228945E-3</v>
      </c>
      <c r="G15" s="18">
        <f t="shared" si="2"/>
        <v>0</v>
      </c>
      <c r="H15" s="12">
        <f t="shared" si="3"/>
        <v>0</v>
      </c>
    </row>
    <row r="16" spans="2:8" x14ac:dyDescent="0.25">
      <c r="B16" s="31" t="str">
        <f>+'County Data'!$B$18</f>
        <v>County 8</v>
      </c>
      <c r="C16" s="20">
        <f>VLOOKUP($B16,'County Data'!$B$11:$M$44,3,FALSE)</f>
        <v>22805</v>
      </c>
      <c r="D16" s="20" t="str">
        <f>VLOOKUP(B16,'County Data'!$B$11:$M$44,12,FALSE)</f>
        <v>Y</v>
      </c>
      <c r="E16" s="20">
        <f t="shared" si="0"/>
        <v>22805</v>
      </c>
      <c r="F16" s="7">
        <f t="shared" si="1"/>
        <v>5.5069908961387073E-3</v>
      </c>
      <c r="G16" s="18">
        <f t="shared" si="2"/>
        <v>0</v>
      </c>
      <c r="H16" s="12">
        <f t="shared" si="3"/>
        <v>0</v>
      </c>
    </row>
    <row r="17" spans="2:8" x14ac:dyDescent="0.25">
      <c r="B17" s="31" t="str">
        <f>+'County Data'!$B$23</f>
        <v>County 13</v>
      </c>
      <c r="C17" s="20">
        <f>VLOOKUP($B17,'County Data'!$B$11:$M$44,3,FALSE)</f>
        <v>25145</v>
      </c>
      <c r="D17" s="20" t="str">
        <f>VLOOKUP(B17,'County Data'!$B$11:$M$44,12,FALSE)</f>
        <v>Y</v>
      </c>
      <c r="E17" s="20">
        <f t="shared" si="0"/>
        <v>25145</v>
      </c>
      <c r="F17" s="7">
        <f t="shared" si="1"/>
        <v>6.0720581488010435E-3</v>
      </c>
      <c r="G17" s="18">
        <f t="shared" si="2"/>
        <v>0</v>
      </c>
      <c r="H17" s="12">
        <f t="shared" si="3"/>
        <v>0</v>
      </c>
    </row>
    <row r="18" spans="2:8" x14ac:dyDescent="0.25">
      <c r="B18" s="31" t="str">
        <f>+'County Data'!$B$38</f>
        <v>County 28</v>
      </c>
      <c r="C18" s="20">
        <f>VLOOKUP($B18,'County Data'!$B$11:$M$44,3,FALSE)</f>
        <v>26175</v>
      </c>
      <c r="D18" s="20" t="str">
        <f>VLOOKUP(B18,'County Data'!$B$11:$M$44,12,FALSE)</f>
        <v>Y</v>
      </c>
      <c r="E18" s="20">
        <f t="shared" si="0"/>
        <v>26175</v>
      </c>
      <c r="F18" s="7">
        <f t="shared" si="1"/>
        <v>6.3207843326652342E-3</v>
      </c>
      <c r="G18" s="18">
        <f t="shared" si="2"/>
        <v>0</v>
      </c>
      <c r="H18" s="12">
        <f t="shared" si="3"/>
        <v>0</v>
      </c>
    </row>
    <row r="19" spans="2:8" x14ac:dyDescent="0.25">
      <c r="B19" s="31" t="str">
        <f>+'County Data'!$B$40</f>
        <v>County 30</v>
      </c>
      <c r="C19" s="20">
        <f>VLOOKUP($B19,'County Data'!$B$11:$M$44,3,FALSE)</f>
        <v>26900</v>
      </c>
      <c r="D19" s="20" t="str">
        <f>VLOOKUP(B19,'County Data'!$B$11:$M$44,12,FALSE)</f>
        <v>Y</v>
      </c>
      <c r="E19" s="20">
        <f t="shared" si="0"/>
        <v>26900</v>
      </c>
      <c r="F19" s="7">
        <f t="shared" si="1"/>
        <v>6.4958585882977952E-3</v>
      </c>
      <c r="G19" s="18">
        <f t="shared" si="2"/>
        <v>0</v>
      </c>
      <c r="H19" s="12">
        <f t="shared" si="3"/>
        <v>0</v>
      </c>
    </row>
    <row r="20" spans="2:8" x14ac:dyDescent="0.25">
      <c r="B20" s="31" t="str">
        <f>+'County Data'!$B$36</f>
        <v>County 26</v>
      </c>
      <c r="C20" s="20">
        <f>VLOOKUP($B20,'County Data'!$B$11:$M$44,3,FALSE)</f>
        <v>30895</v>
      </c>
      <c r="D20" s="20" t="str">
        <f>VLOOKUP(B20,'County Data'!$B$11:$M$44,12,FALSE)</f>
        <v>Y</v>
      </c>
      <c r="E20" s="20">
        <f t="shared" si="0"/>
        <v>30895</v>
      </c>
      <c r="F20" s="7">
        <f t="shared" si="1"/>
        <v>7.4605781072661853E-3</v>
      </c>
      <c r="G20" s="18">
        <f t="shared" si="2"/>
        <v>0</v>
      </c>
      <c r="H20" s="12">
        <f t="shared" si="3"/>
        <v>0</v>
      </c>
    </row>
    <row r="21" spans="2:8" x14ac:dyDescent="0.25">
      <c r="B21" s="31" t="str">
        <f>+'County Data'!$B$32</f>
        <v>County 22</v>
      </c>
      <c r="C21" s="20">
        <f>VLOOKUP($B21,'County Data'!$B$11:$M$44,3,FALSE)</f>
        <v>31845</v>
      </c>
      <c r="D21" s="20" t="str">
        <f>VLOOKUP(B21,'County Data'!$B$11:$M$44,12,FALSE)</f>
        <v>Y</v>
      </c>
      <c r="E21" s="20">
        <f t="shared" si="0"/>
        <v>31845</v>
      </c>
      <c r="F21" s="7">
        <f t="shared" si="1"/>
        <v>7.6899857525778176E-3</v>
      </c>
      <c r="G21" s="18">
        <f t="shared" si="2"/>
        <v>0</v>
      </c>
      <c r="H21" s="12">
        <f t="shared" si="3"/>
        <v>0</v>
      </c>
    </row>
    <row r="22" spans="2:8" x14ac:dyDescent="0.25">
      <c r="B22" s="31" t="str">
        <f>+'County Data'!$B$14</f>
        <v>County 4</v>
      </c>
      <c r="C22" s="20">
        <f>VLOOKUP($B22,'County Data'!$B$11:$M$44,3,FALSE)</f>
        <v>38820</v>
      </c>
      <c r="D22" s="20" t="str">
        <f>VLOOKUP(B22,'County Data'!$B$11:$M$44,12,FALSE)</f>
        <v>Y</v>
      </c>
      <c r="E22" s="20">
        <f t="shared" si="0"/>
        <v>38820</v>
      </c>
      <c r="F22" s="7">
        <f t="shared" si="1"/>
        <v>9.3743208326290111E-3</v>
      </c>
      <c r="G22" s="18">
        <f t="shared" si="2"/>
        <v>0</v>
      </c>
      <c r="H22" s="12">
        <f t="shared" si="3"/>
        <v>0</v>
      </c>
    </row>
    <row r="23" spans="2:8" x14ac:dyDescent="0.25">
      <c r="B23" s="31" t="str">
        <f>+'County Data'!$B$30</f>
        <v>County 20</v>
      </c>
      <c r="C23" s="20">
        <f>VLOOKUP($B23,'County Data'!$B$11:$M$44,3,FALSE)</f>
        <v>47960</v>
      </c>
      <c r="D23" s="20" t="str">
        <f>VLOOKUP(B23,'County Data'!$B$11:$M$44,12,FALSE)</f>
        <v>Y</v>
      </c>
      <c r="E23" s="20">
        <f t="shared" si="0"/>
        <v>47960</v>
      </c>
      <c r="F23" s="7">
        <f t="shared" si="1"/>
        <v>1.158146386225882E-2</v>
      </c>
      <c r="G23" s="18">
        <f t="shared" si="2"/>
        <v>0</v>
      </c>
      <c r="H23" s="12">
        <f t="shared" si="3"/>
        <v>0</v>
      </c>
    </row>
    <row r="24" spans="2:8" x14ac:dyDescent="0.25">
      <c r="B24" s="31" t="str">
        <f>+'County Data'!$B$15</f>
        <v>County 5</v>
      </c>
      <c r="C24" s="20">
        <f>VLOOKUP($B24,'County Data'!$B$11:$M$44,3,FALSE)</f>
        <v>51345</v>
      </c>
      <c r="D24" s="20" t="str">
        <f>VLOOKUP(B24,'County Data'!$B$11:$M$44,12,FALSE)</f>
        <v>Y</v>
      </c>
      <c r="E24" s="20">
        <f t="shared" si="0"/>
        <v>51345</v>
      </c>
      <c r="F24" s="7">
        <f t="shared" si="1"/>
        <v>1.2398879524763951E-2</v>
      </c>
      <c r="G24" s="18">
        <f t="shared" si="2"/>
        <v>0</v>
      </c>
      <c r="H24" s="12">
        <f t="shared" si="3"/>
        <v>0</v>
      </c>
    </row>
    <row r="25" spans="2:8" x14ac:dyDescent="0.25">
      <c r="B25" s="31" t="str">
        <f>+'County Data'!$B$16</f>
        <v>County 6</v>
      </c>
      <c r="C25" s="20">
        <f>VLOOKUP($B25,'County Data'!$B$11:$M$44,3,FALSE)</f>
        <v>63310</v>
      </c>
      <c r="D25" s="20" t="str">
        <f>VLOOKUP(B25,'County Data'!$B$11:$M$44,12,FALSE)</f>
        <v>Y</v>
      </c>
      <c r="E25" s="20">
        <f t="shared" si="0"/>
        <v>63310</v>
      </c>
      <c r="F25" s="7">
        <f t="shared" si="1"/>
        <v>1.5288208447030983E-2</v>
      </c>
      <c r="G25" s="18">
        <f t="shared" si="2"/>
        <v>0</v>
      </c>
      <c r="H25" s="12">
        <f t="shared" si="3"/>
        <v>0</v>
      </c>
    </row>
    <row r="26" spans="2:8" x14ac:dyDescent="0.25">
      <c r="B26" s="31" t="str">
        <f>+'County Data'!$B$27</f>
        <v>County 17</v>
      </c>
      <c r="C26" s="20">
        <f>VLOOKUP($B26,'County Data'!$B$11:$M$44,3,FALSE)</f>
        <v>67690</v>
      </c>
      <c r="D26" s="20" t="str">
        <f>VLOOKUP(B26,'County Data'!$B$11:$M$44,12,FALSE)</f>
        <v>Y</v>
      </c>
      <c r="E26" s="20">
        <f t="shared" si="0"/>
        <v>67690</v>
      </c>
      <c r="F26" s="7">
        <f t="shared" si="1"/>
        <v>1.634589843278356E-2</v>
      </c>
      <c r="G26" s="18">
        <f t="shared" si="2"/>
        <v>0</v>
      </c>
      <c r="H26" s="12">
        <f t="shared" si="3"/>
        <v>0</v>
      </c>
    </row>
    <row r="27" spans="2:8" x14ac:dyDescent="0.25">
      <c r="B27" s="31" t="str">
        <f>+'County Data'!$B$37</f>
        <v>County 27</v>
      </c>
      <c r="C27" s="20">
        <f>VLOOKUP($B27,'County Data'!$B$11:$M$44,3,FALSE)</f>
        <v>81000</v>
      </c>
      <c r="D27" s="20" t="str">
        <f>VLOOKUP(B27,'County Data'!$B$11:$M$44,12,FALSE)</f>
        <v>Y</v>
      </c>
      <c r="E27" s="20">
        <f t="shared" si="0"/>
        <v>81000</v>
      </c>
      <c r="F27" s="7">
        <f t="shared" si="1"/>
        <v>1.956002028446548E-2</v>
      </c>
      <c r="G27" s="18">
        <f t="shared" si="2"/>
        <v>0</v>
      </c>
      <c r="H27" s="12">
        <f t="shared" si="3"/>
        <v>0</v>
      </c>
    </row>
    <row r="28" spans="2:8" x14ac:dyDescent="0.25">
      <c r="B28" s="31" t="str">
        <f>+'County Data'!$B$39</f>
        <v>County 29</v>
      </c>
      <c r="C28" s="20">
        <f>VLOOKUP($B28,'County Data'!$B$11:$M$44,3,FALSE)</f>
        <v>80500</v>
      </c>
      <c r="D28" s="20" t="str">
        <f>VLOOKUP(B28,'County Data'!$B$11:$M$44,12,FALSE)</f>
        <v>Y</v>
      </c>
      <c r="E28" s="20">
        <f t="shared" si="0"/>
        <v>80500</v>
      </c>
      <c r="F28" s="7">
        <f t="shared" si="1"/>
        <v>1.9439279418511989E-2</v>
      </c>
      <c r="G28" s="18">
        <f t="shared" si="2"/>
        <v>0</v>
      </c>
      <c r="H28" s="12">
        <f t="shared" si="3"/>
        <v>0</v>
      </c>
    </row>
    <row r="29" spans="2:8" x14ac:dyDescent="0.25">
      <c r="B29" s="31" t="str">
        <f>+'County Data'!$B$26</f>
        <v>County 16</v>
      </c>
      <c r="C29" s="20">
        <f>VLOOKUP($B29,'County Data'!$B$11:$M$44,3,FALSE)</f>
        <v>85650</v>
      </c>
      <c r="D29" s="20" t="str">
        <f>VLOOKUP(B29,'County Data'!$B$11:$M$44,12,FALSE)</f>
        <v>Y</v>
      </c>
      <c r="E29" s="20">
        <f t="shared" si="0"/>
        <v>85650</v>
      </c>
      <c r="F29" s="7">
        <f t="shared" si="1"/>
        <v>2.0682910337832944E-2</v>
      </c>
      <c r="G29" s="18">
        <f t="shared" si="2"/>
        <v>0</v>
      </c>
      <c r="H29" s="12">
        <f t="shared" si="3"/>
        <v>0</v>
      </c>
    </row>
    <row r="30" spans="2:8" x14ac:dyDescent="0.25">
      <c r="B30" s="31" t="str">
        <f>+'County Data'!$B$12</f>
        <v>County 2</v>
      </c>
      <c r="C30" s="20">
        <f>VLOOKUP($B30,'County Data'!$B$11:$M$44,3,FALSE)</f>
        <v>92575</v>
      </c>
      <c r="D30" s="20" t="str">
        <f>VLOOKUP(B30,'County Data'!$B$11:$M$44,12,FALSE)</f>
        <v>Y</v>
      </c>
      <c r="E30" s="20">
        <f t="shared" si="0"/>
        <v>92575</v>
      </c>
      <c r="F30" s="7">
        <f t="shared" si="1"/>
        <v>2.2355171331288788E-2</v>
      </c>
      <c r="G30" s="18">
        <f t="shared" si="2"/>
        <v>0</v>
      </c>
      <c r="H30" s="12">
        <f t="shared" si="3"/>
        <v>0</v>
      </c>
    </row>
    <row r="31" spans="2:8" x14ac:dyDescent="0.25">
      <c r="B31" s="31" t="str">
        <f>+'County Data'!$B$44</f>
        <v>County 34</v>
      </c>
      <c r="C31" s="20">
        <f>VLOOKUP($B31,'County Data'!$B$11:$M$44,3,FALSE)</f>
        <v>106300</v>
      </c>
      <c r="D31" s="20" t="str">
        <f>VLOOKUP(B31,'County Data'!$B$11:$M$44,12,FALSE)</f>
        <v>Y</v>
      </c>
      <c r="E31" s="20">
        <f t="shared" si="0"/>
        <v>106300</v>
      </c>
      <c r="F31" s="7">
        <f t="shared" si="1"/>
        <v>2.5669508101712105E-2</v>
      </c>
      <c r="G31" s="18">
        <f t="shared" si="2"/>
        <v>0</v>
      </c>
      <c r="H31" s="12">
        <f t="shared" si="3"/>
        <v>0</v>
      </c>
    </row>
    <row r="32" spans="2:8" x14ac:dyDescent="0.25">
      <c r="B32" s="31" t="str">
        <f>+'County Data'!$B$20</f>
        <v>County 10</v>
      </c>
      <c r="C32" s="20">
        <f>VLOOKUP($B32,'County Data'!$B$11:$M$44,3,FALSE)</f>
        <v>111180</v>
      </c>
      <c r="D32" s="20" t="str">
        <f>VLOOKUP(B32,'County Data'!$B$11:$M$44,12,FALSE)</f>
        <v>Y</v>
      </c>
      <c r="E32" s="20">
        <f t="shared" si="0"/>
        <v>111180</v>
      </c>
      <c r="F32" s="7">
        <f t="shared" si="1"/>
        <v>2.6847938953418173E-2</v>
      </c>
      <c r="G32" s="18">
        <f t="shared" si="2"/>
        <v>0</v>
      </c>
      <c r="H32" s="12">
        <f t="shared" si="3"/>
        <v>0</v>
      </c>
    </row>
    <row r="33" spans="2:8" x14ac:dyDescent="0.25">
      <c r="B33" s="31" t="str">
        <f>+'County Data'!$B$31</f>
        <v>County 21</v>
      </c>
      <c r="C33" s="20">
        <f>VLOOKUP($B33,'County Data'!$B$11:$M$44,3,FALSE)</f>
        <v>124010</v>
      </c>
      <c r="D33" s="20" t="str">
        <f>VLOOKUP(B33,'County Data'!$B$11:$M$44,12,FALSE)</f>
        <v>Y</v>
      </c>
      <c r="E33" s="20">
        <f t="shared" si="0"/>
        <v>124010</v>
      </c>
      <c r="F33" s="7">
        <f t="shared" si="1"/>
        <v>2.9946149573784744E-2</v>
      </c>
      <c r="G33" s="18">
        <f t="shared" si="2"/>
        <v>0</v>
      </c>
      <c r="H33" s="12">
        <f t="shared" si="3"/>
        <v>0</v>
      </c>
    </row>
    <row r="34" spans="2:8" x14ac:dyDescent="0.25">
      <c r="B34" s="31" t="str">
        <f>+'County Data'!$B$19</f>
        <v>County 9</v>
      </c>
      <c r="C34" s="20">
        <f>VLOOKUP($B34,'County Data'!$B$11:$M$44,3,FALSE)</f>
        <v>182930</v>
      </c>
      <c r="D34" s="20" t="str">
        <f>VLOOKUP(B34,'County Data'!$B$11:$M$44,12,FALSE)</f>
        <v>Y</v>
      </c>
      <c r="E34" s="20">
        <f t="shared" si="0"/>
        <v>182930</v>
      </c>
      <c r="F34" s="7">
        <f t="shared" si="1"/>
        <v>4.4174253217744076E-2</v>
      </c>
      <c r="G34" s="18">
        <f t="shared" si="2"/>
        <v>0</v>
      </c>
      <c r="H34" s="12">
        <f t="shared" si="3"/>
        <v>0</v>
      </c>
    </row>
    <row r="35" spans="2:8" x14ac:dyDescent="0.25">
      <c r="B35" s="31" t="str">
        <f>+'County Data'!$B$24</f>
        <v>County 14</v>
      </c>
      <c r="C35" s="20">
        <f>VLOOKUP($B35,'County Data'!$B$11:$M$44,3,FALSE)</f>
        <v>216900</v>
      </c>
      <c r="D35" s="20" t="str">
        <f>VLOOKUP(B35,'County Data'!$B$11:$M$44,12,FALSE)</f>
        <v>Y</v>
      </c>
      <c r="E35" s="20">
        <f t="shared" si="0"/>
        <v>216900</v>
      </c>
      <c r="F35" s="7">
        <f t="shared" si="1"/>
        <v>5.2377387650624233E-2</v>
      </c>
      <c r="G35" s="18">
        <f t="shared" si="2"/>
        <v>0</v>
      </c>
      <c r="H35" s="12">
        <f t="shared" si="3"/>
        <v>0</v>
      </c>
    </row>
    <row r="36" spans="2:8" x14ac:dyDescent="0.25">
      <c r="B36" s="31" t="str">
        <f>+'County Data'!$B$33</f>
        <v>County 23</v>
      </c>
      <c r="C36" s="20">
        <f>VLOOKUP($B36,'County Data'!$B$11:$M$44,3,FALSE)</f>
        <v>339200</v>
      </c>
      <c r="D36" s="20" t="str">
        <f>VLOOKUP(B36,'County Data'!$B$11:$M$44,12,FALSE)</f>
        <v>Y</v>
      </c>
      <c r="E36" s="20">
        <f t="shared" si="0"/>
        <v>339200</v>
      </c>
      <c r="F36" s="7">
        <f t="shared" si="1"/>
        <v>8.1910603462848036E-2</v>
      </c>
      <c r="G36" s="18">
        <f t="shared" si="2"/>
        <v>0</v>
      </c>
      <c r="H36" s="12">
        <f t="shared" si="3"/>
        <v>0</v>
      </c>
    </row>
    <row r="37" spans="2:8" x14ac:dyDescent="0.25">
      <c r="B37" s="31" t="str">
        <f>+'County Data'!$B$29</f>
        <v>County 19</v>
      </c>
      <c r="C37" s="20">
        <f>VLOOKUP($B37,'County Data'!$B$11:$M$44,3,FALSE)</f>
        <v>370600</v>
      </c>
      <c r="D37" s="20" t="str">
        <f>VLOOKUP(B37,'County Data'!$B$11:$M$44,12,FALSE)</f>
        <v>Y</v>
      </c>
      <c r="E37" s="20">
        <f t="shared" si="0"/>
        <v>370600</v>
      </c>
      <c r="F37" s="7">
        <f t="shared" si="1"/>
        <v>8.9493129844727251E-2</v>
      </c>
      <c r="G37" s="18">
        <f t="shared" si="2"/>
        <v>0</v>
      </c>
      <c r="H37" s="12">
        <f t="shared" si="3"/>
        <v>0</v>
      </c>
    </row>
    <row r="38" spans="2:8" x14ac:dyDescent="0.25">
      <c r="B38" s="31" t="str">
        <f>+'County Data'!$B$13</f>
        <v>County 3</v>
      </c>
      <c r="C38" s="20">
        <f>VLOOKUP($B38,'County Data'!$B$11:$M$44,3,FALSE)</f>
        <v>413000</v>
      </c>
      <c r="D38" s="20" t="str">
        <f>VLOOKUP(B38,'County Data'!$B$11:$M$44,12,FALSE)</f>
        <v>Y</v>
      </c>
      <c r="E38" s="20">
        <f t="shared" si="0"/>
        <v>413000</v>
      </c>
      <c r="F38" s="7">
        <f t="shared" si="1"/>
        <v>9.9731955277583245E-2</v>
      </c>
      <c r="G38" s="18">
        <f t="shared" si="2"/>
        <v>0</v>
      </c>
      <c r="H38" s="12">
        <f t="shared" si="3"/>
        <v>0</v>
      </c>
    </row>
    <row r="39" spans="2:8" x14ac:dyDescent="0.25">
      <c r="B39" s="31" t="str">
        <f>+'County Data'!$B$42</f>
        <v>County 32</v>
      </c>
      <c r="C39" s="20">
        <f>VLOOKUP($B39,'County Data'!$B$11:$M$44,3,FALSE)</f>
        <v>595860</v>
      </c>
      <c r="D39" s="20" t="str">
        <f>VLOOKUP(B39,'County Data'!$B$11:$M$44,12,FALSE)</f>
        <v>Y</v>
      </c>
      <c r="E39" s="20">
        <f t="shared" si="0"/>
        <v>595860</v>
      </c>
      <c r="F39" s="7">
        <f t="shared" si="1"/>
        <v>0.14388930477409384</v>
      </c>
      <c r="G39" s="18">
        <f t="shared" si="2"/>
        <v>0</v>
      </c>
      <c r="H39" s="12">
        <f t="shared" si="3"/>
        <v>0</v>
      </c>
    </row>
    <row r="40" spans="2:8" x14ac:dyDescent="0.25">
      <c r="B40" s="31" t="str">
        <f>+'County Data'!$B$35</f>
        <v>County 25</v>
      </c>
      <c r="C40" s="20">
        <f>VLOOKUP($B40,'County Data'!$B$11:$M$44,3,FALSE)</f>
        <v>803000</v>
      </c>
      <c r="D40" s="20" t="str">
        <f>VLOOKUP(B40,'County Data'!$B$11:$M$44,12,FALSE)</f>
        <v>Y</v>
      </c>
      <c r="E40" s="20">
        <f t="shared" si="0"/>
        <v>803000</v>
      </c>
      <c r="F40" s="7">
        <f t="shared" si="1"/>
        <v>0.19390983072130594</v>
      </c>
      <c r="G40" s="18">
        <f t="shared" si="2"/>
        <v>0</v>
      </c>
      <c r="H40" s="12">
        <f t="shared" si="3"/>
        <v>0</v>
      </c>
    </row>
    <row r="41" spans="2:8" x14ac:dyDescent="0.25">
      <c r="B41" s="5" t="s">
        <v>3</v>
      </c>
      <c r="C41" s="6">
        <f t="shared" ref="C41:F41" si="4">SUM(C7:C40)</f>
        <v>4141100</v>
      </c>
      <c r="D41" s="6"/>
      <c r="E41" s="6">
        <f>SUM(E7:E40)</f>
        <v>4141100</v>
      </c>
      <c r="F41" s="10">
        <f t="shared" si="4"/>
        <v>1</v>
      </c>
      <c r="G41" s="13">
        <f>SUM(G7:G40)</f>
        <v>0</v>
      </c>
      <c r="H41" s="14">
        <f t="shared" ref="H41" si="5">G41/C41</f>
        <v>0</v>
      </c>
    </row>
  </sheetData>
  <sortState ref="B7:H40">
    <sortCondition ref="C7:C4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1"/>
  <sheetViews>
    <sheetView tabSelected="1" topLeftCell="A11" zoomScale="80" zoomScaleNormal="80" workbookViewId="0">
      <selection activeCell="B51" sqref="B51:S51"/>
    </sheetView>
  </sheetViews>
  <sheetFormatPr defaultRowHeight="15" x14ac:dyDescent="0.25"/>
  <cols>
    <col min="1" max="1" width="3" bestFit="1" customWidth="1"/>
    <col min="2" max="2" width="18" customWidth="1"/>
    <col min="3" max="4" width="14.28515625" customWidth="1"/>
    <col min="5" max="5" width="14.28515625" hidden="1" customWidth="1"/>
    <col min="6" max="8" width="14.28515625" customWidth="1"/>
    <col min="9" max="9" width="15.42578125" customWidth="1"/>
    <col min="10" max="10" width="15.42578125" hidden="1" customWidth="1"/>
    <col min="11" max="11" width="15.42578125" customWidth="1"/>
    <col min="12" max="14" width="14.28515625" customWidth="1"/>
    <col min="15" max="15" width="13.42578125" bestFit="1" customWidth="1"/>
    <col min="16" max="16" width="11.5703125" bestFit="1" customWidth="1"/>
    <col min="17" max="17" width="11" customWidth="1"/>
    <col min="18" max="18" width="10.140625" bestFit="1" customWidth="1"/>
    <col min="19" max="19" width="10.42578125" bestFit="1" customWidth="1"/>
  </cols>
  <sheetData>
    <row r="1" spans="2:21" ht="15" hidden="1" customHeight="1" x14ac:dyDescent="0.25"/>
    <row r="2" spans="2:21" hidden="1" x14ac:dyDescent="0.25"/>
    <row r="3" spans="2:21" hidden="1" x14ac:dyDescent="0.25"/>
    <row r="4" spans="2:21" hidden="1" x14ac:dyDescent="0.25"/>
    <row r="5" spans="2:21" ht="18.75" x14ac:dyDescent="0.3">
      <c r="B5" s="36" t="s">
        <v>89</v>
      </c>
      <c r="C5" s="36"/>
    </row>
    <row r="6" spans="2:21" ht="15.75" x14ac:dyDescent="0.25">
      <c r="B6" s="35" t="s">
        <v>98</v>
      </c>
      <c r="C6" s="35"/>
    </row>
    <row r="7" spans="2:21" ht="15.75" x14ac:dyDescent="0.25">
      <c r="B7" s="35" t="s">
        <v>97</v>
      </c>
      <c r="C7" s="35"/>
    </row>
    <row r="8" spans="2:21" ht="15.75" x14ac:dyDescent="0.25">
      <c r="B8" s="35"/>
      <c r="C8" s="35"/>
    </row>
    <row r="9" spans="2:21" ht="34.5" customHeight="1" x14ac:dyDescent="0.25">
      <c r="B9" s="106" t="s">
        <v>99</v>
      </c>
      <c r="C9" s="107"/>
      <c r="D9" s="107"/>
      <c r="E9" s="107"/>
      <c r="F9" s="107"/>
      <c r="G9" s="107"/>
      <c r="H9" s="107"/>
      <c r="I9" s="107"/>
      <c r="J9" s="107"/>
      <c r="K9" s="107"/>
      <c r="L9" s="107"/>
      <c r="M9" s="107"/>
      <c r="N9" s="107"/>
      <c r="O9" s="107"/>
      <c r="P9" s="107"/>
      <c r="Q9" s="107"/>
      <c r="R9" s="107"/>
      <c r="S9" s="107"/>
    </row>
    <row r="10" spans="2:21" s="2" customFormat="1" ht="47.25" x14ac:dyDescent="0.25">
      <c r="B10" s="51" t="s">
        <v>8</v>
      </c>
      <c r="C10" s="51" t="s">
        <v>103</v>
      </c>
      <c r="D10" s="51" t="s">
        <v>62</v>
      </c>
      <c r="E10" s="51" t="s">
        <v>1</v>
      </c>
      <c r="F10" s="51" t="s">
        <v>23</v>
      </c>
      <c r="G10" s="51" t="s">
        <v>24</v>
      </c>
      <c r="H10" s="51" t="s">
        <v>104</v>
      </c>
      <c r="I10" s="51" t="s">
        <v>106</v>
      </c>
      <c r="J10" s="51" t="s">
        <v>85</v>
      </c>
      <c r="K10" s="51" t="s">
        <v>107</v>
      </c>
      <c r="L10" s="51" t="s">
        <v>108</v>
      </c>
      <c r="M10" s="51" t="s">
        <v>109</v>
      </c>
      <c r="N10" s="51" t="s">
        <v>96</v>
      </c>
      <c r="O10" s="4" t="s">
        <v>86</v>
      </c>
      <c r="P10" s="4" t="s">
        <v>6</v>
      </c>
      <c r="Q10" s="4" t="s">
        <v>22</v>
      </c>
      <c r="R10" s="4" t="s">
        <v>15</v>
      </c>
      <c r="S10" s="4" t="s">
        <v>81</v>
      </c>
    </row>
    <row r="11" spans="2:21" x14ac:dyDescent="0.25">
      <c r="B11" s="45" t="s">
        <v>60</v>
      </c>
      <c r="C11" s="49">
        <f>VLOOKUP($B11,'County Data'!$B$11:$D$44,3,FALSE)</f>
        <v>1480</v>
      </c>
      <c r="D11" s="50">
        <f>VLOOKUP($B11,'County Data'!$B$11:$M$44,2,FALSE)</f>
        <v>30000</v>
      </c>
      <c r="E11" s="50">
        <f>VLOOKUP($B11,Population!$B$7:$F$40,4,FALSE)</f>
        <v>0</v>
      </c>
      <c r="F11" s="50">
        <f>VLOOKUP($B11,Burden!$B$6:$H$40,6,FALSE)</f>
        <v>574.958059357975</v>
      </c>
      <c r="G11" s="50">
        <f>VLOOKUP($B11,'Health Status'!$B$6:$H$40,6,FALSE)</f>
        <v>1068.0212805205761</v>
      </c>
      <c r="H11" s="50">
        <f>VLOOKUP($B11,Ethnicity!$B$6:$H$40,6,FALSE)</f>
        <v>144.25501901292444</v>
      </c>
      <c r="I11" s="50">
        <f>VLOOKUP($B11,Poverty!$B$6:$H$40,6,FALSE)</f>
        <v>374.33851440703921</v>
      </c>
      <c r="J11" s="50">
        <f>VLOOKUP($B11,'Income Inequality'!$B$6:$H$40,6,FALSE)</f>
        <v>0</v>
      </c>
      <c r="K11" s="50">
        <f>VLOOKUP($B11,Education!$B$6:$H$40,6,FALSE)</f>
        <v>243.46562235675705</v>
      </c>
      <c r="L11" s="50">
        <f>VLOOKUP($B11,Language!$B$6:$H$40,6,FALSE)</f>
        <v>9.7613142582746182</v>
      </c>
      <c r="M11" s="50">
        <f>VLOOKUP($B11,Matching!$B$7:$H$40,6,FALSE)</f>
        <v>0</v>
      </c>
      <c r="N11" s="50">
        <f>VLOOKUP($B11,Incentives!$B$7:$H$40,6,FALSE)</f>
        <v>0</v>
      </c>
      <c r="O11" s="58">
        <f>SUM(D11:N11)</f>
        <v>32414.799809913548</v>
      </c>
      <c r="P11" s="59">
        <f t="shared" ref="P11:P44" si="0">O11/$O$45</f>
        <v>3.2414799809913544E-3</v>
      </c>
      <c r="Q11" s="59">
        <f t="shared" ref="Q11:Q44" si="1">C11/$C$45</f>
        <v>3.5739296322233224E-4</v>
      </c>
      <c r="R11" s="60">
        <f>O11/C11</f>
        <v>21.901891763455101</v>
      </c>
      <c r="U11" s="89"/>
    </row>
    <row r="12" spans="2:21" x14ac:dyDescent="0.25">
      <c r="B12" s="45" t="s">
        <v>58</v>
      </c>
      <c r="C12" s="49">
        <f>VLOOKUP($B12,'County Data'!$B$11:$D$44,3,FALSE)</f>
        <v>7195</v>
      </c>
      <c r="D12" s="50">
        <f>VLOOKUP($B12,'County Data'!$B$11:$M$44,2,FALSE)</f>
        <v>30000</v>
      </c>
      <c r="E12" s="50">
        <f>VLOOKUP($B12,Population!$B$7:$F$40,4,FALSE)</f>
        <v>0</v>
      </c>
      <c r="F12" s="50">
        <f>VLOOKUP($B12,Burden!$B$6:$H$40,6,FALSE)</f>
        <v>3384.6240502171922</v>
      </c>
      <c r="G12" s="50">
        <f>VLOOKUP($B12,'Health Status'!$B$6:$H$40,6,FALSE)</f>
        <v>2080.2509308510917</v>
      </c>
      <c r="H12" s="50">
        <f>VLOOKUP($B12,Ethnicity!$B$6:$H$40,6,FALSE)</f>
        <v>775.11422822751706</v>
      </c>
      <c r="I12" s="50">
        <f>VLOOKUP($B12,Poverty!$B$6:$H$40,6,FALSE)</f>
        <v>1315.3310785026842</v>
      </c>
      <c r="J12" s="50">
        <f>VLOOKUP($B12,'Income Inequality'!$B$6:$H$40,6,FALSE)</f>
        <v>0</v>
      </c>
      <c r="K12" s="50">
        <f>VLOOKUP($B12,Education!$B$6:$H$40,6,FALSE)</f>
        <v>958.15629339017835</v>
      </c>
      <c r="L12" s="50">
        <f>VLOOKUP($B12,Language!$B$6:$H$40,6,FALSE)</f>
        <v>379.63597885559938</v>
      </c>
      <c r="M12" s="50">
        <f>VLOOKUP($B12,Matching!$B$7:$H$40,6,FALSE)</f>
        <v>0</v>
      </c>
      <c r="N12" s="50">
        <f>VLOOKUP($B12,Incentives!$B$7:$H$40,6,FALSE)</f>
        <v>0</v>
      </c>
      <c r="O12" s="58">
        <f t="shared" ref="O12:O44" si="2">SUM(D12:N12)</f>
        <v>38893.112560044268</v>
      </c>
      <c r="P12" s="59">
        <f t="shared" si="0"/>
        <v>3.8893112560044263E-3</v>
      </c>
      <c r="Q12" s="59">
        <f t="shared" si="1"/>
        <v>1.7374610610707299E-3</v>
      </c>
      <c r="R12" s="60">
        <f t="shared" ref="R12:R44" si="3">O12/C12</f>
        <v>5.4055750604648045</v>
      </c>
      <c r="U12" s="89"/>
    </row>
    <row r="13" spans="2:21" x14ac:dyDescent="0.25">
      <c r="B13" s="45" t="s">
        <v>39</v>
      </c>
      <c r="C13" s="49">
        <f>VLOOKUP($B13,'County Data'!$B$11:$D$44,3,FALSE)</f>
        <v>7360</v>
      </c>
      <c r="D13" s="50">
        <f>VLOOKUP($B13,'County Data'!$B$11:$M$44,2,FALSE)</f>
        <v>30000</v>
      </c>
      <c r="E13" s="50">
        <f>VLOOKUP($B13,Population!$B$7:$F$40,4,FALSE)</f>
        <v>0</v>
      </c>
      <c r="F13" s="50">
        <f>VLOOKUP($B13,Burden!$B$6:$H$40,6,FALSE)</f>
        <v>4789.4885308909079</v>
      </c>
      <c r="G13" s="50">
        <f>VLOOKUP($B13,'Health Status'!$B$6:$H$40,6,FALSE)</f>
        <v>4601.9221369661982</v>
      </c>
      <c r="H13" s="50">
        <f>VLOOKUP($B13,Ethnicity!$B$6:$H$40,6,FALSE)</f>
        <v>1610.9503118977682</v>
      </c>
      <c r="I13" s="50">
        <f>VLOOKUP($B13,Poverty!$B$6:$H$40,6,FALSE)</f>
        <v>1511.3779784247813</v>
      </c>
      <c r="J13" s="50">
        <f>VLOOKUP($B13,'Income Inequality'!$B$6:$H$40,6,FALSE)</f>
        <v>0</v>
      </c>
      <c r="K13" s="50">
        <f>VLOOKUP($B13,Education!$B$6:$H$40,6,FALSE)</f>
        <v>1499.0212835968155</v>
      </c>
      <c r="L13" s="50">
        <f>VLOOKUP($B13,Language!$B$6:$H$40,6,FALSE)</f>
        <v>825.22678378062176</v>
      </c>
      <c r="M13" s="50">
        <f>VLOOKUP($B13,Matching!$B$7:$H$40,6,FALSE)</f>
        <v>0</v>
      </c>
      <c r="N13" s="50">
        <f>VLOOKUP($B13,Incentives!$B$7:$H$40,6,FALSE)</f>
        <v>0</v>
      </c>
      <c r="O13" s="58">
        <f t="shared" si="2"/>
        <v>44837.987025557086</v>
      </c>
      <c r="P13" s="59">
        <f t="shared" si="0"/>
        <v>4.4837987025557078E-3</v>
      </c>
      <c r="Q13" s="59">
        <f t="shared" si="1"/>
        <v>1.777305546835382E-3</v>
      </c>
      <c r="R13" s="60">
        <f t="shared" si="3"/>
        <v>6.0921178023854736</v>
      </c>
      <c r="U13" s="89"/>
    </row>
    <row r="14" spans="2:21" x14ac:dyDescent="0.25">
      <c r="B14" s="45" t="s">
        <v>38</v>
      </c>
      <c r="C14" s="49">
        <f>VLOOKUP($B14,'County Data'!$B$11:$D$44,3,FALSE)</f>
        <v>7415</v>
      </c>
      <c r="D14" s="50">
        <f>VLOOKUP($B14,'County Data'!$B$11:$M$44,2,FALSE)</f>
        <v>30000</v>
      </c>
      <c r="E14" s="50">
        <f>VLOOKUP($B14,Population!$B$7:$F$40,4,FALSE)</f>
        <v>0</v>
      </c>
      <c r="F14" s="50">
        <f>VLOOKUP($B14,Burden!$B$6:$H$40,6,FALSE)</f>
        <v>2948.8348511805289</v>
      </c>
      <c r="G14" s="50">
        <f>VLOOKUP($B14,'Health Status'!$B$6:$H$40,6,FALSE)</f>
        <v>3207.0726170680814</v>
      </c>
      <c r="H14" s="50">
        <f>VLOOKUP($B14,Ethnicity!$B$6:$H$40,6,FALSE)</f>
        <v>1014.3679146333174</v>
      </c>
      <c r="I14" s="50">
        <f>VLOOKUP($B14,Poverty!$B$6:$H$40,6,FALSE)</f>
        <v>1383.4034404766562</v>
      </c>
      <c r="J14" s="50">
        <f>VLOOKUP($B14,'Income Inequality'!$B$6:$H$40,6,FALSE)</f>
        <v>0</v>
      </c>
      <c r="K14" s="50">
        <f>VLOOKUP($B14,Education!$B$6:$H$40,6,FALSE)</f>
        <v>1510.2232089497811</v>
      </c>
      <c r="L14" s="50">
        <f>VLOOKUP($B14,Language!$B$6:$H$40,6,FALSE)</f>
        <v>391.24402824381781</v>
      </c>
      <c r="M14" s="50">
        <f>VLOOKUP($B14,Matching!$B$7:$H$40,6,FALSE)</f>
        <v>0</v>
      </c>
      <c r="N14" s="50">
        <f>VLOOKUP($B14,Incentives!$B$7:$H$40,6,FALSE)</f>
        <v>0</v>
      </c>
      <c r="O14" s="58">
        <f t="shared" si="2"/>
        <v>40455.146060552186</v>
      </c>
      <c r="P14" s="59">
        <f t="shared" si="0"/>
        <v>4.0455146060552182E-3</v>
      </c>
      <c r="Q14" s="59">
        <f t="shared" si="1"/>
        <v>1.7905870420902659E-3</v>
      </c>
      <c r="R14" s="60">
        <f t="shared" si="3"/>
        <v>5.4558524693934167</v>
      </c>
      <c r="U14" s="89"/>
    </row>
    <row r="15" spans="2:21" x14ac:dyDescent="0.25">
      <c r="B15" s="45" t="s">
        <v>45</v>
      </c>
      <c r="C15" s="49">
        <f>VLOOKUP($B15,'County Data'!$B$11:$D$44,3,FALSE)</f>
        <v>8120</v>
      </c>
      <c r="D15" s="50">
        <f>VLOOKUP($B15,'County Data'!$B$11:$M$44,2,FALSE)</f>
        <v>30000</v>
      </c>
      <c r="E15" s="50">
        <f>VLOOKUP($B15,Population!$B$7:$F$40,4,FALSE)</f>
        <v>0</v>
      </c>
      <c r="F15" s="50">
        <f>VLOOKUP($B15,Burden!$B$6:$H$40,6,FALSE)</f>
        <v>4188.7945863827381</v>
      </c>
      <c r="G15" s="50">
        <f>VLOOKUP($B15,'Health Status'!$B$6:$H$40,6,FALSE)</f>
        <v>2538.560309250377</v>
      </c>
      <c r="H15" s="50">
        <f>VLOOKUP($B15,Ethnicity!$B$6:$H$40,6,FALSE)</f>
        <v>1999.4607471720265</v>
      </c>
      <c r="I15" s="50">
        <f>VLOOKUP($B15,Poverty!$B$6:$H$40,6,FALSE)</f>
        <v>1789.4522936492767</v>
      </c>
      <c r="J15" s="50">
        <f>VLOOKUP($B15,'Income Inequality'!$B$6:$H$40,6,FALSE)</f>
        <v>0</v>
      </c>
      <c r="K15" s="50">
        <f>VLOOKUP($B15,Education!$B$6:$H$40,6,FALSE)</f>
        <v>2560.227456720042</v>
      </c>
      <c r="L15" s="50">
        <f>VLOOKUP($B15,Language!$B$6:$H$40,6,FALSE)</f>
        <v>1338.8829692092888</v>
      </c>
      <c r="M15" s="50">
        <f>VLOOKUP($B15,Matching!$B$7:$H$40,6,FALSE)</f>
        <v>0</v>
      </c>
      <c r="N15" s="50">
        <f>VLOOKUP($B15,Incentives!$B$7:$H$40,6,FALSE)</f>
        <v>0</v>
      </c>
      <c r="O15" s="58">
        <f t="shared" si="2"/>
        <v>44415.378362383759</v>
      </c>
      <c r="P15" s="59">
        <f t="shared" si="0"/>
        <v>4.4415378362383752E-3</v>
      </c>
      <c r="Q15" s="59">
        <f t="shared" si="1"/>
        <v>1.9608316630846875E-3</v>
      </c>
      <c r="R15" s="60">
        <f t="shared" si="3"/>
        <v>5.4698741825595762</v>
      </c>
      <c r="U15" s="89"/>
    </row>
    <row r="16" spans="2:21" x14ac:dyDescent="0.25">
      <c r="B16" s="45" t="s">
        <v>51</v>
      </c>
      <c r="C16" s="49">
        <f>VLOOKUP($B16,'County Data'!$B$11:$D$44,3,FALSE)</f>
        <v>11890</v>
      </c>
      <c r="D16" s="50">
        <f>VLOOKUP($B16,'County Data'!$B$11:$M$44,2,FALSE)</f>
        <v>30000</v>
      </c>
      <c r="E16" s="50">
        <f>VLOOKUP($B16,Population!$B$7:$F$40,4,FALSE)</f>
        <v>0</v>
      </c>
      <c r="F16" s="50">
        <f>VLOOKUP($B16,Burden!$B$6:$H$40,6,FALSE)</f>
        <v>4721.3740716575639</v>
      </c>
      <c r="G16" s="50">
        <f>VLOOKUP($B16,'Health Status'!$B$6:$H$40,6,FALSE)</f>
        <v>6959.2272280174848</v>
      </c>
      <c r="H16" s="50">
        <f>VLOOKUP($B16,Ethnicity!$B$6:$H$40,6,FALSE)</f>
        <v>7888.7454280785196</v>
      </c>
      <c r="I16" s="50">
        <f>VLOOKUP($B16,Poverty!$B$6:$H$40,6,FALSE)</f>
        <v>2262.9599622610176</v>
      </c>
      <c r="J16" s="50">
        <f>VLOOKUP($B16,'Income Inequality'!$B$6:$H$40,6,FALSE)</f>
        <v>0</v>
      </c>
      <c r="K16" s="50">
        <f>VLOOKUP($B16,Education!$B$6:$H$40,6,FALSE)</f>
        <v>5797.9951432242478</v>
      </c>
      <c r="L16" s="50">
        <f>VLOOKUP($B16,Language!$B$6:$H$40,6,FALSE)</f>
        <v>12547.24611144705</v>
      </c>
      <c r="M16" s="50">
        <f>VLOOKUP($B16,Matching!$B$7:$H$40,6,FALSE)</f>
        <v>0</v>
      </c>
      <c r="N16" s="50">
        <f>VLOOKUP($B16,Incentives!$B$7:$H$40,6,FALSE)</f>
        <v>0</v>
      </c>
      <c r="O16" s="58">
        <f t="shared" si="2"/>
        <v>70177.547944685881</v>
      </c>
      <c r="P16" s="59">
        <f t="shared" si="0"/>
        <v>7.0177547944685866E-3</v>
      </c>
      <c r="Q16" s="59">
        <f t="shared" si="1"/>
        <v>2.8712177923740068E-3</v>
      </c>
      <c r="R16" s="60">
        <f t="shared" si="3"/>
        <v>5.9022327960206793</v>
      </c>
      <c r="U16" s="89"/>
    </row>
    <row r="17" spans="1:21" x14ac:dyDescent="0.25">
      <c r="B17" s="45" t="s">
        <v>28</v>
      </c>
      <c r="C17" s="49">
        <f>VLOOKUP($B17,'County Data'!$B$11:$D$44,3,FALSE)</f>
        <v>16750</v>
      </c>
      <c r="D17" s="50">
        <f>VLOOKUP($B17,'County Data'!$B$11:$M$44,2,FALSE)</f>
        <v>30000</v>
      </c>
      <c r="E17" s="50">
        <f>VLOOKUP($B17,Population!$B$7:$F$40,4,FALSE)</f>
        <v>0</v>
      </c>
      <c r="F17" s="50">
        <f>VLOOKUP($B17,Burden!$B$6:$H$40,6,FALSE)</f>
        <v>8294.6079093005319</v>
      </c>
      <c r="G17" s="50">
        <f>VLOOKUP($B17,'Health Status'!$B$6:$H$40,6,FALSE)</f>
        <v>5236.5622142787952</v>
      </c>
      <c r="H17" s="50">
        <f>VLOOKUP($B17,Ethnicity!$B$6:$H$40,6,FALSE)</f>
        <v>2463.2450792806703</v>
      </c>
      <c r="I17" s="50">
        <f>VLOOKUP($B17,Poverty!$B$6:$H$40,6,FALSE)</f>
        <v>3166.9644352555656</v>
      </c>
      <c r="J17" s="50">
        <f>VLOOKUP($B17,'Income Inequality'!$B$6:$H$40,6,FALSE)</f>
        <v>0</v>
      </c>
      <c r="K17" s="50">
        <f>VLOOKUP($B17,Education!$B$6:$H$40,6,FALSE)</f>
        <v>3149.0727216028422</v>
      </c>
      <c r="L17" s="50">
        <f>VLOOKUP($B17,Language!$B$6:$H$40,6,FALSE)</f>
        <v>1104.7433366628368</v>
      </c>
      <c r="M17" s="50">
        <f>VLOOKUP($B17,Matching!$B$7:$H$40,6,FALSE)</f>
        <v>0</v>
      </c>
      <c r="N17" s="50">
        <f>VLOOKUP($B17,Incentives!$B$7:$H$40,6,FALSE)</f>
        <v>0</v>
      </c>
      <c r="O17" s="58">
        <f t="shared" si="2"/>
        <v>53415.195696381241</v>
      </c>
      <c r="P17" s="59">
        <f t="shared" si="0"/>
        <v>5.3415195696381234E-3</v>
      </c>
      <c r="Q17" s="59">
        <f t="shared" si="1"/>
        <v>4.0448190094419358E-3</v>
      </c>
      <c r="R17" s="60">
        <f t="shared" si="3"/>
        <v>3.1889669072466411</v>
      </c>
      <c r="S17" s="60">
        <f>SUM(O11:O17)/SUM(C11:C17)</f>
        <v>5.3912832994439119</v>
      </c>
      <c r="U17" s="89"/>
    </row>
    <row r="18" spans="1:21" x14ac:dyDescent="0.25">
      <c r="B18" s="46" t="s">
        <v>34</v>
      </c>
      <c r="C18" s="47">
        <f>VLOOKUP($B18,'County Data'!$B$11:$D$44,3,FALSE)</f>
        <v>22105</v>
      </c>
      <c r="D18" s="48">
        <f>VLOOKUP($B18,'County Data'!$B$11:$M$44,2,FALSE)</f>
        <v>45000</v>
      </c>
      <c r="E18" s="48">
        <f>VLOOKUP($B18,Population!$B$7:$F$40,4,FALSE)</f>
        <v>0</v>
      </c>
      <c r="F18" s="48">
        <f>VLOOKUP($B18,Burden!$B$6:$H$40,6,FALSE)</f>
        <v>10713.578095914225</v>
      </c>
      <c r="G18" s="48">
        <f>VLOOKUP($B18,'Health Status'!$B$6:$H$40,6,FALSE)</f>
        <v>12366.513946223136</v>
      </c>
      <c r="H18" s="48">
        <f>VLOOKUP($B18,Ethnicity!$B$6:$H$40,6,FALSE)</f>
        <v>4309.1313449739073</v>
      </c>
      <c r="I18" s="48">
        <f>VLOOKUP($B18,Poverty!$B$6:$H$40,6,FALSE)</f>
        <v>4899.087691969713</v>
      </c>
      <c r="J18" s="48">
        <f>VLOOKUP($B18,'Income Inequality'!$B$6:$H$40,6,FALSE)</f>
        <v>0</v>
      </c>
      <c r="K18" s="48">
        <f>VLOOKUP($B18,Education!$B$6:$H$40,6,FALSE)</f>
        <v>5367.9547956267552</v>
      </c>
      <c r="L18" s="48">
        <f>VLOOKUP($B18,Language!$B$6:$H$40,6,FALSE)</f>
        <v>1020.5520011852183</v>
      </c>
      <c r="M18" s="48">
        <f>VLOOKUP($B18,Matching!$B$7:$H$40,6,FALSE)</f>
        <v>0</v>
      </c>
      <c r="N18" s="48">
        <f>VLOOKUP($B18,Incentives!$B$7:$H$40,6,FALSE)</f>
        <v>0</v>
      </c>
      <c r="O18" s="55">
        <f t="shared" si="2"/>
        <v>83676.817875892957</v>
      </c>
      <c r="P18" s="56">
        <f t="shared" si="0"/>
        <v>8.3676817875892942E-3</v>
      </c>
      <c r="Q18" s="56">
        <f t="shared" si="1"/>
        <v>5.3379536838038203E-3</v>
      </c>
      <c r="R18" s="57">
        <f t="shared" si="3"/>
        <v>3.7854249208727868</v>
      </c>
      <c r="U18" s="89"/>
    </row>
    <row r="19" spans="1:21" x14ac:dyDescent="0.25">
      <c r="A19" s="90"/>
      <c r="B19" s="46" t="s">
        <v>35</v>
      </c>
      <c r="C19" s="47">
        <f>VLOOKUP($B19,'County Data'!$B$11:$D$44,3,FALSE)</f>
        <v>22805</v>
      </c>
      <c r="D19" s="48">
        <f>VLOOKUP($B19,'County Data'!$B$11:$M$44,2,FALSE)</f>
        <v>45000</v>
      </c>
      <c r="E19" s="48">
        <f>VLOOKUP($B19,Population!$B$7:$F$40,4,FALSE)</f>
        <v>0</v>
      </c>
      <c r="F19" s="48">
        <f>VLOOKUP($B19,Burden!$B$6:$H$40,6,FALSE)</f>
        <v>15199.395051410866</v>
      </c>
      <c r="G19" s="48">
        <f>VLOOKUP($B19,'Health Status'!$B$6:$H$40,6,FALSE)</f>
        <v>12704.519316485608</v>
      </c>
      <c r="H19" s="48">
        <f>VLOOKUP($B19,Ethnicity!$B$6:$H$40,6,FALSE)</f>
        <v>4952.5419036379426</v>
      </c>
      <c r="I19" s="48">
        <f>VLOOKUP($B19,Poverty!$B$6:$H$40,6,FALSE)</f>
        <v>4340.3534011238435</v>
      </c>
      <c r="J19" s="48">
        <f>VLOOKUP($B19,'Income Inequality'!$B$6:$H$40,6,FALSE)</f>
        <v>0</v>
      </c>
      <c r="K19" s="48">
        <f>VLOOKUP($B19,Education!$B$6:$H$40,6,FALSE)</f>
        <v>4600.0647710595395</v>
      </c>
      <c r="L19" s="48">
        <f>VLOOKUP($B19,Language!$B$6:$H$40,6,FALSE)</f>
        <v>1804.9197702158326</v>
      </c>
      <c r="M19" s="48">
        <f>VLOOKUP($B19,Matching!$B$7:$H$40,6,FALSE)</f>
        <v>0</v>
      </c>
      <c r="N19" s="48">
        <f>VLOOKUP($B19,Incentives!$B$7:$H$40,6,FALSE)</f>
        <v>0</v>
      </c>
      <c r="O19" s="55">
        <f>SUM(D19:N19)</f>
        <v>88601.794213933623</v>
      </c>
      <c r="P19" s="56">
        <f t="shared" si="0"/>
        <v>8.8601794213933605E-3</v>
      </c>
      <c r="Q19" s="56">
        <f t="shared" si="1"/>
        <v>5.5069908961387073E-3</v>
      </c>
      <c r="R19" s="57">
        <f>O19/C19</f>
        <v>3.8851915901746819</v>
      </c>
      <c r="U19" s="89"/>
    </row>
    <row r="20" spans="1:21" x14ac:dyDescent="0.25">
      <c r="A20" s="90"/>
      <c r="B20" s="46" t="s">
        <v>42</v>
      </c>
      <c r="C20" s="47">
        <f>VLOOKUP($B20,'County Data'!$B$11:$D$44,3,FALSE)</f>
        <v>23190</v>
      </c>
      <c r="D20" s="48">
        <f>VLOOKUP($B20,'County Data'!$B$11:$M$44,2,FALSE)</f>
        <v>45000</v>
      </c>
      <c r="E20" s="48">
        <f>VLOOKUP($B20,Population!$B$7:$F$40,4,FALSE)</f>
        <v>0</v>
      </c>
      <c r="F20" s="48">
        <f>VLOOKUP($B20,Burden!$B$6:$H$40,6,FALSE)</f>
        <v>12965.422819772502</v>
      </c>
      <c r="G20" s="48">
        <f>VLOOKUP($B20,'Health Status'!$B$6:$H$40,6,FALSE)</f>
        <v>10302.493948865304</v>
      </c>
      <c r="H20" s="48">
        <f>VLOOKUP($B20,Ethnicity!$B$6:$H$40,6,FALSE)</f>
        <v>15822.241375924328</v>
      </c>
      <c r="I20" s="48">
        <f>VLOOKUP($B20,Poverty!$B$6:$H$40,6,FALSE)</f>
        <v>5894.5168593361841</v>
      </c>
      <c r="J20" s="48">
        <f>VLOOKUP($B20,'Income Inequality'!$B$6:$H$40,6,FALSE)</f>
        <v>0</v>
      </c>
      <c r="K20" s="48">
        <f>VLOOKUP($B20,Education!$B$6:$H$40,6,FALSE)</f>
        <v>7493.4417962096004</v>
      </c>
      <c r="L20" s="48">
        <f>VLOOKUP($B20,Language!$B$6:$H$40,6,FALSE)</f>
        <v>7035.6651161296395</v>
      </c>
      <c r="M20" s="48">
        <f>VLOOKUP($B20,Matching!$B$7:$H$40,6,FALSE)</f>
        <v>0</v>
      </c>
      <c r="N20" s="48">
        <f>VLOOKUP($B20,Incentives!$B$7:$H$40,6,FALSE)</f>
        <v>0</v>
      </c>
      <c r="O20" s="55">
        <f t="shared" si="2"/>
        <v>104513.78191623755</v>
      </c>
      <c r="P20" s="56">
        <f t="shared" si="0"/>
        <v>1.0451378191623754E-2</v>
      </c>
      <c r="Q20" s="56">
        <f t="shared" si="1"/>
        <v>5.5999613629228945E-3</v>
      </c>
      <c r="R20" s="57">
        <f t="shared" si="3"/>
        <v>4.5068469994065357</v>
      </c>
      <c r="U20" s="89"/>
    </row>
    <row r="21" spans="1:21" x14ac:dyDescent="0.25">
      <c r="B21" s="46" t="s">
        <v>40</v>
      </c>
      <c r="C21" s="47">
        <f>VLOOKUP($B21,'County Data'!$B$11:$D$44,3,FALSE)</f>
        <v>25145</v>
      </c>
      <c r="D21" s="48">
        <f>VLOOKUP($B21,'County Data'!$B$11:$M$44,2,FALSE)</f>
        <v>45000</v>
      </c>
      <c r="E21" s="48">
        <f>VLOOKUP($B21,Population!$B$7:$F$40,4,FALSE)</f>
        <v>0</v>
      </c>
      <c r="F21" s="48">
        <f>VLOOKUP($B21,Burden!$B$6:$H$40,6,FALSE)</f>
        <v>7835.4913420139337</v>
      </c>
      <c r="G21" s="48">
        <f>VLOOKUP($B21,'Health Status'!$B$6:$H$40,6,FALSE)</f>
        <v>11702.984922837828</v>
      </c>
      <c r="H21" s="48">
        <f>VLOOKUP($B21,Ethnicity!$B$6:$H$40,6,FALSE)</f>
        <v>15264.210773392526</v>
      </c>
      <c r="I21" s="48">
        <f>VLOOKUP($B21,Poverty!$B$6:$H$40,6,FALSE)</f>
        <v>4187.4989251195648</v>
      </c>
      <c r="J21" s="48">
        <f>VLOOKUP($B21,'Income Inequality'!$B$6:$H$40,6,FALSE)</f>
        <v>0</v>
      </c>
      <c r="K21" s="48">
        <f>VLOOKUP($B21,Education!$B$6:$H$40,6,FALSE)</f>
        <v>9700.9554827031006</v>
      </c>
      <c r="L21" s="48">
        <f>VLOOKUP($B21,Language!$B$6:$H$40,6,FALSE)</f>
        <v>24047.294471976831</v>
      </c>
      <c r="M21" s="48">
        <f>VLOOKUP($B21,Matching!$B$7:$H$40,6,FALSE)</f>
        <v>0</v>
      </c>
      <c r="N21" s="48">
        <f>VLOOKUP($B21,Incentives!$B$7:$H$40,6,FALSE)</f>
        <v>0</v>
      </c>
      <c r="O21" s="55">
        <f t="shared" si="2"/>
        <v>117738.43591804378</v>
      </c>
      <c r="P21" s="56">
        <f t="shared" si="0"/>
        <v>1.1773843591804375E-2</v>
      </c>
      <c r="Q21" s="56">
        <f t="shared" si="1"/>
        <v>6.0720581488010435E-3</v>
      </c>
      <c r="R21" s="57">
        <f t="shared" si="3"/>
        <v>4.6823796348396804</v>
      </c>
      <c r="U21" s="89"/>
    </row>
    <row r="22" spans="1:21" x14ac:dyDescent="0.25">
      <c r="B22" s="46" t="s">
        <v>55</v>
      </c>
      <c r="C22" s="47">
        <f>VLOOKUP($B22,'County Data'!$B$11:$D$44,3,FALSE)</f>
        <v>26175</v>
      </c>
      <c r="D22" s="48">
        <f>VLOOKUP($B22,'County Data'!$B$11:$M$44,2,FALSE)</f>
        <v>45000</v>
      </c>
      <c r="E22" s="48">
        <f>VLOOKUP($B22,Population!$B$7:$F$40,4,FALSE)</f>
        <v>0</v>
      </c>
      <c r="F22" s="48">
        <f>VLOOKUP($B22,Burden!$B$6:$H$40,6,FALSE)</f>
        <v>12923.885264739574</v>
      </c>
      <c r="G22" s="48">
        <f>VLOOKUP($B22,'Health Status'!$B$6:$H$40,6,FALSE)</f>
        <v>11936.259048814729</v>
      </c>
      <c r="H22" s="48">
        <f>VLOOKUP($B22,Ethnicity!$B$6:$H$40,6,FALSE)</f>
        <v>6669.1013901947699</v>
      </c>
      <c r="I22" s="48">
        <f>VLOOKUP($B22,Poverty!$B$6:$H$40,6,FALSE)</f>
        <v>5047.2967442101099</v>
      </c>
      <c r="J22" s="48">
        <f>VLOOKUP($B22,'Income Inequality'!$B$6:$H$40,6,FALSE)</f>
        <v>0</v>
      </c>
      <c r="K22" s="48">
        <f>VLOOKUP($B22,Education!$B$6:$H$40,6,FALSE)</f>
        <v>5228.5769936388979</v>
      </c>
      <c r="L22" s="48">
        <f>VLOOKUP($B22,Language!$B$6:$H$40,6,FALSE)</f>
        <v>4143.2821736811593</v>
      </c>
      <c r="M22" s="48">
        <f>VLOOKUP($B22,Matching!$B$7:$H$40,6,FALSE)</f>
        <v>0</v>
      </c>
      <c r="N22" s="48">
        <f>VLOOKUP($B22,Incentives!$B$7:$H$40,6,FALSE)</f>
        <v>0</v>
      </c>
      <c r="O22" s="55">
        <f t="shared" si="2"/>
        <v>90948.401615279246</v>
      </c>
      <c r="P22" s="56">
        <f t="shared" si="0"/>
        <v>9.0948401615279229E-3</v>
      </c>
      <c r="Q22" s="56">
        <f t="shared" si="1"/>
        <v>6.3207843326652342E-3</v>
      </c>
      <c r="R22" s="57">
        <f t="shared" si="3"/>
        <v>3.4746285239839252</v>
      </c>
      <c r="U22" s="89"/>
    </row>
    <row r="23" spans="1:21" x14ac:dyDescent="0.25">
      <c r="B23" s="46" t="s">
        <v>57</v>
      </c>
      <c r="C23" s="47">
        <f>VLOOKUP($B23,'County Data'!$B$11:$D$44,3,FALSE)</f>
        <v>26900</v>
      </c>
      <c r="D23" s="48">
        <f>VLOOKUP($B23,'County Data'!$B$11:$M$44,2,FALSE)</f>
        <v>45000</v>
      </c>
      <c r="E23" s="48">
        <f>VLOOKUP($B23,Population!$B$7:$F$40,4,FALSE)</f>
        <v>0</v>
      </c>
      <c r="F23" s="48">
        <f>VLOOKUP($B23,Burden!$B$6:$H$40,6,FALSE)</f>
        <v>11983.351095436956</v>
      </c>
      <c r="G23" s="48">
        <f>VLOOKUP($B23,'Health Status'!$B$6:$H$40,6,FALSE)</f>
        <v>9105.3068760993556</v>
      </c>
      <c r="H23" s="48">
        <f>VLOOKUP($B23,Ethnicity!$B$6:$H$40,6,FALSE)</f>
        <v>4737.8779181971231</v>
      </c>
      <c r="I23" s="48">
        <f>VLOOKUP($B23,Poverty!$B$6:$H$40,6,FALSE)</f>
        <v>6264.9361887348796</v>
      </c>
      <c r="J23" s="48">
        <f>VLOOKUP($B23,'Income Inequality'!$B$6:$H$40,6,FALSE)</f>
        <v>0</v>
      </c>
      <c r="K23" s="48">
        <f>VLOOKUP($B23,Education!$B$6:$H$40,6,FALSE)</f>
        <v>3898.3483579742651</v>
      </c>
      <c r="L23" s="48">
        <f>VLOOKUP($B23,Language!$B$6:$H$40,6,FALSE)</f>
        <v>2483.8587497744738</v>
      </c>
      <c r="M23" s="48">
        <f>VLOOKUP($B23,Matching!$B$7:$H$40,6,FALSE)</f>
        <v>0</v>
      </c>
      <c r="N23" s="48">
        <f>VLOOKUP($B23,Incentives!$B$7:$H$40,6,FALSE)</f>
        <v>0</v>
      </c>
      <c r="O23" s="55">
        <f t="shared" si="2"/>
        <v>83473.679186217036</v>
      </c>
      <c r="P23" s="56">
        <f t="shared" si="0"/>
        <v>8.3473679186217026E-3</v>
      </c>
      <c r="Q23" s="56">
        <f t="shared" si="1"/>
        <v>6.4958585882977952E-3</v>
      </c>
      <c r="R23" s="57">
        <f t="shared" si="3"/>
        <v>3.1031107504169904</v>
      </c>
      <c r="U23" s="89"/>
    </row>
    <row r="24" spans="1:21" x14ac:dyDescent="0.25">
      <c r="B24" s="46" t="s">
        <v>53</v>
      </c>
      <c r="C24" s="47">
        <f>VLOOKUP($B24,'County Data'!$B$11:$D$44,3,FALSE)</f>
        <v>30895</v>
      </c>
      <c r="D24" s="48">
        <f>VLOOKUP($B24,'County Data'!$B$11:$M$44,2,FALSE)</f>
        <v>105000</v>
      </c>
      <c r="E24" s="48">
        <f>VLOOKUP($B24,Population!$B$7:$F$40,4,FALSE)</f>
        <v>0</v>
      </c>
      <c r="F24" s="48">
        <f>VLOOKUP($B24,Burden!$B$6:$H$40,6,FALSE)</f>
        <v>15514.691785050401</v>
      </c>
      <c r="G24" s="48">
        <f>VLOOKUP($B24,'Health Status'!$B$6:$H$40,6,FALSE)</f>
        <v>11401.649004059034</v>
      </c>
      <c r="H24" s="48">
        <f>VLOOKUP($B24,Ethnicity!$B$6:$H$40,6,FALSE)</f>
        <v>11935.75368110158</v>
      </c>
      <c r="I24" s="48">
        <f>VLOOKUP($B24,Poverty!$B$6:$H$40,6,FALSE)</f>
        <v>5597.6382846071492</v>
      </c>
      <c r="J24" s="48">
        <f>VLOOKUP($B24,'Income Inequality'!$B$6:$H$40,6,FALSE)</f>
        <v>0</v>
      </c>
      <c r="K24" s="48">
        <f>VLOOKUP($B24,Education!$B$6:$H$40,6,FALSE)</f>
        <v>8138.238702801701</v>
      </c>
      <c r="L24" s="48">
        <f>VLOOKUP($B24,Language!$B$6:$H$40,6,FALSE)</f>
        <v>11311.753584512424</v>
      </c>
      <c r="M24" s="48">
        <f>VLOOKUP($B24,Matching!$B$7:$H$40,6,FALSE)</f>
        <v>0</v>
      </c>
      <c r="N24" s="48">
        <f>VLOOKUP($B24,Incentives!$B$7:$H$40,6,FALSE)</f>
        <v>0</v>
      </c>
      <c r="O24" s="55">
        <f t="shared" si="2"/>
        <v>168899.72504213228</v>
      </c>
      <c r="P24" s="56">
        <f t="shared" si="0"/>
        <v>1.6889972504213226E-2</v>
      </c>
      <c r="Q24" s="56">
        <f t="shared" si="1"/>
        <v>7.4605781072661853E-3</v>
      </c>
      <c r="R24" s="57">
        <f t="shared" si="3"/>
        <v>5.4668951300253203</v>
      </c>
      <c r="U24" s="89"/>
    </row>
    <row r="25" spans="1:21" x14ac:dyDescent="0.25">
      <c r="B25" s="46" t="s">
        <v>49</v>
      </c>
      <c r="C25" s="47">
        <f>VLOOKUP($B25,'County Data'!$B$11:$D$44,3,FALSE)</f>
        <v>31845</v>
      </c>
      <c r="D25" s="48">
        <f>VLOOKUP($B25,'County Data'!$B$11:$M$44,2,FALSE)</f>
        <v>45000</v>
      </c>
      <c r="E25" s="48">
        <f>VLOOKUP($B25,Population!$B$7:$F$40,4,FALSE)</f>
        <v>0</v>
      </c>
      <c r="F25" s="48">
        <f>VLOOKUP($B25,Burden!$B$6:$H$40,6,FALSE)</f>
        <v>14136.616382623428</v>
      </c>
      <c r="G25" s="48">
        <f>VLOOKUP($B25,'Health Status'!$B$6:$H$40,6,FALSE)</f>
        <v>21483.39755620436</v>
      </c>
      <c r="H25" s="48">
        <f>VLOOKUP($B25,Ethnicity!$B$6:$H$40,6,FALSE)</f>
        <v>20692.797659759344</v>
      </c>
      <c r="I25" s="48">
        <f>VLOOKUP($B25,Poverty!$B$6:$H$40,6,FALSE)</f>
        <v>9888.8174934454655</v>
      </c>
      <c r="J25" s="48">
        <f>VLOOKUP($B25,'Income Inequality'!$B$6:$H$40,6,FALSE)</f>
        <v>0</v>
      </c>
      <c r="K25" s="48">
        <f>VLOOKUP($B25,Education!$B$6:$H$40,6,FALSE)</f>
        <v>12410.548472057873</v>
      </c>
      <c r="L25" s="48">
        <f>VLOOKUP($B25,Language!$B$6:$H$40,6,FALSE)</f>
        <v>19323.049212863163</v>
      </c>
      <c r="M25" s="48">
        <f>VLOOKUP($B25,Matching!$B$7:$H$40,6,FALSE)</f>
        <v>0</v>
      </c>
      <c r="N25" s="48">
        <f>VLOOKUP($B25,Incentives!$B$7:$H$40,6,FALSE)</f>
        <v>0</v>
      </c>
      <c r="O25" s="55">
        <f t="shared" si="2"/>
        <v>142935.22677695364</v>
      </c>
      <c r="P25" s="56">
        <f t="shared" si="0"/>
        <v>1.4293522677695361E-2</v>
      </c>
      <c r="Q25" s="56">
        <f t="shared" si="1"/>
        <v>7.6899857525778176E-3</v>
      </c>
      <c r="R25" s="57">
        <f t="shared" si="3"/>
        <v>4.4884668480751655</v>
      </c>
      <c r="U25" s="89"/>
    </row>
    <row r="26" spans="1:21" x14ac:dyDescent="0.25">
      <c r="B26" s="46" t="s">
        <v>31</v>
      </c>
      <c r="C26" s="47">
        <f>VLOOKUP($B26,'County Data'!$B$11:$D$44,3,FALSE)</f>
        <v>38820</v>
      </c>
      <c r="D26" s="48">
        <f>VLOOKUP($B26,'County Data'!$B$11:$M$44,2,FALSE)</f>
        <v>45000</v>
      </c>
      <c r="E26" s="48">
        <f>VLOOKUP($B26,Population!$B$7:$F$40,4,FALSE)</f>
        <v>0</v>
      </c>
      <c r="F26" s="48">
        <f>VLOOKUP($B26,Burden!$B$6:$H$40,6,FALSE)</f>
        <v>20085.933700697358</v>
      </c>
      <c r="G26" s="48">
        <f>VLOOKUP($B26,'Health Status'!$B$6:$H$40,6,FALSE)</f>
        <v>14143.830546307683</v>
      </c>
      <c r="H26" s="48">
        <f>VLOOKUP($B26,Ethnicity!$B$6:$H$40,6,FALSE)</f>
        <v>9160.7067052545972</v>
      </c>
      <c r="I26" s="48">
        <f>VLOOKUP($B26,Poverty!$B$6:$H$40,6,FALSE)</f>
        <v>6805.1075665620037</v>
      </c>
      <c r="J26" s="48">
        <f>VLOOKUP($B26,'Income Inequality'!$B$6:$H$40,6,FALSE)</f>
        <v>0</v>
      </c>
      <c r="K26" s="48">
        <f>VLOOKUP($B26,Education!$B$6:$H$40,6,FALSE)</f>
        <v>6157.9647060089619</v>
      </c>
      <c r="L26" s="48">
        <f>VLOOKUP($B26,Language!$B$6:$H$40,6,FALSE)</f>
        <v>7425.0624092435137</v>
      </c>
      <c r="M26" s="48">
        <f>VLOOKUP($B26,Matching!$B$7:$H$40,6,FALSE)</f>
        <v>0</v>
      </c>
      <c r="N26" s="48">
        <f>VLOOKUP($B26,Incentives!$B$7:$H$40,6,FALSE)</f>
        <v>0</v>
      </c>
      <c r="O26" s="55">
        <f t="shared" si="2"/>
        <v>108778.60563407412</v>
      </c>
      <c r="P26" s="56">
        <f t="shared" si="0"/>
        <v>1.0877860563407411E-2</v>
      </c>
      <c r="Q26" s="56">
        <f t="shared" si="1"/>
        <v>9.3743208326290111E-3</v>
      </c>
      <c r="R26" s="57">
        <f t="shared" si="3"/>
        <v>2.8021279143244233</v>
      </c>
      <c r="U26" s="89"/>
    </row>
    <row r="27" spans="1:21" x14ac:dyDescent="0.25">
      <c r="B27" s="46" t="s">
        <v>47</v>
      </c>
      <c r="C27" s="47">
        <f>VLOOKUP($B27,'County Data'!$B$11:$D$44,3,FALSE)</f>
        <v>47960</v>
      </c>
      <c r="D27" s="48">
        <f>VLOOKUP($B27,'County Data'!$B$11:$M$44,2,FALSE)</f>
        <v>45000</v>
      </c>
      <c r="E27" s="48">
        <f>VLOOKUP($B27,Population!$B$7:$F$40,4,FALSE)</f>
        <v>0</v>
      </c>
      <c r="F27" s="48">
        <f>VLOOKUP($B27,Burden!$B$6:$H$40,6,FALSE)</f>
        <v>28852.493105671179</v>
      </c>
      <c r="G27" s="48">
        <f>VLOOKUP($B27,'Health Status'!$B$6:$H$40,6,FALSE)</f>
        <v>23223.421794251175</v>
      </c>
      <c r="H27" s="48">
        <f>VLOOKUP($B27,Ethnicity!$B$6:$H$40,6,FALSE)</f>
        <v>14023.927118634834</v>
      </c>
      <c r="I27" s="48">
        <f>VLOOKUP($B27,Poverty!$B$6:$H$40,6,FALSE)</f>
        <v>11169.752401922857</v>
      </c>
      <c r="J27" s="48">
        <f>VLOOKUP($B27,'Income Inequality'!$B$6:$H$40,6,FALSE)</f>
        <v>0</v>
      </c>
      <c r="K27" s="48">
        <f>VLOOKUP($B27,Education!$B$6:$H$40,6,FALSE)</f>
        <v>10049.850414741131</v>
      </c>
      <c r="L27" s="48">
        <f>VLOOKUP($B27,Language!$B$6:$H$40,6,FALSE)</f>
        <v>9805.8997206975491</v>
      </c>
      <c r="M27" s="48">
        <f>VLOOKUP($B27,Matching!$B$7:$H$40,6,FALSE)</f>
        <v>0</v>
      </c>
      <c r="N27" s="48">
        <f>VLOOKUP($B27,Incentives!$B$7:$H$40,6,FALSE)</f>
        <v>0</v>
      </c>
      <c r="O27" s="55">
        <f t="shared" si="2"/>
        <v>142125.34455591874</v>
      </c>
      <c r="P27" s="56">
        <f t="shared" si="0"/>
        <v>1.421253445559187E-2</v>
      </c>
      <c r="Q27" s="56">
        <f t="shared" si="1"/>
        <v>1.158146386225882E-2</v>
      </c>
      <c r="R27" s="57">
        <f t="shared" si="3"/>
        <v>2.9634141900733684</v>
      </c>
      <c r="U27" s="89"/>
    </row>
    <row r="28" spans="1:21" x14ac:dyDescent="0.25">
      <c r="B28" s="46" t="s">
        <v>32</v>
      </c>
      <c r="C28" s="47">
        <f>VLOOKUP($B28,'County Data'!$B$11:$D$44,3,FALSE)</f>
        <v>51345</v>
      </c>
      <c r="D28" s="48">
        <f>VLOOKUP($B28,'County Data'!$B$11:$M$44,2,FALSE)</f>
        <v>45000</v>
      </c>
      <c r="E28" s="48">
        <f>VLOOKUP($B28,Population!$B$7:$F$40,4,FALSE)</f>
        <v>0</v>
      </c>
      <c r="F28" s="48">
        <f>VLOOKUP($B28,Burden!$B$6:$H$40,6,FALSE)</f>
        <v>22629.564304092321</v>
      </c>
      <c r="G28" s="48">
        <f>VLOOKUP($B28,'Health Status'!$B$6:$H$40,6,FALSE)</f>
        <v>23293.528614155053</v>
      </c>
      <c r="H28" s="48">
        <f>VLOOKUP($B28,Ethnicity!$B$6:$H$40,6,FALSE)</f>
        <v>9306.7572170361691</v>
      </c>
      <c r="I28" s="48">
        <f>VLOOKUP($B28,Poverty!$B$6:$H$40,6,FALSE)</f>
        <v>8614.9821948713652</v>
      </c>
      <c r="J28" s="48">
        <f>VLOOKUP($B28,'Income Inequality'!$B$6:$H$40,6,FALSE)</f>
        <v>0</v>
      </c>
      <c r="K28" s="48">
        <f>VLOOKUP($B28,Education!$B$6:$H$40,6,FALSE)</f>
        <v>9653.0829188476382</v>
      </c>
      <c r="L28" s="48">
        <f>VLOOKUP($B28,Language!$B$6:$H$40,6,FALSE)</f>
        <v>4741.0307623483404</v>
      </c>
      <c r="M28" s="48">
        <f>VLOOKUP($B28,Matching!$B$7:$H$40,6,FALSE)</f>
        <v>0</v>
      </c>
      <c r="N28" s="48">
        <f>VLOOKUP($B28,Incentives!$B$7:$H$40,6,FALSE)</f>
        <v>0</v>
      </c>
      <c r="O28" s="55">
        <f t="shared" si="2"/>
        <v>123238.94601135087</v>
      </c>
      <c r="P28" s="56">
        <f t="shared" si="0"/>
        <v>1.2323894601135085E-2</v>
      </c>
      <c r="Q28" s="56">
        <f t="shared" si="1"/>
        <v>1.2398879524763951E-2</v>
      </c>
      <c r="R28" s="57">
        <f t="shared" si="3"/>
        <v>2.4002131855360962</v>
      </c>
      <c r="U28" s="89"/>
    </row>
    <row r="29" spans="1:21" x14ac:dyDescent="0.25">
      <c r="B29" s="46" t="s">
        <v>33</v>
      </c>
      <c r="C29" s="47">
        <f>VLOOKUP($B29,'County Data'!$B$11:$D$44,3,FALSE)</f>
        <v>63310</v>
      </c>
      <c r="D29" s="48">
        <f>VLOOKUP($B29,'County Data'!$B$11:$M$44,2,FALSE)</f>
        <v>45000</v>
      </c>
      <c r="E29" s="48">
        <f>VLOOKUP($B29,Population!$B$7:$F$40,4,FALSE)</f>
        <v>0</v>
      </c>
      <c r="F29" s="48">
        <f>VLOOKUP($B29,Burden!$B$6:$H$40,6,FALSE)</f>
        <v>37152.755942660304</v>
      </c>
      <c r="G29" s="48">
        <f>VLOOKUP($B29,'Health Status'!$B$6:$H$40,6,FALSE)</f>
        <v>32739.708599671376</v>
      </c>
      <c r="H29" s="48">
        <f>VLOOKUP($B29,Ethnicity!$B$6:$H$40,6,FALSE)</f>
        <v>15589.391613726724</v>
      </c>
      <c r="I29" s="48">
        <f>VLOOKUP($B29,Poverty!$B$6:$H$40,6,FALSE)</f>
        <v>14348.361699982761</v>
      </c>
      <c r="J29" s="48">
        <f>VLOOKUP($B29,'Income Inequality'!$B$6:$H$40,6,FALSE)</f>
        <v>0</v>
      </c>
      <c r="K29" s="48">
        <f>VLOOKUP($B29,Education!$B$6:$H$40,6,FALSE)</f>
        <v>13762.329063755617</v>
      </c>
      <c r="L29" s="48">
        <f>VLOOKUP($B29,Language!$B$6:$H$40,6,FALSE)</f>
        <v>6263.4000576827639</v>
      </c>
      <c r="M29" s="48">
        <f>VLOOKUP($B29,Matching!$B$7:$H$40,6,FALSE)</f>
        <v>0</v>
      </c>
      <c r="N29" s="48">
        <f>VLOOKUP($B29,Incentives!$B$7:$H$40,6,FALSE)</f>
        <v>0</v>
      </c>
      <c r="O29" s="55">
        <f t="shared" si="2"/>
        <v>164855.94697747953</v>
      </c>
      <c r="P29" s="56">
        <f t="shared" si="0"/>
        <v>1.6485594697747949E-2</v>
      </c>
      <c r="Q29" s="56">
        <f t="shared" si="1"/>
        <v>1.5288208447030983E-2</v>
      </c>
      <c r="R29" s="57">
        <f t="shared" si="3"/>
        <v>2.6039479857444245</v>
      </c>
      <c r="U29" s="89"/>
    </row>
    <row r="30" spans="1:21" x14ac:dyDescent="0.25">
      <c r="B30" s="46" t="s">
        <v>44</v>
      </c>
      <c r="C30" s="47">
        <f>VLOOKUP($B30,'County Data'!$B$11:$D$44,3,FALSE)</f>
        <v>67690</v>
      </c>
      <c r="D30" s="48">
        <f>VLOOKUP($B30,'County Data'!$B$11:$M$44,2,FALSE)</f>
        <v>45000</v>
      </c>
      <c r="E30" s="48">
        <f>VLOOKUP($B30,Population!$B$7:$F$40,4,FALSE)</f>
        <v>0</v>
      </c>
      <c r="F30" s="48">
        <f>VLOOKUP($B30,Burden!$B$6:$H$40,6,FALSE)</f>
        <v>38333.897844248742</v>
      </c>
      <c r="G30" s="48">
        <f>VLOOKUP($B30,'Health Status'!$B$6:$H$40,6,FALSE)</f>
        <v>34209.189855762219</v>
      </c>
      <c r="H30" s="48">
        <f>VLOOKUP($B30,Ethnicity!$B$6:$H$40,6,FALSE)</f>
        <v>23960.132800567368</v>
      </c>
      <c r="I30" s="48">
        <f>VLOOKUP($B30,Poverty!$B$6:$H$40,6,FALSE)</f>
        <v>15764.815264515391</v>
      </c>
      <c r="J30" s="48">
        <f>VLOOKUP($B30,'Income Inequality'!$B$6:$H$40,6,FALSE)</f>
        <v>0</v>
      </c>
      <c r="K30" s="48">
        <f>VLOOKUP($B30,Education!$B$6:$H$40,6,FALSE)</f>
        <v>16437.767931055194</v>
      </c>
      <c r="L30" s="48">
        <f>VLOOKUP($B30,Language!$B$6:$H$40,6,FALSE)</f>
        <v>13393.446529917748</v>
      </c>
      <c r="M30" s="48">
        <f>VLOOKUP($B30,Matching!$B$7:$H$40,6,FALSE)</f>
        <v>0</v>
      </c>
      <c r="N30" s="48">
        <f>VLOOKUP($B30,Incentives!$B$7:$H$40,6,FALSE)</f>
        <v>0</v>
      </c>
      <c r="O30" s="55">
        <f t="shared" si="2"/>
        <v>187099.25022606665</v>
      </c>
      <c r="P30" s="56">
        <f t="shared" si="0"/>
        <v>1.8709925022606662E-2</v>
      </c>
      <c r="Q30" s="56">
        <f t="shared" si="1"/>
        <v>1.634589843278356E-2</v>
      </c>
      <c r="R30" s="57">
        <f t="shared" si="3"/>
        <v>2.7640604258541388</v>
      </c>
      <c r="S30" s="57">
        <f>SUM(O18:O30)/SUM(C18:C30)</f>
        <v>3.3603855326904446</v>
      </c>
      <c r="U30" s="89"/>
    </row>
    <row r="31" spans="1:21" x14ac:dyDescent="0.25">
      <c r="A31" s="90"/>
      <c r="B31" s="100" t="s">
        <v>56</v>
      </c>
      <c r="C31" s="101">
        <f>VLOOKUP($B31,'County Data'!$B$11:$D$44,3,FALSE)</f>
        <v>80500</v>
      </c>
      <c r="D31" s="102">
        <f>VLOOKUP($B31,'County Data'!$B$11:$M$44,2,FALSE)</f>
        <v>60000</v>
      </c>
      <c r="E31" s="102">
        <f>VLOOKUP($B31,Population!$B$7:$F$40,4,FALSE)</f>
        <v>0</v>
      </c>
      <c r="F31" s="102">
        <f>VLOOKUP($B31,Burden!$B$6:$H$40,6,FALSE)</f>
        <v>33327.488538978927</v>
      </c>
      <c r="G31" s="102">
        <f>VLOOKUP($B31,'Health Status'!$B$6:$H$40,6,FALSE)</f>
        <v>41629.229857424507</v>
      </c>
      <c r="H31" s="102">
        <f>VLOOKUP($B31,Ethnicity!$B$6:$H$40,6,FALSE)</f>
        <v>44875.349264534998</v>
      </c>
      <c r="I31" s="102">
        <f>VLOOKUP($B31,Poverty!$B$6:$H$40,6,FALSE)</f>
        <v>18143.447530632853</v>
      </c>
      <c r="J31" s="102">
        <f>VLOOKUP($B31,'Income Inequality'!$B$6:$H$40,6,FALSE)</f>
        <v>0</v>
      </c>
      <c r="K31" s="102">
        <f>VLOOKUP($B31,Education!$B$6:$H$40,6,FALSE)</f>
        <v>27431.00846485759</v>
      </c>
      <c r="L31" s="102">
        <f>VLOOKUP($B31,Language!$B$6:$H$40,6,FALSE)</f>
        <v>55217.380385321012</v>
      </c>
      <c r="M31" s="102">
        <f>VLOOKUP($B31,Matching!$B$7:$H$40,6,FALSE)</f>
        <v>0</v>
      </c>
      <c r="N31" s="102">
        <f>VLOOKUP($B31,Incentives!$B$7:$H$40,6,FALSE)</f>
        <v>0</v>
      </c>
      <c r="O31" s="103">
        <f>SUM(D31:N31)</f>
        <v>280623.90404174989</v>
      </c>
      <c r="P31" s="104">
        <f t="shared" si="0"/>
        <v>2.8062390404174985E-2</v>
      </c>
      <c r="Q31" s="104">
        <f t="shared" si="1"/>
        <v>1.9439279418511989E-2</v>
      </c>
      <c r="R31" s="105">
        <f>O31/C31</f>
        <v>3.4860112303322968</v>
      </c>
      <c r="U31" s="89"/>
    </row>
    <row r="32" spans="1:21" x14ac:dyDescent="0.25">
      <c r="A32" s="90"/>
      <c r="B32" s="100" t="s">
        <v>54</v>
      </c>
      <c r="C32" s="101">
        <f>VLOOKUP($B32,'County Data'!$B$11:$D$44,3,FALSE)</f>
        <v>81000</v>
      </c>
      <c r="D32" s="102">
        <f>VLOOKUP($B32,'County Data'!$B$11:$M$44,2,FALSE)</f>
        <v>60000</v>
      </c>
      <c r="E32" s="102">
        <f>VLOOKUP($B32,Population!$B$7:$F$40,4,FALSE)</f>
        <v>0</v>
      </c>
      <c r="F32" s="102">
        <f>VLOOKUP($B32,Burden!$B$6:$H$40,6,FALSE)</f>
        <v>29194.960898297868</v>
      </c>
      <c r="G32" s="102">
        <f>VLOOKUP($B32,'Health Status'!$B$6:$H$40,6,FALSE)</f>
        <v>27607.865876648841</v>
      </c>
      <c r="H32" s="102">
        <f>VLOOKUP($B32,Ethnicity!$B$6:$H$40,6,FALSE)</f>
        <v>28671.454525719553</v>
      </c>
      <c r="I32" s="102">
        <f>VLOOKUP($B32,Poverty!$B$6:$H$40,6,FALSE)</f>
        <v>15720.5647858589</v>
      </c>
      <c r="J32" s="102">
        <f>VLOOKUP($B32,'Income Inequality'!$B$6:$H$40,6,FALSE)</f>
        <v>0</v>
      </c>
      <c r="K32" s="102">
        <f>VLOOKUP($B32,Education!$B$6:$H$40,6,FALSE)</f>
        <v>14276.579689356169</v>
      </c>
      <c r="L32" s="102">
        <f>VLOOKUP($B32,Language!$B$6:$H$40,6,FALSE)</f>
        <v>23506.300011142393</v>
      </c>
      <c r="M32" s="102">
        <f>VLOOKUP($B32,Matching!$B$7:$H$40,6,FALSE)</f>
        <v>0</v>
      </c>
      <c r="N32" s="102">
        <f>VLOOKUP($B32,Incentives!$B$7:$H$40,6,FALSE)</f>
        <v>0</v>
      </c>
      <c r="O32" s="103">
        <f t="shared" si="2"/>
        <v>198977.72578702372</v>
      </c>
      <c r="P32" s="104">
        <f t="shared" si="0"/>
        <v>1.9897772578702368E-2</v>
      </c>
      <c r="Q32" s="104">
        <f t="shared" si="1"/>
        <v>1.956002028446548E-2</v>
      </c>
      <c r="R32" s="105">
        <f t="shared" si="3"/>
        <v>2.4565151331731325</v>
      </c>
      <c r="U32" s="89"/>
    </row>
    <row r="33" spans="2:21" x14ac:dyDescent="0.25">
      <c r="B33" s="100" t="s">
        <v>43</v>
      </c>
      <c r="C33" s="101">
        <f>VLOOKUP($B33,'County Data'!$B$11:$D$44,3,FALSE)</f>
        <v>85650</v>
      </c>
      <c r="D33" s="102">
        <f>VLOOKUP($B33,'County Data'!$B$11:$M$44,2,FALSE)</f>
        <v>60000</v>
      </c>
      <c r="E33" s="102">
        <f>VLOOKUP($B33,Population!$B$7:$F$40,4,FALSE)</f>
        <v>0</v>
      </c>
      <c r="F33" s="102">
        <f>VLOOKUP($B33,Burden!$B$6:$H$40,6,FALSE)</f>
        <v>50842.826881417554</v>
      </c>
      <c r="G33" s="102">
        <f>VLOOKUP($B33,'Health Status'!$B$6:$H$40,6,FALSE)</f>
        <v>38453.913925583627</v>
      </c>
      <c r="H33" s="102">
        <f>VLOOKUP($B33,Ethnicity!$B$6:$H$40,6,FALSE)</f>
        <v>18014.691945829862</v>
      </c>
      <c r="I33" s="102">
        <f>VLOOKUP($B33,Poverty!$B$6:$H$40,6,FALSE)</f>
        <v>20912.858854019825</v>
      </c>
      <c r="J33" s="102">
        <f>VLOOKUP($B33,'Income Inequality'!$B$6:$H$40,6,FALSE)</f>
        <v>0</v>
      </c>
      <c r="K33" s="102">
        <f>VLOOKUP($B33,Education!$B$6:$H$40,6,FALSE)</f>
        <v>18786.333833203826</v>
      </c>
      <c r="L33" s="102">
        <f>VLOOKUP($B33,Language!$B$6:$H$40,6,FALSE)</f>
        <v>6778.8370234153062</v>
      </c>
      <c r="M33" s="102">
        <f>VLOOKUP($B33,Matching!$B$7:$H$40,6,FALSE)</f>
        <v>0</v>
      </c>
      <c r="N33" s="102">
        <f>VLOOKUP($B33,Incentives!$B$7:$H$40,6,FALSE)</f>
        <v>0</v>
      </c>
      <c r="O33" s="103">
        <f t="shared" si="2"/>
        <v>213789.46246347</v>
      </c>
      <c r="P33" s="104">
        <f t="shared" si="0"/>
        <v>2.1378946246346998E-2</v>
      </c>
      <c r="Q33" s="104">
        <f t="shared" si="1"/>
        <v>2.0682910337832944E-2</v>
      </c>
      <c r="R33" s="105">
        <f t="shared" si="3"/>
        <v>2.4960824572500875</v>
      </c>
      <c r="U33" s="89"/>
    </row>
    <row r="34" spans="2:21" x14ac:dyDescent="0.25">
      <c r="B34" s="100" t="s">
        <v>29</v>
      </c>
      <c r="C34" s="101">
        <f>VLOOKUP($B34,'County Data'!$B$11:$D$44,3,FALSE)</f>
        <v>92575</v>
      </c>
      <c r="D34" s="102">
        <f>VLOOKUP($B34,'County Data'!$B$11:$M$44,2,FALSE)</f>
        <v>60000</v>
      </c>
      <c r="E34" s="102">
        <f>VLOOKUP($B34,Population!$B$7:$F$40,4,FALSE)</f>
        <v>0</v>
      </c>
      <c r="F34" s="102">
        <f>VLOOKUP($B34,Burden!$B$6:$H$40,6,FALSE)</f>
        <v>24709.414750943961</v>
      </c>
      <c r="G34" s="102">
        <f>VLOOKUP($B34,'Health Status'!$B$6:$H$40,6,FALSE)</f>
        <v>30900.241980533741</v>
      </c>
      <c r="H34" s="102">
        <f>VLOOKUP($B34,Ethnicity!$B$6:$H$40,6,FALSE)</f>
        <v>28811.075463396253</v>
      </c>
      <c r="I34" s="102">
        <f>VLOOKUP($B34,Poverty!$B$6:$H$40,6,FALSE)</f>
        <v>24922.041121938739</v>
      </c>
      <c r="J34" s="102">
        <f>VLOOKUP($B34,'Income Inequality'!$B$6:$H$40,6,FALSE)</f>
        <v>0</v>
      </c>
      <c r="K34" s="102">
        <f>VLOOKUP($B34,Education!$B$6:$H$40,6,FALSE)</f>
        <v>9064.8447513178835</v>
      </c>
      <c r="L34" s="102">
        <f>VLOOKUP($B34,Language!$B$6:$H$40,6,FALSE)</f>
        <v>23812.495291169689</v>
      </c>
      <c r="M34" s="102">
        <f>VLOOKUP($B34,Matching!$B$7:$H$40,6,FALSE)</f>
        <v>0</v>
      </c>
      <c r="N34" s="102">
        <f>VLOOKUP($B34,Incentives!$B$7:$H$40,6,FALSE)</f>
        <v>0</v>
      </c>
      <c r="O34" s="103">
        <f t="shared" si="2"/>
        <v>202220.11335930025</v>
      </c>
      <c r="P34" s="104">
        <f t="shared" si="0"/>
        <v>2.0222011335930021E-2</v>
      </c>
      <c r="Q34" s="104">
        <f t="shared" si="1"/>
        <v>2.2355171331288788E-2</v>
      </c>
      <c r="R34" s="105">
        <f t="shared" si="3"/>
        <v>2.1843922588096163</v>
      </c>
      <c r="U34" s="89"/>
    </row>
    <row r="35" spans="2:21" x14ac:dyDescent="0.25">
      <c r="B35" s="100" t="s">
        <v>61</v>
      </c>
      <c r="C35" s="101">
        <f>VLOOKUP($B35,'County Data'!$B$11:$D$44,3,FALSE)</f>
        <v>106300</v>
      </c>
      <c r="D35" s="102">
        <f>VLOOKUP($B35,'County Data'!$B$11:$M$44,2,FALSE)</f>
        <v>60000</v>
      </c>
      <c r="E35" s="102">
        <f>VLOOKUP($B35,Population!$B$7:$F$40,4,FALSE)</f>
        <v>0</v>
      </c>
      <c r="F35" s="102">
        <f>VLOOKUP($B35,Burden!$B$6:$H$40,6,FALSE)</f>
        <v>38390.242365526123</v>
      </c>
      <c r="G35" s="102">
        <f>VLOOKUP($B35,'Health Status'!$B$6:$H$40,6,FALSE)</f>
        <v>47725.05604541202</v>
      </c>
      <c r="H35" s="102">
        <f>VLOOKUP($B35,Ethnicity!$B$6:$H$40,6,FALSE)</f>
        <v>39989.898940685722</v>
      </c>
      <c r="I35" s="102">
        <f>VLOOKUP($B35,Poverty!$B$6:$H$40,6,FALSE)</f>
        <v>20897.01933633435</v>
      </c>
      <c r="J35" s="102">
        <f>VLOOKUP($B35,'Income Inequality'!$B$6:$H$40,6,FALSE)</f>
        <v>0</v>
      </c>
      <c r="K35" s="102">
        <f>VLOOKUP($B35,Education!$B$6:$H$40,6,FALSE)</f>
        <v>24981.076888535979</v>
      </c>
      <c r="L35" s="102">
        <f>VLOOKUP($B35,Language!$B$6:$H$40,6,FALSE)</f>
        <v>37859.389260370248</v>
      </c>
      <c r="M35" s="102">
        <f>VLOOKUP($B35,Matching!$B$7:$H$40,6,FALSE)</f>
        <v>0</v>
      </c>
      <c r="N35" s="102">
        <f>VLOOKUP($B35,Incentives!$B$7:$H$40,6,FALSE)</f>
        <v>0</v>
      </c>
      <c r="O35" s="103">
        <f t="shared" si="2"/>
        <v>269842.68283686443</v>
      </c>
      <c r="P35" s="104">
        <f t="shared" si="0"/>
        <v>2.6984268283686438E-2</v>
      </c>
      <c r="Q35" s="104">
        <f t="shared" si="1"/>
        <v>2.5669508101712105E-2</v>
      </c>
      <c r="R35" s="105">
        <f t="shared" si="3"/>
        <v>2.538501249641246</v>
      </c>
      <c r="U35" s="89"/>
    </row>
    <row r="36" spans="2:21" x14ac:dyDescent="0.25">
      <c r="B36" s="100" t="s">
        <v>37</v>
      </c>
      <c r="C36" s="101">
        <f>VLOOKUP($B36,'County Data'!$B$11:$D$44,3,FALSE)</f>
        <v>111180</v>
      </c>
      <c r="D36" s="102">
        <f>VLOOKUP($B36,'County Data'!$B$11:$M$44,2,FALSE)</f>
        <v>60000</v>
      </c>
      <c r="E36" s="102">
        <f>VLOOKUP($B36,Population!$B$7:$F$40,4,FALSE)</f>
        <v>0</v>
      </c>
      <c r="F36" s="102">
        <f>VLOOKUP($B36,Burden!$B$6:$H$40,6,FALSE)</f>
        <v>66423.24987307658</v>
      </c>
      <c r="G36" s="102">
        <f>VLOOKUP($B36,'Health Status'!$B$6:$H$40,6,FALSE)</f>
        <v>61153.644239318986</v>
      </c>
      <c r="H36" s="102">
        <f>VLOOKUP($B36,Ethnicity!$B$6:$H$40,6,FALSE)</f>
        <v>21293.10784201014</v>
      </c>
      <c r="I36" s="102">
        <f>VLOOKUP($B36,Poverty!$B$6:$H$40,6,FALSE)</f>
        <v>25893.516931730261</v>
      </c>
      <c r="J36" s="102">
        <f>VLOOKUP($B36,'Income Inequality'!$B$6:$H$40,6,FALSE)</f>
        <v>0</v>
      </c>
      <c r="K36" s="102">
        <f>VLOOKUP($B36,Education!$B$6:$H$40,6,FALSE)</f>
        <v>23732.84556310363</v>
      </c>
      <c r="L36" s="102">
        <f>VLOOKUP($B36,Language!$B$6:$H$40,6,FALSE)</f>
        <v>8799.4290748781532</v>
      </c>
      <c r="M36" s="102">
        <f>VLOOKUP($B36,Matching!$B$7:$H$40,6,FALSE)</f>
        <v>0</v>
      </c>
      <c r="N36" s="102">
        <f>VLOOKUP($B36,Incentives!$B$7:$H$40,6,FALSE)</f>
        <v>0</v>
      </c>
      <c r="O36" s="103">
        <f t="shared" si="2"/>
        <v>267295.79352411773</v>
      </c>
      <c r="P36" s="104">
        <f t="shared" si="0"/>
        <v>2.672957935241177E-2</v>
      </c>
      <c r="Q36" s="104">
        <f t="shared" si="1"/>
        <v>2.6847938953418173E-2</v>
      </c>
      <c r="R36" s="105">
        <f t="shared" si="3"/>
        <v>2.404171555352741</v>
      </c>
      <c r="U36" s="89"/>
    </row>
    <row r="37" spans="2:21" x14ac:dyDescent="0.25">
      <c r="B37" s="100" t="s">
        <v>48</v>
      </c>
      <c r="C37" s="101">
        <f>VLOOKUP($B37,'County Data'!$B$11:$D$44,3,FALSE)</f>
        <v>124010</v>
      </c>
      <c r="D37" s="102">
        <f>VLOOKUP($B37,'County Data'!$B$11:$M$44,2,FALSE)</f>
        <v>60000</v>
      </c>
      <c r="E37" s="102">
        <f>VLOOKUP($B37,Population!$B$7:$F$40,4,FALSE)</f>
        <v>0</v>
      </c>
      <c r="F37" s="102">
        <f>VLOOKUP($B37,Burden!$B$6:$H$40,6,FALSE)</f>
        <v>54918.348076190123</v>
      </c>
      <c r="G37" s="102">
        <f>VLOOKUP($B37,'Health Status'!$B$6:$H$40,6,FALSE)</f>
        <v>55093.241681707033</v>
      </c>
      <c r="H37" s="102">
        <f>VLOOKUP($B37,Ethnicity!$B$6:$H$40,6,FALSE)</f>
        <v>29475.818186144996</v>
      </c>
      <c r="I37" s="102">
        <f>VLOOKUP($B37,Poverty!$B$6:$H$40,6,FALSE)</f>
        <v>26862.983063586198</v>
      </c>
      <c r="J37" s="102">
        <f>VLOOKUP($B37,'Income Inequality'!$B$6:$H$40,6,FALSE)</f>
        <v>0</v>
      </c>
      <c r="K37" s="102">
        <f>VLOOKUP($B37,Education!$B$6:$H$40,6,FALSE)</f>
        <v>25014.428075382304</v>
      </c>
      <c r="L37" s="102">
        <f>VLOOKUP($B37,Language!$B$6:$H$40,6,FALSE)</f>
        <v>17176.021759825231</v>
      </c>
      <c r="M37" s="102">
        <f>VLOOKUP($B37,Matching!$B$7:$H$40,6,FALSE)</f>
        <v>0</v>
      </c>
      <c r="N37" s="102">
        <f>VLOOKUP($B37,Incentives!$B$7:$H$40,6,FALSE)</f>
        <v>0</v>
      </c>
      <c r="O37" s="103">
        <f t="shared" si="2"/>
        <v>268540.8408428359</v>
      </c>
      <c r="P37" s="104">
        <f t="shared" si="0"/>
        <v>2.6854084084283584E-2</v>
      </c>
      <c r="Q37" s="104">
        <f t="shared" si="1"/>
        <v>2.9946149573784744E-2</v>
      </c>
      <c r="R37" s="105">
        <f t="shared" si="3"/>
        <v>2.1654773070142399</v>
      </c>
      <c r="S37" s="105">
        <f>SUM(O32:O37)/SUM(C32:C37)</f>
        <v>2.364959454672535</v>
      </c>
      <c r="U37" s="89"/>
    </row>
    <row r="38" spans="2:21" x14ac:dyDescent="0.25">
      <c r="B38" s="42" t="s">
        <v>36</v>
      </c>
      <c r="C38" s="43">
        <f>VLOOKUP($B38,'County Data'!$B$11:$D$44,3,FALSE)</f>
        <v>182930</v>
      </c>
      <c r="D38" s="44">
        <f>VLOOKUP($B38,'County Data'!$B$11:$M$44,2,FALSE)</f>
        <v>75000</v>
      </c>
      <c r="E38" s="44">
        <f>VLOOKUP($B38,Population!$B$7:$F$40,4,FALSE)</f>
        <v>0</v>
      </c>
      <c r="F38" s="44">
        <f>VLOOKUP($B38,Burden!$B$6:$H$40,6,FALSE)</f>
        <v>61838.090255461088</v>
      </c>
      <c r="G38" s="44">
        <f>VLOOKUP($B38,'Health Status'!$B$6:$H$40,6,FALSE)</f>
        <v>49019.581707020254</v>
      </c>
      <c r="H38" s="44">
        <f>VLOOKUP($B38,Ethnicity!$B$6:$H$40,6,FALSE)</f>
        <v>37849.893859555988</v>
      </c>
      <c r="I38" s="44">
        <f>VLOOKUP($B38,Poverty!$B$6:$H$40,6,FALSE)</f>
        <v>31838.394692355756</v>
      </c>
      <c r="J38" s="44">
        <f>VLOOKUP($B38,'Income Inequality'!$B$6:$H$40,6,FALSE)</f>
        <v>0</v>
      </c>
      <c r="K38" s="44">
        <f>VLOOKUP($B38,Education!$B$6:$H$40,6,FALSE)</f>
        <v>25077.233275744129</v>
      </c>
      <c r="L38" s="44">
        <f>VLOOKUP($B38,Language!$B$6:$H$40,6,FALSE)</f>
        <v>24130.232665759133</v>
      </c>
      <c r="M38" s="44">
        <f>VLOOKUP($B38,Matching!$B$7:$H$40,6,FALSE)</f>
        <v>0</v>
      </c>
      <c r="N38" s="44">
        <f>VLOOKUP($B38,Incentives!$B$7:$H$40,6,FALSE)</f>
        <v>0</v>
      </c>
      <c r="O38" s="52">
        <f t="shared" si="2"/>
        <v>304753.42645589635</v>
      </c>
      <c r="P38" s="53">
        <f t="shared" si="0"/>
        <v>3.0475342645589629E-2</v>
      </c>
      <c r="Q38" s="53">
        <f t="shared" si="1"/>
        <v>4.4174253217744076E-2</v>
      </c>
      <c r="R38" s="54">
        <f t="shared" si="3"/>
        <v>1.665956521379196</v>
      </c>
      <c r="U38" s="89"/>
    </row>
    <row r="39" spans="2:21" x14ac:dyDescent="0.25">
      <c r="B39" s="42" t="s">
        <v>41</v>
      </c>
      <c r="C39" s="43">
        <f>VLOOKUP($B39,'County Data'!$B$11:$D$44,3,FALSE)</f>
        <v>216900</v>
      </c>
      <c r="D39" s="44">
        <f>VLOOKUP($B39,'County Data'!$B$11:$M$44,2,FALSE)</f>
        <v>75000</v>
      </c>
      <c r="E39" s="44">
        <f>VLOOKUP($B39,Population!$B$7:$F$40,4,FALSE)</f>
        <v>0</v>
      </c>
      <c r="F39" s="44">
        <f>VLOOKUP($B39,Burden!$B$6:$H$40,6,FALSE)</f>
        <v>99315.070037841884</v>
      </c>
      <c r="G39" s="44">
        <f>VLOOKUP($B39,'Health Status'!$B$6:$H$40,6,FALSE)</f>
        <v>93811.739803380566</v>
      </c>
      <c r="H39" s="44">
        <f>VLOOKUP($B39,Ethnicity!$B$6:$H$40,6,FALSE)</f>
        <v>66019.756105438428</v>
      </c>
      <c r="I39" s="44">
        <f>VLOOKUP($B39,Poverty!$B$6:$H$40,6,FALSE)</f>
        <v>48885.885334090257</v>
      </c>
      <c r="J39" s="44">
        <f>VLOOKUP($B39,'Income Inequality'!$B$6:$H$40,6,FALSE)</f>
        <v>0</v>
      </c>
      <c r="K39" s="44">
        <f>VLOOKUP($B39,Education!$B$6:$H$40,6,FALSE)</f>
        <v>47149.726329625548</v>
      </c>
      <c r="L39" s="44">
        <f>VLOOKUP($B39,Language!$B$6:$H$40,6,FALSE)</f>
        <v>50069.606210602549</v>
      </c>
      <c r="M39" s="44">
        <f>VLOOKUP($B39,Matching!$B$7:$H$40,6,FALSE)</f>
        <v>0</v>
      </c>
      <c r="N39" s="44">
        <f>VLOOKUP($B39,Incentives!$B$7:$H$40,6,FALSE)</f>
        <v>0</v>
      </c>
      <c r="O39" s="52">
        <f t="shared" si="2"/>
        <v>480251.7838209793</v>
      </c>
      <c r="P39" s="53">
        <f t="shared" si="0"/>
        <v>4.8025178382097918E-2</v>
      </c>
      <c r="Q39" s="53">
        <f t="shared" si="1"/>
        <v>5.2377387650624233E-2</v>
      </c>
      <c r="R39" s="54">
        <f t="shared" si="3"/>
        <v>2.2141622121760225</v>
      </c>
      <c r="U39" s="89"/>
    </row>
    <row r="40" spans="2:21" x14ac:dyDescent="0.25">
      <c r="B40" s="42" t="s">
        <v>50</v>
      </c>
      <c r="C40" s="43">
        <f>VLOOKUP($B40,'County Data'!$B$11:$D$44,3,FALSE)</f>
        <v>339200</v>
      </c>
      <c r="D40" s="44">
        <f>VLOOKUP($B40,'County Data'!$B$11:$M$44,2,FALSE)</f>
        <v>75000</v>
      </c>
      <c r="E40" s="44">
        <f>VLOOKUP($B40,Population!$B$7:$F$40,4,FALSE)</f>
        <v>0</v>
      </c>
      <c r="F40" s="44">
        <f>VLOOKUP($B40,Burden!$B$6:$H$40,6,FALSE)</f>
        <v>130224.93529044514</v>
      </c>
      <c r="G40" s="44">
        <f>VLOOKUP($B40,'Health Status'!$B$6:$H$40,6,FALSE)</f>
        <v>156275.79979995056</v>
      </c>
      <c r="H40" s="44">
        <f>VLOOKUP($B40,Ethnicity!$B$6:$H$40,6,FALSE)</f>
        <v>191989.81876102273</v>
      </c>
      <c r="I40" s="44">
        <f>VLOOKUP($B40,Poverty!$B$6:$H$40,6,FALSE)</f>
        <v>73052.606846873299</v>
      </c>
      <c r="J40" s="44">
        <f>VLOOKUP($B40,'Income Inequality'!$B$6:$H$40,6,FALSE)</f>
        <v>0</v>
      </c>
      <c r="K40" s="44">
        <f>VLOOKUP($B40,Education!$B$6:$H$40,6,FALSE)</f>
        <v>98978.019034816491</v>
      </c>
      <c r="L40" s="44">
        <f>VLOOKUP($B40,Language!$B$6:$H$40,6,FALSE)</f>
        <v>237141.89622913211</v>
      </c>
      <c r="M40" s="44">
        <f>VLOOKUP($B40,Matching!$B$7:$H$40,6,FALSE)</f>
        <v>0</v>
      </c>
      <c r="N40" s="44">
        <f>VLOOKUP($B40,Incentives!$B$7:$H$40,6,FALSE)</f>
        <v>0</v>
      </c>
      <c r="O40" s="52">
        <f t="shared" si="2"/>
        <v>962663.07596224034</v>
      </c>
      <c r="P40" s="53">
        <f t="shared" si="0"/>
        <v>9.626630759622401E-2</v>
      </c>
      <c r="Q40" s="53">
        <f t="shared" si="1"/>
        <v>8.1910603462848036E-2</v>
      </c>
      <c r="R40" s="54">
        <f t="shared" si="3"/>
        <v>2.8380397286622649</v>
      </c>
      <c r="U40" s="89"/>
    </row>
    <row r="41" spans="2:21" x14ac:dyDescent="0.25">
      <c r="B41" s="42" t="s">
        <v>46</v>
      </c>
      <c r="C41" s="43">
        <f>VLOOKUP($B41,'County Data'!$B$11:$D$44,3,FALSE)</f>
        <v>370600</v>
      </c>
      <c r="D41" s="44">
        <f>VLOOKUP($B41,'County Data'!$B$11:$M$44,2,FALSE)</f>
        <v>75000</v>
      </c>
      <c r="E41" s="44">
        <f>VLOOKUP($B41,Population!$B$7:$F$40,4,FALSE)</f>
        <v>0</v>
      </c>
      <c r="F41" s="44">
        <f>VLOOKUP($B41,Burden!$B$6:$H$40,6,FALSE)</f>
        <v>153971.00703979051</v>
      </c>
      <c r="G41" s="44">
        <f>VLOOKUP($B41,'Health Status'!$B$6:$H$40,6,FALSE)</f>
        <v>140252.65986510468</v>
      </c>
      <c r="H41" s="44">
        <f>VLOOKUP($B41,Ethnicity!$B$6:$H$40,6,FALSE)</f>
        <v>107099.2626577296</v>
      </c>
      <c r="I41" s="44">
        <f>VLOOKUP($B41,Poverty!$B$6:$H$40,6,FALSE)</f>
        <v>91416.179848581742</v>
      </c>
      <c r="J41" s="44">
        <f>VLOOKUP($B41,'Income Inequality'!$B$6:$H$40,6,FALSE)</f>
        <v>0</v>
      </c>
      <c r="K41" s="44">
        <f>VLOOKUP($B41,Education!$B$6:$H$40,6,FALSE)</f>
        <v>64593.983336887555</v>
      </c>
      <c r="L41" s="44">
        <f>VLOOKUP($B41,Language!$B$6:$H$40,6,FALSE)</f>
        <v>68440.003915718975</v>
      </c>
      <c r="M41" s="44">
        <f>VLOOKUP($B41,Matching!$B$7:$H$40,6,FALSE)</f>
        <v>0</v>
      </c>
      <c r="N41" s="44">
        <f>VLOOKUP($B41,Incentives!$B$7:$H$40,6,FALSE)</f>
        <v>0</v>
      </c>
      <c r="O41" s="52">
        <f t="shared" si="2"/>
        <v>700773.09666381311</v>
      </c>
      <c r="P41" s="53">
        <f t="shared" si="0"/>
        <v>7.0077309666381302E-2</v>
      </c>
      <c r="Q41" s="53">
        <f t="shared" si="1"/>
        <v>8.9493129844727251E-2</v>
      </c>
      <c r="R41" s="54">
        <f t="shared" si="3"/>
        <v>1.8909149936962037</v>
      </c>
      <c r="S41" s="54">
        <f>SUM(O38:O41)/SUM(C38:C41)</f>
        <v>2.2065385605138013</v>
      </c>
      <c r="U41" s="89"/>
    </row>
    <row r="42" spans="2:21" x14ac:dyDescent="0.25">
      <c r="B42" s="39" t="s">
        <v>30</v>
      </c>
      <c r="C42" s="40">
        <f>VLOOKUP($B42,'County Data'!$B$11:$D$44,3,FALSE)</f>
        <v>413000</v>
      </c>
      <c r="D42" s="41">
        <f>VLOOKUP($B42,'County Data'!$B$11:$M$44,2,FALSE)</f>
        <v>90000</v>
      </c>
      <c r="E42" s="41">
        <f>VLOOKUP($B42,Population!$B$7:$F$40,4,FALSE)</f>
        <v>0</v>
      </c>
      <c r="F42" s="41">
        <f>VLOOKUP($B42,Burden!$B$6:$H$40,6,FALSE)</f>
        <v>142024.58651745756</v>
      </c>
      <c r="G42" s="41">
        <f>VLOOKUP($B42,'Health Status'!$B$6:$H$40,6,FALSE)</f>
        <v>142707.6326298193</v>
      </c>
      <c r="H42" s="41">
        <f>VLOOKUP($B42,Ethnicity!$B$6:$H$40,6,FALSE)</f>
        <v>118646.16215259297</v>
      </c>
      <c r="I42" s="41">
        <f>VLOOKUP($B42,Poverty!$B$6:$H$40,6,FALSE)</f>
        <v>47576.151302548373</v>
      </c>
      <c r="J42" s="41">
        <f>VLOOKUP($B42,'Income Inequality'!$B$6:$H$40,6,FALSE)</f>
        <v>0</v>
      </c>
      <c r="K42" s="41">
        <f>VLOOKUP($B42,Education!$B$6:$H$40,6,FALSE)</f>
        <v>54190.293084248915</v>
      </c>
      <c r="L42" s="41">
        <f>VLOOKUP($B42,Language!$B$6:$H$40,6,FALSE)</f>
        <v>119853.10993335565</v>
      </c>
      <c r="M42" s="41">
        <f>VLOOKUP($B42,Matching!$B$7:$H$40,6,FALSE)</f>
        <v>0</v>
      </c>
      <c r="N42" s="41">
        <f>VLOOKUP($B42,Incentives!$B$7:$H$40,6,FALSE)</f>
        <v>0</v>
      </c>
      <c r="O42" s="61">
        <f t="shared" si="2"/>
        <v>714997.9356200227</v>
      </c>
      <c r="P42" s="62">
        <f t="shared" si="0"/>
        <v>7.1499793562002256E-2</v>
      </c>
      <c r="Q42" s="62">
        <f t="shared" si="1"/>
        <v>9.9731955277583245E-2</v>
      </c>
      <c r="R42" s="63">
        <f t="shared" si="3"/>
        <v>1.7312298683293528</v>
      </c>
      <c r="U42" s="89"/>
    </row>
    <row r="43" spans="2:21" x14ac:dyDescent="0.25">
      <c r="B43" s="39" t="s">
        <v>59</v>
      </c>
      <c r="C43" s="40">
        <f>VLOOKUP($B43,'County Data'!$B$11:$D$44,3,FALSE)</f>
        <v>595860</v>
      </c>
      <c r="D43" s="41">
        <f>VLOOKUP($B43,'County Data'!$B$11:$M$44,2,FALSE)</f>
        <v>90000</v>
      </c>
      <c r="E43" s="41">
        <f>VLOOKUP($B43,Population!$B$7:$F$40,4,FALSE)</f>
        <v>0</v>
      </c>
      <c r="F43" s="41">
        <f>VLOOKUP($B43,Burden!$B$6:$H$40,6,FALSE)</f>
        <v>158996.53848259468</v>
      </c>
      <c r="G43" s="41">
        <f>VLOOKUP($B43,'Health Status'!$B$6:$H$40,6,FALSE)</f>
        <v>186284.05737314402</v>
      </c>
      <c r="H43" s="41">
        <f>VLOOKUP($B43,Ethnicity!$B$6:$H$40,6,FALSE)</f>
        <v>329110.02830939146</v>
      </c>
      <c r="I43" s="41">
        <f>VLOOKUP($B43,Poverty!$B$6:$H$40,6,FALSE)</f>
        <v>82816.836829670196</v>
      </c>
      <c r="J43" s="41">
        <f>VLOOKUP($B43,'Income Inequality'!$B$6:$H$40,6,FALSE)</f>
        <v>0</v>
      </c>
      <c r="K43" s="41">
        <f>VLOOKUP($B43,Education!$B$6:$H$40,6,FALSE)</f>
        <v>107356.58918798061</v>
      </c>
      <c r="L43" s="41">
        <f>VLOOKUP($B43,Language!$B$6:$H$40,6,FALSE)</f>
        <v>373348.50528640125</v>
      </c>
      <c r="M43" s="41">
        <f>VLOOKUP($B43,Matching!$B$7:$H$40,6,FALSE)</f>
        <v>0</v>
      </c>
      <c r="N43" s="41">
        <f>VLOOKUP($B43,Incentives!$B$7:$H$40,6,FALSE)</f>
        <v>0</v>
      </c>
      <c r="O43" s="61">
        <f t="shared" si="2"/>
        <v>1327912.5554691823</v>
      </c>
      <c r="P43" s="62">
        <f t="shared" si="0"/>
        <v>0.1327912555469182</v>
      </c>
      <c r="Q43" s="62">
        <f t="shared" si="1"/>
        <v>0.14388930477409384</v>
      </c>
      <c r="R43" s="63">
        <f t="shared" si="3"/>
        <v>2.2285646888013666</v>
      </c>
      <c r="U43" s="89"/>
    </row>
    <row r="44" spans="2:21" x14ac:dyDescent="0.25">
      <c r="B44" s="39" t="s">
        <v>52</v>
      </c>
      <c r="C44" s="40">
        <f>VLOOKUP($B44,'County Data'!$B$11:$D$44,3,FALSE)</f>
        <v>803000</v>
      </c>
      <c r="D44" s="41">
        <f>VLOOKUP($B44,'County Data'!$B$11:$M$44,2,FALSE)</f>
        <v>90000</v>
      </c>
      <c r="E44" s="41">
        <f>VLOOKUP($B44,Population!$B$7:$F$40,4,FALSE)</f>
        <v>0</v>
      </c>
      <c r="F44" s="41">
        <f>VLOOKUP($B44,Burden!$B$6:$H$40,6,FALSE)</f>
        <v>309593.48219865875</v>
      </c>
      <c r="G44" s="41">
        <f>VLOOKUP($B44,'Health Status'!$B$6:$H$40,6,FALSE)</f>
        <v>305780.91446826234</v>
      </c>
      <c r="H44" s="41">
        <f>VLOOKUP($B44,Ethnicity!$B$6:$H$40,6,FALSE)</f>
        <v>396832.97175524308</v>
      </c>
      <c r="I44" s="41">
        <f>VLOOKUP($B44,Poverty!$B$6:$H$40,6,FALSE)</f>
        <v>171934.5211024009</v>
      </c>
      <c r="J44" s="41">
        <f>VLOOKUP($B44,'Income Inequality'!$B$6:$H$40,6,FALSE)</f>
        <v>0</v>
      </c>
      <c r="K44" s="41">
        <f>VLOOKUP($B44,Education!$B$6:$H$40,6,FALSE)</f>
        <v>146249.75234861858</v>
      </c>
      <c r="L44" s="41">
        <f>VLOOKUP($B44,Language!$B$6:$H$40,6,FALSE)</f>
        <v>455470.83787022205</v>
      </c>
      <c r="M44" s="41">
        <f>VLOOKUP($B44,Matching!$B$7:$H$40,6,FALSE)</f>
        <v>0</v>
      </c>
      <c r="N44" s="41">
        <f>VLOOKUP($B44,Incentives!$B$7:$H$40,6,FALSE)</f>
        <v>0</v>
      </c>
      <c r="O44" s="61">
        <f t="shared" si="2"/>
        <v>1875862.4797434057</v>
      </c>
      <c r="P44" s="62">
        <f t="shared" si="0"/>
        <v>0.18758624797434054</v>
      </c>
      <c r="Q44" s="62">
        <f t="shared" si="1"/>
        <v>0.19390983072130594</v>
      </c>
      <c r="R44" s="63">
        <f t="shared" si="3"/>
        <v>2.3360678452595338</v>
      </c>
      <c r="S44" s="63">
        <f>SUM(O42:O44)/SUM(C42:C44)</f>
        <v>2.1628453472302556</v>
      </c>
      <c r="U44" s="89"/>
    </row>
    <row r="45" spans="2:21" x14ac:dyDescent="0.25">
      <c r="B45" s="5" t="s">
        <v>3</v>
      </c>
      <c r="C45" s="38">
        <f t="shared" ref="C45:I45" si="4">SUM(C11:C44)</f>
        <v>4141100</v>
      </c>
      <c r="D45" s="8">
        <f t="shared" si="4"/>
        <v>1845000</v>
      </c>
      <c r="E45" s="8">
        <f t="shared" si="4"/>
        <v>0</v>
      </c>
      <c r="F45" s="8">
        <f t="shared" si="4"/>
        <v>1631000</v>
      </c>
      <c r="G45" s="8">
        <f t="shared" si="4"/>
        <v>1631000</v>
      </c>
      <c r="H45" s="8">
        <f t="shared" si="4"/>
        <v>1630999.9999999998</v>
      </c>
      <c r="I45" s="8">
        <f t="shared" si="4"/>
        <v>815500</v>
      </c>
      <c r="J45" s="8">
        <f t="shared" ref="J45:K45" si="5">SUM(J11:J44)</f>
        <v>0</v>
      </c>
      <c r="K45" s="8">
        <f t="shared" si="5"/>
        <v>815500.00000000012</v>
      </c>
      <c r="L45" s="8">
        <f t="shared" ref="L45:Q45" si="6">SUM(L11:L44)</f>
        <v>1631000</v>
      </c>
      <c r="M45" s="8">
        <f t="shared" si="6"/>
        <v>0</v>
      </c>
      <c r="N45" s="8">
        <f t="shared" si="6"/>
        <v>0</v>
      </c>
      <c r="O45" s="8">
        <f t="shared" si="6"/>
        <v>10000000.000000002</v>
      </c>
      <c r="P45" s="33">
        <f t="shared" si="6"/>
        <v>0.99999999999999967</v>
      </c>
      <c r="Q45" s="33">
        <f t="shared" si="6"/>
        <v>1</v>
      </c>
      <c r="R45" s="32">
        <f>O45/C45</f>
        <v>2.414817319069813</v>
      </c>
      <c r="S45" s="32">
        <f>O45/C45</f>
        <v>2.414817319069813</v>
      </c>
    </row>
    <row r="46" spans="2:21" x14ac:dyDescent="0.25">
      <c r="O46" s="89"/>
    </row>
    <row r="47" spans="2:21" ht="17.25" x14ac:dyDescent="0.25">
      <c r="B47" t="s">
        <v>102</v>
      </c>
      <c r="O47" s="89"/>
    </row>
    <row r="48" spans="2:21" ht="17.25" x14ac:dyDescent="0.25">
      <c r="B48" s="91" t="s">
        <v>100</v>
      </c>
      <c r="C48" s="37"/>
      <c r="M48" s="109" t="s">
        <v>90</v>
      </c>
      <c r="N48" s="109"/>
      <c r="O48" s="109"/>
      <c r="P48" s="109"/>
      <c r="Q48" s="109"/>
    </row>
    <row r="49" spans="2:19" ht="17.25" x14ac:dyDescent="0.25">
      <c r="B49" s="91" t="s">
        <v>101</v>
      </c>
      <c r="C49" s="37"/>
      <c r="M49" s="95" t="s">
        <v>91</v>
      </c>
      <c r="N49" s="96" t="s">
        <v>92</v>
      </c>
      <c r="O49" s="97" t="s">
        <v>93</v>
      </c>
      <c r="P49" s="98" t="s">
        <v>94</v>
      </c>
      <c r="Q49" s="99" t="s">
        <v>95</v>
      </c>
    </row>
    <row r="50" spans="2:19" ht="17.25" x14ac:dyDescent="0.25">
      <c r="B50" s="91" t="s">
        <v>105</v>
      </c>
      <c r="C50" s="37"/>
    </row>
    <row r="51" spans="2:19" ht="16.5" customHeight="1" x14ac:dyDescent="0.25">
      <c r="B51" s="108" t="s">
        <v>110</v>
      </c>
      <c r="C51" s="108"/>
      <c r="D51" s="108"/>
      <c r="E51" s="108"/>
      <c r="F51" s="108"/>
      <c r="G51" s="108"/>
      <c r="H51" s="108"/>
      <c r="I51" s="108"/>
      <c r="J51" s="108"/>
      <c r="K51" s="108"/>
      <c r="L51" s="108"/>
      <c r="M51" s="108"/>
      <c r="N51" s="108"/>
      <c r="O51" s="108"/>
      <c r="P51" s="108"/>
      <c r="Q51" s="108"/>
      <c r="R51" s="108"/>
      <c r="S51" s="108"/>
    </row>
  </sheetData>
  <sortState ref="U11:V44">
    <sortCondition ref="V11:V44"/>
  </sortState>
  <mergeCells count="3">
    <mergeCell ref="B9:S9"/>
    <mergeCell ref="B51:S51"/>
    <mergeCell ref="M48:Q48"/>
  </mergeCells>
  <pageMargins left="0.7" right="0.7" top="0.75" bottom="0.75" header="0.3" footer="0.3"/>
  <pageSetup paperSize="5" scale="6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6"/>
  <sheetViews>
    <sheetView topLeftCell="A16" zoomScaleNormal="100" workbookViewId="0">
      <selection activeCell="F44" sqref="F44"/>
    </sheetView>
  </sheetViews>
  <sheetFormatPr defaultRowHeight="15" x14ac:dyDescent="0.25"/>
  <cols>
    <col min="2" max="2" width="17.42578125" bestFit="1" customWidth="1"/>
    <col min="3" max="3" width="13" customWidth="1"/>
    <col min="4" max="4" width="14.85546875" bestFit="1" customWidth="1"/>
    <col min="5" max="5" width="12.5703125" bestFit="1" customWidth="1"/>
    <col min="6" max="6" width="11.140625" bestFit="1" customWidth="1"/>
    <col min="7" max="7" width="13.5703125" bestFit="1" customWidth="1"/>
    <col min="8" max="8" width="16.85546875" bestFit="1" customWidth="1"/>
    <col min="9" max="9" width="10" hidden="1" customWidth="1"/>
    <col min="10" max="10" width="11.28515625" bestFit="1" customWidth="1"/>
    <col min="11" max="11" width="14.5703125" bestFit="1" customWidth="1"/>
    <col min="12" max="12" width="14.5703125" hidden="1" customWidth="1"/>
    <col min="13" max="13" width="14.28515625" hidden="1" customWidth="1"/>
    <col min="15" max="15" width="9" customWidth="1"/>
  </cols>
  <sheetData>
    <row r="1" spans="2:14" ht="18.75" x14ac:dyDescent="0.3">
      <c r="B1" s="36" t="s">
        <v>89</v>
      </c>
    </row>
    <row r="2" spans="2:14" ht="15.75" x14ac:dyDescent="0.25">
      <c r="B2" s="35" t="s">
        <v>98</v>
      </c>
    </row>
    <row r="3" spans="2:14" ht="15.75" x14ac:dyDescent="0.25">
      <c r="B3" s="35" t="s">
        <v>97</v>
      </c>
    </row>
    <row r="4" spans="2:14" ht="15.75" x14ac:dyDescent="0.25">
      <c r="B4" s="35"/>
    </row>
    <row r="5" spans="2:14" ht="15" customHeight="1" x14ac:dyDescent="0.25"/>
    <row r="6" spans="2:14" x14ac:dyDescent="0.25">
      <c r="B6" t="s">
        <v>63</v>
      </c>
      <c r="C6" s="11">
        <f>Input!C5</f>
        <v>10000000</v>
      </c>
    </row>
    <row r="7" spans="2:14" x14ac:dyDescent="0.25">
      <c r="E7" s="68"/>
      <c r="F7" s="68"/>
      <c r="G7" s="68"/>
      <c r="H7" s="68"/>
      <c r="I7" s="68"/>
      <c r="J7" s="68"/>
      <c r="K7" s="68"/>
      <c r="L7" s="68"/>
      <c r="M7" s="68"/>
    </row>
    <row r="8" spans="2:14" s="2" customFormat="1" ht="30" x14ac:dyDescent="0.25">
      <c r="B8" s="15" t="s">
        <v>8</v>
      </c>
      <c r="C8" s="15" t="s">
        <v>62</v>
      </c>
      <c r="D8" s="15" t="s">
        <v>1</v>
      </c>
      <c r="E8" s="15" t="s">
        <v>9</v>
      </c>
      <c r="F8" s="15" t="s">
        <v>10</v>
      </c>
      <c r="G8" s="15" t="s">
        <v>25</v>
      </c>
      <c r="H8" s="15" t="s">
        <v>26</v>
      </c>
      <c r="I8" s="15" t="s">
        <v>84</v>
      </c>
      <c r="J8" s="15" t="s">
        <v>87</v>
      </c>
      <c r="K8" s="15" t="s">
        <v>27</v>
      </c>
      <c r="L8" s="15" t="s">
        <v>11</v>
      </c>
      <c r="M8" s="15" t="s">
        <v>12</v>
      </c>
    </row>
    <row r="9" spans="2:14" x14ac:dyDescent="0.25">
      <c r="B9" s="19" t="s">
        <v>13</v>
      </c>
      <c r="C9" s="19"/>
      <c r="D9" s="77">
        <f>Input!C13</f>
        <v>0</v>
      </c>
      <c r="E9" s="77">
        <f>Input!C14</f>
        <v>0.2</v>
      </c>
      <c r="F9" s="77">
        <f>Input!C15</f>
        <v>0.2</v>
      </c>
      <c r="G9" s="77">
        <f>Input!C16</f>
        <v>0.2</v>
      </c>
      <c r="H9" s="77">
        <f>Input!C17</f>
        <v>0.1</v>
      </c>
      <c r="I9" s="77">
        <f>Input!C18</f>
        <v>0</v>
      </c>
      <c r="J9" s="77">
        <f>Input!C19</f>
        <v>0.1</v>
      </c>
      <c r="K9" s="77">
        <f>Input!C20</f>
        <v>0.2</v>
      </c>
      <c r="L9" s="77">
        <f>Input!C21</f>
        <v>0</v>
      </c>
      <c r="M9" s="77">
        <f>Input!C22</f>
        <v>0</v>
      </c>
      <c r="N9" s="34">
        <f>1-SUM(D9:M9)</f>
        <v>0</v>
      </c>
    </row>
    <row r="10" spans="2:14" x14ac:dyDescent="0.25">
      <c r="B10" s="19" t="s">
        <v>14</v>
      </c>
      <c r="C10" s="19"/>
      <c r="D10" s="16">
        <f>($C$6-$C$45)*D9</f>
        <v>0</v>
      </c>
      <c r="E10" s="16">
        <f>($C$6-$C$45)*E9</f>
        <v>1631000</v>
      </c>
      <c r="F10" s="16">
        <f>($C$6-$C$45)*F9</f>
        <v>1631000</v>
      </c>
      <c r="G10" s="16">
        <f t="shared" ref="G10:K10" si="0">($C$6-$C$45)*G9</f>
        <v>1631000</v>
      </c>
      <c r="H10" s="16">
        <f t="shared" si="0"/>
        <v>815500</v>
      </c>
      <c r="I10" s="16">
        <f t="shared" ref="I10:J10" si="1">($C$6-$C$45)*I9</f>
        <v>0</v>
      </c>
      <c r="J10" s="16">
        <f t="shared" si="1"/>
        <v>815500</v>
      </c>
      <c r="K10" s="16">
        <f t="shared" si="0"/>
        <v>1631000</v>
      </c>
      <c r="L10" s="16">
        <f t="shared" ref="L10" si="2">($C$6-$C$45)*L9</f>
        <v>0</v>
      </c>
      <c r="M10" s="16">
        <f t="shared" ref="M10" si="3">($C$6-$C$45)*M9</f>
        <v>0</v>
      </c>
    </row>
    <row r="11" spans="2:14" x14ac:dyDescent="0.25">
      <c r="B11" s="28" t="s">
        <v>28</v>
      </c>
      <c r="C11" s="69">
        <f>Input!$C$6</f>
        <v>30000</v>
      </c>
      <c r="D11" s="83">
        <v>16750</v>
      </c>
      <c r="E11" s="84">
        <v>8.0970979999999998E-2</v>
      </c>
      <c r="F11" s="84">
        <v>0.86699999999999999</v>
      </c>
      <c r="G11" s="84">
        <v>8.5999999999999965E-2</v>
      </c>
      <c r="H11" s="92">
        <v>0.151</v>
      </c>
      <c r="I11" s="84">
        <v>0.45739999999999997</v>
      </c>
      <c r="J11" s="84">
        <v>9.6000000000000002E-2</v>
      </c>
      <c r="K11" s="84">
        <v>0.01</v>
      </c>
      <c r="L11" s="21" t="s">
        <v>5</v>
      </c>
      <c r="M11" s="22" t="s">
        <v>5</v>
      </c>
      <c r="N11" s="9"/>
    </row>
    <row r="12" spans="2:14" x14ac:dyDescent="0.25">
      <c r="B12" s="29" t="s">
        <v>29</v>
      </c>
      <c r="C12" s="71">
        <f>Input!$C$8</f>
        <v>60000</v>
      </c>
      <c r="D12" s="85">
        <v>92575</v>
      </c>
      <c r="E12" s="86">
        <v>4.3643250000000001E-2</v>
      </c>
      <c r="F12" s="86">
        <v>0.85799999999999998</v>
      </c>
      <c r="G12" s="86">
        <v>0.18200000000000005</v>
      </c>
      <c r="H12" s="93">
        <v>0.215</v>
      </c>
      <c r="I12" s="86">
        <v>0.48480000000000001</v>
      </c>
      <c r="J12" s="86">
        <v>0.05</v>
      </c>
      <c r="K12" s="86">
        <v>3.9E-2</v>
      </c>
      <c r="L12" s="23" t="s">
        <v>5</v>
      </c>
      <c r="M12" s="24" t="s">
        <v>5</v>
      </c>
      <c r="N12" s="9"/>
    </row>
    <row r="13" spans="2:14" x14ac:dyDescent="0.25">
      <c r="B13" s="29" t="s">
        <v>30</v>
      </c>
      <c r="C13" s="71">
        <f>Input!$C$10</f>
        <v>90000</v>
      </c>
      <c r="D13" s="85">
        <v>413000</v>
      </c>
      <c r="E13" s="86">
        <v>5.6229189999999998E-2</v>
      </c>
      <c r="F13" s="86">
        <v>0.85299999999999998</v>
      </c>
      <c r="G13" s="86">
        <v>0.16800000000000004</v>
      </c>
      <c r="H13" s="93">
        <v>9.1999999999999998E-2</v>
      </c>
      <c r="I13" s="86">
        <v>0.44109999999999999</v>
      </c>
      <c r="J13" s="86">
        <v>6.7000000000000004E-2</v>
      </c>
      <c r="K13" s="86">
        <v>4.3999999999999997E-2</v>
      </c>
      <c r="L13" s="23" t="s">
        <v>5</v>
      </c>
      <c r="M13" s="24" t="s">
        <v>5</v>
      </c>
      <c r="N13" s="9"/>
    </row>
    <row r="14" spans="2:14" x14ac:dyDescent="0.25">
      <c r="B14" s="29" t="s">
        <v>31</v>
      </c>
      <c r="C14" s="71">
        <f>Input!$C$7</f>
        <v>45000</v>
      </c>
      <c r="D14" s="85">
        <v>38820</v>
      </c>
      <c r="E14" s="86">
        <v>8.4602819999999995E-2</v>
      </c>
      <c r="F14" s="86">
        <v>0.84499999999999997</v>
      </c>
      <c r="G14" s="86">
        <v>0.13800000000000001</v>
      </c>
      <c r="H14" s="93">
        <v>0.14000000000000001</v>
      </c>
      <c r="I14" s="86">
        <v>0.43290000000000001</v>
      </c>
      <c r="J14" s="86">
        <v>8.1000000000000003E-2</v>
      </c>
      <c r="K14" s="86">
        <v>2.9000000000000001E-2</v>
      </c>
      <c r="L14" s="23" t="s">
        <v>5</v>
      </c>
      <c r="M14" s="24" t="s">
        <v>5</v>
      </c>
      <c r="N14" s="9"/>
    </row>
    <row r="15" spans="2:14" x14ac:dyDescent="0.25">
      <c r="B15" s="29" t="s">
        <v>32</v>
      </c>
      <c r="C15" s="71">
        <f>Input!$C$7</f>
        <v>45000</v>
      </c>
      <c r="D15" s="85">
        <v>51345</v>
      </c>
      <c r="E15" s="86">
        <v>7.2065329999999997E-2</v>
      </c>
      <c r="F15" s="86">
        <v>0.80700000000000005</v>
      </c>
      <c r="G15" s="86">
        <v>0.10599999999999998</v>
      </c>
      <c r="H15" s="93">
        <v>0.13400000000000001</v>
      </c>
      <c r="I15" s="86">
        <v>0.4219</v>
      </c>
      <c r="J15" s="86">
        <v>9.6000000000000002E-2</v>
      </c>
      <c r="K15" s="86">
        <v>1.4E-2</v>
      </c>
      <c r="L15" s="23" t="s">
        <v>5</v>
      </c>
      <c r="M15" s="24" t="s">
        <v>5</v>
      </c>
      <c r="N15" s="9"/>
    </row>
    <row r="16" spans="2:14" x14ac:dyDescent="0.25">
      <c r="B16" s="29" t="s">
        <v>33</v>
      </c>
      <c r="C16" s="71">
        <f>Input!$C$7</f>
        <v>45000</v>
      </c>
      <c r="D16" s="85">
        <v>63310</v>
      </c>
      <c r="E16" s="86">
        <v>9.5954879999999992E-2</v>
      </c>
      <c r="F16" s="86">
        <v>0.78</v>
      </c>
      <c r="G16" s="86">
        <v>0.14400000000000002</v>
      </c>
      <c r="H16" s="93">
        <v>0.18099999999999999</v>
      </c>
      <c r="I16" s="86">
        <v>0.4662</v>
      </c>
      <c r="J16" s="86">
        <v>0.111</v>
      </c>
      <c r="K16" s="86">
        <v>1.4999999999999999E-2</v>
      </c>
      <c r="L16" s="23" t="s">
        <v>5</v>
      </c>
      <c r="M16" s="24" t="s">
        <v>5</v>
      </c>
      <c r="N16" s="9"/>
    </row>
    <row r="17" spans="2:14" x14ac:dyDescent="0.25">
      <c r="B17" s="29" t="s">
        <v>34</v>
      </c>
      <c r="C17" s="71">
        <f>Input!$C$7</f>
        <v>45000</v>
      </c>
      <c r="D17" s="85">
        <v>22105</v>
      </c>
      <c r="E17" s="86">
        <v>7.9248739999999998E-2</v>
      </c>
      <c r="F17" s="86">
        <v>0.76200000000000001</v>
      </c>
      <c r="G17" s="86">
        <v>0.11399999999999999</v>
      </c>
      <c r="H17" s="93">
        <v>0.17699999999999999</v>
      </c>
      <c r="I17" s="86">
        <v>0.42049999999999998</v>
      </c>
      <c r="J17" s="86">
        <v>0.124</v>
      </c>
      <c r="K17" s="86">
        <v>7.0000000000000001E-3</v>
      </c>
      <c r="L17" s="23" t="s">
        <v>5</v>
      </c>
      <c r="M17" s="24" t="s">
        <v>5</v>
      </c>
      <c r="N17" s="9"/>
    </row>
    <row r="18" spans="2:14" x14ac:dyDescent="0.25">
      <c r="B18" s="29" t="s">
        <v>35</v>
      </c>
      <c r="C18" s="71">
        <f>Input!$C$7</f>
        <v>45000</v>
      </c>
      <c r="D18" s="85">
        <v>22805</v>
      </c>
      <c r="E18" s="86">
        <v>0.10897944</v>
      </c>
      <c r="F18" s="86">
        <v>0.76300000000000001</v>
      </c>
      <c r="G18" s="86">
        <v>0.127</v>
      </c>
      <c r="H18" s="93">
        <v>0.152</v>
      </c>
      <c r="I18" s="86">
        <v>0.41810000000000003</v>
      </c>
      <c r="J18" s="86">
        <v>0.10299999999999999</v>
      </c>
      <c r="K18" s="86">
        <v>1.2E-2</v>
      </c>
      <c r="L18" s="23" t="s">
        <v>5</v>
      </c>
      <c r="M18" s="24" t="s">
        <v>5</v>
      </c>
      <c r="N18" s="9"/>
    </row>
    <row r="19" spans="2:14" x14ac:dyDescent="0.25">
      <c r="B19" s="29" t="s">
        <v>36</v>
      </c>
      <c r="C19" s="71">
        <f>Input!$C$9</f>
        <v>75000</v>
      </c>
      <c r="D19" s="85">
        <v>182930</v>
      </c>
      <c r="E19" s="86">
        <v>5.5273819999999994E-2</v>
      </c>
      <c r="F19" s="86">
        <v>0.8859999999999999</v>
      </c>
      <c r="G19" s="86">
        <v>0.121</v>
      </c>
      <c r="H19" s="93">
        <v>0.13900000000000001</v>
      </c>
      <c r="I19" s="86">
        <v>0.46510000000000001</v>
      </c>
      <c r="J19" s="86">
        <v>7.0000000000000007E-2</v>
      </c>
      <c r="K19" s="86">
        <v>0.02</v>
      </c>
      <c r="L19" s="23" t="s">
        <v>5</v>
      </c>
      <c r="M19" s="24" t="s">
        <v>5</v>
      </c>
      <c r="N19" s="9"/>
    </row>
    <row r="20" spans="2:14" x14ac:dyDescent="0.25">
      <c r="B20" s="29" t="s">
        <v>37</v>
      </c>
      <c r="C20" s="71">
        <f>Input!$C$8</f>
        <v>60000</v>
      </c>
      <c r="D20" s="85">
        <v>111180</v>
      </c>
      <c r="E20" s="86">
        <v>9.7688129999999998E-2</v>
      </c>
      <c r="F20" s="86">
        <v>0.7659999999999999</v>
      </c>
      <c r="G20" s="86">
        <v>0.11199999999999999</v>
      </c>
      <c r="H20" s="93">
        <v>0.186</v>
      </c>
      <c r="I20" s="86">
        <v>0.42309999999999998</v>
      </c>
      <c r="J20" s="86">
        <v>0.109</v>
      </c>
      <c r="K20" s="86">
        <v>1.2E-2</v>
      </c>
      <c r="L20" s="23" t="s">
        <v>5</v>
      </c>
      <c r="M20" s="24" t="s">
        <v>5</v>
      </c>
      <c r="N20" s="9"/>
    </row>
    <row r="21" spans="2:14" x14ac:dyDescent="0.25">
      <c r="B21" s="29" t="s">
        <v>38</v>
      </c>
      <c r="C21" s="71">
        <f>Input!$C$6</f>
        <v>30000</v>
      </c>
      <c r="D21" s="85">
        <v>7415</v>
      </c>
      <c r="E21" s="86">
        <v>6.5026090000000009E-2</v>
      </c>
      <c r="F21" s="86">
        <v>0.81599999999999995</v>
      </c>
      <c r="G21" s="86">
        <v>7.999999999999996E-2</v>
      </c>
      <c r="H21" s="93">
        <v>0.14899999999999999</v>
      </c>
      <c r="I21" s="86">
        <v>0.43909999999999999</v>
      </c>
      <c r="J21" s="86">
        <v>0.104</v>
      </c>
      <c r="K21" s="86">
        <v>8.0000000000000002E-3</v>
      </c>
      <c r="L21" s="23" t="s">
        <v>5</v>
      </c>
      <c r="M21" s="24" t="s">
        <v>5</v>
      </c>
      <c r="N21" s="9"/>
    </row>
    <row r="22" spans="2:14" x14ac:dyDescent="0.25">
      <c r="B22" s="29" t="s">
        <v>39</v>
      </c>
      <c r="C22" s="71">
        <f>Input!$C$6</f>
        <v>30000</v>
      </c>
      <c r="D22" s="85">
        <v>7360</v>
      </c>
      <c r="E22" s="86">
        <v>0.10640441999999999</v>
      </c>
      <c r="F22" s="86">
        <v>0.7340000000000001</v>
      </c>
      <c r="G22" s="86">
        <v>0.128</v>
      </c>
      <c r="H22" s="93">
        <v>0.16400000000000001</v>
      </c>
      <c r="I22" s="86">
        <v>0.42320000000000002</v>
      </c>
      <c r="J22" s="86">
        <v>0.104</v>
      </c>
      <c r="K22" s="86">
        <v>1.7000000000000001E-2</v>
      </c>
      <c r="L22" s="23" t="s">
        <v>5</v>
      </c>
      <c r="M22" s="24" t="s">
        <v>5</v>
      </c>
      <c r="N22" s="9"/>
    </row>
    <row r="23" spans="2:14" x14ac:dyDescent="0.25">
      <c r="B23" s="29" t="s">
        <v>40</v>
      </c>
      <c r="C23" s="71">
        <f>Input!$C$7</f>
        <v>45000</v>
      </c>
      <c r="D23" s="85">
        <v>25145</v>
      </c>
      <c r="E23" s="86">
        <v>5.0952200000000003E-2</v>
      </c>
      <c r="F23" s="86">
        <v>0.80200000000000005</v>
      </c>
      <c r="G23" s="86">
        <v>0.35499999999999998</v>
      </c>
      <c r="H23" s="93">
        <v>0.13300000000000001</v>
      </c>
      <c r="I23" s="86">
        <v>0.40910000000000002</v>
      </c>
      <c r="J23" s="86">
        <v>0.19700000000000001</v>
      </c>
      <c r="K23" s="86">
        <v>0.14499999999999999</v>
      </c>
      <c r="L23" s="23" t="s">
        <v>5</v>
      </c>
      <c r="M23" s="24" t="s">
        <v>5</v>
      </c>
      <c r="N23" s="9"/>
    </row>
    <row r="24" spans="2:14" x14ac:dyDescent="0.25">
      <c r="B24" s="29" t="s">
        <v>41</v>
      </c>
      <c r="C24" s="71">
        <f>Input!$C$9</f>
        <v>75000</v>
      </c>
      <c r="D24" s="85">
        <v>216900</v>
      </c>
      <c r="E24" s="86">
        <v>7.4869329999999998E-2</v>
      </c>
      <c r="F24" s="86">
        <v>0.81599999999999995</v>
      </c>
      <c r="G24" s="86">
        <v>0.17800000000000005</v>
      </c>
      <c r="H24" s="93">
        <v>0.18</v>
      </c>
      <c r="I24" s="86">
        <v>0.4511</v>
      </c>
      <c r="J24" s="86">
        <v>0.111</v>
      </c>
      <c r="K24" s="86">
        <v>3.5000000000000003E-2</v>
      </c>
      <c r="L24" s="23" t="s">
        <v>5</v>
      </c>
      <c r="M24" s="24" t="s">
        <v>5</v>
      </c>
      <c r="N24" s="9"/>
    </row>
    <row r="25" spans="2:14" x14ac:dyDescent="0.25">
      <c r="B25" s="29" t="s">
        <v>42</v>
      </c>
      <c r="C25" s="71">
        <f>Input!$C$7</f>
        <v>45000</v>
      </c>
      <c r="D25" s="85">
        <v>23190</v>
      </c>
      <c r="E25" s="86">
        <v>9.1418539999999993E-2</v>
      </c>
      <c r="F25" s="86">
        <v>0.81099999999999994</v>
      </c>
      <c r="G25" s="86">
        <v>0.39900000000000002</v>
      </c>
      <c r="H25" s="93">
        <v>0.20300000000000001</v>
      </c>
      <c r="I25" s="86">
        <v>0.4234</v>
      </c>
      <c r="J25" s="86">
        <v>0.16500000000000001</v>
      </c>
      <c r="K25" s="86">
        <v>4.5999999999999999E-2</v>
      </c>
      <c r="L25" s="23" t="s">
        <v>5</v>
      </c>
      <c r="M25" s="24" t="s">
        <v>5</v>
      </c>
      <c r="N25" s="9"/>
    </row>
    <row r="26" spans="2:14" x14ac:dyDescent="0.25">
      <c r="B26" s="29" t="s">
        <v>43</v>
      </c>
      <c r="C26" s="71">
        <f>Input!$C$8</f>
        <v>60000</v>
      </c>
      <c r="D26" s="85">
        <v>85650</v>
      </c>
      <c r="E26" s="86">
        <v>9.7062319999999994E-2</v>
      </c>
      <c r="F26" s="86">
        <v>0.80900000000000005</v>
      </c>
      <c r="G26" s="86">
        <v>0.123</v>
      </c>
      <c r="H26" s="93">
        <v>0.19500000000000001</v>
      </c>
      <c r="I26" s="86">
        <v>0.47549999999999998</v>
      </c>
      <c r="J26" s="86">
        <v>0.112</v>
      </c>
      <c r="K26" s="86">
        <v>1.2E-2</v>
      </c>
      <c r="L26" s="23" t="s">
        <v>5</v>
      </c>
      <c r="M26" s="24" t="s">
        <v>5</v>
      </c>
      <c r="N26" s="9"/>
    </row>
    <row r="27" spans="2:14" x14ac:dyDescent="0.25">
      <c r="B27" s="29" t="s">
        <v>44</v>
      </c>
      <c r="C27" s="71">
        <f>Input!$C$7</f>
        <v>45000</v>
      </c>
      <c r="D27" s="85">
        <v>67690</v>
      </c>
      <c r="E27" s="86">
        <v>9.2599109999999998E-2</v>
      </c>
      <c r="F27" s="86">
        <v>0.78500000000000003</v>
      </c>
      <c r="G27" s="86">
        <v>0.20699999999999996</v>
      </c>
      <c r="H27" s="93">
        <v>0.186</v>
      </c>
      <c r="I27" s="86">
        <v>0.436</v>
      </c>
      <c r="J27" s="86">
        <v>0.124</v>
      </c>
      <c r="K27" s="86">
        <v>0.03</v>
      </c>
      <c r="L27" s="23" t="s">
        <v>5</v>
      </c>
      <c r="M27" s="24" t="s">
        <v>5</v>
      </c>
      <c r="N27" s="9"/>
    </row>
    <row r="28" spans="2:14" x14ac:dyDescent="0.25">
      <c r="B28" s="29" t="s">
        <v>45</v>
      </c>
      <c r="C28" s="71">
        <f>Input!$C$6</f>
        <v>30000</v>
      </c>
      <c r="D28" s="85">
        <v>8120</v>
      </c>
      <c r="E28" s="86">
        <v>8.4349279999999999E-2</v>
      </c>
      <c r="F28" s="86">
        <v>0.86699999999999999</v>
      </c>
      <c r="G28" s="86">
        <v>0.14400000000000002</v>
      </c>
      <c r="H28" s="93">
        <v>0.17599999999999999</v>
      </c>
      <c r="I28" s="86">
        <v>0.4617</v>
      </c>
      <c r="J28" s="86">
        <v>0.161</v>
      </c>
      <c r="K28" s="86">
        <v>2.5000000000000001E-2</v>
      </c>
      <c r="L28" s="23" t="s">
        <v>5</v>
      </c>
      <c r="M28" s="24" t="s">
        <v>5</v>
      </c>
      <c r="N28" s="9"/>
    </row>
    <row r="29" spans="2:14" x14ac:dyDescent="0.25">
      <c r="B29" s="29" t="s">
        <v>46</v>
      </c>
      <c r="C29" s="71">
        <f>Input!$C$9</f>
        <v>75000</v>
      </c>
      <c r="D29" s="85">
        <v>370600</v>
      </c>
      <c r="E29" s="86">
        <v>6.7933170000000001E-2</v>
      </c>
      <c r="F29" s="86">
        <v>0.83900000000000008</v>
      </c>
      <c r="G29" s="86">
        <v>0.16900000000000004</v>
      </c>
      <c r="H29" s="93">
        <v>0.19700000000000001</v>
      </c>
      <c r="I29" s="86">
        <v>0.4667</v>
      </c>
      <c r="J29" s="86">
        <v>8.8999999999999996E-2</v>
      </c>
      <c r="K29" s="86">
        <v>2.8000000000000001E-2</v>
      </c>
      <c r="L29" s="23" t="s">
        <v>5</v>
      </c>
      <c r="M29" s="24" t="s">
        <v>5</v>
      </c>
      <c r="N29" s="9"/>
    </row>
    <row r="30" spans="2:14" x14ac:dyDescent="0.25">
      <c r="B30" s="29" t="s">
        <v>47</v>
      </c>
      <c r="C30" s="71">
        <f>Input!$C$7</f>
        <v>45000</v>
      </c>
      <c r="D30" s="85">
        <v>47960</v>
      </c>
      <c r="E30" s="86">
        <v>9.8367700000000002E-2</v>
      </c>
      <c r="F30" s="86">
        <v>0.79400000000000004</v>
      </c>
      <c r="G30" s="86">
        <v>0.17100000000000004</v>
      </c>
      <c r="H30" s="93">
        <v>0.186</v>
      </c>
      <c r="I30" s="86">
        <v>0.43269999999999997</v>
      </c>
      <c r="J30" s="86">
        <v>0.107</v>
      </c>
      <c r="K30" s="86">
        <v>3.1E-2</v>
      </c>
      <c r="L30" s="23" t="s">
        <v>5</v>
      </c>
      <c r="M30" s="24" t="s">
        <v>5</v>
      </c>
      <c r="N30" s="9"/>
    </row>
    <row r="31" spans="2:14" x14ac:dyDescent="0.25">
      <c r="B31" s="29" t="s">
        <v>48</v>
      </c>
      <c r="C31" s="71">
        <f>Input!$C$8</f>
        <v>60000</v>
      </c>
      <c r="D31" s="85">
        <v>124010</v>
      </c>
      <c r="E31" s="86">
        <v>7.2411760000000006E-2</v>
      </c>
      <c r="F31" s="86">
        <v>0.81099999999999994</v>
      </c>
      <c r="G31" s="86">
        <v>0.13900000000000001</v>
      </c>
      <c r="H31" s="93">
        <v>0.17299999999999999</v>
      </c>
      <c r="I31" s="86">
        <v>0.40699999999999997</v>
      </c>
      <c r="J31" s="86">
        <v>0.10299999999999999</v>
      </c>
      <c r="K31" s="86">
        <v>2.1000000000000001E-2</v>
      </c>
      <c r="L31" s="23" t="s">
        <v>5</v>
      </c>
      <c r="M31" s="24" t="s">
        <v>5</v>
      </c>
      <c r="N31" s="9"/>
    </row>
    <row r="32" spans="2:14" x14ac:dyDescent="0.25">
      <c r="B32" s="29" t="s">
        <v>49</v>
      </c>
      <c r="C32" s="71">
        <f>Input!$C$7</f>
        <v>45000</v>
      </c>
      <c r="D32" s="85">
        <v>31845</v>
      </c>
      <c r="E32" s="86">
        <v>7.2585949999999996E-2</v>
      </c>
      <c r="F32" s="86">
        <v>0.71299999999999997</v>
      </c>
      <c r="G32" s="86">
        <v>0.38</v>
      </c>
      <c r="H32" s="93">
        <v>0.248</v>
      </c>
      <c r="I32" s="86">
        <v>0.46029999999999999</v>
      </c>
      <c r="J32" s="86">
        <v>0.19900000000000001</v>
      </c>
      <c r="K32" s="86">
        <v>9.1999999999999998E-2</v>
      </c>
      <c r="L32" s="23" t="s">
        <v>5</v>
      </c>
      <c r="M32" s="24" t="s">
        <v>5</v>
      </c>
      <c r="N32" s="9"/>
    </row>
    <row r="33" spans="2:14" x14ac:dyDescent="0.25">
      <c r="B33" s="29" t="s">
        <v>50</v>
      </c>
      <c r="C33" s="71">
        <f>Input!$C$9</f>
        <v>75000</v>
      </c>
      <c r="D33" s="85">
        <v>339200</v>
      </c>
      <c r="E33" s="86">
        <v>6.2774990000000003E-2</v>
      </c>
      <c r="F33" s="86">
        <v>0.80400000000000005</v>
      </c>
      <c r="G33" s="86">
        <v>0.33099999999999996</v>
      </c>
      <c r="H33" s="93">
        <v>0.17199999999999999</v>
      </c>
      <c r="I33" s="86">
        <v>0.42799999999999999</v>
      </c>
      <c r="J33" s="86">
        <v>0.14899999999999999</v>
      </c>
      <c r="K33" s="86">
        <v>0.106</v>
      </c>
      <c r="L33" s="23" t="s">
        <v>5</v>
      </c>
      <c r="M33" s="24" t="s">
        <v>5</v>
      </c>
      <c r="N33" s="9"/>
    </row>
    <row r="34" spans="2:14" x14ac:dyDescent="0.25">
      <c r="B34" s="29" t="s">
        <v>51</v>
      </c>
      <c r="C34" s="71">
        <f>Input!$C$6</f>
        <v>30000</v>
      </c>
      <c r="D34" s="85">
        <v>11890</v>
      </c>
      <c r="E34" s="86">
        <v>6.4928429999999995E-2</v>
      </c>
      <c r="F34" s="86">
        <v>0.75099999999999989</v>
      </c>
      <c r="G34" s="86">
        <v>0.38800000000000001</v>
      </c>
      <c r="H34" s="93">
        <v>0.152</v>
      </c>
      <c r="I34" s="86">
        <v>0.4007</v>
      </c>
      <c r="J34" s="86">
        <v>0.249</v>
      </c>
      <c r="K34" s="86">
        <v>0.16</v>
      </c>
      <c r="L34" s="23" t="s">
        <v>5</v>
      </c>
      <c r="M34" s="24" t="s">
        <v>5</v>
      </c>
      <c r="N34" s="9"/>
    </row>
    <row r="35" spans="2:14" x14ac:dyDescent="0.25">
      <c r="B35" s="29" t="s">
        <v>52</v>
      </c>
      <c r="C35" s="71">
        <f>Input!$C$10</f>
        <v>90000</v>
      </c>
      <c r="D35" s="85">
        <v>803000</v>
      </c>
      <c r="E35" s="86">
        <v>6.3041220000000009E-2</v>
      </c>
      <c r="F35" s="86">
        <v>0.83799999999999997</v>
      </c>
      <c r="G35" s="86">
        <v>0.28900000000000003</v>
      </c>
      <c r="H35" s="93">
        <v>0.17100000000000001</v>
      </c>
      <c r="I35" s="86">
        <v>0.48349999999999999</v>
      </c>
      <c r="J35" s="86">
        <v>9.2999999999999999E-2</v>
      </c>
      <c r="K35" s="86">
        <v>8.5999999999999993E-2</v>
      </c>
      <c r="L35" s="23" t="s">
        <v>5</v>
      </c>
      <c r="M35" s="24" t="s">
        <v>5</v>
      </c>
      <c r="N35" s="9"/>
    </row>
    <row r="36" spans="2:14" x14ac:dyDescent="0.25">
      <c r="B36" s="65" t="s">
        <v>53</v>
      </c>
      <c r="C36" s="70">
        <f>Input!$C$6*2+Input!C7</f>
        <v>105000</v>
      </c>
      <c r="D36" s="85">
        <v>30895</v>
      </c>
      <c r="E36" s="86">
        <v>8.2111370000000003E-2</v>
      </c>
      <c r="F36" s="86">
        <v>0.84299999999999997</v>
      </c>
      <c r="G36" s="86">
        <v>0.22592655849701115</v>
      </c>
      <c r="H36" s="93">
        <v>0.1446988914758314</v>
      </c>
      <c r="I36" s="86">
        <v>0.4239</v>
      </c>
      <c r="J36" s="86">
        <v>0.13450721447786745</v>
      </c>
      <c r="K36" s="86">
        <v>5.5513058682111247E-2</v>
      </c>
      <c r="L36" s="66" t="s">
        <v>5</v>
      </c>
      <c r="M36" s="67" t="s">
        <v>5</v>
      </c>
      <c r="N36" s="9"/>
    </row>
    <row r="37" spans="2:14" x14ac:dyDescent="0.25">
      <c r="B37" s="29" t="s">
        <v>54</v>
      </c>
      <c r="C37" s="71">
        <f>Input!$C$8</f>
        <v>60000</v>
      </c>
      <c r="D37" s="85">
        <v>81000</v>
      </c>
      <c r="E37" s="86">
        <v>5.8934719999999996E-2</v>
      </c>
      <c r="F37" s="86">
        <v>0.85499999999999998</v>
      </c>
      <c r="G37" s="86">
        <v>0.20699999999999996</v>
      </c>
      <c r="H37" s="93">
        <v>0.155</v>
      </c>
      <c r="I37" s="86">
        <v>0.41980000000000001</v>
      </c>
      <c r="J37" s="86">
        <v>0.09</v>
      </c>
      <c r="K37" s="86">
        <v>4.3999999999999997E-2</v>
      </c>
      <c r="L37" s="23" t="s">
        <v>5</v>
      </c>
      <c r="M37" s="24" t="s">
        <v>5</v>
      </c>
      <c r="N37" s="9"/>
    </row>
    <row r="38" spans="2:14" x14ac:dyDescent="0.25">
      <c r="B38" s="29" t="s">
        <v>55</v>
      </c>
      <c r="C38" s="71">
        <f>Input!$C$7</f>
        <v>45000</v>
      </c>
      <c r="D38" s="85">
        <v>26175</v>
      </c>
      <c r="E38" s="86">
        <v>8.0733680000000002E-2</v>
      </c>
      <c r="F38" s="86">
        <v>0.80599999999999994</v>
      </c>
      <c r="G38" s="86">
        <v>0.14900000000000002</v>
      </c>
      <c r="H38" s="93">
        <v>0.154</v>
      </c>
      <c r="I38" s="86">
        <v>0.41760000000000003</v>
      </c>
      <c r="J38" s="86">
        <v>0.10199999999999999</v>
      </c>
      <c r="K38" s="86">
        <v>2.4E-2</v>
      </c>
      <c r="L38" s="23" t="s">
        <v>5</v>
      </c>
      <c r="M38" s="24" t="s">
        <v>5</v>
      </c>
      <c r="N38" s="9"/>
    </row>
    <row r="39" spans="2:14" x14ac:dyDescent="0.25">
      <c r="B39" s="29" t="s">
        <v>56</v>
      </c>
      <c r="C39" s="71">
        <f>Input!$C$8</f>
        <v>60000</v>
      </c>
      <c r="D39" s="85">
        <v>80500</v>
      </c>
      <c r="E39" s="86">
        <v>6.7694759999999993E-2</v>
      </c>
      <c r="F39" s="86">
        <v>0.78</v>
      </c>
      <c r="G39" s="86">
        <v>0.32599999999999996</v>
      </c>
      <c r="H39" s="93">
        <v>0.18</v>
      </c>
      <c r="I39" s="86">
        <v>0.41739999999999999</v>
      </c>
      <c r="J39" s="86">
        <v>0.17399999999999999</v>
      </c>
      <c r="K39" s="86">
        <v>0.104</v>
      </c>
      <c r="L39" s="23" t="s">
        <v>5</v>
      </c>
      <c r="M39" s="24" t="s">
        <v>5</v>
      </c>
      <c r="N39" s="9"/>
    </row>
    <row r="40" spans="2:14" x14ac:dyDescent="0.25">
      <c r="B40" s="29" t="s">
        <v>57</v>
      </c>
      <c r="C40" s="71">
        <f>Input!$C$7</f>
        <v>45000</v>
      </c>
      <c r="D40" s="85">
        <v>26900</v>
      </c>
      <c r="E40" s="86">
        <v>7.2840740000000001E-2</v>
      </c>
      <c r="F40" s="86">
        <v>0.85599999999999998</v>
      </c>
      <c r="G40" s="86">
        <v>0.10299999999999998</v>
      </c>
      <c r="H40" s="93">
        <v>0.186</v>
      </c>
      <c r="I40" s="86">
        <v>0.46639999999999998</v>
      </c>
      <c r="J40" s="86">
        <v>7.3999999999999996E-2</v>
      </c>
      <c r="K40" s="86">
        <v>1.4E-2</v>
      </c>
      <c r="L40" s="23" t="s">
        <v>5</v>
      </c>
      <c r="M40" s="24" t="s">
        <v>5</v>
      </c>
      <c r="N40" s="9"/>
    </row>
    <row r="41" spans="2:14" x14ac:dyDescent="0.25">
      <c r="B41" s="29" t="s">
        <v>58</v>
      </c>
      <c r="C41" s="71">
        <f>Input!$C$6</f>
        <v>30000</v>
      </c>
      <c r="D41" s="85">
        <v>7195</v>
      </c>
      <c r="E41" s="86">
        <v>7.6918E-2</v>
      </c>
      <c r="F41" s="86">
        <v>0.877</v>
      </c>
      <c r="G41" s="86">
        <v>6.2999999999999945E-2</v>
      </c>
      <c r="H41" s="93">
        <v>0.14599999999999999</v>
      </c>
      <c r="I41" s="86">
        <v>0.42259999999999998</v>
      </c>
      <c r="J41" s="86">
        <v>6.8000000000000005E-2</v>
      </c>
      <c r="K41" s="86">
        <v>8.0000000000000002E-3</v>
      </c>
      <c r="L41" s="23" t="s">
        <v>5</v>
      </c>
      <c r="M41" s="24" t="s">
        <v>5</v>
      </c>
      <c r="N41" s="9"/>
    </row>
    <row r="42" spans="2:14" x14ac:dyDescent="0.25">
      <c r="B42" s="29" t="s">
        <v>59</v>
      </c>
      <c r="C42" s="71">
        <f>Input!$C$10</f>
        <v>90000</v>
      </c>
      <c r="D42" s="85">
        <v>595860</v>
      </c>
      <c r="E42" s="86">
        <v>4.3630659999999995E-2</v>
      </c>
      <c r="F42" s="86">
        <v>0.86699999999999999</v>
      </c>
      <c r="G42" s="86">
        <v>0.32299999999999995</v>
      </c>
      <c r="H42" s="93">
        <v>0.111</v>
      </c>
      <c r="I42" s="86">
        <v>0.42809999999999998</v>
      </c>
      <c r="J42" s="86">
        <v>9.1999999999999998E-2</v>
      </c>
      <c r="K42" s="86">
        <v>9.5000000000000001E-2</v>
      </c>
      <c r="L42" s="23" t="s">
        <v>5</v>
      </c>
      <c r="M42" s="24" t="s">
        <v>5</v>
      </c>
      <c r="N42" s="9"/>
    </row>
    <row r="43" spans="2:14" x14ac:dyDescent="0.25">
      <c r="B43" s="29" t="s">
        <v>60</v>
      </c>
      <c r="C43" s="71">
        <f>Input!$C$6</f>
        <v>30000</v>
      </c>
      <c r="D43" s="85">
        <v>1480</v>
      </c>
      <c r="E43" s="86">
        <v>6.3521800000000003E-2</v>
      </c>
      <c r="F43" s="86">
        <v>0.69299999999999995</v>
      </c>
      <c r="G43" s="86">
        <v>5.7000000000000051E-2</v>
      </c>
      <c r="H43" s="93">
        <v>0.20200000000000001</v>
      </c>
      <c r="I43" s="86">
        <v>0.45600000000000002</v>
      </c>
      <c r="J43" s="86">
        <v>8.4000000000000005E-2</v>
      </c>
      <c r="K43" s="86">
        <v>1E-3</v>
      </c>
      <c r="L43" s="23" t="s">
        <v>5</v>
      </c>
      <c r="M43" s="24" t="s">
        <v>5</v>
      </c>
      <c r="N43" s="9"/>
    </row>
    <row r="44" spans="2:14" x14ac:dyDescent="0.25">
      <c r="B44" s="30" t="s">
        <v>61</v>
      </c>
      <c r="C44" s="72">
        <f>Input!$C$8</f>
        <v>60000</v>
      </c>
      <c r="D44" s="87">
        <v>106300</v>
      </c>
      <c r="E44" s="88">
        <v>5.9052179999999996E-2</v>
      </c>
      <c r="F44" s="88">
        <v>0.80900000000000005</v>
      </c>
      <c r="G44" s="88">
        <v>0.21999999999999997</v>
      </c>
      <c r="H44" s="94">
        <v>0.157</v>
      </c>
      <c r="I44" s="88">
        <v>0.42109999999999997</v>
      </c>
      <c r="J44" s="88">
        <v>0.12</v>
      </c>
      <c r="K44" s="88">
        <v>5.3999999999999999E-2</v>
      </c>
      <c r="L44" s="25" t="s">
        <v>5</v>
      </c>
      <c r="M44" s="26" t="s">
        <v>5</v>
      </c>
      <c r="N44" s="9"/>
    </row>
    <row r="45" spans="2:14" ht="15.75" thickBot="1" x14ac:dyDescent="0.3">
      <c r="C45" s="78">
        <f>SUM(C11:C44)</f>
        <v>1845000</v>
      </c>
      <c r="D45" s="27">
        <f>SUM(D11:D44)</f>
        <v>4141100</v>
      </c>
    </row>
    <row r="46" spans="2:14" ht="15.75" thickTop="1" x14ac:dyDescent="0.25"/>
  </sheetData>
  <pageMargins left="0.7" right="0.7" top="0.75" bottom="0.75" header="0.3" footer="0.3"/>
  <pageSetup scale="73" orientation="landscape" r:id="rId1"/>
  <ignoredErrors>
    <ignoredError sqref="C24:C27 C29:C33 C37:C40 C4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41"/>
  <sheetViews>
    <sheetView workbookViewId="0">
      <selection activeCell="C7" sqref="C7"/>
    </sheetView>
  </sheetViews>
  <sheetFormatPr defaultRowHeight="15" x14ac:dyDescent="0.25"/>
  <cols>
    <col min="2" max="2" width="17.42578125" bestFit="1" customWidth="1"/>
    <col min="3" max="3" width="11.85546875" bestFit="1" customWidth="1"/>
    <col min="4" max="4" width="7.140625" customWidth="1"/>
    <col min="5" max="5" width="14.140625" customWidth="1"/>
    <col min="6" max="6" width="10" bestFit="1" customWidth="1"/>
    <col min="7" max="7" width="13.5703125" bestFit="1" customWidth="1"/>
  </cols>
  <sheetData>
    <row r="3" spans="2:6" x14ac:dyDescent="0.25">
      <c r="B3" t="s">
        <v>0</v>
      </c>
      <c r="C3" s="1">
        <f>'County Data'!C6</f>
        <v>10000000</v>
      </c>
    </row>
    <row r="4" spans="2:6" x14ac:dyDescent="0.25">
      <c r="B4" t="s">
        <v>88</v>
      </c>
      <c r="C4" s="18">
        <f>'County Data'!D10</f>
        <v>0</v>
      </c>
    </row>
    <row r="6" spans="2:6" s="2" customFormat="1" ht="30" x14ac:dyDescent="0.25">
      <c r="B6" s="3" t="s">
        <v>8</v>
      </c>
      <c r="C6" s="3" t="s">
        <v>1</v>
      </c>
      <c r="D6" s="3" t="s">
        <v>4</v>
      </c>
      <c r="E6" s="17" t="s">
        <v>18</v>
      </c>
      <c r="F6" s="3" t="s">
        <v>7</v>
      </c>
    </row>
    <row r="7" spans="2:6" x14ac:dyDescent="0.25">
      <c r="B7" s="31" t="str">
        <f>+'County Data'!$B$11</f>
        <v>County 1</v>
      </c>
      <c r="C7" s="20">
        <f>VLOOKUP($B7,'County Data'!$B$11:$M$44,3,FALSE)</f>
        <v>16750</v>
      </c>
      <c r="D7" s="7">
        <f t="shared" ref="D7:D40" si="0">C7/$C$41</f>
        <v>4.0448190094419358E-3</v>
      </c>
      <c r="E7" s="18">
        <f t="shared" ref="E7:E40" si="1">$C$4*D7</f>
        <v>0</v>
      </c>
      <c r="F7" s="12">
        <f t="shared" ref="F7:F40" si="2">E7/C7</f>
        <v>0</v>
      </c>
    </row>
    <row r="8" spans="2:6" x14ac:dyDescent="0.25">
      <c r="B8" s="31" t="str">
        <f>+'County Data'!$B$20</f>
        <v>County 10</v>
      </c>
      <c r="C8" s="20">
        <f>VLOOKUP($B8,'County Data'!$B$11:$M$44,3,FALSE)</f>
        <v>111180</v>
      </c>
      <c r="D8" s="7">
        <f t="shared" si="0"/>
        <v>2.6847938953418173E-2</v>
      </c>
      <c r="E8" s="18">
        <f t="shared" si="1"/>
        <v>0</v>
      </c>
      <c r="F8" s="12">
        <f t="shared" si="2"/>
        <v>0</v>
      </c>
    </row>
    <row r="9" spans="2:6" x14ac:dyDescent="0.25">
      <c r="B9" s="31" t="str">
        <f>+'County Data'!$B$23</f>
        <v>County 13</v>
      </c>
      <c r="C9" s="20">
        <f>VLOOKUP($B9,'County Data'!$B$11:$M$44,3,FALSE)</f>
        <v>25145</v>
      </c>
      <c r="D9" s="7">
        <f t="shared" si="0"/>
        <v>6.0720581488010435E-3</v>
      </c>
      <c r="E9" s="18">
        <f t="shared" si="1"/>
        <v>0</v>
      </c>
      <c r="F9" s="12">
        <f t="shared" si="2"/>
        <v>0</v>
      </c>
    </row>
    <row r="10" spans="2:6" x14ac:dyDescent="0.25">
      <c r="B10" s="31" t="str">
        <f>+'County Data'!$B$24</f>
        <v>County 14</v>
      </c>
      <c r="C10" s="20">
        <f>VLOOKUP($B10,'County Data'!$B$11:$M$44,3,FALSE)</f>
        <v>216900</v>
      </c>
      <c r="D10" s="7">
        <f t="shared" si="0"/>
        <v>5.2377387650624233E-2</v>
      </c>
      <c r="E10" s="18">
        <f t="shared" si="1"/>
        <v>0</v>
      </c>
      <c r="F10" s="12">
        <f t="shared" si="2"/>
        <v>0</v>
      </c>
    </row>
    <row r="11" spans="2:6" x14ac:dyDescent="0.25">
      <c r="B11" s="31" t="str">
        <f>+'County Data'!$B$25</f>
        <v>County 15</v>
      </c>
      <c r="C11" s="20">
        <f>VLOOKUP($B11,'County Data'!$B$11:$M$44,3,FALSE)</f>
        <v>23190</v>
      </c>
      <c r="D11" s="7">
        <f t="shared" si="0"/>
        <v>5.5999613629228945E-3</v>
      </c>
      <c r="E11" s="18">
        <f t="shared" si="1"/>
        <v>0</v>
      </c>
      <c r="F11" s="12">
        <f t="shared" si="2"/>
        <v>0</v>
      </c>
    </row>
    <row r="12" spans="2:6" x14ac:dyDescent="0.25">
      <c r="B12" s="31" t="str">
        <f>+'County Data'!$B$26</f>
        <v>County 16</v>
      </c>
      <c r="C12" s="20">
        <f>VLOOKUP($B12,'County Data'!$B$11:$M$44,3,FALSE)</f>
        <v>85650</v>
      </c>
      <c r="D12" s="7">
        <f t="shared" si="0"/>
        <v>2.0682910337832944E-2</v>
      </c>
      <c r="E12" s="18">
        <f t="shared" si="1"/>
        <v>0</v>
      </c>
      <c r="F12" s="12">
        <f t="shared" si="2"/>
        <v>0</v>
      </c>
    </row>
    <row r="13" spans="2:6" x14ac:dyDescent="0.25">
      <c r="B13" s="31" t="str">
        <f>+'County Data'!$B$27</f>
        <v>County 17</v>
      </c>
      <c r="C13" s="20">
        <f>VLOOKUP($B13,'County Data'!$B$11:$M$44,3,FALSE)</f>
        <v>67690</v>
      </c>
      <c r="D13" s="7">
        <f t="shared" si="0"/>
        <v>1.634589843278356E-2</v>
      </c>
      <c r="E13" s="18">
        <f t="shared" si="1"/>
        <v>0</v>
      </c>
      <c r="F13" s="12">
        <f t="shared" si="2"/>
        <v>0</v>
      </c>
    </row>
    <row r="14" spans="2:6" x14ac:dyDescent="0.25">
      <c r="B14" s="31" t="str">
        <f>+'County Data'!$B$29</f>
        <v>County 19</v>
      </c>
      <c r="C14" s="20">
        <f>VLOOKUP($B14,'County Data'!$B$11:$M$44,3,FALSE)</f>
        <v>370600</v>
      </c>
      <c r="D14" s="7">
        <f t="shared" si="0"/>
        <v>8.9493129844727251E-2</v>
      </c>
      <c r="E14" s="18">
        <f t="shared" si="1"/>
        <v>0</v>
      </c>
      <c r="F14" s="12">
        <f t="shared" si="2"/>
        <v>0</v>
      </c>
    </row>
    <row r="15" spans="2:6" x14ac:dyDescent="0.25">
      <c r="B15" s="31" t="str">
        <f>+'County Data'!$B$12</f>
        <v>County 2</v>
      </c>
      <c r="C15" s="20">
        <f>VLOOKUP($B15,'County Data'!$B$11:$M$44,3,FALSE)</f>
        <v>92575</v>
      </c>
      <c r="D15" s="7">
        <f t="shared" si="0"/>
        <v>2.2355171331288788E-2</v>
      </c>
      <c r="E15" s="18">
        <f t="shared" si="1"/>
        <v>0</v>
      </c>
      <c r="F15" s="12">
        <f t="shared" si="2"/>
        <v>0</v>
      </c>
    </row>
    <row r="16" spans="2:6" x14ac:dyDescent="0.25">
      <c r="B16" s="31" t="str">
        <f>+'County Data'!$B$30</f>
        <v>County 20</v>
      </c>
      <c r="C16" s="20">
        <f>VLOOKUP($B16,'County Data'!$B$11:$M$44,3,FALSE)</f>
        <v>47960</v>
      </c>
      <c r="D16" s="7">
        <f t="shared" si="0"/>
        <v>1.158146386225882E-2</v>
      </c>
      <c r="E16" s="18">
        <f t="shared" si="1"/>
        <v>0</v>
      </c>
      <c r="F16" s="12">
        <f t="shared" si="2"/>
        <v>0</v>
      </c>
    </row>
    <row r="17" spans="2:6" x14ac:dyDescent="0.25">
      <c r="B17" s="31" t="str">
        <f>+'County Data'!$B$31</f>
        <v>County 21</v>
      </c>
      <c r="C17" s="20">
        <f>VLOOKUP($B17,'County Data'!$B$11:$M$44,3,FALSE)</f>
        <v>124010</v>
      </c>
      <c r="D17" s="7">
        <f t="shared" si="0"/>
        <v>2.9946149573784744E-2</v>
      </c>
      <c r="E17" s="18">
        <f t="shared" si="1"/>
        <v>0</v>
      </c>
      <c r="F17" s="12">
        <f t="shared" si="2"/>
        <v>0</v>
      </c>
    </row>
    <row r="18" spans="2:6" x14ac:dyDescent="0.25">
      <c r="B18" s="31" t="str">
        <f>+'County Data'!$B$32</f>
        <v>County 22</v>
      </c>
      <c r="C18" s="20">
        <f>VLOOKUP($B18,'County Data'!$B$11:$M$44,3,FALSE)</f>
        <v>31845</v>
      </c>
      <c r="D18" s="7">
        <f t="shared" si="0"/>
        <v>7.6899857525778176E-3</v>
      </c>
      <c r="E18" s="18">
        <f t="shared" si="1"/>
        <v>0</v>
      </c>
      <c r="F18" s="12">
        <f t="shared" si="2"/>
        <v>0</v>
      </c>
    </row>
    <row r="19" spans="2:6" x14ac:dyDescent="0.25">
      <c r="B19" s="31" t="str">
        <f>+'County Data'!$B$33</f>
        <v>County 23</v>
      </c>
      <c r="C19" s="20">
        <f>VLOOKUP($B19,'County Data'!$B$11:$M$44,3,FALSE)</f>
        <v>339200</v>
      </c>
      <c r="D19" s="7">
        <f t="shared" si="0"/>
        <v>8.1910603462848036E-2</v>
      </c>
      <c r="E19" s="18">
        <f t="shared" si="1"/>
        <v>0</v>
      </c>
      <c r="F19" s="12">
        <f t="shared" si="2"/>
        <v>0</v>
      </c>
    </row>
    <row r="20" spans="2:6" x14ac:dyDescent="0.25">
      <c r="B20" s="31" t="str">
        <f>+'County Data'!$B$34</f>
        <v>County 24</v>
      </c>
      <c r="C20" s="20">
        <f>VLOOKUP($B20,'County Data'!$B$11:$M$44,3,FALSE)</f>
        <v>11890</v>
      </c>
      <c r="D20" s="7">
        <f t="shared" si="0"/>
        <v>2.8712177923740068E-3</v>
      </c>
      <c r="E20" s="18">
        <f t="shared" si="1"/>
        <v>0</v>
      </c>
      <c r="F20" s="12">
        <f t="shared" si="2"/>
        <v>0</v>
      </c>
    </row>
    <row r="21" spans="2:6" x14ac:dyDescent="0.25">
      <c r="B21" s="31" t="str">
        <f>+'County Data'!$B$35</f>
        <v>County 25</v>
      </c>
      <c r="C21" s="20">
        <f>VLOOKUP($B21,'County Data'!$B$11:$M$44,3,FALSE)</f>
        <v>803000</v>
      </c>
      <c r="D21" s="7">
        <f t="shared" si="0"/>
        <v>0.19390983072130594</v>
      </c>
      <c r="E21" s="18">
        <f t="shared" si="1"/>
        <v>0</v>
      </c>
      <c r="F21" s="12">
        <f t="shared" si="2"/>
        <v>0</v>
      </c>
    </row>
    <row r="22" spans="2:6" x14ac:dyDescent="0.25">
      <c r="B22" s="31" t="str">
        <f>+'County Data'!$B$36</f>
        <v>County 26</v>
      </c>
      <c r="C22" s="20">
        <f>VLOOKUP($B22,'County Data'!$B$11:$M$44,3,FALSE)</f>
        <v>30895</v>
      </c>
      <c r="D22" s="7">
        <f t="shared" si="0"/>
        <v>7.4605781072661853E-3</v>
      </c>
      <c r="E22" s="18">
        <f t="shared" si="1"/>
        <v>0</v>
      </c>
      <c r="F22" s="12">
        <f t="shared" si="2"/>
        <v>0</v>
      </c>
    </row>
    <row r="23" spans="2:6" x14ac:dyDescent="0.25">
      <c r="B23" s="31" t="str">
        <f>+'County Data'!$B$37</f>
        <v>County 27</v>
      </c>
      <c r="C23" s="20">
        <f>VLOOKUP($B23,'County Data'!$B$11:$M$44,3,FALSE)</f>
        <v>81000</v>
      </c>
      <c r="D23" s="7">
        <f t="shared" si="0"/>
        <v>1.956002028446548E-2</v>
      </c>
      <c r="E23" s="18">
        <f t="shared" si="1"/>
        <v>0</v>
      </c>
      <c r="F23" s="12">
        <f t="shared" si="2"/>
        <v>0</v>
      </c>
    </row>
    <row r="24" spans="2:6" x14ac:dyDescent="0.25">
      <c r="B24" s="31" t="str">
        <f>+'County Data'!$B$38</f>
        <v>County 28</v>
      </c>
      <c r="C24" s="20">
        <f>VLOOKUP($B24,'County Data'!$B$11:$M$44,3,FALSE)</f>
        <v>26175</v>
      </c>
      <c r="D24" s="7">
        <f t="shared" si="0"/>
        <v>6.3207843326652342E-3</v>
      </c>
      <c r="E24" s="18">
        <f t="shared" si="1"/>
        <v>0</v>
      </c>
      <c r="F24" s="12">
        <f t="shared" si="2"/>
        <v>0</v>
      </c>
    </row>
    <row r="25" spans="2:6" x14ac:dyDescent="0.25">
      <c r="B25" s="31" t="str">
        <f>+'County Data'!$B$39</f>
        <v>County 29</v>
      </c>
      <c r="C25" s="20">
        <f>VLOOKUP($B25,'County Data'!$B$11:$M$44,3,FALSE)</f>
        <v>80500</v>
      </c>
      <c r="D25" s="7">
        <f t="shared" si="0"/>
        <v>1.9439279418511989E-2</v>
      </c>
      <c r="E25" s="18">
        <f t="shared" si="1"/>
        <v>0</v>
      </c>
      <c r="F25" s="12">
        <f t="shared" si="2"/>
        <v>0</v>
      </c>
    </row>
    <row r="26" spans="2:6" x14ac:dyDescent="0.25">
      <c r="B26" s="31" t="str">
        <f>+'County Data'!$B$13</f>
        <v>County 3</v>
      </c>
      <c r="C26" s="20">
        <f>VLOOKUP($B26,'County Data'!$B$11:$M$44,3,FALSE)</f>
        <v>413000</v>
      </c>
      <c r="D26" s="7">
        <f t="shared" si="0"/>
        <v>9.9731955277583245E-2</v>
      </c>
      <c r="E26" s="18">
        <f t="shared" si="1"/>
        <v>0</v>
      </c>
      <c r="F26" s="12">
        <f t="shared" si="2"/>
        <v>0</v>
      </c>
    </row>
    <row r="27" spans="2:6" x14ac:dyDescent="0.25">
      <c r="B27" s="31" t="str">
        <f>+'County Data'!$B$40</f>
        <v>County 30</v>
      </c>
      <c r="C27" s="20">
        <f>VLOOKUP($B27,'County Data'!$B$11:$M$44,3,FALSE)</f>
        <v>26900</v>
      </c>
      <c r="D27" s="7">
        <f t="shared" si="0"/>
        <v>6.4958585882977952E-3</v>
      </c>
      <c r="E27" s="18">
        <f t="shared" si="1"/>
        <v>0</v>
      </c>
      <c r="F27" s="12">
        <f t="shared" si="2"/>
        <v>0</v>
      </c>
    </row>
    <row r="28" spans="2:6" x14ac:dyDescent="0.25">
      <c r="B28" s="31" t="str">
        <f>+'County Data'!$B$42</f>
        <v>County 32</v>
      </c>
      <c r="C28" s="20">
        <f>VLOOKUP($B28,'County Data'!$B$11:$M$44,3,FALSE)</f>
        <v>595860</v>
      </c>
      <c r="D28" s="7">
        <f t="shared" si="0"/>
        <v>0.14388930477409384</v>
      </c>
      <c r="E28" s="18">
        <f t="shared" si="1"/>
        <v>0</v>
      </c>
      <c r="F28" s="12">
        <f t="shared" si="2"/>
        <v>0</v>
      </c>
    </row>
    <row r="29" spans="2:6" x14ac:dyDescent="0.25">
      <c r="B29" s="31" t="str">
        <f>+'County Data'!$B$44</f>
        <v>County 34</v>
      </c>
      <c r="C29" s="20">
        <f>VLOOKUP($B29,'County Data'!$B$11:$M$44,3,FALSE)</f>
        <v>106300</v>
      </c>
      <c r="D29" s="7">
        <f t="shared" si="0"/>
        <v>2.5669508101712105E-2</v>
      </c>
      <c r="E29" s="18">
        <f t="shared" si="1"/>
        <v>0</v>
      </c>
      <c r="F29" s="12">
        <f t="shared" si="2"/>
        <v>0</v>
      </c>
    </row>
    <row r="30" spans="2:6" x14ac:dyDescent="0.25">
      <c r="B30" s="31" t="str">
        <f>+'County Data'!$B$14</f>
        <v>County 4</v>
      </c>
      <c r="C30" s="20">
        <f>VLOOKUP($B30,'County Data'!$B$11:$M$44,3,FALSE)</f>
        <v>38820</v>
      </c>
      <c r="D30" s="7">
        <f t="shared" si="0"/>
        <v>9.3743208326290111E-3</v>
      </c>
      <c r="E30" s="18">
        <f t="shared" si="1"/>
        <v>0</v>
      </c>
      <c r="F30" s="12">
        <f t="shared" si="2"/>
        <v>0</v>
      </c>
    </row>
    <row r="31" spans="2:6" x14ac:dyDescent="0.25">
      <c r="B31" s="31" t="str">
        <f>+'County Data'!$B$15</f>
        <v>County 5</v>
      </c>
      <c r="C31" s="20">
        <f>VLOOKUP($B31,'County Data'!$B$11:$M$44,3,FALSE)</f>
        <v>51345</v>
      </c>
      <c r="D31" s="7">
        <f t="shared" si="0"/>
        <v>1.2398879524763951E-2</v>
      </c>
      <c r="E31" s="18">
        <f t="shared" si="1"/>
        <v>0</v>
      </c>
      <c r="F31" s="12">
        <f t="shared" si="2"/>
        <v>0</v>
      </c>
    </row>
    <row r="32" spans="2:6" x14ac:dyDescent="0.25">
      <c r="B32" s="31" t="str">
        <f>+'County Data'!$B$16</f>
        <v>County 6</v>
      </c>
      <c r="C32" s="20">
        <f>VLOOKUP($B32,'County Data'!$B$11:$M$44,3,FALSE)</f>
        <v>63310</v>
      </c>
      <c r="D32" s="7">
        <f t="shared" si="0"/>
        <v>1.5288208447030983E-2</v>
      </c>
      <c r="E32" s="18">
        <f t="shared" si="1"/>
        <v>0</v>
      </c>
      <c r="F32" s="12">
        <f t="shared" si="2"/>
        <v>0</v>
      </c>
    </row>
    <row r="33" spans="2:6" x14ac:dyDescent="0.25">
      <c r="B33" s="31" t="str">
        <f>+'County Data'!$B$17</f>
        <v>County 7</v>
      </c>
      <c r="C33" s="20">
        <f>VLOOKUP($B33,'County Data'!$B$11:$M$44,3,FALSE)</f>
        <v>22105</v>
      </c>
      <c r="D33" s="7">
        <f t="shared" si="0"/>
        <v>5.3379536838038203E-3</v>
      </c>
      <c r="E33" s="18">
        <f t="shared" si="1"/>
        <v>0</v>
      </c>
      <c r="F33" s="12">
        <f t="shared" si="2"/>
        <v>0</v>
      </c>
    </row>
    <row r="34" spans="2:6" x14ac:dyDescent="0.25">
      <c r="B34" s="31" t="str">
        <f>+'County Data'!$B$18</f>
        <v>County 8</v>
      </c>
      <c r="C34" s="20">
        <f>VLOOKUP($B34,'County Data'!$B$11:$M$44,3,FALSE)</f>
        <v>22805</v>
      </c>
      <c r="D34" s="7">
        <f t="shared" si="0"/>
        <v>5.5069908961387073E-3</v>
      </c>
      <c r="E34" s="18">
        <f t="shared" si="1"/>
        <v>0</v>
      </c>
      <c r="F34" s="12">
        <f t="shared" si="2"/>
        <v>0</v>
      </c>
    </row>
    <row r="35" spans="2:6" x14ac:dyDescent="0.25">
      <c r="B35" s="31" t="str">
        <f>+'County Data'!$B$19</f>
        <v>County 9</v>
      </c>
      <c r="C35" s="20">
        <f>VLOOKUP($B35,'County Data'!$B$11:$M$44,3,FALSE)</f>
        <v>182930</v>
      </c>
      <c r="D35" s="7">
        <f t="shared" si="0"/>
        <v>4.4174253217744076E-2</v>
      </c>
      <c r="E35" s="18">
        <f t="shared" si="1"/>
        <v>0</v>
      </c>
      <c r="F35" s="12">
        <f t="shared" si="2"/>
        <v>0</v>
      </c>
    </row>
    <row r="36" spans="2:6" x14ac:dyDescent="0.25">
      <c r="B36" s="31" t="str">
        <f>+'County Data'!$B$21</f>
        <v>County 11</v>
      </c>
      <c r="C36" s="20">
        <f>VLOOKUP($B36,'County Data'!$B$11:$M$44,3,FALSE)</f>
        <v>7415</v>
      </c>
      <c r="D36" s="7">
        <f t="shared" si="0"/>
        <v>1.7905870420902659E-3</v>
      </c>
      <c r="E36" s="18">
        <f t="shared" si="1"/>
        <v>0</v>
      </c>
      <c r="F36" s="12">
        <f t="shared" si="2"/>
        <v>0</v>
      </c>
    </row>
    <row r="37" spans="2:6" x14ac:dyDescent="0.25">
      <c r="B37" s="31" t="str">
        <f>+'County Data'!$B$22</f>
        <v>County 12</v>
      </c>
      <c r="C37" s="20">
        <f>VLOOKUP($B37,'County Data'!$B$11:$M$44,3,FALSE)</f>
        <v>7360</v>
      </c>
      <c r="D37" s="7">
        <f t="shared" si="0"/>
        <v>1.777305546835382E-3</v>
      </c>
      <c r="E37" s="18">
        <f t="shared" si="1"/>
        <v>0</v>
      </c>
      <c r="F37" s="12">
        <f t="shared" si="2"/>
        <v>0</v>
      </c>
    </row>
    <row r="38" spans="2:6" x14ac:dyDescent="0.25">
      <c r="B38" s="31" t="str">
        <f>+'County Data'!$B$28</f>
        <v>County 18</v>
      </c>
      <c r="C38" s="20">
        <f>VLOOKUP($B38,'County Data'!$B$11:$M$44,3,FALSE)</f>
        <v>8120</v>
      </c>
      <c r="D38" s="7">
        <f t="shared" si="0"/>
        <v>1.9608316630846875E-3</v>
      </c>
      <c r="E38" s="18">
        <f t="shared" si="1"/>
        <v>0</v>
      </c>
      <c r="F38" s="12">
        <f t="shared" si="2"/>
        <v>0</v>
      </c>
    </row>
    <row r="39" spans="2:6" x14ac:dyDescent="0.25">
      <c r="B39" s="31" t="str">
        <f>+'County Data'!$B$41</f>
        <v>County 31</v>
      </c>
      <c r="C39" s="20">
        <f>VLOOKUP($B39,'County Data'!$B$11:$M$44,3,FALSE)</f>
        <v>7195</v>
      </c>
      <c r="D39" s="7">
        <f t="shared" si="0"/>
        <v>1.7374610610707299E-3</v>
      </c>
      <c r="E39" s="18">
        <f t="shared" si="1"/>
        <v>0</v>
      </c>
      <c r="F39" s="12">
        <f t="shared" si="2"/>
        <v>0</v>
      </c>
    </row>
    <row r="40" spans="2:6" x14ac:dyDescent="0.25">
      <c r="B40" s="31" t="str">
        <f>'County Data'!$B$43</f>
        <v>County 33</v>
      </c>
      <c r="C40" s="20">
        <f>VLOOKUP($B40,'County Data'!$B$11:$M$44,3,FALSE)</f>
        <v>1480</v>
      </c>
      <c r="D40" s="7">
        <f t="shared" si="0"/>
        <v>3.5739296322233224E-4</v>
      </c>
      <c r="E40" s="18">
        <f t="shared" si="1"/>
        <v>0</v>
      </c>
      <c r="F40" s="12">
        <f t="shared" si="2"/>
        <v>0</v>
      </c>
    </row>
    <row r="41" spans="2:6" x14ac:dyDescent="0.25">
      <c r="B41" s="5" t="s">
        <v>3</v>
      </c>
      <c r="C41" s="6">
        <f t="shared" ref="C41:D41" si="3">SUM(C7:C40)</f>
        <v>4141100</v>
      </c>
      <c r="D41" s="10">
        <f t="shared" si="3"/>
        <v>1</v>
      </c>
      <c r="E41" s="13">
        <f>SUM(E7:E40)</f>
        <v>0</v>
      </c>
      <c r="F41" s="14">
        <f t="shared" ref="F41" si="4">E41/C41</f>
        <v>0</v>
      </c>
    </row>
  </sheetData>
  <sortState ref="B7:F40">
    <sortCondition ref="B7"/>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B3:K41"/>
  <sheetViews>
    <sheetView zoomScaleNormal="100" workbookViewId="0">
      <selection activeCell="D7" sqref="D7"/>
    </sheetView>
  </sheetViews>
  <sheetFormatPr defaultRowHeight="15" x14ac:dyDescent="0.25"/>
  <cols>
    <col min="1" max="1" width="9.140625" customWidth="1"/>
    <col min="2" max="2" width="17.42578125" bestFit="1" customWidth="1"/>
    <col min="3" max="3" width="11.85546875" bestFit="1" customWidth="1"/>
    <col min="4" max="5" width="10.5703125" bestFit="1" customWidth="1"/>
    <col min="6" max="6" width="9.7109375" bestFit="1" customWidth="1"/>
    <col min="7" max="7" width="14.140625" customWidth="1"/>
    <col min="8" max="8" width="10" bestFit="1" customWidth="1"/>
    <col min="11" max="11" width="10.5703125" bestFit="1" customWidth="1"/>
  </cols>
  <sheetData>
    <row r="3" spans="2:11" x14ac:dyDescent="0.25">
      <c r="B3" t="s">
        <v>0</v>
      </c>
      <c r="C3" s="1">
        <f>'County Data'!C6</f>
        <v>10000000</v>
      </c>
    </row>
    <row r="4" spans="2:11" x14ac:dyDescent="0.25">
      <c r="B4" t="s">
        <v>88</v>
      </c>
      <c r="C4" s="18">
        <f>'County Data'!E10</f>
        <v>1631000</v>
      </c>
      <c r="D4" s="11"/>
    </row>
    <row r="5" spans="2:11" x14ac:dyDescent="0.25">
      <c r="B5" s="64"/>
      <c r="C5" s="64"/>
      <c r="D5" s="64"/>
      <c r="E5" s="64"/>
      <c r="F5" s="64"/>
      <c r="G5" s="64"/>
      <c r="H5" s="64"/>
    </row>
    <row r="6" spans="2:11" s="2" customFormat="1" ht="30" x14ac:dyDescent="0.25">
      <c r="B6" s="3" t="s">
        <v>8</v>
      </c>
      <c r="C6" s="3" t="s">
        <v>1</v>
      </c>
      <c r="D6" s="3" t="s">
        <v>19</v>
      </c>
      <c r="E6" s="3" t="s">
        <v>77</v>
      </c>
      <c r="F6" s="3" t="s">
        <v>78</v>
      </c>
      <c r="G6" s="17" t="s">
        <v>18</v>
      </c>
      <c r="H6" s="3" t="s">
        <v>7</v>
      </c>
    </row>
    <row r="7" spans="2:11" x14ac:dyDescent="0.25">
      <c r="B7" s="31" t="str">
        <f>'County Data'!$B$12</f>
        <v>County 2</v>
      </c>
      <c r="C7" s="20">
        <f>VLOOKUP($B7,'County Data'!$B$11:$L$44,3,FALSE)</f>
        <v>92575</v>
      </c>
      <c r="D7" s="82">
        <f>VLOOKUP(B7,'County Data'!$B$11:$L$44,4,FALSE)</f>
        <v>4.3643250000000001E-2</v>
      </c>
      <c r="E7" s="79">
        <f t="shared" ref="E7:E40" si="0">C7*D7</f>
        <v>4040.27386875</v>
      </c>
      <c r="F7" s="7">
        <f t="shared" ref="F7:F40" si="1">E7/$E$41</f>
        <v>1.5149855763914139E-2</v>
      </c>
      <c r="G7" s="18">
        <f t="shared" ref="G7:G40" si="2">$C$4*F7</f>
        <v>24709.414750943961</v>
      </c>
      <c r="H7" s="12">
        <f t="shared" ref="H7:H40" si="3">G7/C7</f>
        <v>0.2669123926648011</v>
      </c>
      <c r="I7" s="34"/>
      <c r="K7" s="80"/>
    </row>
    <row r="8" spans="2:11" x14ac:dyDescent="0.25">
      <c r="B8" s="31" t="str">
        <f>'County Data'!$B$42</f>
        <v>County 32</v>
      </c>
      <c r="C8" s="20">
        <f>VLOOKUP($B8,'County Data'!$B$11:$L$44,3,FALSE)</f>
        <v>595860</v>
      </c>
      <c r="D8" s="82">
        <f>VLOOKUP(B8,'County Data'!$B$11:$L$44,4,FALSE)</f>
        <v>4.3630659999999995E-2</v>
      </c>
      <c r="E8" s="79">
        <f t="shared" si="0"/>
        <v>25997.765067599998</v>
      </c>
      <c r="F8" s="7">
        <f t="shared" si="1"/>
        <v>9.7484082454073986E-2</v>
      </c>
      <c r="G8" s="18">
        <f t="shared" si="2"/>
        <v>158996.53848259468</v>
      </c>
      <c r="H8" s="12">
        <f t="shared" si="3"/>
        <v>0.26683539503003167</v>
      </c>
      <c r="I8" s="34"/>
    </row>
    <row r="9" spans="2:11" x14ac:dyDescent="0.25">
      <c r="B9" s="31" t="str">
        <f>'County Data'!$B$23</f>
        <v>County 13</v>
      </c>
      <c r="C9" s="20">
        <f>VLOOKUP($B9,'County Data'!$B$11:$L$44,3,FALSE)</f>
        <v>25145</v>
      </c>
      <c r="D9" s="82">
        <f>VLOOKUP(B9,'County Data'!$B$11:$L$44,4,FALSE)</f>
        <v>5.0952200000000003E-2</v>
      </c>
      <c r="E9" s="79">
        <f t="shared" si="0"/>
        <v>1281.1930690000002</v>
      </c>
      <c r="F9" s="7">
        <f t="shared" si="1"/>
        <v>4.804102600866912E-3</v>
      </c>
      <c r="G9" s="18">
        <f t="shared" si="2"/>
        <v>7835.4913420139337</v>
      </c>
      <c r="H9" s="12">
        <f t="shared" si="3"/>
        <v>0.31161230232706039</v>
      </c>
      <c r="I9" s="34"/>
    </row>
    <row r="10" spans="2:11" x14ac:dyDescent="0.25">
      <c r="B10" s="31" t="str">
        <f>'County Data'!$B$13</f>
        <v>County 3</v>
      </c>
      <c r="C10" s="20">
        <f>VLOOKUP($B10,'County Data'!$B$11:$L$44,3,FALSE)</f>
        <v>413000</v>
      </c>
      <c r="D10" s="82">
        <f>VLOOKUP(B10,'County Data'!$B$11:$L$44,4,FALSE)</f>
        <v>5.6229189999999998E-2</v>
      </c>
      <c r="E10" s="79">
        <f t="shared" si="0"/>
        <v>23222.655469999998</v>
      </c>
      <c r="F10" s="7">
        <f t="shared" si="1"/>
        <v>8.7078225945712795E-2</v>
      </c>
      <c r="G10" s="18">
        <f t="shared" si="2"/>
        <v>142024.58651745756</v>
      </c>
      <c r="H10" s="12">
        <f t="shared" si="3"/>
        <v>0.34388519737883189</v>
      </c>
      <c r="I10" s="34"/>
    </row>
    <row r="11" spans="2:11" x14ac:dyDescent="0.25">
      <c r="B11" s="31" t="str">
        <f>'County Data'!$B$37</f>
        <v>County 27</v>
      </c>
      <c r="C11" s="20">
        <f>VLOOKUP($B11,'County Data'!$B$11:$L$44,3,FALSE)</f>
        <v>81000</v>
      </c>
      <c r="D11" s="82">
        <f>VLOOKUP(B11,'County Data'!$B$11:$L$44,4,FALSE)</f>
        <v>5.8934719999999996E-2</v>
      </c>
      <c r="E11" s="79">
        <f t="shared" si="0"/>
        <v>4773.7123199999996</v>
      </c>
      <c r="F11" s="7">
        <f t="shared" si="1"/>
        <v>1.7900037338012181E-2</v>
      </c>
      <c r="G11" s="18">
        <f t="shared" si="2"/>
        <v>29194.960898297868</v>
      </c>
      <c r="H11" s="12">
        <f t="shared" si="3"/>
        <v>0.36043161602836876</v>
      </c>
      <c r="I11" s="34"/>
    </row>
    <row r="12" spans="2:11" x14ac:dyDescent="0.25">
      <c r="B12" s="31" t="str">
        <f>'County Data'!$B$19</f>
        <v>County 9</v>
      </c>
      <c r="C12" s="20">
        <f>VLOOKUP($B12,'County Data'!$B$11:$L$44,3,FALSE)</f>
        <v>182930</v>
      </c>
      <c r="D12" s="82">
        <f>VLOOKUP(B12,'County Data'!$B$11:$L$44,4,FALSE)</f>
        <v>5.5273819999999994E-2</v>
      </c>
      <c r="E12" s="79">
        <f t="shared" si="0"/>
        <v>10111.239892599999</v>
      </c>
      <c r="F12" s="7">
        <f t="shared" si="1"/>
        <v>3.7914218427627891E-2</v>
      </c>
      <c r="G12" s="18">
        <f t="shared" si="2"/>
        <v>61838.090255461088</v>
      </c>
      <c r="H12" s="12">
        <f t="shared" si="3"/>
        <v>0.33804236732882026</v>
      </c>
      <c r="I12" s="34"/>
    </row>
    <row r="13" spans="2:11" x14ac:dyDescent="0.25">
      <c r="B13" s="31" t="str">
        <f>'County Data'!$B$44</f>
        <v>County 34</v>
      </c>
      <c r="C13" s="20">
        <f>VLOOKUP($B13,'County Data'!$B$11:$L$44,3,FALSE)</f>
        <v>106300</v>
      </c>
      <c r="D13" s="82">
        <f>VLOOKUP(B13,'County Data'!$B$11:$L$44,4,FALSE)</f>
        <v>5.9052179999999996E-2</v>
      </c>
      <c r="E13" s="79">
        <f t="shared" si="0"/>
        <v>6277.2467339999994</v>
      </c>
      <c r="F13" s="7">
        <f t="shared" si="1"/>
        <v>2.3537855527606451E-2</v>
      </c>
      <c r="G13" s="18">
        <f t="shared" si="2"/>
        <v>38390.242365526123</v>
      </c>
      <c r="H13" s="12">
        <f t="shared" si="3"/>
        <v>0.36114997521661452</v>
      </c>
      <c r="I13" s="34"/>
    </row>
    <row r="14" spans="2:11" x14ac:dyDescent="0.25">
      <c r="B14" s="31" t="str">
        <f>'County Data'!$B$21</f>
        <v>County 11</v>
      </c>
      <c r="C14" s="20">
        <f>VLOOKUP($B14,'County Data'!$B$11:$L$44,3,FALSE)</f>
        <v>7415</v>
      </c>
      <c r="D14" s="82">
        <f>VLOOKUP(B14,'County Data'!$B$11:$L$44,4,FALSE)</f>
        <v>6.5026090000000009E-2</v>
      </c>
      <c r="E14" s="79">
        <f t="shared" si="0"/>
        <v>482.16845735000004</v>
      </c>
      <c r="F14" s="7">
        <f t="shared" si="1"/>
        <v>1.8079919381854867E-3</v>
      </c>
      <c r="G14" s="18">
        <f t="shared" si="2"/>
        <v>2948.8348511805289</v>
      </c>
      <c r="H14" s="12">
        <f t="shared" si="3"/>
        <v>0.39768507770472405</v>
      </c>
      <c r="I14" s="34"/>
    </row>
    <row r="15" spans="2:11" x14ac:dyDescent="0.25">
      <c r="B15" s="31" t="str">
        <f>'County Data'!$B$34</f>
        <v>County 24</v>
      </c>
      <c r="C15" s="20">
        <f>VLOOKUP($B15,'County Data'!$B$11:$L$44,3,FALSE)</f>
        <v>11890</v>
      </c>
      <c r="D15" s="82">
        <f>VLOOKUP(B15,'County Data'!$B$11:$L$44,4,FALSE)</f>
        <v>6.4928429999999995E-2</v>
      </c>
      <c r="E15" s="79">
        <f t="shared" si="0"/>
        <v>771.99903269999993</v>
      </c>
      <c r="F15" s="7">
        <f t="shared" si="1"/>
        <v>2.8947725761235832E-3</v>
      </c>
      <c r="G15" s="18">
        <f t="shared" si="2"/>
        <v>4721.3740716575639</v>
      </c>
      <c r="H15" s="12">
        <f t="shared" si="3"/>
        <v>0.39708781090475725</v>
      </c>
      <c r="I15" s="34"/>
    </row>
    <row r="16" spans="2:11" x14ac:dyDescent="0.25">
      <c r="B16" s="31" t="str">
        <f>'County Data'!$B$43</f>
        <v>County 33</v>
      </c>
      <c r="C16" s="20">
        <f>VLOOKUP($B16,'County Data'!$B$11:$L$44,3,FALSE)</f>
        <v>1480</v>
      </c>
      <c r="D16" s="82">
        <f>VLOOKUP(B16,'County Data'!$B$11:$L$44,4,FALSE)</f>
        <v>6.3521800000000003E-2</v>
      </c>
      <c r="E16" s="79">
        <f t="shared" si="0"/>
        <v>94.012264000000002</v>
      </c>
      <c r="F16" s="7">
        <f t="shared" si="1"/>
        <v>3.5251873657754447E-4</v>
      </c>
      <c r="G16" s="18">
        <f t="shared" si="2"/>
        <v>574.958059357975</v>
      </c>
      <c r="H16" s="12">
        <f t="shared" si="3"/>
        <v>0.38848517524187498</v>
      </c>
      <c r="I16" s="34"/>
    </row>
    <row r="17" spans="2:9" x14ac:dyDescent="0.25">
      <c r="B17" s="31" t="str">
        <f>'County Data'!$B$33</f>
        <v>County 23</v>
      </c>
      <c r="C17" s="20">
        <f>VLOOKUP($B17,'County Data'!$B$11:$L$44,3,FALSE)</f>
        <v>339200</v>
      </c>
      <c r="D17" s="82">
        <f>VLOOKUP(B17,'County Data'!$B$11:$L$44,4,FALSE)</f>
        <v>6.2774990000000003E-2</v>
      </c>
      <c r="E17" s="79">
        <f t="shared" si="0"/>
        <v>21293.276608</v>
      </c>
      <c r="F17" s="7">
        <f t="shared" si="1"/>
        <v>7.9843614525104314E-2</v>
      </c>
      <c r="G17" s="18">
        <f t="shared" si="2"/>
        <v>130224.93529044514</v>
      </c>
      <c r="H17" s="12">
        <f t="shared" si="3"/>
        <v>0.38391785168173687</v>
      </c>
      <c r="I17" s="34"/>
    </row>
    <row r="18" spans="2:9" x14ac:dyDescent="0.25">
      <c r="B18" s="31" t="str">
        <f>'County Data'!$B$35</f>
        <v>County 25</v>
      </c>
      <c r="C18" s="20">
        <f>VLOOKUP($B18,'County Data'!$B$11:$L$44,3,FALSE)</f>
        <v>803000</v>
      </c>
      <c r="D18" s="82">
        <f>VLOOKUP(B18,'County Data'!$B$11:$L$44,4,FALSE)</f>
        <v>6.3041220000000009E-2</v>
      </c>
      <c r="E18" s="79">
        <f t="shared" si="0"/>
        <v>50622.099660000007</v>
      </c>
      <c r="F18" s="7">
        <f t="shared" si="1"/>
        <v>0.1898181987729361</v>
      </c>
      <c r="G18" s="18">
        <f t="shared" si="2"/>
        <v>309593.48219865875</v>
      </c>
      <c r="H18" s="12">
        <f t="shared" si="3"/>
        <v>0.38554605504191625</v>
      </c>
      <c r="I18" s="34"/>
    </row>
    <row r="19" spans="2:9" x14ac:dyDescent="0.25">
      <c r="B19" s="31" t="str">
        <f>'County Data'!$B$29</f>
        <v>County 19</v>
      </c>
      <c r="C19" s="20">
        <f>VLOOKUP($B19,'County Data'!$B$11:$L$44,3,FALSE)</f>
        <v>370600</v>
      </c>
      <c r="D19" s="82">
        <f>VLOOKUP(B19,'County Data'!$B$11:$L$44,4,FALSE)</f>
        <v>6.7933170000000001E-2</v>
      </c>
      <c r="E19" s="79">
        <f t="shared" si="0"/>
        <v>25176.032802000002</v>
      </c>
      <c r="F19" s="7">
        <f t="shared" si="1"/>
        <v>9.4402824671851931E-2</v>
      </c>
      <c r="G19" s="18">
        <f t="shared" si="2"/>
        <v>153971.00703979051</v>
      </c>
      <c r="H19" s="12">
        <f t="shared" si="3"/>
        <v>0.4154641312460618</v>
      </c>
      <c r="I19" s="34"/>
    </row>
    <row r="20" spans="2:9" x14ac:dyDescent="0.25">
      <c r="B20" s="31" t="str">
        <f>'County Data'!$B$40</f>
        <v>County 30</v>
      </c>
      <c r="C20" s="20">
        <f>VLOOKUP($B20,'County Data'!$B$11:$L$44,3,FALSE)</f>
        <v>26900</v>
      </c>
      <c r="D20" s="82">
        <f>VLOOKUP(B20,'County Data'!$B$11:$L$44,4,FALSE)</f>
        <v>7.2840740000000001E-2</v>
      </c>
      <c r="E20" s="79">
        <f t="shared" si="0"/>
        <v>1959.4159059999999</v>
      </c>
      <c r="F20" s="7">
        <f t="shared" si="1"/>
        <v>7.3472416281035909E-3</v>
      </c>
      <c r="G20" s="18">
        <f t="shared" si="2"/>
        <v>11983.351095436956</v>
      </c>
      <c r="H20" s="12">
        <f t="shared" si="3"/>
        <v>0.44547773588984968</v>
      </c>
      <c r="I20" s="34"/>
    </row>
    <row r="21" spans="2:9" x14ac:dyDescent="0.25">
      <c r="B21" s="31" t="str">
        <f>'County Data'!$B$32</f>
        <v>County 22</v>
      </c>
      <c r="C21" s="20">
        <f>VLOOKUP($B21,'County Data'!$B$11:$L$44,3,FALSE)</f>
        <v>31845</v>
      </c>
      <c r="D21" s="82">
        <f>VLOOKUP(B21,'County Data'!$B$11:$L$44,4,FALSE)</f>
        <v>7.2585949999999996E-2</v>
      </c>
      <c r="E21" s="79">
        <f t="shared" si="0"/>
        <v>2311.4995777499998</v>
      </c>
      <c r="F21" s="7">
        <f t="shared" si="1"/>
        <v>8.667453330854339E-3</v>
      </c>
      <c r="G21" s="18">
        <f t="shared" si="2"/>
        <v>14136.616382623428</v>
      </c>
      <c r="H21" s="12">
        <f t="shared" si="3"/>
        <v>0.44391949702067601</v>
      </c>
      <c r="I21" s="34"/>
    </row>
    <row r="22" spans="2:9" x14ac:dyDescent="0.25">
      <c r="B22" s="31" t="str">
        <f>'County Data'!$B$31</f>
        <v>County 21</v>
      </c>
      <c r="C22" s="20">
        <f>VLOOKUP($B22,'County Data'!$B$11:$L$44,3,FALSE)</f>
        <v>124010</v>
      </c>
      <c r="D22" s="82">
        <f>VLOOKUP(B22,'County Data'!$B$11:$L$44,4,FALSE)</f>
        <v>7.2411760000000006E-2</v>
      </c>
      <c r="E22" s="79">
        <f t="shared" si="0"/>
        <v>8979.782357600001</v>
      </c>
      <c r="F22" s="7">
        <f t="shared" si="1"/>
        <v>3.3671580672096947E-2</v>
      </c>
      <c r="G22" s="18">
        <f t="shared" si="2"/>
        <v>54918.348076190123</v>
      </c>
      <c r="H22" s="12">
        <f t="shared" si="3"/>
        <v>0.44285418979267899</v>
      </c>
      <c r="I22" s="34"/>
    </row>
    <row r="23" spans="2:9" x14ac:dyDescent="0.25">
      <c r="B23" s="31" t="str">
        <f>'County Data'!$B$39</f>
        <v>County 29</v>
      </c>
      <c r="C23" s="20">
        <f>VLOOKUP($B23,'County Data'!$B$11:$L$44,3,FALSE)</f>
        <v>80500</v>
      </c>
      <c r="D23" s="82">
        <f>VLOOKUP(B23,'County Data'!$B$11:$L$44,4,FALSE)</f>
        <v>6.7694759999999993E-2</v>
      </c>
      <c r="E23" s="79">
        <f t="shared" si="0"/>
        <v>5449.428179999999</v>
      </c>
      <c r="F23" s="7">
        <f t="shared" si="1"/>
        <v>2.0433775928251949E-2</v>
      </c>
      <c r="G23" s="18">
        <f t="shared" si="2"/>
        <v>33327.488538978927</v>
      </c>
      <c r="H23" s="12">
        <f t="shared" si="3"/>
        <v>0.41400606880719165</v>
      </c>
      <c r="I23" s="34"/>
    </row>
    <row r="24" spans="2:9" x14ac:dyDescent="0.25">
      <c r="B24" s="31" t="str">
        <f>'County Data'!$B$24</f>
        <v>County 14</v>
      </c>
      <c r="C24" s="20">
        <f>VLOOKUP($B24,'County Data'!$B$11:$L$44,3,FALSE)</f>
        <v>216900</v>
      </c>
      <c r="D24" s="82">
        <f>VLOOKUP(B24,'County Data'!$B$11:$L$44,4,FALSE)</f>
        <v>7.4869329999999998E-2</v>
      </c>
      <c r="E24" s="79">
        <f t="shared" si="0"/>
        <v>16239.157676999999</v>
      </c>
      <c r="F24" s="7">
        <f t="shared" si="1"/>
        <v>6.0892133683532731E-2</v>
      </c>
      <c r="G24" s="18">
        <f t="shared" si="2"/>
        <v>99315.070037841884</v>
      </c>
      <c r="H24" s="12">
        <f t="shared" si="3"/>
        <v>0.45788414033122121</v>
      </c>
      <c r="I24" s="34"/>
    </row>
    <row r="25" spans="2:9" x14ac:dyDescent="0.25">
      <c r="B25" s="31" t="str">
        <f>'County Data'!$B$17</f>
        <v>County 7</v>
      </c>
      <c r="C25" s="20">
        <f>VLOOKUP($B25,'County Data'!$B$11:$L$44,3,FALSE)</f>
        <v>22105</v>
      </c>
      <c r="D25" s="82">
        <f>VLOOKUP(B25,'County Data'!$B$11:$L$44,4,FALSE)</f>
        <v>7.9248739999999998E-2</v>
      </c>
      <c r="E25" s="79">
        <f t="shared" si="0"/>
        <v>1751.7933977</v>
      </c>
      <c r="F25" s="7">
        <f t="shared" si="1"/>
        <v>6.5687174101252141E-3</v>
      </c>
      <c r="G25" s="18">
        <f t="shared" si="2"/>
        <v>10713.578095914225</v>
      </c>
      <c r="H25" s="12">
        <f t="shared" si="3"/>
        <v>0.48466763609654939</v>
      </c>
      <c r="I25" s="34"/>
    </row>
    <row r="26" spans="2:9" x14ac:dyDescent="0.25">
      <c r="B26" s="31" t="str">
        <f>'County Data'!$B$15</f>
        <v>County 5</v>
      </c>
      <c r="C26" s="20">
        <f>VLOOKUP($B26,'County Data'!$B$11:$L$44,3,FALSE)</f>
        <v>51345</v>
      </c>
      <c r="D26" s="82">
        <f>VLOOKUP(B26,'County Data'!$B$11:$L$44,4,FALSE)</f>
        <v>7.2065329999999997E-2</v>
      </c>
      <c r="E26" s="79">
        <f t="shared" si="0"/>
        <v>3700.19436885</v>
      </c>
      <c r="F26" s="7">
        <f t="shared" si="1"/>
        <v>1.3874656225685051E-2</v>
      </c>
      <c r="G26" s="18">
        <f t="shared" si="2"/>
        <v>22629.564304092321</v>
      </c>
      <c r="H26" s="12">
        <f t="shared" si="3"/>
        <v>0.44073550110219728</v>
      </c>
      <c r="I26" s="34"/>
    </row>
    <row r="27" spans="2:9" x14ac:dyDescent="0.25">
      <c r="B27" s="31" t="str">
        <f>'County Data'!$B$41</f>
        <v>County 31</v>
      </c>
      <c r="C27" s="20">
        <f>VLOOKUP($B27,'County Data'!$B$11:$L$44,3,FALSE)</f>
        <v>7195</v>
      </c>
      <c r="D27" s="82">
        <f>VLOOKUP(B27,'County Data'!$B$11:$L$44,4,FALSE)</f>
        <v>7.6918E-2</v>
      </c>
      <c r="E27" s="79">
        <f t="shared" si="0"/>
        <v>553.42501000000004</v>
      </c>
      <c r="F27" s="7">
        <f t="shared" si="1"/>
        <v>2.075183353903858E-3</v>
      </c>
      <c r="G27" s="18">
        <f t="shared" si="2"/>
        <v>3384.6240502171922</v>
      </c>
      <c r="H27" s="12">
        <f t="shared" si="3"/>
        <v>0.47041334957848396</v>
      </c>
      <c r="I27" s="34"/>
    </row>
    <row r="28" spans="2:9" x14ac:dyDescent="0.25">
      <c r="B28" s="31" t="str">
        <f>'County Data'!$B$38</f>
        <v>County 28</v>
      </c>
      <c r="C28" s="20">
        <f>VLOOKUP($B28,'County Data'!$B$11:$L$44,3,FALSE)</f>
        <v>26175</v>
      </c>
      <c r="D28" s="82">
        <f>VLOOKUP(B28,'County Data'!$B$11:$L$44,4,FALSE)</f>
        <v>8.0733680000000002E-2</v>
      </c>
      <c r="E28" s="79">
        <f t="shared" si="0"/>
        <v>2113.2040740000002</v>
      </c>
      <c r="F28" s="7">
        <f t="shared" si="1"/>
        <v>7.9239026761125531E-3</v>
      </c>
      <c r="G28" s="18">
        <f t="shared" si="2"/>
        <v>12923.885264739574</v>
      </c>
      <c r="H28" s="12">
        <f t="shared" si="3"/>
        <v>0.4937491982708529</v>
      </c>
      <c r="I28" s="34"/>
    </row>
    <row r="29" spans="2:9" x14ac:dyDescent="0.25">
      <c r="B29" s="31" t="str">
        <f>'County Data'!$B$28</f>
        <v>County 18</v>
      </c>
      <c r="C29" s="20">
        <f>VLOOKUP($B29,'County Data'!$B$11:$L$44,3,FALSE)</f>
        <v>8120</v>
      </c>
      <c r="D29" s="82">
        <f>VLOOKUP(B29,'County Data'!$B$11:$L$44,4,FALSE)</f>
        <v>8.4349279999999999E-2</v>
      </c>
      <c r="E29" s="79">
        <f t="shared" si="0"/>
        <v>684.91615360000003</v>
      </c>
      <c r="F29" s="7">
        <f t="shared" si="1"/>
        <v>2.5682370241463751E-3</v>
      </c>
      <c r="G29" s="18">
        <f t="shared" si="2"/>
        <v>4188.7945863827381</v>
      </c>
      <c r="H29" s="12">
        <f t="shared" si="3"/>
        <v>0.51586140226388399</v>
      </c>
      <c r="I29" s="34"/>
    </row>
    <row r="30" spans="2:9" x14ac:dyDescent="0.25">
      <c r="B30" s="31" t="str">
        <f>'County Data'!$B$36</f>
        <v>County 26</v>
      </c>
      <c r="C30" s="20">
        <f>VLOOKUP($B30,'County Data'!$B$11:$L$44,3,FALSE)</f>
        <v>30895</v>
      </c>
      <c r="D30" s="82">
        <f>VLOOKUP(B30,'County Data'!$B$11:$L$44,4,FALSE)</f>
        <v>8.2111370000000003E-2</v>
      </c>
      <c r="E30" s="79">
        <f t="shared" si="0"/>
        <v>2536.83077615</v>
      </c>
      <c r="F30" s="7">
        <f t="shared" si="1"/>
        <v>9.5123800030965065E-3</v>
      </c>
      <c r="G30" s="18">
        <f t="shared" si="2"/>
        <v>15514.691785050401</v>
      </c>
      <c r="H30" s="12">
        <f t="shared" si="3"/>
        <v>0.50217484334197771</v>
      </c>
      <c r="I30" s="34"/>
    </row>
    <row r="31" spans="2:9" x14ac:dyDescent="0.25">
      <c r="B31" s="31" t="str">
        <f>'County Data'!$B$11</f>
        <v>County 1</v>
      </c>
      <c r="C31" s="20">
        <f>VLOOKUP($B31,'County Data'!$B$11:$L$44,3,FALSE)</f>
        <v>16750</v>
      </c>
      <c r="D31" s="82">
        <f>VLOOKUP(B31,'County Data'!$B$11:$L$44,4,FALSE)</f>
        <v>8.0970979999999998E-2</v>
      </c>
      <c r="E31" s="79">
        <f t="shared" si="0"/>
        <v>1356.263915</v>
      </c>
      <c r="F31" s="7">
        <f t="shared" si="1"/>
        <v>5.0855965109138758E-3</v>
      </c>
      <c r="G31" s="18">
        <f t="shared" si="2"/>
        <v>8294.6079093005319</v>
      </c>
      <c r="H31" s="12">
        <f t="shared" si="3"/>
        <v>0.49520047219704666</v>
      </c>
      <c r="I31" s="34"/>
    </row>
    <row r="32" spans="2:9" x14ac:dyDescent="0.25">
      <c r="B32" s="31" t="str">
        <f>'County Data'!$B$14</f>
        <v>County 4</v>
      </c>
      <c r="C32" s="20">
        <f>VLOOKUP($B32,'County Data'!$B$11:$L$44,3,FALSE)</f>
        <v>38820</v>
      </c>
      <c r="D32" s="82">
        <f>VLOOKUP(B32,'County Data'!$B$11:$L$44,4,FALSE)</f>
        <v>8.4602819999999995E-2</v>
      </c>
      <c r="E32" s="79">
        <f t="shared" si="0"/>
        <v>3284.2814724</v>
      </c>
      <c r="F32" s="7">
        <f t="shared" si="1"/>
        <v>1.2315103433903959E-2</v>
      </c>
      <c r="G32" s="18">
        <f t="shared" si="2"/>
        <v>20085.933700697358</v>
      </c>
      <c r="H32" s="12">
        <f t="shared" si="3"/>
        <v>0.51741199641157543</v>
      </c>
      <c r="I32" s="34"/>
    </row>
    <row r="33" spans="2:9" x14ac:dyDescent="0.25">
      <c r="B33" s="31" t="str">
        <f>'County Data'!$B$26</f>
        <v>County 16</v>
      </c>
      <c r="C33" s="20">
        <f>VLOOKUP($B33,'County Data'!$B$11:$L$44,3,FALSE)</f>
        <v>85650</v>
      </c>
      <c r="D33" s="82">
        <f>VLOOKUP(B33,'County Data'!$B$11:$L$44,4,FALSE)</f>
        <v>9.7062319999999994E-2</v>
      </c>
      <c r="E33" s="79">
        <f t="shared" si="0"/>
        <v>8313.3877080000002</v>
      </c>
      <c r="F33" s="7">
        <f t="shared" si="1"/>
        <v>3.1172793918710948E-2</v>
      </c>
      <c r="G33" s="18">
        <f t="shared" si="2"/>
        <v>50842.826881417554</v>
      </c>
      <c r="H33" s="12">
        <f t="shared" si="3"/>
        <v>0.59361152225823177</v>
      </c>
      <c r="I33" s="34"/>
    </row>
    <row r="34" spans="2:9" x14ac:dyDescent="0.25">
      <c r="B34" s="31" t="str">
        <f>'County Data'!$B$20</f>
        <v>County 10</v>
      </c>
      <c r="C34" s="20">
        <f>VLOOKUP($B34,'County Data'!$B$11:$L$44,3,FALSE)</f>
        <v>111180</v>
      </c>
      <c r="D34" s="82">
        <f>VLOOKUP(B34,'County Data'!$B$11:$L$44,4,FALSE)</f>
        <v>9.7688129999999998E-2</v>
      </c>
      <c r="E34" s="79">
        <f t="shared" si="0"/>
        <v>10860.966293399999</v>
      </c>
      <c r="F34" s="7">
        <f t="shared" si="1"/>
        <v>4.0725475090788832E-2</v>
      </c>
      <c r="G34" s="18">
        <f t="shared" si="2"/>
        <v>66423.24987307658</v>
      </c>
      <c r="H34" s="12">
        <f t="shared" si="3"/>
        <v>0.59743883677888632</v>
      </c>
      <c r="I34" s="34"/>
    </row>
    <row r="35" spans="2:9" x14ac:dyDescent="0.25">
      <c r="B35" s="31" t="str">
        <f>'County Data'!$B$27</f>
        <v>County 17</v>
      </c>
      <c r="C35" s="20">
        <f>VLOOKUP($B35,'County Data'!$B$11:$L$44,3,FALSE)</f>
        <v>67690</v>
      </c>
      <c r="D35" s="82">
        <f>VLOOKUP(B35,'County Data'!$B$11:$L$44,4,FALSE)</f>
        <v>9.2599109999999998E-2</v>
      </c>
      <c r="E35" s="79">
        <f t="shared" si="0"/>
        <v>6268.0337559</v>
      </c>
      <c r="F35" s="7">
        <f t="shared" si="1"/>
        <v>2.3503309530501986E-2</v>
      </c>
      <c r="G35" s="18">
        <f t="shared" si="2"/>
        <v>38333.897844248742</v>
      </c>
      <c r="H35" s="12">
        <f t="shared" si="3"/>
        <v>0.56631552436473254</v>
      </c>
      <c r="I35" s="34"/>
    </row>
    <row r="36" spans="2:9" x14ac:dyDescent="0.25">
      <c r="B36" s="31" t="str">
        <f>'County Data'!$B$16</f>
        <v>County 6</v>
      </c>
      <c r="C36" s="20">
        <f>VLOOKUP($B36,'County Data'!$B$11:$L$44,3,FALSE)</f>
        <v>63310</v>
      </c>
      <c r="D36" s="82">
        <f>VLOOKUP(B36,'County Data'!$B$11:$L$44,4,FALSE)</f>
        <v>9.5954879999999992E-2</v>
      </c>
      <c r="E36" s="79">
        <f t="shared" si="0"/>
        <v>6074.9034527999993</v>
      </c>
      <c r="F36" s="7">
        <f t="shared" si="1"/>
        <v>2.2779126880846292E-2</v>
      </c>
      <c r="G36" s="18">
        <f t="shared" si="2"/>
        <v>37152.755942660304</v>
      </c>
      <c r="H36" s="12">
        <f t="shared" si="3"/>
        <v>0.5868386659715733</v>
      </c>
      <c r="I36" s="34"/>
    </row>
    <row r="37" spans="2:9" x14ac:dyDescent="0.25">
      <c r="B37" s="31" t="str">
        <f>'County Data'!$B$30</f>
        <v>County 20</v>
      </c>
      <c r="C37" s="20">
        <f>VLOOKUP($B37,'County Data'!$B$11:$L$44,3,FALSE)</f>
        <v>47960</v>
      </c>
      <c r="D37" s="82">
        <f>VLOOKUP(B37,'County Data'!$B$11:$L$44,4,FALSE)</f>
        <v>9.8367700000000002E-2</v>
      </c>
      <c r="E37" s="79">
        <f t="shared" si="0"/>
        <v>4717.714892</v>
      </c>
      <c r="F37" s="7">
        <f t="shared" si="1"/>
        <v>1.7690063216230029E-2</v>
      </c>
      <c r="G37" s="18">
        <f t="shared" si="2"/>
        <v>28852.493105671179</v>
      </c>
      <c r="H37" s="12">
        <f t="shared" si="3"/>
        <v>0.60159493548105047</v>
      </c>
      <c r="I37" s="34"/>
    </row>
    <row r="38" spans="2:9" x14ac:dyDescent="0.25">
      <c r="B38" s="31" t="str">
        <f>'County Data'!$B$25</f>
        <v>County 15</v>
      </c>
      <c r="C38" s="20">
        <f>VLOOKUP($B38,'County Data'!$B$11:$L$44,3,FALSE)</f>
        <v>23190</v>
      </c>
      <c r="D38" s="82">
        <f>VLOOKUP(B38,'County Data'!$B$11:$L$44,4,FALSE)</f>
        <v>9.1418539999999993E-2</v>
      </c>
      <c r="E38" s="79">
        <f t="shared" si="0"/>
        <v>2119.9959426</v>
      </c>
      <c r="F38" s="7">
        <f t="shared" si="1"/>
        <v>7.9493702144527913E-3</v>
      </c>
      <c r="G38" s="18">
        <f t="shared" si="2"/>
        <v>12965.422819772502</v>
      </c>
      <c r="H38" s="12">
        <f t="shared" si="3"/>
        <v>0.55909542129247536</v>
      </c>
      <c r="I38" s="34"/>
    </row>
    <row r="39" spans="2:9" x14ac:dyDescent="0.25">
      <c r="B39" s="31" t="str">
        <f>'County Data'!$B$22</f>
        <v>County 12</v>
      </c>
      <c r="C39" s="20">
        <f>VLOOKUP($B39,'County Data'!$B$11:$L$44,3,FALSE)</f>
        <v>7360</v>
      </c>
      <c r="D39" s="82">
        <f>VLOOKUP(B39,'County Data'!$B$11:$L$44,4,FALSE)</f>
        <v>0.10640441999999999</v>
      </c>
      <c r="E39" s="79">
        <f t="shared" si="0"/>
        <v>783.13653119999992</v>
      </c>
      <c r="F39" s="7">
        <f t="shared" si="1"/>
        <v>2.9365349668245911E-3</v>
      </c>
      <c r="G39" s="18">
        <f t="shared" si="2"/>
        <v>4789.4885308909079</v>
      </c>
      <c r="H39" s="12">
        <f t="shared" si="3"/>
        <v>0.65074572430582989</v>
      </c>
      <c r="I39" s="34"/>
    </row>
    <row r="40" spans="2:9" x14ac:dyDescent="0.25">
      <c r="B40" s="31" t="str">
        <f>'County Data'!$B$18</f>
        <v>County 8</v>
      </c>
      <c r="C40" s="20">
        <f>VLOOKUP($B40,'County Data'!$B$11:$L$44,3,FALSE)</f>
        <v>22805</v>
      </c>
      <c r="D40" s="82">
        <f>VLOOKUP(B40,'County Data'!$B$11:$L$44,4,FALSE)</f>
        <v>0.10897944</v>
      </c>
      <c r="E40" s="79">
        <f t="shared" si="0"/>
        <v>2485.2761292</v>
      </c>
      <c r="F40" s="7">
        <f t="shared" si="1"/>
        <v>9.3190650223242584E-3</v>
      </c>
      <c r="G40" s="18">
        <f t="shared" si="2"/>
        <v>15199.395051410866</v>
      </c>
      <c r="H40" s="12">
        <f t="shared" si="3"/>
        <v>0.66649397287484613</v>
      </c>
      <c r="I40" s="34"/>
    </row>
    <row r="41" spans="2:9" x14ac:dyDescent="0.25">
      <c r="B41" s="5" t="s">
        <v>3</v>
      </c>
      <c r="C41" s="6">
        <f>SUM(C6:C40)</f>
        <v>4141100</v>
      </c>
      <c r="D41" s="6">
        <f>SUM(D6:D40)</f>
        <v>2.5448189999999999</v>
      </c>
      <c r="E41" s="6">
        <f>SUM(E6:E40)</f>
        <v>266687.28281715</v>
      </c>
      <c r="F41" s="10">
        <f>SUM(F6:F40)</f>
        <v>0.99999999999999989</v>
      </c>
      <c r="G41" s="13">
        <f>SUM(G6:G40)</f>
        <v>1631000</v>
      </c>
      <c r="H41" s="14">
        <f t="shared" ref="H41" si="4">G41/C41</f>
        <v>0.39385670474028639</v>
      </c>
    </row>
  </sheetData>
  <sortState ref="B7:H40">
    <sortCondition ref="D7:D40"/>
  </sortState>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H41"/>
  <sheetViews>
    <sheetView workbookViewId="0"/>
  </sheetViews>
  <sheetFormatPr defaultRowHeight="15" x14ac:dyDescent="0.25"/>
  <cols>
    <col min="2" max="2" width="17.42578125" bestFit="1" customWidth="1"/>
    <col min="3" max="3" width="11.85546875" bestFit="1" customWidth="1"/>
    <col min="4" max="4" width="7.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88</v>
      </c>
      <c r="C4" s="18">
        <f>'County Data'!F10</f>
        <v>1631000</v>
      </c>
      <c r="D4" s="11"/>
    </row>
    <row r="6" spans="2:8" s="2" customFormat="1" ht="30" x14ac:dyDescent="0.25">
      <c r="B6" s="3" t="s">
        <v>8</v>
      </c>
      <c r="C6" s="3" t="s">
        <v>1</v>
      </c>
      <c r="D6" s="3" t="s">
        <v>19</v>
      </c>
      <c r="E6" s="3" t="s">
        <v>77</v>
      </c>
      <c r="F6" s="3" t="s">
        <v>78</v>
      </c>
      <c r="G6" s="17" t="s">
        <v>18</v>
      </c>
      <c r="H6" s="3" t="s">
        <v>7</v>
      </c>
    </row>
    <row r="7" spans="2:8" x14ac:dyDescent="0.25">
      <c r="B7" s="31" t="str">
        <f>'County Data'!$B$43</f>
        <v>County 33</v>
      </c>
      <c r="C7" s="20">
        <f>VLOOKUP($B7,'County Data'!$B$11:$L$44,3,FALSE)</f>
        <v>1480</v>
      </c>
      <c r="D7" s="73">
        <f>1-VLOOKUP($B7,'County Data'!$B$11:$L$44,5,FALSE)</f>
        <v>0.30700000000000005</v>
      </c>
      <c r="E7" s="79">
        <f t="shared" ref="E7:E40" si="0">C7*D7</f>
        <v>454.36000000000007</v>
      </c>
      <c r="F7" s="7">
        <f t="shared" ref="F7:F40" si="1">E7/$E$41</f>
        <v>6.5482604569011408E-4</v>
      </c>
      <c r="G7" s="18">
        <f t="shared" ref="G7:G40" si="2">$C$4*F7</f>
        <v>1068.0212805205761</v>
      </c>
      <c r="H7" s="12">
        <f t="shared" ref="H7:H40" si="3">G7/C7</f>
        <v>0.72163600035174058</v>
      </c>
    </row>
    <row r="8" spans="2:8" x14ac:dyDescent="0.25">
      <c r="B8" s="31" t="str">
        <f>+'County Data'!$B$41</f>
        <v>County 31</v>
      </c>
      <c r="C8" s="20">
        <f>VLOOKUP($B8,'County Data'!$B$11:$L$44,3,FALSE)</f>
        <v>7195</v>
      </c>
      <c r="D8" s="73">
        <f>1-VLOOKUP($B8,'County Data'!$B$11:$L$44,5,FALSE)</f>
        <v>0.123</v>
      </c>
      <c r="E8" s="79">
        <f t="shared" si="0"/>
        <v>884.98500000000001</v>
      </c>
      <c r="F8" s="7">
        <f t="shared" si="1"/>
        <v>1.2754450832931279E-3</v>
      </c>
      <c r="G8" s="18">
        <f t="shared" si="2"/>
        <v>2080.2509308510917</v>
      </c>
      <c r="H8" s="12">
        <f t="shared" si="3"/>
        <v>0.28912452131356381</v>
      </c>
    </row>
    <row r="9" spans="2:8" x14ac:dyDescent="0.25">
      <c r="B9" s="31" t="str">
        <f>+'County Data'!$B$21</f>
        <v>County 11</v>
      </c>
      <c r="C9" s="20">
        <f>VLOOKUP($B9,'County Data'!$B$11:$L$44,3,FALSE)</f>
        <v>7415</v>
      </c>
      <c r="D9" s="73">
        <f>1-VLOOKUP($B9,'County Data'!$B$11:$L$44,5,FALSE)</f>
        <v>0.18400000000000005</v>
      </c>
      <c r="E9" s="79">
        <f t="shared" si="0"/>
        <v>1364.3600000000004</v>
      </c>
      <c r="F9" s="7">
        <f t="shared" si="1"/>
        <v>1.9663228798700682E-3</v>
      </c>
      <c r="G9" s="18">
        <f t="shared" si="2"/>
        <v>3207.0726170680814</v>
      </c>
      <c r="H9" s="12">
        <f t="shared" si="3"/>
        <v>0.43251147903817688</v>
      </c>
    </row>
    <row r="10" spans="2:8" x14ac:dyDescent="0.25">
      <c r="B10" s="31" t="str">
        <f>+'County Data'!$B$19</f>
        <v>County 9</v>
      </c>
      <c r="C10" s="20">
        <f>VLOOKUP($B10,'County Data'!$B$11:$L$44,3,FALSE)</f>
        <v>182930</v>
      </c>
      <c r="D10" s="73">
        <f>1-VLOOKUP($B10,'County Data'!$B$11:$L$44,5,FALSE)</f>
        <v>0.1140000000000001</v>
      </c>
      <c r="E10" s="79">
        <f t="shared" si="0"/>
        <v>20854.020000000019</v>
      </c>
      <c r="F10" s="7">
        <f t="shared" si="1"/>
        <v>3.0054924406511498E-2</v>
      </c>
      <c r="G10" s="18">
        <f t="shared" si="2"/>
        <v>49019.581707020254</v>
      </c>
      <c r="H10" s="12">
        <f t="shared" si="3"/>
        <v>0.26796906853452279</v>
      </c>
    </row>
    <row r="11" spans="2:8" x14ac:dyDescent="0.25">
      <c r="B11" s="31" t="str">
        <f>+'County Data'!$B$28</f>
        <v>County 18</v>
      </c>
      <c r="C11" s="20">
        <f>VLOOKUP($B11,'County Data'!$B$11:$L$44,3,FALSE)</f>
        <v>8120</v>
      </c>
      <c r="D11" s="73">
        <f>1-VLOOKUP($B11,'County Data'!$B$11:$L$44,5,FALSE)</f>
        <v>0.13300000000000001</v>
      </c>
      <c r="E11" s="79">
        <f t="shared" si="0"/>
        <v>1079.96</v>
      </c>
      <c r="F11" s="7">
        <f t="shared" si="1"/>
        <v>1.5564440890560251E-3</v>
      </c>
      <c r="G11" s="18">
        <f t="shared" si="2"/>
        <v>2538.560309250377</v>
      </c>
      <c r="H11" s="12">
        <f t="shared" si="3"/>
        <v>0.31263057995694299</v>
      </c>
    </row>
    <row r="12" spans="2:8" x14ac:dyDescent="0.25">
      <c r="B12" s="31" t="str">
        <f>+'County Data'!$B$42</f>
        <v>County 32</v>
      </c>
      <c r="C12" s="20">
        <f>VLOOKUP($B12,'County Data'!$B$11:$L$44,3,FALSE)</f>
        <v>595860</v>
      </c>
      <c r="D12" s="73">
        <f>1-VLOOKUP($B12,'County Data'!$B$11:$L$44,5,FALSE)</f>
        <v>0.13300000000000001</v>
      </c>
      <c r="E12" s="79">
        <f t="shared" si="0"/>
        <v>79249.38</v>
      </c>
      <c r="F12" s="7">
        <f t="shared" si="1"/>
        <v>0.11421462745134521</v>
      </c>
      <c r="G12" s="18">
        <f t="shared" si="2"/>
        <v>186284.05737314402</v>
      </c>
      <c r="H12" s="12">
        <f t="shared" si="3"/>
        <v>0.31263057995694293</v>
      </c>
    </row>
    <row r="13" spans="2:8" x14ac:dyDescent="0.25">
      <c r="B13" s="31" t="str">
        <f>+'County Data'!$B$23</f>
        <v>County 13</v>
      </c>
      <c r="C13" s="20">
        <f>VLOOKUP($B13,'County Data'!$B$11:$L$44,3,FALSE)</f>
        <v>25145</v>
      </c>
      <c r="D13" s="73">
        <f>1-VLOOKUP($B13,'County Data'!$B$11:$L$44,5,FALSE)</f>
        <v>0.19799999999999995</v>
      </c>
      <c r="E13" s="79">
        <f t="shared" si="0"/>
        <v>4978.7099999999991</v>
      </c>
      <c r="F13" s="7">
        <f t="shared" si="1"/>
        <v>7.1753433003297539E-3</v>
      </c>
      <c r="G13" s="18">
        <f t="shared" si="2"/>
        <v>11702.984922837828</v>
      </c>
      <c r="H13" s="12">
        <f t="shared" si="3"/>
        <v>0.46541996113890743</v>
      </c>
    </row>
    <row r="14" spans="2:8" x14ac:dyDescent="0.25">
      <c r="B14" s="31" t="str">
        <f>+'County Data'!$B$13</f>
        <v>County 3</v>
      </c>
      <c r="C14" s="20">
        <f>VLOOKUP($B14,'County Data'!$B$11:$L$44,3,FALSE)</f>
        <v>413000</v>
      </c>
      <c r="D14" s="73">
        <f>1-VLOOKUP($B14,'County Data'!$B$11:$L$44,5,FALSE)</f>
        <v>0.14700000000000002</v>
      </c>
      <c r="E14" s="79">
        <f t="shared" si="0"/>
        <v>60711.000000000007</v>
      </c>
      <c r="F14" s="7">
        <f t="shared" si="1"/>
        <v>8.7497015714174925E-2</v>
      </c>
      <c r="G14" s="18">
        <f t="shared" si="2"/>
        <v>142707.6326298193</v>
      </c>
      <c r="H14" s="12">
        <f t="shared" si="3"/>
        <v>0.34553906205767387</v>
      </c>
    </row>
    <row r="15" spans="2:8" x14ac:dyDescent="0.25">
      <c r="B15" s="31" t="str">
        <f>+'County Data'!$B$44</f>
        <v>County 34</v>
      </c>
      <c r="C15" s="20">
        <f>VLOOKUP($B15,'County Data'!$B$11:$L$44,3,FALSE)</f>
        <v>106300</v>
      </c>
      <c r="D15" s="73">
        <f>1-VLOOKUP($B15,'County Data'!$B$11:$L$44,5,FALSE)</f>
        <v>0.19099999999999995</v>
      </c>
      <c r="E15" s="79">
        <f t="shared" si="0"/>
        <v>20303.299999999996</v>
      </c>
      <c r="F15" s="7">
        <f t="shared" si="1"/>
        <v>2.9261223816929503E-2</v>
      </c>
      <c r="G15" s="18">
        <f t="shared" si="2"/>
        <v>47725.05604541202</v>
      </c>
      <c r="H15" s="12">
        <f t="shared" si="3"/>
        <v>0.44896572008854208</v>
      </c>
    </row>
    <row r="16" spans="2:8" x14ac:dyDescent="0.25">
      <c r="B16" s="31" t="str">
        <f>+'County Data'!$B$12</f>
        <v>County 2</v>
      </c>
      <c r="C16" s="20">
        <f>VLOOKUP($B16,'County Data'!$B$11:$L$44,3,FALSE)</f>
        <v>92575</v>
      </c>
      <c r="D16" s="73">
        <f>1-VLOOKUP($B16,'County Data'!$B$11:$L$44,5,FALSE)</f>
        <v>0.14200000000000002</v>
      </c>
      <c r="E16" s="79">
        <f t="shared" si="0"/>
        <v>13145.650000000001</v>
      </c>
      <c r="F16" s="7">
        <f t="shared" si="1"/>
        <v>1.8945580613448032E-2</v>
      </c>
      <c r="G16" s="18">
        <f t="shared" si="2"/>
        <v>30900.241980533741</v>
      </c>
      <c r="H16" s="12">
        <f t="shared" si="3"/>
        <v>0.33378603273598423</v>
      </c>
    </row>
    <row r="17" spans="2:8" x14ac:dyDescent="0.25">
      <c r="B17" s="31" t="str">
        <f>+'County Data'!$B$37</f>
        <v>County 27</v>
      </c>
      <c r="C17" s="20">
        <f>VLOOKUP($B17,'County Data'!$B$11:$L$44,3,FALSE)</f>
        <v>81000</v>
      </c>
      <c r="D17" s="73">
        <f>1-VLOOKUP($B17,'County Data'!$B$11:$L$44,5,FALSE)</f>
        <v>0.14500000000000002</v>
      </c>
      <c r="E17" s="79">
        <f t="shared" si="0"/>
        <v>11745.000000000002</v>
      </c>
      <c r="F17" s="7">
        <f t="shared" si="1"/>
        <v>1.6926956392795119E-2</v>
      </c>
      <c r="G17" s="18">
        <f t="shared" si="2"/>
        <v>27607.865876648841</v>
      </c>
      <c r="H17" s="12">
        <f t="shared" si="3"/>
        <v>0.34083785032899805</v>
      </c>
    </row>
    <row r="18" spans="2:8" x14ac:dyDescent="0.25">
      <c r="B18" s="31" t="str">
        <f>+'County Data'!$B$17</f>
        <v>County 7</v>
      </c>
      <c r="C18" s="20">
        <f>VLOOKUP($B18,'County Data'!$B$11:$L$44,3,FALSE)</f>
        <v>22105</v>
      </c>
      <c r="D18" s="73">
        <f>1-VLOOKUP($B18,'County Data'!$B$11:$L$44,5,FALSE)</f>
        <v>0.23799999999999999</v>
      </c>
      <c r="E18" s="79">
        <f t="shared" si="0"/>
        <v>5260.99</v>
      </c>
      <c r="F18" s="7">
        <f t="shared" si="1"/>
        <v>7.5821667358817518E-3</v>
      </c>
      <c r="G18" s="18">
        <f t="shared" si="2"/>
        <v>12366.513946223136</v>
      </c>
      <c r="H18" s="12">
        <f t="shared" si="3"/>
        <v>0.55944419571242421</v>
      </c>
    </row>
    <row r="19" spans="2:8" x14ac:dyDescent="0.25">
      <c r="B19" s="31" t="str">
        <f>+'County Data'!$B$11</f>
        <v>County 1</v>
      </c>
      <c r="C19" s="20">
        <f>VLOOKUP($B19,'County Data'!$B$11:$L$44,3,FALSE)</f>
        <v>16750</v>
      </c>
      <c r="D19" s="73">
        <f>1-VLOOKUP($B19,'County Data'!$B$11:$L$44,5,FALSE)</f>
        <v>0.13300000000000001</v>
      </c>
      <c r="E19" s="79">
        <f t="shared" si="0"/>
        <v>2227.75</v>
      </c>
      <c r="F19" s="7">
        <f t="shared" si="1"/>
        <v>3.2106451344443869E-3</v>
      </c>
      <c r="G19" s="18">
        <f t="shared" si="2"/>
        <v>5236.5622142787952</v>
      </c>
      <c r="H19" s="12">
        <f t="shared" si="3"/>
        <v>0.31263057995694299</v>
      </c>
    </row>
    <row r="20" spans="2:8" x14ac:dyDescent="0.25">
      <c r="B20" s="31" t="str">
        <f>+'County Data'!$B$35</f>
        <v>County 25</v>
      </c>
      <c r="C20" s="20">
        <f>VLOOKUP($B20,'County Data'!$B$11:$L$44,3,FALSE)</f>
        <v>803000</v>
      </c>
      <c r="D20" s="73">
        <f>1-VLOOKUP($B20,'County Data'!$B$11:$L$44,5,FALSE)</f>
        <v>0.16200000000000003</v>
      </c>
      <c r="E20" s="79">
        <f t="shared" si="0"/>
        <v>130086.00000000003</v>
      </c>
      <c r="F20" s="7">
        <f t="shared" si="1"/>
        <v>0.18748063425399286</v>
      </c>
      <c r="G20" s="18">
        <f t="shared" si="2"/>
        <v>305780.91446826234</v>
      </c>
      <c r="H20" s="12">
        <f t="shared" si="3"/>
        <v>0.38079815002274264</v>
      </c>
    </row>
    <row r="21" spans="2:8" x14ac:dyDescent="0.25">
      <c r="B21" s="31" t="str">
        <f>+'County Data'!$B$29</f>
        <v>County 19</v>
      </c>
      <c r="C21" s="20">
        <f>VLOOKUP($B21,'County Data'!$B$11:$L$44,3,FALSE)</f>
        <v>370600</v>
      </c>
      <c r="D21" s="73">
        <f>1-VLOOKUP($B21,'County Data'!$B$11:$L$44,5,FALSE)</f>
        <v>0.16099999999999992</v>
      </c>
      <c r="E21" s="79">
        <f t="shared" si="0"/>
        <v>59666.599999999969</v>
      </c>
      <c r="F21" s="7">
        <f t="shared" si="1"/>
        <v>8.5991820886023723E-2</v>
      </c>
      <c r="G21" s="18">
        <f t="shared" si="2"/>
        <v>140252.65986510468</v>
      </c>
      <c r="H21" s="12">
        <f t="shared" si="3"/>
        <v>0.37844754415840443</v>
      </c>
    </row>
    <row r="22" spans="2:8" x14ac:dyDescent="0.25">
      <c r="B22" s="31" t="str">
        <f>+'County Data'!$B$40</f>
        <v>County 30</v>
      </c>
      <c r="C22" s="20">
        <f>VLOOKUP($B22,'County Data'!$B$11:$L$44,3,FALSE)</f>
        <v>26900</v>
      </c>
      <c r="D22" s="73">
        <f>1-VLOOKUP($B22,'County Data'!$B$11:$L$44,5,FALSE)</f>
        <v>0.14400000000000002</v>
      </c>
      <c r="E22" s="79">
        <f t="shared" si="0"/>
        <v>3873.6000000000004</v>
      </c>
      <c r="F22" s="7">
        <f t="shared" si="1"/>
        <v>5.5826528976697463E-3</v>
      </c>
      <c r="G22" s="18">
        <f t="shared" si="2"/>
        <v>9105.3068760993556</v>
      </c>
      <c r="H22" s="12">
        <f t="shared" si="3"/>
        <v>0.33848724446466005</v>
      </c>
    </row>
    <row r="23" spans="2:8" x14ac:dyDescent="0.25">
      <c r="B23" s="31" t="str">
        <f>+'County Data'!$B$26</f>
        <v>County 16</v>
      </c>
      <c r="C23" s="20">
        <f>VLOOKUP($B23,'County Data'!$B$11:$L$44,3,FALSE)</f>
        <v>85650</v>
      </c>
      <c r="D23" s="73">
        <f>1-VLOOKUP($B23,'County Data'!$B$11:$L$44,5,FALSE)</f>
        <v>0.19099999999999995</v>
      </c>
      <c r="E23" s="79">
        <f t="shared" si="0"/>
        <v>16359.149999999996</v>
      </c>
      <c r="F23" s="7">
        <f t="shared" si="1"/>
        <v>2.3576893884478006E-2</v>
      </c>
      <c r="G23" s="18">
        <f t="shared" si="2"/>
        <v>38453.913925583627</v>
      </c>
      <c r="H23" s="12">
        <f t="shared" si="3"/>
        <v>0.44896572008854208</v>
      </c>
    </row>
    <row r="24" spans="2:8" x14ac:dyDescent="0.25">
      <c r="B24" s="31" t="str">
        <f>+'County Data'!$B$14</f>
        <v>County 4</v>
      </c>
      <c r="C24" s="20">
        <f>VLOOKUP($B24,'County Data'!$B$11:$L$44,3,FALSE)</f>
        <v>38820</v>
      </c>
      <c r="D24" s="73">
        <f>1-VLOOKUP($B24,'County Data'!$B$11:$L$44,5,FALSE)</f>
        <v>0.15500000000000003</v>
      </c>
      <c r="E24" s="79">
        <f t="shared" si="0"/>
        <v>6017.1000000000013</v>
      </c>
      <c r="F24" s="7">
        <f t="shared" si="1"/>
        <v>8.6718764845540672E-3</v>
      </c>
      <c r="G24" s="18">
        <f t="shared" si="2"/>
        <v>14143.830546307683</v>
      </c>
      <c r="H24" s="12">
        <f t="shared" si="3"/>
        <v>0.36434390897237723</v>
      </c>
    </row>
    <row r="25" spans="2:8" x14ac:dyDescent="0.25">
      <c r="B25" s="31" t="str">
        <f>+'County Data'!$B$16</f>
        <v>County 6</v>
      </c>
      <c r="C25" s="20">
        <f>VLOOKUP($B25,'County Data'!$B$11:$L$44,3,FALSE)</f>
        <v>63310</v>
      </c>
      <c r="D25" s="73">
        <f>1-VLOOKUP($B25,'County Data'!$B$11:$L$44,5,FALSE)</f>
        <v>0.21999999999999997</v>
      </c>
      <c r="E25" s="79">
        <f t="shared" si="0"/>
        <v>13928.199999999999</v>
      </c>
      <c r="F25" s="7">
        <f t="shared" si="1"/>
        <v>2.0073395830577177E-2</v>
      </c>
      <c r="G25" s="18">
        <f t="shared" si="2"/>
        <v>32739.708599671376</v>
      </c>
      <c r="H25" s="12">
        <f t="shared" si="3"/>
        <v>0.51713329015434173</v>
      </c>
    </row>
    <row r="26" spans="2:8" x14ac:dyDescent="0.25">
      <c r="B26" s="31" t="str">
        <f>+'County Data'!$B$38</f>
        <v>County 28</v>
      </c>
      <c r="C26" s="20">
        <f>VLOOKUP($B26,'County Data'!$B$11:$L$44,3,FALSE)</f>
        <v>26175</v>
      </c>
      <c r="D26" s="73">
        <f>1-VLOOKUP($B26,'County Data'!$B$11:$L$44,5,FALSE)</f>
        <v>0.19400000000000006</v>
      </c>
      <c r="E26" s="79">
        <f t="shared" si="0"/>
        <v>5077.9500000000016</v>
      </c>
      <c r="F26" s="7">
        <f t="shared" si="1"/>
        <v>7.3183685155209866E-3</v>
      </c>
      <c r="G26" s="18">
        <f t="shared" si="2"/>
        <v>11936.259048814729</v>
      </c>
      <c r="H26" s="12">
        <f t="shared" si="3"/>
        <v>0.45601753768155601</v>
      </c>
    </row>
    <row r="27" spans="2:8" x14ac:dyDescent="0.25">
      <c r="B27" s="31" t="str">
        <f>+'County Data'!$B$31</f>
        <v>County 21</v>
      </c>
      <c r="C27" s="20">
        <f>VLOOKUP($B27,'County Data'!$B$11:$L$44,3,FALSE)</f>
        <v>124010</v>
      </c>
      <c r="D27" s="73">
        <f>1-VLOOKUP($B27,'County Data'!$B$11:$L$44,5,FALSE)</f>
        <v>0.18900000000000006</v>
      </c>
      <c r="E27" s="79">
        <f t="shared" si="0"/>
        <v>23437.890000000007</v>
      </c>
      <c r="F27" s="7">
        <f t="shared" si="1"/>
        <v>3.3778811576767036E-2</v>
      </c>
      <c r="G27" s="18">
        <f t="shared" si="2"/>
        <v>55093.241681707033</v>
      </c>
      <c r="H27" s="12">
        <f t="shared" si="3"/>
        <v>0.44426450835986642</v>
      </c>
    </row>
    <row r="28" spans="2:8" x14ac:dyDescent="0.25">
      <c r="B28" s="31" t="str">
        <f>+'County Data'!$B$24</f>
        <v>County 14</v>
      </c>
      <c r="C28" s="20">
        <f>VLOOKUP($B28,'County Data'!$B$11:$L$44,3,FALSE)</f>
        <v>216900</v>
      </c>
      <c r="D28" s="73">
        <f>1-VLOOKUP($B28,'County Data'!$B$11:$L$44,5,FALSE)</f>
        <v>0.18400000000000005</v>
      </c>
      <c r="E28" s="79">
        <f t="shared" si="0"/>
        <v>39909.600000000013</v>
      </c>
      <c r="F28" s="7">
        <f t="shared" si="1"/>
        <v>5.7517927531195931E-2</v>
      </c>
      <c r="G28" s="18">
        <f t="shared" si="2"/>
        <v>93811.739803380566</v>
      </c>
      <c r="H28" s="12">
        <f t="shared" si="3"/>
        <v>0.43251147903817688</v>
      </c>
    </row>
    <row r="29" spans="2:8" x14ac:dyDescent="0.25">
      <c r="B29" s="31" t="str">
        <f>+'County Data'!$B$30</f>
        <v>County 20</v>
      </c>
      <c r="C29" s="20">
        <f>VLOOKUP($B29,'County Data'!$B$11:$L$44,3,FALSE)</f>
        <v>47960</v>
      </c>
      <c r="D29" s="73">
        <f>1-VLOOKUP($B29,'County Data'!$B$11:$L$44,5,FALSE)</f>
        <v>0.20599999999999996</v>
      </c>
      <c r="E29" s="79">
        <f t="shared" si="0"/>
        <v>9879.7599999999984</v>
      </c>
      <c r="F29" s="7">
        <f t="shared" si="1"/>
        <v>1.4238762596107403E-2</v>
      </c>
      <c r="G29" s="18">
        <f t="shared" si="2"/>
        <v>23223.421794251175</v>
      </c>
      <c r="H29" s="12">
        <f t="shared" si="3"/>
        <v>0.48422480805361084</v>
      </c>
    </row>
    <row r="30" spans="2:8" x14ac:dyDescent="0.25">
      <c r="B30" s="31" t="str">
        <f>+'County Data'!$B$25</f>
        <v>County 15</v>
      </c>
      <c r="C30" s="20">
        <f>VLOOKUP($B30,'County Data'!$B$11:$L$44,3,FALSE)</f>
        <v>23190</v>
      </c>
      <c r="D30" s="73">
        <f>1-VLOOKUP($B30,'County Data'!$B$11:$L$44,5,FALSE)</f>
        <v>0.18900000000000006</v>
      </c>
      <c r="E30" s="79">
        <f t="shared" si="0"/>
        <v>4382.9100000000017</v>
      </c>
      <c r="F30" s="7">
        <f t="shared" si="1"/>
        <v>6.3166731752699592E-3</v>
      </c>
      <c r="G30" s="18">
        <f t="shared" si="2"/>
        <v>10302.493948865304</v>
      </c>
      <c r="H30" s="12">
        <f t="shared" si="3"/>
        <v>0.44426450835986647</v>
      </c>
    </row>
    <row r="31" spans="2:8" x14ac:dyDescent="0.25">
      <c r="B31" s="31" t="str">
        <f>+'County Data'!$B$15</f>
        <v>County 5</v>
      </c>
      <c r="C31" s="20">
        <f>VLOOKUP($B31,'County Data'!$B$11:$L$44,3,FALSE)</f>
        <v>51345</v>
      </c>
      <c r="D31" s="73">
        <f>1-VLOOKUP($B31,'County Data'!$B$11:$L$44,5,FALSE)</f>
        <v>0.19299999999999995</v>
      </c>
      <c r="E31" s="79">
        <f t="shared" si="0"/>
        <v>9909.5849999999973</v>
      </c>
      <c r="F31" s="7">
        <f t="shared" si="1"/>
        <v>1.4281746544546323E-2</v>
      </c>
      <c r="G31" s="18">
        <f t="shared" si="2"/>
        <v>23293.528614155053</v>
      </c>
      <c r="H31" s="12">
        <f t="shared" si="3"/>
        <v>0.4536669318172179</v>
      </c>
    </row>
    <row r="32" spans="2:8" x14ac:dyDescent="0.25">
      <c r="B32" s="31" t="str">
        <f>+'County Data'!$B$33</f>
        <v>County 23</v>
      </c>
      <c r="C32" s="20">
        <f>VLOOKUP($B32,'County Data'!$B$11:$L$44,3,FALSE)</f>
        <v>339200</v>
      </c>
      <c r="D32" s="73">
        <f>1-VLOOKUP($B32,'County Data'!$B$11:$L$44,5,FALSE)</f>
        <v>0.19599999999999995</v>
      </c>
      <c r="E32" s="79">
        <f t="shared" si="0"/>
        <v>66483.199999999983</v>
      </c>
      <c r="F32" s="7">
        <f t="shared" si="1"/>
        <v>9.5815941017750192E-2</v>
      </c>
      <c r="G32" s="18">
        <f t="shared" si="2"/>
        <v>156275.79979995056</v>
      </c>
      <c r="H32" s="12">
        <f t="shared" si="3"/>
        <v>0.46071874941023161</v>
      </c>
    </row>
    <row r="33" spans="2:8" x14ac:dyDescent="0.25">
      <c r="B33" s="31" t="str">
        <f>+'County Data'!$B$39</f>
        <v>County 29</v>
      </c>
      <c r="C33" s="20">
        <f>VLOOKUP($B33,'County Data'!$B$11:$L$44,3,FALSE)</f>
        <v>80500</v>
      </c>
      <c r="D33" s="73">
        <f>1-VLOOKUP($B33,'County Data'!$B$11:$L$44,5,FALSE)</f>
        <v>0.21999999999999997</v>
      </c>
      <c r="E33" s="79">
        <f t="shared" si="0"/>
        <v>17709.999999999996</v>
      </c>
      <c r="F33" s="7">
        <f t="shared" si="1"/>
        <v>2.5523746080579095E-2</v>
      </c>
      <c r="G33" s="18">
        <f t="shared" si="2"/>
        <v>41629.229857424507</v>
      </c>
      <c r="H33" s="12">
        <f t="shared" si="3"/>
        <v>0.51713329015434173</v>
      </c>
    </row>
    <row r="34" spans="2:8" x14ac:dyDescent="0.25">
      <c r="B34" s="31" t="str">
        <f>+'County Data'!$B$36</f>
        <v>County 26</v>
      </c>
      <c r="C34" s="20">
        <f>VLOOKUP($B34,'County Data'!$B$11:$L$44,3,FALSE)</f>
        <v>30895</v>
      </c>
      <c r="D34" s="73">
        <f>1-VLOOKUP($B34,'County Data'!$B$11:$L$44,5,FALSE)</f>
        <v>0.15700000000000003</v>
      </c>
      <c r="E34" s="79">
        <f t="shared" si="0"/>
        <v>4850.5150000000012</v>
      </c>
      <c r="F34" s="7">
        <f t="shared" si="1"/>
        <v>6.9905879853212963E-3</v>
      </c>
      <c r="G34" s="18">
        <f t="shared" si="2"/>
        <v>11401.649004059034</v>
      </c>
      <c r="H34" s="12">
        <f t="shared" si="3"/>
        <v>0.36904512070105305</v>
      </c>
    </row>
    <row r="35" spans="2:8" x14ac:dyDescent="0.25">
      <c r="B35" s="31" t="str">
        <f>+'County Data'!$B$27</f>
        <v>County 17</v>
      </c>
      <c r="C35" s="20">
        <f>VLOOKUP($B35,'County Data'!$B$11:$L$44,3,FALSE)</f>
        <v>67690</v>
      </c>
      <c r="D35" s="73">
        <f>1-VLOOKUP($B35,'County Data'!$B$11:$L$44,5,FALSE)</f>
        <v>0.21499999999999997</v>
      </c>
      <c r="E35" s="79">
        <f t="shared" si="0"/>
        <v>14553.349999999999</v>
      </c>
      <c r="F35" s="7">
        <f t="shared" si="1"/>
        <v>2.0974365331552558E-2</v>
      </c>
      <c r="G35" s="18">
        <f t="shared" si="2"/>
        <v>34209.189855762219</v>
      </c>
      <c r="H35" s="12">
        <f t="shared" si="3"/>
        <v>0.50538026083265208</v>
      </c>
    </row>
    <row r="36" spans="2:8" x14ac:dyDescent="0.25">
      <c r="B36" s="31" t="str">
        <f>+'County Data'!$B$20</f>
        <v>County 10</v>
      </c>
      <c r="C36" s="20">
        <f>VLOOKUP($B36,'County Data'!$B$11:$L$44,3,FALSE)</f>
        <v>111180</v>
      </c>
      <c r="D36" s="73">
        <f>1-VLOOKUP($B36,'County Data'!$B$11:$L$44,5,FALSE)</f>
        <v>0.2340000000000001</v>
      </c>
      <c r="E36" s="79">
        <f t="shared" si="0"/>
        <v>26016.12000000001</v>
      </c>
      <c r="F36" s="7">
        <f t="shared" si="1"/>
        <v>3.7494570349061306E-2</v>
      </c>
      <c r="G36" s="18">
        <f t="shared" si="2"/>
        <v>61153.644239318986</v>
      </c>
      <c r="H36" s="12">
        <f t="shared" si="3"/>
        <v>0.55004177225507278</v>
      </c>
    </row>
    <row r="37" spans="2:8" x14ac:dyDescent="0.25">
      <c r="B37" s="31" t="str">
        <f>+'County Data'!$B$22</f>
        <v>County 12</v>
      </c>
      <c r="C37" s="20">
        <f>VLOOKUP($B37,'County Data'!$B$11:$L$44,3,FALSE)</f>
        <v>7360</v>
      </c>
      <c r="D37" s="73">
        <f>1-VLOOKUP($B37,'County Data'!$B$11:$L$44,5,FALSE)</f>
        <v>0.2659999999999999</v>
      </c>
      <c r="E37" s="79">
        <f t="shared" si="0"/>
        <v>1957.7599999999993</v>
      </c>
      <c r="F37" s="7">
        <f t="shared" si="1"/>
        <v>2.8215341121803792E-3</v>
      </c>
      <c r="G37" s="18">
        <f t="shared" si="2"/>
        <v>4601.9221369661982</v>
      </c>
      <c r="H37" s="12">
        <f t="shared" si="3"/>
        <v>0.62526115991388564</v>
      </c>
    </row>
    <row r="38" spans="2:8" x14ac:dyDescent="0.25">
      <c r="B38" s="31" t="str">
        <f>+'County Data'!$B$18</f>
        <v>County 8</v>
      </c>
      <c r="C38" s="20">
        <f>VLOOKUP($B38,'County Data'!$B$11:$L$44,3,FALSE)</f>
        <v>22805</v>
      </c>
      <c r="D38" s="73">
        <f>1-VLOOKUP($B38,'County Data'!$B$11:$L$44,5,FALSE)</f>
        <v>0.23699999999999999</v>
      </c>
      <c r="E38" s="79">
        <f t="shared" si="0"/>
        <v>5404.7849999999999</v>
      </c>
      <c r="F38" s="7">
        <f t="shared" si="1"/>
        <v>7.7894048537618691E-3</v>
      </c>
      <c r="G38" s="18">
        <f t="shared" si="2"/>
        <v>12704.519316485608</v>
      </c>
      <c r="H38" s="12">
        <f t="shared" si="3"/>
        <v>0.55709358984808632</v>
      </c>
    </row>
    <row r="39" spans="2:8" x14ac:dyDescent="0.25">
      <c r="B39" s="31" t="str">
        <f>+'County Data'!$B$32</f>
        <v>County 22</v>
      </c>
      <c r="C39" s="20">
        <f>VLOOKUP($B39,'County Data'!$B$11:$L$44,3,FALSE)</f>
        <v>31845</v>
      </c>
      <c r="D39" s="73">
        <f>1-VLOOKUP($B39,'County Data'!$B$11:$L$44,5,FALSE)</f>
        <v>0.28700000000000003</v>
      </c>
      <c r="E39" s="79">
        <f t="shared" si="0"/>
        <v>9139.5150000000012</v>
      </c>
      <c r="F39" s="7">
        <f t="shared" si="1"/>
        <v>1.3171917569714506E-2</v>
      </c>
      <c r="G39" s="18">
        <f t="shared" si="2"/>
        <v>21483.39755620436</v>
      </c>
      <c r="H39" s="12">
        <f t="shared" si="3"/>
        <v>0.67462388306498222</v>
      </c>
    </row>
    <row r="40" spans="2:8" x14ac:dyDescent="0.25">
      <c r="B40" s="31" t="str">
        <f>+'County Data'!$B$34</f>
        <v>County 24</v>
      </c>
      <c r="C40" s="20">
        <f>VLOOKUP($B40,'County Data'!$B$11:$L$44,3,FALSE)</f>
        <v>11890</v>
      </c>
      <c r="D40" s="73">
        <f>1-VLOOKUP($B40,'County Data'!$B$11:$L$44,5,FALSE)</f>
        <v>0.24900000000000011</v>
      </c>
      <c r="E40" s="79">
        <f t="shared" si="0"/>
        <v>2960.6100000000015</v>
      </c>
      <c r="F40" s="7">
        <f t="shared" si="1"/>
        <v>4.2668468596060603E-3</v>
      </c>
      <c r="G40" s="18">
        <f t="shared" si="2"/>
        <v>6959.2272280174848</v>
      </c>
      <c r="H40" s="12">
        <f t="shared" si="3"/>
        <v>0.58530086022014172</v>
      </c>
    </row>
    <row r="41" spans="2:8" x14ac:dyDescent="0.25">
      <c r="B41" s="5" t="s">
        <v>3</v>
      </c>
      <c r="C41" s="6">
        <f>SUM(C6:C40)</f>
        <v>4141100</v>
      </c>
      <c r="D41" s="6">
        <f>SUM(D6:D40)</f>
        <v>6.4369999999999994</v>
      </c>
      <c r="E41" s="6">
        <f>SUM(E6:E40)</f>
        <v>693863.66500000004</v>
      </c>
      <c r="F41" s="10">
        <f>SUM(F6:F40)</f>
        <v>1</v>
      </c>
      <c r="G41" s="13">
        <f>SUM(G6:G40)</f>
        <v>1631000</v>
      </c>
      <c r="H41" s="14">
        <f t="shared" ref="H41" si="4">G41/C41</f>
        <v>0.39385670474028639</v>
      </c>
    </row>
  </sheetData>
  <sortState ref="B7:H40">
    <sortCondition ref="D7:D40"/>
  </sortState>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H41"/>
  <sheetViews>
    <sheetView workbookViewId="0">
      <selection activeCell="D7" sqref="D7"/>
    </sheetView>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88</v>
      </c>
      <c r="C4" s="18">
        <f>'County Data'!G10</f>
        <v>1631000</v>
      </c>
      <c r="D4" s="11"/>
    </row>
    <row r="6" spans="2:8" s="2" customFormat="1" ht="30" x14ac:dyDescent="0.25">
      <c r="B6" s="3" t="s">
        <v>8</v>
      </c>
      <c r="C6" s="3" t="s">
        <v>1</v>
      </c>
      <c r="D6" s="3" t="s">
        <v>19</v>
      </c>
      <c r="E6" s="3" t="s">
        <v>77</v>
      </c>
      <c r="F6" s="3" t="s">
        <v>78</v>
      </c>
      <c r="G6" s="17" t="s">
        <v>18</v>
      </c>
      <c r="H6" s="3" t="s">
        <v>7</v>
      </c>
    </row>
    <row r="7" spans="2:8" x14ac:dyDescent="0.25">
      <c r="B7" s="31" t="str">
        <f>+'County Data'!$B$41</f>
        <v>County 31</v>
      </c>
      <c r="C7" s="20">
        <f>VLOOKUP($B7,'County Data'!$B$11:$L$44,3,FALSE)</f>
        <v>7195</v>
      </c>
      <c r="D7" s="73">
        <f>VLOOKUP($B7,'County Data'!$B$11:$L$44,6,FALSE)</f>
        <v>6.2999999999999945E-2</v>
      </c>
      <c r="E7" s="79">
        <f t="shared" ref="E7:E40" si="0">C7*D7</f>
        <v>453.28499999999963</v>
      </c>
      <c r="F7" s="7">
        <f t="shared" ref="F7:F40" si="1">E7/$E$41</f>
        <v>4.7523864391631947E-4</v>
      </c>
      <c r="G7" s="18">
        <f t="shared" ref="G7:G40" si="2">$C$4*F7</f>
        <v>775.11422822751706</v>
      </c>
      <c r="H7" s="12">
        <f t="shared" ref="H7:H40" si="3">G7/C7</f>
        <v>0.10772956611918236</v>
      </c>
    </row>
    <row r="8" spans="2:8" x14ac:dyDescent="0.25">
      <c r="B8" s="31" t="str">
        <f>+'County Data'!$B$21</f>
        <v>County 11</v>
      </c>
      <c r="C8" s="20">
        <f>VLOOKUP($B8,'County Data'!$B$11:$L$44,3,FALSE)</f>
        <v>7415</v>
      </c>
      <c r="D8" s="73">
        <f>VLOOKUP($B8,'County Data'!$B$11:$L$44,6,FALSE)</f>
        <v>7.999999999999996E-2</v>
      </c>
      <c r="E8" s="79">
        <f t="shared" si="0"/>
        <v>593.1999999999997</v>
      </c>
      <c r="F8" s="7">
        <f t="shared" si="1"/>
        <v>6.2193005189044596E-4</v>
      </c>
      <c r="G8" s="18">
        <f t="shared" si="2"/>
        <v>1014.3679146333174</v>
      </c>
      <c r="H8" s="12">
        <f t="shared" si="3"/>
        <v>0.13679944904023161</v>
      </c>
    </row>
    <row r="9" spans="2:8" x14ac:dyDescent="0.25">
      <c r="B9" s="31" t="str">
        <f>'County Data'!$B$43</f>
        <v>County 33</v>
      </c>
      <c r="C9" s="20">
        <f>VLOOKUP($B9,'County Data'!$B$11:$L$44,3,FALSE)</f>
        <v>1480</v>
      </c>
      <c r="D9" s="73">
        <f>VLOOKUP($B9,'County Data'!$B$11:$L$44,6,FALSE)</f>
        <v>5.7000000000000051E-2</v>
      </c>
      <c r="E9" s="79">
        <f t="shared" si="0"/>
        <v>84.36000000000007</v>
      </c>
      <c r="F9" s="7">
        <f t="shared" si="1"/>
        <v>8.844575046776482E-5</v>
      </c>
      <c r="G9" s="18">
        <f t="shared" si="2"/>
        <v>144.25501901292444</v>
      </c>
      <c r="H9" s="12">
        <f t="shared" si="3"/>
        <v>9.746960744116516E-2</v>
      </c>
    </row>
    <row r="10" spans="2:8" x14ac:dyDescent="0.25">
      <c r="B10" s="31" t="str">
        <f>+'County Data'!$B$11</f>
        <v>County 1</v>
      </c>
      <c r="C10" s="20">
        <f>VLOOKUP($B10,'County Data'!$B$11:$L$44,3,FALSE)</f>
        <v>16750</v>
      </c>
      <c r="D10" s="73">
        <f>VLOOKUP($B10,'County Data'!$B$11:$L$44,6,FALSE)</f>
        <v>8.5999999999999965E-2</v>
      </c>
      <c r="E10" s="79">
        <f t="shared" si="0"/>
        <v>1440.4999999999993</v>
      </c>
      <c r="F10" s="7">
        <f t="shared" si="1"/>
        <v>1.5102667561500125E-3</v>
      </c>
      <c r="G10" s="18">
        <f t="shared" si="2"/>
        <v>2463.2450792806703</v>
      </c>
      <c r="H10" s="12">
        <f t="shared" si="3"/>
        <v>0.14705940771824896</v>
      </c>
    </row>
    <row r="11" spans="2:8" x14ac:dyDescent="0.25">
      <c r="B11" s="31" t="str">
        <f>+'County Data'!$B$40</f>
        <v>County 30</v>
      </c>
      <c r="C11" s="20">
        <f>VLOOKUP($B11,'County Data'!$B$11:$L$44,3,FALSE)</f>
        <v>26900</v>
      </c>
      <c r="D11" s="73">
        <f>VLOOKUP($B11,'County Data'!$B$11:$L$44,6,FALSE)</f>
        <v>0.10299999999999998</v>
      </c>
      <c r="E11" s="79">
        <f t="shared" si="0"/>
        <v>2770.6999999999994</v>
      </c>
      <c r="F11" s="7">
        <f t="shared" si="1"/>
        <v>2.9048914274660471E-3</v>
      </c>
      <c r="G11" s="18">
        <f t="shared" si="2"/>
        <v>4737.8779181971231</v>
      </c>
      <c r="H11" s="12">
        <f t="shared" si="3"/>
        <v>0.17612929063929825</v>
      </c>
    </row>
    <row r="12" spans="2:8" x14ac:dyDescent="0.25">
      <c r="B12" s="31" t="str">
        <f>+'County Data'!$B$15</f>
        <v>County 5</v>
      </c>
      <c r="C12" s="20">
        <f>VLOOKUP($B12,'County Data'!$B$11:$L$44,3,FALSE)</f>
        <v>51345</v>
      </c>
      <c r="D12" s="73">
        <f>VLOOKUP($B12,'County Data'!$B$11:$L$44,6,FALSE)</f>
        <v>0.10599999999999998</v>
      </c>
      <c r="E12" s="79">
        <f t="shared" si="0"/>
        <v>5442.5699999999988</v>
      </c>
      <c r="F12" s="7">
        <f t="shared" si="1"/>
        <v>5.706166288802066E-3</v>
      </c>
      <c r="G12" s="18">
        <f t="shared" si="2"/>
        <v>9306.7572170361691</v>
      </c>
      <c r="H12" s="12">
        <f t="shared" si="3"/>
        <v>0.18125926997830694</v>
      </c>
    </row>
    <row r="13" spans="2:8" x14ac:dyDescent="0.25">
      <c r="B13" s="31" t="str">
        <f>+'County Data'!$B$22</f>
        <v>County 12</v>
      </c>
      <c r="C13" s="20">
        <f>VLOOKUP($B13,'County Data'!$B$11:$L$44,3,FALSE)</f>
        <v>7360</v>
      </c>
      <c r="D13" s="73">
        <f>VLOOKUP($B13,'County Data'!$B$11:$L$44,6,FALSE)</f>
        <v>0.128</v>
      </c>
      <c r="E13" s="79">
        <f t="shared" si="0"/>
        <v>942.08</v>
      </c>
      <c r="F13" s="7">
        <f t="shared" si="1"/>
        <v>9.8770711949587261E-4</v>
      </c>
      <c r="G13" s="18">
        <f t="shared" si="2"/>
        <v>1610.9503118977682</v>
      </c>
      <c r="H13" s="12">
        <f t="shared" si="3"/>
        <v>0.21887911846437066</v>
      </c>
    </row>
    <row r="14" spans="2:8" x14ac:dyDescent="0.25">
      <c r="B14" s="31" t="str">
        <f>+'County Data'!$B$20</f>
        <v>County 10</v>
      </c>
      <c r="C14" s="20">
        <f>VLOOKUP($B14,'County Data'!$B$11:$L$44,3,FALSE)</f>
        <v>111180</v>
      </c>
      <c r="D14" s="73">
        <f>VLOOKUP($B14,'County Data'!$B$11:$L$44,6,FALSE)</f>
        <v>0.11199999999999999</v>
      </c>
      <c r="E14" s="79">
        <f t="shared" si="0"/>
        <v>12452.159999999998</v>
      </c>
      <c r="F14" s="7">
        <f t="shared" si="1"/>
        <v>1.3055246990809405E-2</v>
      </c>
      <c r="G14" s="18">
        <f t="shared" si="2"/>
        <v>21293.10784201014</v>
      </c>
      <c r="H14" s="12">
        <f t="shared" si="3"/>
        <v>0.19151922865632434</v>
      </c>
    </row>
    <row r="15" spans="2:8" x14ac:dyDescent="0.25">
      <c r="B15" s="31" t="str">
        <f>+'County Data'!$B$16</f>
        <v>County 6</v>
      </c>
      <c r="C15" s="20">
        <f>VLOOKUP($B15,'County Data'!$B$11:$L$44,3,FALSE)</f>
        <v>63310</v>
      </c>
      <c r="D15" s="73">
        <f>VLOOKUP($B15,'County Data'!$B$11:$L$44,6,FALSE)</f>
        <v>0.14400000000000002</v>
      </c>
      <c r="E15" s="79">
        <f t="shared" si="0"/>
        <v>9116.6400000000012</v>
      </c>
      <c r="F15" s="7">
        <f t="shared" si="1"/>
        <v>9.5581800206785555E-3</v>
      </c>
      <c r="G15" s="18">
        <f t="shared" si="2"/>
        <v>15589.391613726724</v>
      </c>
      <c r="H15" s="12">
        <f t="shared" si="3"/>
        <v>0.24623900827241707</v>
      </c>
    </row>
    <row r="16" spans="2:8" x14ac:dyDescent="0.25">
      <c r="B16" s="31" t="str">
        <f>+'County Data'!$B$18</f>
        <v>County 8</v>
      </c>
      <c r="C16" s="20">
        <f>VLOOKUP($B16,'County Data'!$B$11:$L$44,3,FALSE)</f>
        <v>22805</v>
      </c>
      <c r="D16" s="73">
        <f>VLOOKUP($B16,'County Data'!$B$11:$L$44,6,FALSE)</f>
        <v>0.127</v>
      </c>
      <c r="E16" s="79">
        <f t="shared" si="0"/>
        <v>2896.2350000000001</v>
      </c>
      <c r="F16" s="7">
        <f t="shared" si="1"/>
        <v>3.0365063786866602E-3</v>
      </c>
      <c r="G16" s="18">
        <f t="shared" si="2"/>
        <v>4952.5419036379426</v>
      </c>
      <c r="H16" s="12">
        <f t="shared" si="3"/>
        <v>0.21716912535136779</v>
      </c>
    </row>
    <row r="17" spans="2:8" x14ac:dyDescent="0.25">
      <c r="B17" s="31" t="str">
        <f>+'County Data'!$B$26</f>
        <v>County 16</v>
      </c>
      <c r="C17" s="20">
        <f>VLOOKUP($B17,'County Data'!$B$11:$L$44,3,FALSE)</f>
        <v>85650</v>
      </c>
      <c r="D17" s="73">
        <f>VLOOKUP($B17,'County Data'!$B$11:$L$44,6,FALSE)</f>
        <v>0.123</v>
      </c>
      <c r="E17" s="79">
        <f t="shared" si="0"/>
        <v>10534.95</v>
      </c>
      <c r="F17" s="7">
        <f t="shared" si="1"/>
        <v>1.1045182063660246E-2</v>
      </c>
      <c r="G17" s="18">
        <f t="shared" si="2"/>
        <v>18014.691945829862</v>
      </c>
      <c r="H17" s="12">
        <f t="shared" si="3"/>
        <v>0.21032915289935625</v>
      </c>
    </row>
    <row r="18" spans="2:8" x14ac:dyDescent="0.25">
      <c r="B18" s="31" t="str">
        <f>+'County Data'!$B$12</f>
        <v>County 2</v>
      </c>
      <c r="C18" s="20">
        <f>VLOOKUP($B18,'County Data'!$B$11:$L$44,3,FALSE)</f>
        <v>92575</v>
      </c>
      <c r="D18" s="73">
        <f>VLOOKUP($B18,'County Data'!$B$11:$L$44,6,FALSE)</f>
        <v>0.18200000000000005</v>
      </c>
      <c r="E18" s="79">
        <f t="shared" si="0"/>
        <v>16848.650000000005</v>
      </c>
      <c r="F18" s="7">
        <f t="shared" si="1"/>
        <v>1.7664669198894086E-2</v>
      </c>
      <c r="G18" s="18">
        <f t="shared" si="2"/>
        <v>28811.075463396253</v>
      </c>
      <c r="H18" s="12">
        <f t="shared" si="3"/>
        <v>0.31121874656652715</v>
      </c>
    </row>
    <row r="19" spans="2:8" x14ac:dyDescent="0.25">
      <c r="B19" s="31" t="str">
        <f>+'County Data'!$B$17</f>
        <v>County 7</v>
      </c>
      <c r="C19" s="20">
        <f>VLOOKUP($B19,'County Data'!$B$11:$L$44,3,FALSE)</f>
        <v>22105</v>
      </c>
      <c r="D19" s="73">
        <f>VLOOKUP($B19,'County Data'!$B$11:$L$44,6,FALSE)</f>
        <v>0.11399999999999999</v>
      </c>
      <c r="E19" s="79">
        <f t="shared" si="0"/>
        <v>2519.9699999999998</v>
      </c>
      <c r="F19" s="7">
        <f t="shared" si="1"/>
        <v>2.6420179920134319E-3</v>
      </c>
      <c r="G19" s="18">
        <f t="shared" si="2"/>
        <v>4309.1313449739073</v>
      </c>
      <c r="H19" s="12">
        <f t="shared" si="3"/>
        <v>0.19493921488233013</v>
      </c>
    </row>
    <row r="20" spans="2:8" x14ac:dyDescent="0.25">
      <c r="B20" s="31" t="str">
        <f>+'County Data'!$B$28</f>
        <v>County 18</v>
      </c>
      <c r="C20" s="20">
        <f>VLOOKUP($B20,'County Data'!$B$11:$L$44,3,FALSE)</f>
        <v>8120</v>
      </c>
      <c r="D20" s="73">
        <f>VLOOKUP($B20,'County Data'!$B$11:$L$44,6,FALSE)</f>
        <v>0.14400000000000002</v>
      </c>
      <c r="E20" s="79">
        <f t="shared" si="0"/>
        <v>1169.2800000000002</v>
      </c>
      <c r="F20" s="7">
        <f t="shared" si="1"/>
        <v>1.2259109424721192E-3</v>
      </c>
      <c r="G20" s="18">
        <f t="shared" si="2"/>
        <v>1999.4607471720265</v>
      </c>
      <c r="H20" s="12">
        <f t="shared" si="3"/>
        <v>0.24623900827241704</v>
      </c>
    </row>
    <row r="21" spans="2:8" x14ac:dyDescent="0.25">
      <c r="B21" s="31" t="str">
        <f>+'County Data'!$B$19</f>
        <v>County 9</v>
      </c>
      <c r="C21" s="20">
        <f>VLOOKUP($B21,'County Data'!$B$11:$L$44,3,FALSE)</f>
        <v>182930</v>
      </c>
      <c r="D21" s="73">
        <f>VLOOKUP($B21,'County Data'!$B$11:$L$44,6,FALSE)</f>
        <v>0.121</v>
      </c>
      <c r="E21" s="79">
        <f t="shared" si="0"/>
        <v>22134.53</v>
      </c>
      <c r="F21" s="7">
        <f t="shared" si="1"/>
        <v>2.3206556627563452E-2</v>
      </c>
      <c r="G21" s="18">
        <f t="shared" si="2"/>
        <v>37849.893859555988</v>
      </c>
      <c r="H21" s="12">
        <f t="shared" si="3"/>
        <v>0.20690916667335041</v>
      </c>
    </row>
    <row r="22" spans="2:8" x14ac:dyDescent="0.25">
      <c r="B22" s="31" t="str">
        <f>+'County Data'!$B$29</f>
        <v>County 19</v>
      </c>
      <c r="C22" s="20">
        <f>VLOOKUP($B22,'County Data'!$B$11:$L$44,3,FALSE)</f>
        <v>370600</v>
      </c>
      <c r="D22" s="73">
        <f>VLOOKUP($B22,'County Data'!$B$11:$L$44,6,FALSE)</f>
        <v>0.16900000000000004</v>
      </c>
      <c r="E22" s="79">
        <f t="shared" si="0"/>
        <v>62631.400000000016</v>
      </c>
      <c r="F22" s="7">
        <f t="shared" si="1"/>
        <v>6.5664783971630655E-2</v>
      </c>
      <c r="G22" s="18">
        <f t="shared" si="2"/>
        <v>107099.2626577296</v>
      </c>
      <c r="H22" s="12">
        <f t="shared" si="3"/>
        <v>0.28898883609748949</v>
      </c>
    </row>
    <row r="23" spans="2:8" x14ac:dyDescent="0.25">
      <c r="B23" s="31" t="str">
        <f>+'County Data'!$B$14</f>
        <v>County 4</v>
      </c>
      <c r="C23" s="20">
        <f>VLOOKUP($B23,'County Data'!$B$11:$L$44,3,FALSE)</f>
        <v>38820</v>
      </c>
      <c r="D23" s="73">
        <f>VLOOKUP($B23,'County Data'!$B$11:$L$44,6,FALSE)</f>
        <v>0.13800000000000001</v>
      </c>
      <c r="E23" s="79">
        <f t="shared" si="0"/>
        <v>5357.1600000000008</v>
      </c>
      <c r="F23" s="7">
        <f t="shared" si="1"/>
        <v>5.6166196843988941E-3</v>
      </c>
      <c r="G23" s="18">
        <f t="shared" si="2"/>
        <v>9160.7067052545972</v>
      </c>
      <c r="H23" s="12">
        <f t="shared" si="3"/>
        <v>0.23597904959439972</v>
      </c>
    </row>
    <row r="24" spans="2:8" x14ac:dyDescent="0.25">
      <c r="B24" s="31" t="str">
        <f>+'County Data'!$B$13</f>
        <v>County 3</v>
      </c>
      <c r="C24" s="20">
        <f>VLOOKUP($B24,'County Data'!$B$11:$L$44,3,FALSE)</f>
        <v>413000</v>
      </c>
      <c r="D24" s="73">
        <f>VLOOKUP($B24,'County Data'!$B$11:$L$44,6,FALSE)</f>
        <v>0.16800000000000004</v>
      </c>
      <c r="E24" s="79">
        <f t="shared" si="0"/>
        <v>69384.000000000015</v>
      </c>
      <c r="F24" s="7">
        <f t="shared" si="1"/>
        <v>7.2744428051865706E-2</v>
      </c>
      <c r="G24" s="18">
        <f t="shared" si="2"/>
        <v>118646.16215259297</v>
      </c>
      <c r="H24" s="12">
        <f t="shared" si="3"/>
        <v>0.28727884298448658</v>
      </c>
    </row>
    <row r="25" spans="2:8" x14ac:dyDescent="0.25">
      <c r="B25" s="31" t="str">
        <f>+'County Data'!$B$31</f>
        <v>County 21</v>
      </c>
      <c r="C25" s="20">
        <f>VLOOKUP($B25,'County Data'!$B$11:$L$44,3,FALSE)</f>
        <v>124010</v>
      </c>
      <c r="D25" s="73">
        <f>VLOOKUP($B25,'County Data'!$B$11:$L$44,6,FALSE)</f>
        <v>0.13900000000000001</v>
      </c>
      <c r="E25" s="79">
        <f t="shared" si="0"/>
        <v>17237.390000000003</v>
      </c>
      <c r="F25" s="7">
        <f t="shared" si="1"/>
        <v>1.8072236778752297E-2</v>
      </c>
      <c r="G25" s="18">
        <f t="shared" si="2"/>
        <v>29475.818186144996</v>
      </c>
      <c r="H25" s="12">
        <f t="shared" si="3"/>
        <v>0.2376890427074026</v>
      </c>
    </row>
    <row r="26" spans="2:8" x14ac:dyDescent="0.25">
      <c r="B26" s="31" t="str">
        <f>+'County Data'!$B$30</f>
        <v>County 20</v>
      </c>
      <c r="C26" s="20">
        <f>VLOOKUP($B26,'County Data'!$B$11:$L$44,3,FALSE)</f>
        <v>47960</v>
      </c>
      <c r="D26" s="73">
        <f>VLOOKUP($B26,'County Data'!$B$11:$L$44,6,FALSE)</f>
        <v>0.17100000000000004</v>
      </c>
      <c r="E26" s="79">
        <f t="shared" si="0"/>
        <v>8201.1600000000017</v>
      </c>
      <c r="F26" s="7">
        <f t="shared" si="1"/>
        <v>8.5983612008797266E-3</v>
      </c>
      <c r="G26" s="18">
        <f t="shared" si="2"/>
        <v>14023.927118634834</v>
      </c>
      <c r="H26" s="12">
        <f t="shared" si="3"/>
        <v>0.2924088223234953</v>
      </c>
    </row>
    <row r="27" spans="2:8" x14ac:dyDescent="0.25">
      <c r="B27" s="31" t="str">
        <f>+'County Data'!$B$38</f>
        <v>County 28</v>
      </c>
      <c r="C27" s="20">
        <f>VLOOKUP($B27,'County Data'!$B$11:$L$44,3,FALSE)</f>
        <v>26175</v>
      </c>
      <c r="D27" s="73">
        <f>VLOOKUP($B27,'County Data'!$B$11:$L$44,6,FALSE)</f>
        <v>0.14900000000000002</v>
      </c>
      <c r="E27" s="79">
        <f t="shared" si="0"/>
        <v>3900.0750000000007</v>
      </c>
      <c r="F27" s="7">
        <f t="shared" si="1"/>
        <v>4.0889646782310057E-3</v>
      </c>
      <c r="G27" s="18">
        <f t="shared" si="2"/>
        <v>6669.1013901947699</v>
      </c>
      <c r="H27" s="12">
        <f t="shared" si="3"/>
        <v>0.25478897383743154</v>
      </c>
    </row>
    <row r="28" spans="2:8" x14ac:dyDescent="0.25">
      <c r="B28" s="31" t="str">
        <f>+'County Data'!$B$35</f>
        <v>County 25</v>
      </c>
      <c r="C28" s="20">
        <f>VLOOKUP($B28,'County Data'!$B$11:$L$44,3,FALSE)</f>
        <v>803000</v>
      </c>
      <c r="D28" s="73">
        <f>VLOOKUP($B28,'County Data'!$B$11:$L$44,6,FALSE)</f>
        <v>0.28900000000000003</v>
      </c>
      <c r="E28" s="79">
        <f t="shared" si="0"/>
        <v>232067.00000000003</v>
      </c>
      <c r="F28" s="7">
        <f t="shared" si="1"/>
        <v>0.24330654307494978</v>
      </c>
      <c r="G28" s="18">
        <f t="shared" si="2"/>
        <v>396832.97175524308</v>
      </c>
      <c r="H28" s="12">
        <f t="shared" si="3"/>
        <v>0.49418800965783694</v>
      </c>
    </row>
    <row r="29" spans="2:8" x14ac:dyDescent="0.25">
      <c r="B29" s="31" t="str">
        <f>+'County Data'!$B$27</f>
        <v>County 17</v>
      </c>
      <c r="C29" s="20">
        <f>VLOOKUP($B29,'County Data'!$B$11:$L$44,3,FALSE)</f>
        <v>67690</v>
      </c>
      <c r="D29" s="73">
        <f>VLOOKUP($B29,'County Data'!$B$11:$L$44,6,FALSE)</f>
        <v>0.20699999999999996</v>
      </c>
      <c r="E29" s="79">
        <f t="shared" si="0"/>
        <v>14011.829999999998</v>
      </c>
      <c r="F29" s="7">
        <f t="shared" si="1"/>
        <v>1.469045542646681E-2</v>
      </c>
      <c r="G29" s="18">
        <f t="shared" si="2"/>
        <v>23960.132800567368</v>
      </c>
      <c r="H29" s="12">
        <f t="shared" si="3"/>
        <v>0.35396857439159946</v>
      </c>
    </row>
    <row r="30" spans="2:8" x14ac:dyDescent="0.25">
      <c r="B30" s="31" t="str">
        <f>+'County Data'!$B$24</f>
        <v>County 14</v>
      </c>
      <c r="C30" s="20">
        <f>VLOOKUP($B30,'County Data'!$B$11:$L$44,3,FALSE)</f>
        <v>216900</v>
      </c>
      <c r="D30" s="73">
        <f>VLOOKUP($B30,'County Data'!$B$11:$L$44,6,FALSE)</f>
        <v>0.17800000000000005</v>
      </c>
      <c r="E30" s="79">
        <f t="shared" si="0"/>
        <v>38608.200000000012</v>
      </c>
      <c r="F30" s="7">
        <f t="shared" si="1"/>
        <v>4.0478084675314795E-2</v>
      </c>
      <c r="G30" s="18">
        <f t="shared" si="2"/>
        <v>66019.756105438428</v>
      </c>
      <c r="H30" s="12">
        <f t="shared" si="3"/>
        <v>0.30437877411451558</v>
      </c>
    </row>
    <row r="31" spans="2:8" x14ac:dyDescent="0.25">
      <c r="B31" s="31" t="str">
        <f>+'County Data'!$B$37</f>
        <v>County 27</v>
      </c>
      <c r="C31" s="20">
        <f>VLOOKUP($B31,'County Data'!$B$11:$L$44,3,FALSE)</f>
        <v>81000</v>
      </c>
      <c r="D31" s="73">
        <f>VLOOKUP($B31,'County Data'!$B$11:$L$44,6,FALSE)</f>
        <v>0.20699999999999996</v>
      </c>
      <c r="E31" s="79">
        <f t="shared" si="0"/>
        <v>16766.999999999996</v>
      </c>
      <c r="F31" s="7">
        <f t="shared" si="1"/>
        <v>1.7579064700011988E-2</v>
      </c>
      <c r="G31" s="18">
        <f t="shared" si="2"/>
        <v>28671.454525719553</v>
      </c>
      <c r="H31" s="12">
        <f t="shared" si="3"/>
        <v>0.3539685743915994</v>
      </c>
    </row>
    <row r="32" spans="2:8" x14ac:dyDescent="0.25">
      <c r="B32" s="31" t="str">
        <f>+'County Data'!$B$36</f>
        <v>County 26</v>
      </c>
      <c r="C32" s="20">
        <f>VLOOKUP($B32,'County Data'!$B$11:$L$44,3,FALSE)</f>
        <v>30895</v>
      </c>
      <c r="D32" s="73">
        <f>VLOOKUP($B32,'County Data'!$B$11:$L$44,6,FALSE)</f>
        <v>0.22592655849701115</v>
      </c>
      <c r="E32" s="79">
        <f t="shared" si="0"/>
        <v>6980.0010247651599</v>
      </c>
      <c r="F32" s="7">
        <f t="shared" si="1"/>
        <v>7.3180586640720904E-3</v>
      </c>
      <c r="G32" s="18">
        <f t="shared" si="2"/>
        <v>11935.75368110158</v>
      </c>
      <c r="H32" s="12">
        <f t="shared" si="3"/>
        <v>0.38633285907433501</v>
      </c>
    </row>
    <row r="33" spans="2:8" x14ac:dyDescent="0.25">
      <c r="B33" s="31" t="str">
        <f>+'County Data'!$B$44</f>
        <v>County 34</v>
      </c>
      <c r="C33" s="20">
        <f>VLOOKUP($B33,'County Data'!$B$11:$L$44,3,FALSE)</f>
        <v>106300</v>
      </c>
      <c r="D33" s="73">
        <f>VLOOKUP($B33,'County Data'!$B$11:$L$44,6,FALSE)</f>
        <v>0.21999999999999997</v>
      </c>
      <c r="E33" s="79">
        <f t="shared" si="0"/>
        <v>23385.999999999996</v>
      </c>
      <c r="F33" s="7">
        <f t="shared" si="1"/>
        <v>2.4518638222370152E-2</v>
      </c>
      <c r="G33" s="18">
        <f t="shared" si="2"/>
        <v>39989.898940685722</v>
      </c>
      <c r="H33" s="12">
        <f t="shared" si="3"/>
        <v>0.37619848486063706</v>
      </c>
    </row>
    <row r="34" spans="2:8" x14ac:dyDescent="0.25">
      <c r="B34" s="31" t="str">
        <f>+'County Data'!$B$42</f>
        <v>County 32</v>
      </c>
      <c r="C34" s="20">
        <f>VLOOKUP($B34,'County Data'!$B$11:$L$44,3,FALSE)</f>
        <v>595860</v>
      </c>
      <c r="D34" s="73">
        <f>VLOOKUP($B34,'County Data'!$B$11:$L$44,6,FALSE)</f>
        <v>0.32299999999999995</v>
      </c>
      <c r="E34" s="79">
        <f t="shared" si="0"/>
        <v>192462.77999999997</v>
      </c>
      <c r="F34" s="7">
        <f t="shared" si="1"/>
        <v>0.2017841988408286</v>
      </c>
      <c r="G34" s="18">
        <f t="shared" si="2"/>
        <v>329110.02830939146</v>
      </c>
      <c r="H34" s="12">
        <f t="shared" si="3"/>
        <v>0.55232777549993528</v>
      </c>
    </row>
    <row r="35" spans="2:8" x14ac:dyDescent="0.25">
      <c r="B35" s="31" t="str">
        <f>+'County Data'!$B$25</f>
        <v>County 15</v>
      </c>
      <c r="C35" s="20">
        <f>VLOOKUP($B35,'County Data'!$B$11:$L$44,3,FALSE)</f>
        <v>23190</v>
      </c>
      <c r="D35" s="73">
        <f>VLOOKUP($B35,'County Data'!$B$11:$L$44,6,FALSE)</f>
        <v>0.39900000000000002</v>
      </c>
      <c r="E35" s="79">
        <f t="shared" si="0"/>
        <v>9252.8100000000013</v>
      </c>
      <c r="F35" s="7">
        <f t="shared" si="1"/>
        <v>9.7009450496163881E-3</v>
      </c>
      <c r="G35" s="18">
        <f t="shared" si="2"/>
        <v>15822.241375924328</v>
      </c>
      <c r="H35" s="12">
        <f t="shared" si="3"/>
        <v>0.68228725208815555</v>
      </c>
    </row>
    <row r="36" spans="2:8" x14ac:dyDescent="0.25">
      <c r="B36" s="31" t="str">
        <f>+'County Data'!$B$39</f>
        <v>County 29</v>
      </c>
      <c r="C36" s="20">
        <f>VLOOKUP($B36,'County Data'!$B$11:$L$44,3,FALSE)</f>
        <v>80500</v>
      </c>
      <c r="D36" s="73">
        <f>VLOOKUP($B36,'County Data'!$B$11:$L$44,6,FALSE)</f>
        <v>0.32599999999999996</v>
      </c>
      <c r="E36" s="79">
        <f t="shared" si="0"/>
        <v>26242.999999999996</v>
      </c>
      <c r="F36" s="7">
        <f t="shared" si="1"/>
        <v>2.7514009359003676E-2</v>
      </c>
      <c r="G36" s="18">
        <f t="shared" si="2"/>
        <v>44875.349264534998</v>
      </c>
      <c r="H36" s="12">
        <f t="shared" si="3"/>
        <v>0.55745775483894411</v>
      </c>
    </row>
    <row r="37" spans="2:8" x14ac:dyDescent="0.25">
      <c r="B37" s="31" t="str">
        <f>+'County Data'!$B$33</f>
        <v>County 23</v>
      </c>
      <c r="C37" s="20">
        <f>VLOOKUP($B37,'County Data'!$B$11:$L$44,3,FALSE)</f>
        <v>339200</v>
      </c>
      <c r="D37" s="73">
        <f>VLOOKUP($B37,'County Data'!$B$11:$L$44,6,FALSE)</f>
        <v>0.33099999999999996</v>
      </c>
      <c r="E37" s="79">
        <f t="shared" si="0"/>
        <v>112275.19999999998</v>
      </c>
      <c r="F37" s="7">
        <f t="shared" si="1"/>
        <v>0.11771294835133214</v>
      </c>
      <c r="G37" s="18">
        <f t="shared" si="2"/>
        <v>191989.81876102273</v>
      </c>
      <c r="H37" s="12">
        <f t="shared" si="3"/>
        <v>0.56600772040395853</v>
      </c>
    </row>
    <row r="38" spans="2:8" x14ac:dyDescent="0.25">
      <c r="B38" s="31" t="str">
        <f>+'County Data'!$B$23</f>
        <v>County 13</v>
      </c>
      <c r="C38" s="20">
        <f>VLOOKUP($B38,'County Data'!$B$11:$L$44,3,FALSE)</f>
        <v>25145</v>
      </c>
      <c r="D38" s="73">
        <f>VLOOKUP($B38,'County Data'!$B$11:$L$44,6,FALSE)</f>
        <v>0.35499999999999998</v>
      </c>
      <c r="E38" s="79">
        <f t="shared" si="0"/>
        <v>8926.4750000000004</v>
      </c>
      <c r="F38" s="7">
        <f t="shared" si="1"/>
        <v>9.3588048886526828E-3</v>
      </c>
      <c r="G38" s="18">
        <f t="shared" si="2"/>
        <v>15264.210773392526</v>
      </c>
      <c r="H38" s="12">
        <f t="shared" si="3"/>
        <v>0.60704755511602804</v>
      </c>
    </row>
    <row r="39" spans="2:8" x14ac:dyDescent="0.25">
      <c r="B39" s="31" t="str">
        <f>+'County Data'!$B$32</f>
        <v>County 22</v>
      </c>
      <c r="C39" s="20">
        <f>VLOOKUP($B39,'County Data'!$B$11:$L$44,3,FALSE)</f>
        <v>31845</v>
      </c>
      <c r="D39" s="73">
        <f>VLOOKUP($B39,'County Data'!$B$11:$L$44,6,FALSE)</f>
        <v>0.38</v>
      </c>
      <c r="E39" s="79">
        <f t="shared" si="0"/>
        <v>12101.1</v>
      </c>
      <c r="F39" s="7">
        <f t="shared" si="1"/>
        <v>1.2687184340747606E-2</v>
      </c>
      <c r="G39" s="18">
        <f t="shared" si="2"/>
        <v>20692.797659759344</v>
      </c>
      <c r="H39" s="12">
        <f t="shared" si="3"/>
        <v>0.64979738294110045</v>
      </c>
    </row>
    <row r="40" spans="2:8" x14ac:dyDescent="0.25">
      <c r="B40" s="31" t="str">
        <f>+'County Data'!$B$34</f>
        <v>County 24</v>
      </c>
      <c r="C40" s="20">
        <f>VLOOKUP($B40,'County Data'!$B$11:$L$44,3,FALSE)</f>
        <v>11890</v>
      </c>
      <c r="D40" s="73">
        <f>VLOOKUP($B40,'County Data'!$B$11:$L$44,6,FALSE)</f>
        <v>0.38800000000000001</v>
      </c>
      <c r="E40" s="79">
        <f t="shared" si="0"/>
        <v>4613.32</v>
      </c>
      <c r="F40" s="7">
        <f t="shared" si="1"/>
        <v>4.8367537879083506E-3</v>
      </c>
      <c r="G40" s="18">
        <f t="shared" si="2"/>
        <v>7888.7454280785196</v>
      </c>
      <c r="H40" s="12">
        <f t="shared" si="3"/>
        <v>0.66347732784512359</v>
      </c>
    </row>
    <row r="41" spans="2:8" x14ac:dyDescent="0.25">
      <c r="B41" s="5" t="s">
        <v>3</v>
      </c>
      <c r="C41" s="6">
        <f>SUM(C7:C40)</f>
        <v>4141100</v>
      </c>
      <c r="D41" s="6"/>
      <c r="E41" s="6">
        <f>SUM(E7:E40)</f>
        <v>953805.01102476532</v>
      </c>
      <c r="F41" s="10">
        <f>SUM(F7:F40)</f>
        <v>0.99999999999999989</v>
      </c>
      <c r="G41" s="13">
        <f>SUM(G7:G40)</f>
        <v>1630999.9999999998</v>
      </c>
      <c r="H41" s="14">
        <f t="shared" ref="H41" si="4">G41/C41</f>
        <v>0.39385670474028633</v>
      </c>
    </row>
  </sheetData>
  <sortState ref="B7:H40">
    <sortCondition ref="D7:D40"/>
  </sortState>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H41"/>
  <sheetViews>
    <sheetView workbookViewId="0">
      <selection activeCell="D7" sqref="D7"/>
    </sheetView>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88</v>
      </c>
      <c r="C4" s="18">
        <f>'County Data'!H10</f>
        <v>815500</v>
      </c>
      <c r="D4" s="11"/>
    </row>
    <row r="6" spans="2:8" s="2" customFormat="1" ht="30" x14ac:dyDescent="0.25">
      <c r="B6" s="3" t="s">
        <v>8</v>
      </c>
      <c r="C6" s="3" t="s">
        <v>1</v>
      </c>
      <c r="D6" s="3" t="s">
        <v>19</v>
      </c>
      <c r="E6" s="3" t="s">
        <v>77</v>
      </c>
      <c r="F6" s="3" t="s">
        <v>78</v>
      </c>
      <c r="G6" s="17" t="s">
        <v>18</v>
      </c>
      <c r="H6" s="3" t="s">
        <v>7</v>
      </c>
    </row>
    <row r="7" spans="2:8" x14ac:dyDescent="0.25">
      <c r="B7" s="31" t="str">
        <f>+'County Data'!$B$13</f>
        <v>County 3</v>
      </c>
      <c r="C7" s="20">
        <f>VLOOKUP($B7,'County Data'!$B$11:$L$44,3,FALSE)</f>
        <v>413000</v>
      </c>
      <c r="D7" s="73">
        <f>VLOOKUP($B7,'County Data'!$B$11:$L$44,7,FALSE)</f>
        <v>9.1999999999999998E-2</v>
      </c>
      <c r="E7" s="79">
        <f t="shared" ref="E7:E40" si="0">C7*D7</f>
        <v>37996</v>
      </c>
      <c r="F7" s="7">
        <f t="shared" ref="F7:F40" si="1">E7/$E$41</f>
        <v>5.8339854448250607E-2</v>
      </c>
      <c r="G7" s="18">
        <f t="shared" ref="G7:G40" si="2">$C$4*F7</f>
        <v>47576.151302548373</v>
      </c>
      <c r="H7" s="12">
        <f t="shared" ref="H7:H40" si="3">G7/C7</f>
        <v>0.11519649225798638</v>
      </c>
    </row>
    <row r="8" spans="2:8" x14ac:dyDescent="0.25">
      <c r="B8" s="31" t="str">
        <f>+'County Data'!$B$42</f>
        <v>County 32</v>
      </c>
      <c r="C8" s="20">
        <f>VLOOKUP($B8,'County Data'!$B$11:$L$44,3,FALSE)</f>
        <v>595860</v>
      </c>
      <c r="D8" s="73">
        <f>VLOOKUP($B8,'County Data'!$B$11:$L$44,7,FALSE)</f>
        <v>0.111</v>
      </c>
      <c r="E8" s="79">
        <f t="shared" si="0"/>
        <v>66140.460000000006</v>
      </c>
      <c r="F8" s="7">
        <f t="shared" si="1"/>
        <v>0.1015534479824282</v>
      </c>
      <c r="G8" s="18">
        <f t="shared" si="2"/>
        <v>82816.836829670196</v>
      </c>
      <c r="H8" s="12">
        <f t="shared" si="3"/>
        <v>0.13898707218083139</v>
      </c>
    </row>
    <row r="9" spans="2:8" x14ac:dyDescent="0.25">
      <c r="B9" s="31" t="str">
        <f>+'County Data'!$B$15</f>
        <v>County 5</v>
      </c>
      <c r="C9" s="20">
        <f>VLOOKUP($B9,'County Data'!$B$11:$L$44,3,FALSE)</f>
        <v>51345</v>
      </c>
      <c r="D9" s="73">
        <f>VLOOKUP($B9,'County Data'!$B$11:$L$44,7,FALSE)</f>
        <v>0.13400000000000001</v>
      </c>
      <c r="E9" s="79">
        <f t="shared" si="0"/>
        <v>6880.2300000000005</v>
      </c>
      <c r="F9" s="7">
        <f t="shared" si="1"/>
        <v>1.0564049288622153E-2</v>
      </c>
      <c r="G9" s="18">
        <f t="shared" si="2"/>
        <v>8614.9821948713652</v>
      </c>
      <c r="H9" s="12">
        <f t="shared" si="3"/>
        <v>0.16778619524532798</v>
      </c>
    </row>
    <row r="10" spans="2:8" x14ac:dyDescent="0.25">
      <c r="B10" s="31" t="str">
        <f>+'County Data'!$B$41</f>
        <v>County 31</v>
      </c>
      <c r="C10" s="20">
        <f>VLOOKUP($B10,'County Data'!$B$11:$L$44,3,FALSE)</f>
        <v>7195</v>
      </c>
      <c r="D10" s="73">
        <f>VLOOKUP($B10,'County Data'!$B$11:$L$44,7,FALSE)</f>
        <v>0.14599999999999999</v>
      </c>
      <c r="E10" s="79">
        <f t="shared" si="0"/>
        <v>1050.47</v>
      </c>
      <c r="F10" s="7">
        <f t="shared" si="1"/>
        <v>1.6129136462325986E-3</v>
      </c>
      <c r="G10" s="18">
        <f t="shared" si="2"/>
        <v>1315.3310785026842</v>
      </c>
      <c r="H10" s="12">
        <f t="shared" si="3"/>
        <v>0.18281182467028273</v>
      </c>
    </row>
    <row r="11" spans="2:8" x14ac:dyDescent="0.25">
      <c r="B11" s="31" t="str">
        <f>+'County Data'!$B$19</f>
        <v>County 9</v>
      </c>
      <c r="C11" s="20">
        <f>VLOOKUP($B11,'County Data'!$B$11:$L$44,3,FALSE)</f>
        <v>182930</v>
      </c>
      <c r="D11" s="73">
        <f>VLOOKUP($B11,'County Data'!$B$11:$L$44,7,FALSE)</f>
        <v>0.13900000000000001</v>
      </c>
      <c r="E11" s="79">
        <f t="shared" si="0"/>
        <v>25427.270000000004</v>
      </c>
      <c r="F11" s="7">
        <f t="shared" si="1"/>
        <v>3.9041563080755064E-2</v>
      </c>
      <c r="G11" s="18">
        <f t="shared" si="2"/>
        <v>31838.394692355756</v>
      </c>
      <c r="H11" s="12">
        <f t="shared" si="3"/>
        <v>0.17404687417239248</v>
      </c>
    </row>
    <row r="12" spans="2:8" x14ac:dyDescent="0.25">
      <c r="B12" s="31" t="str">
        <f>+'County Data'!$B$18</f>
        <v>County 8</v>
      </c>
      <c r="C12" s="20">
        <f>VLOOKUP($B12,'County Data'!$B$11:$L$44,3,FALSE)</f>
        <v>22805</v>
      </c>
      <c r="D12" s="73">
        <f>VLOOKUP($B12,'County Data'!$B$11:$L$44,7,FALSE)</f>
        <v>0.152</v>
      </c>
      <c r="E12" s="79">
        <f t="shared" si="0"/>
        <v>3466.36</v>
      </c>
      <c r="F12" s="7">
        <f t="shared" si="1"/>
        <v>5.3223217671659641E-3</v>
      </c>
      <c r="G12" s="18">
        <f t="shared" si="2"/>
        <v>4340.3534011238435</v>
      </c>
      <c r="H12" s="12">
        <f t="shared" si="3"/>
        <v>0.19032463938276006</v>
      </c>
    </row>
    <row r="13" spans="2:8" x14ac:dyDescent="0.25">
      <c r="B13" s="31" t="str">
        <f>+'County Data'!$B$21</f>
        <v>County 11</v>
      </c>
      <c r="C13" s="20">
        <f>VLOOKUP($B13,'County Data'!$B$11:$L$44,3,FALSE)</f>
        <v>7415</v>
      </c>
      <c r="D13" s="73">
        <f>VLOOKUP($B13,'County Data'!$B$11:$L$44,7,FALSE)</f>
        <v>0.14899999999999999</v>
      </c>
      <c r="E13" s="79">
        <f t="shared" si="0"/>
        <v>1104.835</v>
      </c>
      <c r="F13" s="7">
        <f t="shared" si="1"/>
        <v>1.6963868062252069E-3</v>
      </c>
      <c r="G13" s="18">
        <f t="shared" si="2"/>
        <v>1383.4034404766562</v>
      </c>
      <c r="H13" s="12">
        <f t="shared" si="3"/>
        <v>0.1865682320265214</v>
      </c>
    </row>
    <row r="14" spans="2:8" x14ac:dyDescent="0.25">
      <c r="B14" s="31" t="str">
        <f>+'County Data'!$B$23</f>
        <v>County 13</v>
      </c>
      <c r="C14" s="20">
        <f>VLOOKUP($B14,'County Data'!$B$11:$L$44,3,FALSE)</f>
        <v>25145</v>
      </c>
      <c r="D14" s="73">
        <f>VLOOKUP($B14,'County Data'!$B$11:$L$44,7,FALSE)</f>
        <v>0.13300000000000001</v>
      </c>
      <c r="E14" s="79">
        <f t="shared" si="0"/>
        <v>3344.2850000000003</v>
      </c>
      <c r="F14" s="7">
        <f t="shared" si="1"/>
        <v>5.1348852545917414E-3</v>
      </c>
      <c r="G14" s="18">
        <f t="shared" si="2"/>
        <v>4187.4989251195648</v>
      </c>
      <c r="H14" s="12">
        <f t="shared" si="3"/>
        <v>0.16653405945991509</v>
      </c>
    </row>
    <row r="15" spans="2:8" x14ac:dyDescent="0.25">
      <c r="B15" s="31" t="str">
        <f>+'County Data'!$B$14</f>
        <v>County 4</v>
      </c>
      <c r="C15" s="20">
        <f>VLOOKUP($B15,'County Data'!$B$11:$L$44,3,FALSE)</f>
        <v>38820</v>
      </c>
      <c r="D15" s="73">
        <f>VLOOKUP($B15,'County Data'!$B$11:$L$44,7,FALSE)</f>
        <v>0.14000000000000001</v>
      </c>
      <c r="E15" s="79">
        <f t="shared" si="0"/>
        <v>5434.8</v>
      </c>
      <c r="F15" s="7">
        <f t="shared" si="1"/>
        <v>8.344705783644395E-3</v>
      </c>
      <c r="G15" s="18">
        <f t="shared" si="2"/>
        <v>6805.1075665620037</v>
      </c>
      <c r="H15" s="12">
        <f t="shared" si="3"/>
        <v>0.17529900995780534</v>
      </c>
    </row>
    <row r="16" spans="2:8" x14ac:dyDescent="0.25">
      <c r="B16" s="31" t="str">
        <f>+'County Data'!$B$36</f>
        <v>County 26</v>
      </c>
      <c r="C16" s="20">
        <f>VLOOKUP($B16,'County Data'!$B$11:$L$44,3,FALSE)</f>
        <v>30895</v>
      </c>
      <c r="D16" s="73">
        <f>VLOOKUP($B16,'County Data'!$B$11:$L$44,7,FALSE)</f>
        <v>0.1446988914758314</v>
      </c>
      <c r="E16" s="79">
        <f t="shared" si="0"/>
        <v>4470.4722521458107</v>
      </c>
      <c r="F16" s="7">
        <f t="shared" si="1"/>
        <v>6.8640567561093187E-3</v>
      </c>
      <c r="G16" s="18">
        <f t="shared" si="2"/>
        <v>5597.6382846071492</v>
      </c>
      <c r="H16" s="12">
        <f t="shared" si="3"/>
        <v>0.18118266012646542</v>
      </c>
    </row>
    <row r="17" spans="2:8" x14ac:dyDescent="0.25">
      <c r="B17" s="31" t="str">
        <f>+'County Data'!$B$44</f>
        <v>County 34</v>
      </c>
      <c r="C17" s="20">
        <f>VLOOKUP($B17,'County Data'!$B$11:$L$44,3,FALSE)</f>
        <v>106300</v>
      </c>
      <c r="D17" s="73">
        <f>VLOOKUP($B17,'County Data'!$B$11:$L$44,7,FALSE)</f>
        <v>0.157</v>
      </c>
      <c r="E17" s="79">
        <f t="shared" si="0"/>
        <v>16689.099999999999</v>
      </c>
      <c r="F17" s="7">
        <f t="shared" si="1"/>
        <v>2.5624793790722685E-2</v>
      </c>
      <c r="G17" s="18">
        <f t="shared" si="2"/>
        <v>20897.01933633435</v>
      </c>
      <c r="H17" s="12">
        <f t="shared" si="3"/>
        <v>0.19658531830982454</v>
      </c>
    </row>
    <row r="18" spans="2:8" x14ac:dyDescent="0.25">
      <c r="B18" s="31" t="str">
        <f>+'County Data'!$B$37</f>
        <v>County 27</v>
      </c>
      <c r="C18" s="20">
        <f>VLOOKUP($B18,'County Data'!$B$11:$L$44,3,FALSE)</f>
        <v>81000</v>
      </c>
      <c r="D18" s="73">
        <f>VLOOKUP($B18,'County Data'!$B$11:$L$44,7,FALSE)</f>
        <v>0.155</v>
      </c>
      <c r="E18" s="79">
        <f t="shared" si="0"/>
        <v>12555</v>
      </c>
      <c r="F18" s="7">
        <f t="shared" si="1"/>
        <v>1.9277210037840466E-2</v>
      </c>
      <c r="G18" s="18">
        <f t="shared" si="2"/>
        <v>15720.5647858589</v>
      </c>
      <c r="H18" s="12">
        <f t="shared" si="3"/>
        <v>0.19408104673899876</v>
      </c>
    </row>
    <row r="19" spans="2:8" x14ac:dyDescent="0.25">
      <c r="B19" s="31" t="str">
        <f>+'County Data'!$B$39</f>
        <v>County 29</v>
      </c>
      <c r="C19" s="20">
        <f>VLOOKUP($B19,'County Data'!$B$11:$L$44,3,FALSE)</f>
        <v>80500</v>
      </c>
      <c r="D19" s="73">
        <f>VLOOKUP($B19,'County Data'!$B$11:$L$44,7,FALSE)</f>
        <v>0.18</v>
      </c>
      <c r="E19" s="79">
        <f t="shared" si="0"/>
        <v>14490</v>
      </c>
      <c r="F19" s="7">
        <f t="shared" si="1"/>
        <v>2.224824957772269E-2</v>
      </c>
      <c r="G19" s="18">
        <f t="shared" si="2"/>
        <v>18143.447530632853</v>
      </c>
      <c r="H19" s="12">
        <f t="shared" si="3"/>
        <v>0.22538444137432115</v>
      </c>
    </row>
    <row r="20" spans="2:8" x14ac:dyDescent="0.25">
      <c r="B20" s="31" t="str">
        <f>+'County Data'!$B$30</f>
        <v>County 20</v>
      </c>
      <c r="C20" s="20">
        <f>VLOOKUP($B20,'County Data'!$B$11:$L$44,3,FALSE)</f>
        <v>47960</v>
      </c>
      <c r="D20" s="73">
        <f>VLOOKUP($B20,'County Data'!$B$11:$L$44,7,FALSE)</f>
        <v>0.186</v>
      </c>
      <c r="E20" s="79">
        <f t="shared" si="0"/>
        <v>8920.56</v>
      </c>
      <c r="F20" s="7">
        <f t="shared" si="1"/>
        <v>1.3696814717256723E-2</v>
      </c>
      <c r="G20" s="18">
        <f t="shared" si="2"/>
        <v>11169.752401922857</v>
      </c>
      <c r="H20" s="12">
        <f t="shared" si="3"/>
        <v>0.23289725608679851</v>
      </c>
    </row>
    <row r="21" spans="2:8" x14ac:dyDescent="0.25">
      <c r="B21" s="31" t="str">
        <f>+'County Data'!$B$38</f>
        <v>County 28</v>
      </c>
      <c r="C21" s="20">
        <f>VLOOKUP($B21,'County Data'!$B$11:$L$44,3,FALSE)</f>
        <v>26175</v>
      </c>
      <c r="D21" s="73">
        <f>VLOOKUP($B21,'County Data'!$B$11:$L$44,7,FALSE)</f>
        <v>0.154</v>
      </c>
      <c r="E21" s="79">
        <f t="shared" si="0"/>
        <v>4030.95</v>
      </c>
      <c r="F21" s="7">
        <f t="shared" si="1"/>
        <v>6.1892050818027101E-3</v>
      </c>
      <c r="G21" s="18">
        <f t="shared" si="2"/>
        <v>5047.2967442101099</v>
      </c>
      <c r="H21" s="12">
        <f t="shared" si="3"/>
        <v>0.19282891095358587</v>
      </c>
    </row>
    <row r="22" spans="2:8" x14ac:dyDescent="0.25">
      <c r="B22" s="31" t="str">
        <f>+'County Data'!$B$24</f>
        <v>County 14</v>
      </c>
      <c r="C22" s="20">
        <f>VLOOKUP($B22,'County Data'!$B$11:$L$44,3,FALSE)</f>
        <v>216900</v>
      </c>
      <c r="D22" s="73">
        <f>VLOOKUP($B22,'County Data'!$B$11:$L$44,7,FALSE)</f>
        <v>0.18</v>
      </c>
      <c r="E22" s="79">
        <f t="shared" si="0"/>
        <v>39042</v>
      </c>
      <c r="F22" s="7">
        <f t="shared" si="1"/>
        <v>5.9945904762832937E-2</v>
      </c>
      <c r="G22" s="18">
        <f t="shared" si="2"/>
        <v>48885.885334090257</v>
      </c>
      <c r="H22" s="12">
        <f t="shared" si="3"/>
        <v>0.22538444137432115</v>
      </c>
    </row>
    <row r="23" spans="2:8" x14ac:dyDescent="0.25">
      <c r="B23" s="31" t="str">
        <f>+'County Data'!$B$28</f>
        <v>County 18</v>
      </c>
      <c r="C23" s="20">
        <f>VLOOKUP($B23,'County Data'!$B$11:$L$44,3,FALSE)</f>
        <v>8120</v>
      </c>
      <c r="D23" s="73">
        <f>VLOOKUP($B23,'County Data'!$B$11:$L$44,7,FALSE)</f>
        <v>0.17599999999999999</v>
      </c>
      <c r="E23" s="79">
        <f t="shared" si="0"/>
        <v>1429.12</v>
      </c>
      <c r="F23" s="7">
        <f t="shared" si="1"/>
        <v>2.1943007892694993E-3</v>
      </c>
      <c r="G23" s="18">
        <f t="shared" si="2"/>
        <v>1789.4522936492767</v>
      </c>
      <c r="H23" s="12">
        <f t="shared" si="3"/>
        <v>0.22037589823266954</v>
      </c>
    </row>
    <row r="24" spans="2:8" x14ac:dyDescent="0.25">
      <c r="B24" s="31" t="str">
        <f>+'County Data'!$B$16</f>
        <v>County 6</v>
      </c>
      <c r="C24" s="20">
        <f>VLOOKUP($B24,'County Data'!$B$11:$L$44,3,FALSE)</f>
        <v>63310</v>
      </c>
      <c r="D24" s="73">
        <f>VLOOKUP($B24,'County Data'!$B$11:$L$44,7,FALSE)</f>
        <v>0.18099999999999999</v>
      </c>
      <c r="E24" s="79">
        <f t="shared" si="0"/>
        <v>11459.109999999999</v>
      </c>
      <c r="F24" s="7">
        <f t="shared" si="1"/>
        <v>1.7594557572020553E-2</v>
      </c>
      <c r="G24" s="18">
        <f t="shared" si="2"/>
        <v>14348.361699982761</v>
      </c>
      <c r="H24" s="12">
        <f t="shared" si="3"/>
        <v>0.22663657715973401</v>
      </c>
    </row>
    <row r="25" spans="2:8" x14ac:dyDescent="0.25">
      <c r="B25" s="31" t="str">
        <f>'County Data'!$B$43</f>
        <v>County 33</v>
      </c>
      <c r="C25" s="20">
        <f>VLOOKUP($B25,'County Data'!$B$11:$L$44,3,FALSE)</f>
        <v>1480</v>
      </c>
      <c r="D25" s="73">
        <f>VLOOKUP($B25,'County Data'!$B$11:$L$44,7,FALSE)</f>
        <v>0.20200000000000001</v>
      </c>
      <c r="E25" s="79">
        <f t="shared" si="0"/>
        <v>298.96000000000004</v>
      </c>
      <c r="F25" s="7">
        <f t="shared" si="1"/>
        <v>4.5902944746418052E-4</v>
      </c>
      <c r="G25" s="18">
        <f t="shared" si="2"/>
        <v>374.33851440703921</v>
      </c>
      <c r="H25" s="12">
        <f t="shared" si="3"/>
        <v>0.2529314286534049</v>
      </c>
    </row>
    <row r="26" spans="2:8" x14ac:dyDescent="0.25">
      <c r="B26" s="31" t="str">
        <f>+'County Data'!$B$11</f>
        <v>County 1</v>
      </c>
      <c r="C26" s="20">
        <f>VLOOKUP($B26,'County Data'!$B$11:$L$44,3,FALSE)</f>
        <v>16750</v>
      </c>
      <c r="D26" s="73">
        <f>VLOOKUP($B26,'County Data'!$B$11:$L$44,7,FALSE)</f>
        <v>0.151</v>
      </c>
      <c r="E26" s="79">
        <f t="shared" si="0"/>
        <v>2529.25</v>
      </c>
      <c r="F26" s="7">
        <f t="shared" si="1"/>
        <v>3.8834634399209879E-3</v>
      </c>
      <c r="G26" s="18">
        <f t="shared" si="2"/>
        <v>3166.9644352555656</v>
      </c>
      <c r="H26" s="12">
        <f t="shared" si="3"/>
        <v>0.1890725035973472</v>
      </c>
    </row>
    <row r="27" spans="2:8" x14ac:dyDescent="0.25">
      <c r="B27" s="31" t="str">
        <f>+'County Data'!$B$35</f>
        <v>County 25</v>
      </c>
      <c r="C27" s="20">
        <f>VLOOKUP($B27,'County Data'!$B$11:$L$44,3,FALSE)</f>
        <v>803000</v>
      </c>
      <c r="D27" s="73">
        <f>VLOOKUP($B27,'County Data'!$B$11:$L$44,7,FALSE)</f>
        <v>0.17100000000000001</v>
      </c>
      <c r="E27" s="79">
        <f t="shared" si="0"/>
        <v>137313</v>
      </c>
      <c r="F27" s="7">
        <f t="shared" si="1"/>
        <v>0.21083325702317707</v>
      </c>
      <c r="G27" s="18">
        <f t="shared" si="2"/>
        <v>171934.5211024009</v>
      </c>
      <c r="H27" s="12">
        <f t="shared" si="3"/>
        <v>0.21411521930560512</v>
      </c>
    </row>
    <row r="28" spans="2:8" x14ac:dyDescent="0.25">
      <c r="B28" s="31" t="str">
        <f>+'County Data'!$B$27</f>
        <v>County 17</v>
      </c>
      <c r="C28" s="20">
        <f>VLOOKUP($B28,'County Data'!$B$11:$L$44,3,FALSE)</f>
        <v>67690</v>
      </c>
      <c r="D28" s="73">
        <f>VLOOKUP($B28,'County Data'!$B$11:$L$44,7,FALSE)</f>
        <v>0.186</v>
      </c>
      <c r="E28" s="79">
        <f t="shared" si="0"/>
        <v>12590.34</v>
      </c>
      <c r="F28" s="7">
        <f t="shared" si="1"/>
        <v>1.9331471814243276E-2</v>
      </c>
      <c r="G28" s="18">
        <f t="shared" si="2"/>
        <v>15764.815264515391</v>
      </c>
      <c r="H28" s="12">
        <f t="shared" si="3"/>
        <v>0.23289725608679851</v>
      </c>
    </row>
    <row r="29" spans="2:8" x14ac:dyDescent="0.25">
      <c r="B29" s="31" t="str">
        <f>+'County Data'!$B$40</f>
        <v>County 30</v>
      </c>
      <c r="C29" s="20">
        <f>VLOOKUP($B29,'County Data'!$B$11:$L$44,3,FALSE)</f>
        <v>26900</v>
      </c>
      <c r="D29" s="73">
        <f>VLOOKUP($B29,'County Data'!$B$11:$L$44,7,FALSE)</f>
        <v>0.186</v>
      </c>
      <c r="E29" s="79">
        <f t="shared" si="0"/>
        <v>5003.3999999999996</v>
      </c>
      <c r="F29" s="7">
        <f t="shared" si="1"/>
        <v>7.6823251854504964E-3</v>
      </c>
      <c r="G29" s="18">
        <f t="shared" si="2"/>
        <v>6264.9361887348796</v>
      </c>
      <c r="H29" s="12">
        <f t="shared" si="3"/>
        <v>0.23289725608679851</v>
      </c>
    </row>
    <row r="30" spans="2:8" x14ac:dyDescent="0.25">
      <c r="B30" s="31" t="str">
        <f>+'County Data'!$B$33</f>
        <v>County 23</v>
      </c>
      <c r="C30" s="20">
        <f>VLOOKUP($B30,'County Data'!$B$11:$L$44,3,FALSE)</f>
        <v>339200</v>
      </c>
      <c r="D30" s="73">
        <f>VLOOKUP($B30,'County Data'!$B$11:$L$44,7,FALSE)</f>
        <v>0.17199999999999999</v>
      </c>
      <c r="E30" s="79">
        <f t="shared" si="0"/>
        <v>58342.399999999994</v>
      </c>
      <c r="F30" s="7">
        <f t="shared" si="1"/>
        <v>8.9580143282493307E-2</v>
      </c>
      <c r="G30" s="18">
        <f t="shared" si="2"/>
        <v>73052.606846873299</v>
      </c>
      <c r="H30" s="12">
        <f t="shared" si="3"/>
        <v>0.21536735509101798</v>
      </c>
    </row>
    <row r="31" spans="2:8" x14ac:dyDescent="0.25">
      <c r="B31" s="31" t="str">
        <f>+'County Data'!$B$34</f>
        <v>County 24</v>
      </c>
      <c r="C31" s="20">
        <f>VLOOKUP($B31,'County Data'!$B$11:$L$44,3,FALSE)</f>
        <v>11890</v>
      </c>
      <c r="D31" s="73">
        <f>VLOOKUP($B31,'County Data'!$B$11:$L$44,7,FALSE)</f>
        <v>0.152</v>
      </c>
      <c r="E31" s="79">
        <f t="shared" si="0"/>
        <v>1807.28</v>
      </c>
      <c r="F31" s="7">
        <f t="shared" si="1"/>
        <v>2.7749355760404875E-3</v>
      </c>
      <c r="G31" s="18">
        <f t="shared" si="2"/>
        <v>2262.9599622610176</v>
      </c>
      <c r="H31" s="12">
        <f t="shared" si="3"/>
        <v>0.19032463938276009</v>
      </c>
    </row>
    <row r="32" spans="2:8" x14ac:dyDescent="0.25">
      <c r="B32" s="31" t="str">
        <f>+'County Data'!$B$31</f>
        <v>County 21</v>
      </c>
      <c r="C32" s="20">
        <f>VLOOKUP($B32,'County Data'!$B$11:$L$44,3,FALSE)</f>
        <v>124010</v>
      </c>
      <c r="D32" s="73">
        <f>VLOOKUP($B32,'County Data'!$B$11:$L$44,7,FALSE)</f>
        <v>0.17299999999999999</v>
      </c>
      <c r="E32" s="79">
        <f t="shared" si="0"/>
        <v>21453.73</v>
      </c>
      <c r="F32" s="7">
        <f t="shared" si="1"/>
        <v>3.2940506515740278E-2</v>
      </c>
      <c r="G32" s="18">
        <f t="shared" si="2"/>
        <v>26862.983063586198</v>
      </c>
      <c r="H32" s="12">
        <f t="shared" si="3"/>
        <v>0.21661949087643093</v>
      </c>
    </row>
    <row r="33" spans="2:8" x14ac:dyDescent="0.25">
      <c r="B33" s="31" t="str">
        <f>+'County Data'!$B$20</f>
        <v>County 10</v>
      </c>
      <c r="C33" s="20">
        <f>VLOOKUP($B33,'County Data'!$B$11:$L$44,3,FALSE)</f>
        <v>111180</v>
      </c>
      <c r="D33" s="73">
        <f>VLOOKUP($B33,'County Data'!$B$11:$L$44,7,FALSE)</f>
        <v>0.186</v>
      </c>
      <c r="E33" s="79">
        <f t="shared" si="0"/>
        <v>20679.48</v>
      </c>
      <c r="F33" s="7">
        <f t="shared" si="1"/>
        <v>3.1751706844549678E-2</v>
      </c>
      <c r="G33" s="18">
        <f t="shared" si="2"/>
        <v>25893.516931730261</v>
      </c>
      <c r="H33" s="12">
        <f t="shared" si="3"/>
        <v>0.23289725608679854</v>
      </c>
    </row>
    <row r="34" spans="2:8" x14ac:dyDescent="0.25">
      <c r="B34" s="31" t="str">
        <f>+'County Data'!$B$26</f>
        <v>County 16</v>
      </c>
      <c r="C34" s="20">
        <f>VLOOKUP($B34,'County Data'!$B$11:$L$44,3,FALSE)</f>
        <v>85650</v>
      </c>
      <c r="D34" s="73">
        <f>VLOOKUP($B34,'County Data'!$B$11:$L$44,7,FALSE)</f>
        <v>0.19500000000000001</v>
      </c>
      <c r="E34" s="79">
        <f t="shared" si="0"/>
        <v>16701.75</v>
      </c>
      <c r="F34" s="7">
        <f t="shared" si="1"/>
        <v>2.5644216865750857E-2</v>
      </c>
      <c r="G34" s="18">
        <f t="shared" si="2"/>
        <v>20912.858854019825</v>
      </c>
      <c r="H34" s="12">
        <f t="shared" si="3"/>
        <v>0.24416647815551459</v>
      </c>
    </row>
    <row r="35" spans="2:8" x14ac:dyDescent="0.25">
      <c r="B35" s="31" t="str">
        <f>+'County Data'!$B$29</f>
        <v>County 19</v>
      </c>
      <c r="C35" s="20">
        <f>VLOOKUP($B35,'County Data'!$B$11:$L$44,3,FALSE)</f>
        <v>370600</v>
      </c>
      <c r="D35" s="73">
        <f>VLOOKUP($B35,'County Data'!$B$11:$L$44,7,FALSE)</f>
        <v>0.19700000000000001</v>
      </c>
      <c r="E35" s="79">
        <f t="shared" si="0"/>
        <v>73008.2</v>
      </c>
      <c r="F35" s="7">
        <f t="shared" si="1"/>
        <v>0.1120983198633743</v>
      </c>
      <c r="G35" s="18">
        <f t="shared" si="2"/>
        <v>91416.179848581742</v>
      </c>
      <c r="H35" s="12">
        <f t="shared" si="3"/>
        <v>0.24667074972634037</v>
      </c>
    </row>
    <row r="36" spans="2:8" x14ac:dyDescent="0.25">
      <c r="B36" s="31" t="str">
        <f>+'County Data'!$B$17</f>
        <v>County 7</v>
      </c>
      <c r="C36" s="20">
        <f>VLOOKUP($B36,'County Data'!$B$11:$L$44,3,FALSE)</f>
        <v>22105</v>
      </c>
      <c r="D36" s="73">
        <f>VLOOKUP($B36,'County Data'!$B$11:$L$44,7,FALSE)</f>
        <v>0.17699999999999999</v>
      </c>
      <c r="E36" s="79">
        <f t="shared" si="0"/>
        <v>3912.5849999999996</v>
      </c>
      <c r="F36" s="7">
        <f t="shared" si="1"/>
        <v>6.0074649809561164E-3</v>
      </c>
      <c r="G36" s="18">
        <f t="shared" si="2"/>
        <v>4899.087691969713</v>
      </c>
      <c r="H36" s="12">
        <f t="shared" si="3"/>
        <v>0.22162803401808248</v>
      </c>
    </row>
    <row r="37" spans="2:8" x14ac:dyDescent="0.25">
      <c r="B37" s="31" t="str">
        <f>+'County Data'!$B$25</f>
        <v>County 15</v>
      </c>
      <c r="C37" s="20">
        <f>VLOOKUP($B37,'County Data'!$B$11:$L$44,3,FALSE)</f>
        <v>23190</v>
      </c>
      <c r="D37" s="73">
        <f>VLOOKUP($B37,'County Data'!$B$11:$L$44,7,FALSE)</f>
        <v>0.20300000000000001</v>
      </c>
      <c r="E37" s="79">
        <f t="shared" si="0"/>
        <v>4707.5700000000006</v>
      </c>
      <c r="F37" s="7">
        <f t="shared" si="1"/>
        <v>7.2281016055624576E-3</v>
      </c>
      <c r="G37" s="18">
        <f t="shared" si="2"/>
        <v>5894.5168593361841</v>
      </c>
      <c r="H37" s="12">
        <f t="shared" si="3"/>
        <v>0.25418356443881779</v>
      </c>
    </row>
    <row r="38" spans="2:8" x14ac:dyDescent="0.25">
      <c r="B38" s="31" t="str">
        <f>+'County Data'!$B$22</f>
        <v>County 12</v>
      </c>
      <c r="C38" s="20">
        <f>VLOOKUP($B38,'County Data'!$B$11:$L$44,3,FALSE)</f>
        <v>7360</v>
      </c>
      <c r="D38" s="73">
        <f>VLOOKUP($B38,'County Data'!$B$11:$L$44,7,FALSE)</f>
        <v>0.16400000000000001</v>
      </c>
      <c r="E38" s="79">
        <f t="shared" si="0"/>
        <v>1207.04</v>
      </c>
      <c r="F38" s="7">
        <f t="shared" si="1"/>
        <v>1.8533145045061695E-3</v>
      </c>
      <c r="G38" s="18">
        <f t="shared" si="2"/>
        <v>1511.3779784247813</v>
      </c>
      <c r="H38" s="12">
        <f t="shared" si="3"/>
        <v>0.20535026880771484</v>
      </c>
    </row>
    <row r="39" spans="2:8" x14ac:dyDescent="0.25">
      <c r="B39" s="31" t="str">
        <f>+'County Data'!$B$12</f>
        <v>County 2</v>
      </c>
      <c r="C39" s="20">
        <f>VLOOKUP($B39,'County Data'!$B$11:$L$44,3,FALSE)</f>
        <v>92575</v>
      </c>
      <c r="D39" s="73">
        <f>VLOOKUP($B39,'County Data'!$B$11:$L$44,7,FALSE)</f>
        <v>0.215</v>
      </c>
      <c r="E39" s="79">
        <f t="shared" si="0"/>
        <v>19903.625</v>
      </c>
      <c r="F39" s="7">
        <f t="shared" si="1"/>
        <v>3.0560442822732972E-2</v>
      </c>
      <c r="G39" s="18">
        <f t="shared" si="2"/>
        <v>24922.041121938739</v>
      </c>
      <c r="H39" s="12">
        <f t="shared" si="3"/>
        <v>0.26920919386377251</v>
      </c>
    </row>
    <row r="40" spans="2:8" x14ac:dyDescent="0.25">
      <c r="B40" s="31" t="str">
        <f>+'County Data'!$B$32</f>
        <v>County 22</v>
      </c>
      <c r="C40" s="20">
        <f>VLOOKUP($B40,'County Data'!$B$11:$L$44,3,FALSE)</f>
        <v>31845</v>
      </c>
      <c r="D40" s="73">
        <f>VLOOKUP($B40,'County Data'!$B$11:$L$44,7,FALSE)</f>
        <v>0.248</v>
      </c>
      <c r="E40" s="79">
        <f t="shared" si="0"/>
        <v>7897.5599999999995</v>
      </c>
      <c r="F40" s="7">
        <f t="shared" si="1"/>
        <v>1.2126079084543795E-2</v>
      </c>
      <c r="G40" s="18">
        <f t="shared" si="2"/>
        <v>9888.8174934454655</v>
      </c>
      <c r="H40" s="12">
        <f t="shared" si="3"/>
        <v>0.31052967478239801</v>
      </c>
    </row>
    <row r="41" spans="2:8" x14ac:dyDescent="0.25">
      <c r="B41" s="5" t="s">
        <v>3</v>
      </c>
      <c r="C41" s="6">
        <f>SUM(C7:C40)</f>
        <v>4141100</v>
      </c>
      <c r="D41" s="6"/>
      <c r="E41" s="6">
        <f>SUM(E7:E40)</f>
        <v>651287.19225214585</v>
      </c>
      <c r="F41" s="10">
        <f>SUM(F7:F40)</f>
        <v>1</v>
      </c>
      <c r="G41" s="13">
        <f>SUM(G7:G40)</f>
        <v>815499.99999999988</v>
      </c>
      <c r="H41" s="14">
        <f t="shared" ref="H41" si="4">G41/C41</f>
        <v>0.19692835237014317</v>
      </c>
    </row>
  </sheetData>
  <sortState ref="B7:H40">
    <sortCondition ref="D7:D40"/>
  </sortState>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H41"/>
  <sheetViews>
    <sheetView workbookViewId="0"/>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17</v>
      </c>
      <c r="C4" s="18">
        <f>'County Data'!I10</f>
        <v>0</v>
      </c>
      <c r="D4" s="11"/>
    </row>
    <row r="6" spans="2:8" s="2" customFormat="1" ht="30" x14ac:dyDescent="0.25">
      <c r="B6" s="3" t="s">
        <v>8</v>
      </c>
      <c r="C6" s="3" t="s">
        <v>1</v>
      </c>
      <c r="D6" s="3" t="s">
        <v>19</v>
      </c>
      <c r="E6" s="3" t="s">
        <v>77</v>
      </c>
      <c r="F6" s="3" t="s">
        <v>78</v>
      </c>
      <c r="G6" s="17" t="s">
        <v>18</v>
      </c>
      <c r="H6" s="3" t="s">
        <v>7</v>
      </c>
    </row>
    <row r="7" spans="2:8" x14ac:dyDescent="0.25">
      <c r="B7" s="31" t="str">
        <f>+'County Data'!$B$34</f>
        <v>County 24</v>
      </c>
      <c r="C7" s="20">
        <f>VLOOKUP($B7,'County Data'!$B$11:$L$44,3,FALSE)</f>
        <v>11890</v>
      </c>
      <c r="D7" s="73">
        <f>VLOOKUP($B7,'County Data'!$B$11:$L$44,8,FALSE)</f>
        <v>0.4007</v>
      </c>
      <c r="E7" s="79">
        <f t="shared" ref="E7:E40" si="0">C7*D7</f>
        <v>4764.3230000000003</v>
      </c>
      <c r="F7" s="7">
        <f t="shared" ref="F7:F40" si="1">E7/$E$41</f>
        <v>2.5659670927837327E-3</v>
      </c>
      <c r="G7" s="18">
        <f t="shared" ref="G7:G40" si="2">$C$4*F7</f>
        <v>0</v>
      </c>
      <c r="H7" s="12">
        <f t="shared" ref="H7:H40" si="3">G7/C7</f>
        <v>0</v>
      </c>
    </row>
    <row r="8" spans="2:8" x14ac:dyDescent="0.25">
      <c r="B8" s="31" t="str">
        <f>+'County Data'!$B$31</f>
        <v>County 21</v>
      </c>
      <c r="C8" s="20">
        <f>VLOOKUP($B8,'County Data'!$B$11:$L$44,3,FALSE)</f>
        <v>124010</v>
      </c>
      <c r="D8" s="73">
        <f>VLOOKUP($B8,'County Data'!$B$11:$L$44,8,FALSE)</f>
        <v>0.40699999999999997</v>
      </c>
      <c r="E8" s="79">
        <f t="shared" si="0"/>
        <v>50472.07</v>
      </c>
      <c r="F8" s="7">
        <f t="shared" si="1"/>
        <v>2.7183226394322347E-2</v>
      </c>
      <c r="G8" s="18">
        <f t="shared" si="2"/>
        <v>0</v>
      </c>
      <c r="H8" s="12">
        <f t="shared" si="3"/>
        <v>0</v>
      </c>
    </row>
    <row r="9" spans="2:8" x14ac:dyDescent="0.25">
      <c r="B9" s="31" t="str">
        <f>+'County Data'!$B$23</f>
        <v>County 13</v>
      </c>
      <c r="C9" s="20">
        <f>VLOOKUP($B9,'County Data'!$B$11:$L$44,3,FALSE)</f>
        <v>25145</v>
      </c>
      <c r="D9" s="73">
        <f>VLOOKUP($B9,'County Data'!$B$11:$L$44,8,FALSE)</f>
        <v>0.40910000000000002</v>
      </c>
      <c r="E9" s="79">
        <f t="shared" si="0"/>
        <v>10286.8195</v>
      </c>
      <c r="F9" s="7">
        <f t="shared" si="1"/>
        <v>5.540270952747328E-3</v>
      </c>
      <c r="G9" s="18">
        <f t="shared" si="2"/>
        <v>0</v>
      </c>
      <c r="H9" s="12">
        <f t="shared" si="3"/>
        <v>0</v>
      </c>
    </row>
    <row r="10" spans="2:8" x14ac:dyDescent="0.25">
      <c r="B10" s="31" t="str">
        <f>+'County Data'!$B$39</f>
        <v>County 29</v>
      </c>
      <c r="C10" s="20">
        <f>VLOOKUP($B10,'County Data'!$B$11:$L$44,3,FALSE)</f>
        <v>80500</v>
      </c>
      <c r="D10" s="73">
        <f>VLOOKUP($B10,'County Data'!$B$11:$L$44,8,FALSE)</f>
        <v>0.41739999999999999</v>
      </c>
      <c r="E10" s="79">
        <f t="shared" si="0"/>
        <v>33600.699999999997</v>
      </c>
      <c r="F10" s="7">
        <f t="shared" si="1"/>
        <v>1.809665098157668E-2</v>
      </c>
      <c r="G10" s="18">
        <f t="shared" si="2"/>
        <v>0</v>
      </c>
      <c r="H10" s="12">
        <f t="shared" si="3"/>
        <v>0</v>
      </c>
    </row>
    <row r="11" spans="2:8" x14ac:dyDescent="0.25">
      <c r="B11" s="31" t="str">
        <f>+'County Data'!$B$38</f>
        <v>County 28</v>
      </c>
      <c r="C11" s="20">
        <f>VLOOKUP($B11,'County Data'!$B$11:$L$44,3,FALSE)</f>
        <v>26175</v>
      </c>
      <c r="D11" s="73">
        <f>VLOOKUP($B11,'County Data'!$B$11:$L$44,8,FALSE)</f>
        <v>0.41760000000000003</v>
      </c>
      <c r="E11" s="79">
        <f t="shared" si="0"/>
        <v>10930.68</v>
      </c>
      <c r="F11" s="7">
        <f t="shared" si="1"/>
        <v>5.8870410720997064E-3</v>
      </c>
      <c r="G11" s="18">
        <f t="shared" si="2"/>
        <v>0</v>
      </c>
      <c r="H11" s="12">
        <f t="shared" si="3"/>
        <v>0</v>
      </c>
    </row>
    <row r="12" spans="2:8" x14ac:dyDescent="0.25">
      <c r="B12" s="31" t="str">
        <f>+'County Data'!$B$18</f>
        <v>County 8</v>
      </c>
      <c r="C12" s="20">
        <f>VLOOKUP($B12,'County Data'!$B$11:$L$44,3,FALSE)</f>
        <v>22805</v>
      </c>
      <c r="D12" s="73">
        <f>VLOOKUP($B12,'County Data'!$B$11:$L$44,8,FALSE)</f>
        <v>0.41810000000000003</v>
      </c>
      <c r="E12" s="79">
        <f t="shared" si="0"/>
        <v>9534.7705000000005</v>
      </c>
      <c r="F12" s="7">
        <f t="shared" si="1"/>
        <v>5.1352327162211917E-3</v>
      </c>
      <c r="G12" s="18">
        <f t="shared" si="2"/>
        <v>0</v>
      </c>
      <c r="H12" s="12">
        <f t="shared" si="3"/>
        <v>0</v>
      </c>
    </row>
    <row r="13" spans="2:8" x14ac:dyDescent="0.25">
      <c r="B13" s="31" t="str">
        <f>+'County Data'!$B$37</f>
        <v>County 27</v>
      </c>
      <c r="C13" s="20">
        <f>VLOOKUP($B13,'County Data'!$B$11:$L$44,3,FALSE)</f>
        <v>81000</v>
      </c>
      <c r="D13" s="73">
        <f>VLOOKUP($B13,'County Data'!$B$11:$L$44,8,FALSE)</f>
        <v>0.41980000000000001</v>
      </c>
      <c r="E13" s="79">
        <f t="shared" si="0"/>
        <v>34003.800000000003</v>
      </c>
      <c r="F13" s="7">
        <f t="shared" si="1"/>
        <v>1.8313752411328845E-2</v>
      </c>
      <c r="G13" s="18">
        <f t="shared" si="2"/>
        <v>0</v>
      </c>
      <c r="H13" s="12">
        <f t="shared" si="3"/>
        <v>0</v>
      </c>
    </row>
    <row r="14" spans="2:8" x14ac:dyDescent="0.25">
      <c r="B14" s="31" t="str">
        <f>+'County Data'!$B$17</f>
        <v>County 7</v>
      </c>
      <c r="C14" s="20">
        <f>VLOOKUP($B14,'County Data'!$B$11:$L$44,3,FALSE)</f>
        <v>22105</v>
      </c>
      <c r="D14" s="73">
        <f>VLOOKUP($B14,'County Data'!$B$11:$L$44,8,FALSE)</f>
        <v>0.42049999999999998</v>
      </c>
      <c r="E14" s="79">
        <f t="shared" si="0"/>
        <v>9295.1525000000001</v>
      </c>
      <c r="F14" s="7">
        <f t="shared" si="1"/>
        <v>5.0061793537941159E-3</v>
      </c>
      <c r="G14" s="18">
        <f t="shared" si="2"/>
        <v>0</v>
      </c>
      <c r="H14" s="12">
        <f t="shared" si="3"/>
        <v>0</v>
      </c>
    </row>
    <row r="15" spans="2:8" x14ac:dyDescent="0.25">
      <c r="B15" s="31" t="str">
        <f>+'County Data'!$B$44</f>
        <v>County 34</v>
      </c>
      <c r="C15" s="20">
        <f>VLOOKUP($B15,'County Data'!$B$11:$L$44,3,FALSE)</f>
        <v>106300</v>
      </c>
      <c r="D15" s="73">
        <f>VLOOKUP($B15,'County Data'!$B$11:$L$44,8,FALSE)</f>
        <v>0.42109999999999997</v>
      </c>
      <c r="E15" s="79">
        <f t="shared" si="0"/>
        <v>44762.93</v>
      </c>
      <c r="F15" s="7">
        <f t="shared" si="1"/>
        <v>2.4108400156030923E-2</v>
      </c>
      <c r="G15" s="18">
        <f t="shared" si="2"/>
        <v>0</v>
      </c>
      <c r="H15" s="12">
        <f t="shared" si="3"/>
        <v>0</v>
      </c>
    </row>
    <row r="16" spans="2:8" x14ac:dyDescent="0.25">
      <c r="B16" s="31" t="str">
        <f>+'County Data'!$B$15</f>
        <v>County 5</v>
      </c>
      <c r="C16" s="20">
        <f>VLOOKUP($B16,'County Data'!$B$11:$L$44,3,FALSE)</f>
        <v>51345</v>
      </c>
      <c r="D16" s="73">
        <f>VLOOKUP($B16,'County Data'!$B$11:$L$44,8,FALSE)</f>
        <v>0.4219</v>
      </c>
      <c r="E16" s="79">
        <f t="shared" si="0"/>
        <v>21662.4555</v>
      </c>
      <c r="F16" s="7">
        <f t="shared" si="1"/>
        <v>1.1666956241609138E-2</v>
      </c>
      <c r="G16" s="18">
        <f t="shared" si="2"/>
        <v>0</v>
      </c>
      <c r="H16" s="12">
        <f t="shared" si="3"/>
        <v>0</v>
      </c>
    </row>
    <row r="17" spans="2:8" x14ac:dyDescent="0.25">
      <c r="B17" s="31" t="str">
        <f>+'County Data'!$B$41</f>
        <v>County 31</v>
      </c>
      <c r="C17" s="20">
        <f>VLOOKUP($B17,'County Data'!$B$11:$L$44,3,FALSE)</f>
        <v>7195</v>
      </c>
      <c r="D17" s="73">
        <f>VLOOKUP($B17,'County Data'!$B$11:$L$44,8,FALSE)</f>
        <v>0.42259999999999998</v>
      </c>
      <c r="E17" s="79">
        <f t="shared" si="0"/>
        <v>3040.607</v>
      </c>
      <c r="F17" s="7">
        <f t="shared" si="1"/>
        <v>1.6376088489566862E-3</v>
      </c>
      <c r="G17" s="18">
        <f t="shared" si="2"/>
        <v>0</v>
      </c>
      <c r="H17" s="12">
        <f t="shared" si="3"/>
        <v>0</v>
      </c>
    </row>
    <row r="18" spans="2:8" x14ac:dyDescent="0.25">
      <c r="B18" s="31" t="str">
        <f>+'County Data'!$B$20</f>
        <v>County 10</v>
      </c>
      <c r="C18" s="20">
        <f>VLOOKUP($B18,'County Data'!$B$11:$L$44,3,FALSE)</f>
        <v>111180</v>
      </c>
      <c r="D18" s="73">
        <f>VLOOKUP($B18,'County Data'!$B$11:$L$44,8,FALSE)</f>
        <v>0.42309999999999998</v>
      </c>
      <c r="E18" s="79">
        <f t="shared" si="0"/>
        <v>47040.257999999994</v>
      </c>
      <c r="F18" s="7">
        <f t="shared" si="1"/>
        <v>2.5334922519748702E-2</v>
      </c>
      <c r="G18" s="18">
        <f t="shared" si="2"/>
        <v>0</v>
      </c>
      <c r="H18" s="12">
        <f t="shared" si="3"/>
        <v>0</v>
      </c>
    </row>
    <row r="19" spans="2:8" x14ac:dyDescent="0.25">
      <c r="B19" s="31" t="str">
        <f>+'County Data'!$B$22</f>
        <v>County 12</v>
      </c>
      <c r="C19" s="20">
        <f>VLOOKUP($B19,'County Data'!$B$11:$L$44,3,FALSE)</f>
        <v>7360</v>
      </c>
      <c r="D19" s="73">
        <f>VLOOKUP($B19,'County Data'!$B$11:$L$44,8,FALSE)</f>
        <v>0.42320000000000002</v>
      </c>
      <c r="E19" s="79">
        <f t="shared" si="0"/>
        <v>3114.752</v>
      </c>
      <c r="F19" s="7">
        <f t="shared" si="1"/>
        <v>1.6775418321096861E-3</v>
      </c>
      <c r="G19" s="18">
        <f t="shared" si="2"/>
        <v>0</v>
      </c>
      <c r="H19" s="12">
        <f t="shared" si="3"/>
        <v>0</v>
      </c>
    </row>
    <row r="20" spans="2:8" x14ac:dyDescent="0.25">
      <c r="B20" s="31" t="str">
        <f>+'County Data'!$B$25</f>
        <v>County 15</v>
      </c>
      <c r="C20" s="20">
        <f>VLOOKUP($B20,'County Data'!$B$11:$L$44,3,FALSE)</f>
        <v>23190</v>
      </c>
      <c r="D20" s="73">
        <f>VLOOKUP($B20,'County Data'!$B$11:$L$44,8,FALSE)</f>
        <v>0.4234</v>
      </c>
      <c r="E20" s="79">
        <f t="shared" si="0"/>
        <v>9818.6460000000006</v>
      </c>
      <c r="F20" s="7">
        <f t="shared" si="1"/>
        <v>5.2881222645258571E-3</v>
      </c>
      <c r="G20" s="18">
        <f t="shared" si="2"/>
        <v>0</v>
      </c>
      <c r="H20" s="12">
        <f t="shared" si="3"/>
        <v>0</v>
      </c>
    </row>
    <row r="21" spans="2:8" x14ac:dyDescent="0.25">
      <c r="B21" s="31" t="str">
        <f>+'County Data'!$B$36</f>
        <v>County 26</v>
      </c>
      <c r="C21" s="20">
        <f>VLOOKUP($B21,'County Data'!$B$11:$L$44,3,FALSE)</f>
        <v>30895</v>
      </c>
      <c r="D21" s="73">
        <f>VLOOKUP($B21,'County Data'!$B$11:$L$44,8,FALSE)</f>
        <v>0.4239</v>
      </c>
      <c r="E21" s="79">
        <f t="shared" si="0"/>
        <v>13096.3905</v>
      </c>
      <c r="F21" s="7">
        <f t="shared" si="1"/>
        <v>7.0534485292549414E-3</v>
      </c>
      <c r="G21" s="18">
        <f t="shared" si="2"/>
        <v>0</v>
      </c>
      <c r="H21" s="12">
        <f t="shared" si="3"/>
        <v>0</v>
      </c>
    </row>
    <row r="22" spans="2:8" x14ac:dyDescent="0.25">
      <c r="B22" s="31" t="str">
        <f>+'County Data'!$B$33</f>
        <v>County 23</v>
      </c>
      <c r="C22" s="20">
        <f>VLOOKUP($B22,'County Data'!$B$11:$L$44,3,FALSE)</f>
        <v>339200</v>
      </c>
      <c r="D22" s="73">
        <f>VLOOKUP($B22,'County Data'!$B$11:$L$44,8,FALSE)</f>
        <v>0.42799999999999999</v>
      </c>
      <c r="E22" s="79">
        <f t="shared" si="0"/>
        <v>145177.60000000001</v>
      </c>
      <c r="F22" s="7">
        <f t="shared" si="1"/>
        <v>7.8189691213068388E-2</v>
      </c>
      <c r="G22" s="18">
        <f t="shared" si="2"/>
        <v>0</v>
      </c>
      <c r="H22" s="12">
        <f t="shared" si="3"/>
        <v>0</v>
      </c>
    </row>
    <row r="23" spans="2:8" x14ac:dyDescent="0.25">
      <c r="B23" s="31" t="str">
        <f>+'County Data'!$B$42</f>
        <v>County 32</v>
      </c>
      <c r="C23" s="20">
        <f>VLOOKUP($B23,'County Data'!$B$11:$L$44,3,FALSE)</f>
        <v>595860</v>
      </c>
      <c r="D23" s="73">
        <f>VLOOKUP($B23,'County Data'!$B$11:$L$44,8,FALSE)</f>
        <v>0.42809999999999998</v>
      </c>
      <c r="E23" s="79">
        <f t="shared" si="0"/>
        <v>255087.666</v>
      </c>
      <c r="F23" s="7">
        <f t="shared" si="1"/>
        <v>0.13738500868455134</v>
      </c>
      <c r="G23" s="18">
        <f t="shared" si="2"/>
        <v>0</v>
      </c>
      <c r="H23" s="12">
        <f t="shared" si="3"/>
        <v>0</v>
      </c>
    </row>
    <row r="24" spans="2:8" x14ac:dyDescent="0.25">
      <c r="B24" s="31" t="str">
        <f>+'County Data'!$B$30</f>
        <v>County 20</v>
      </c>
      <c r="C24" s="20">
        <f>VLOOKUP($B24,'County Data'!$B$11:$L$44,3,FALSE)</f>
        <v>47960</v>
      </c>
      <c r="D24" s="73">
        <f>VLOOKUP($B24,'County Data'!$B$11:$L$44,8,FALSE)</f>
        <v>0.43269999999999997</v>
      </c>
      <c r="E24" s="79">
        <f t="shared" si="0"/>
        <v>20752.291999999998</v>
      </c>
      <c r="F24" s="7">
        <f t="shared" si="1"/>
        <v>1.1176760763667597E-2</v>
      </c>
      <c r="G24" s="18">
        <f t="shared" si="2"/>
        <v>0</v>
      </c>
      <c r="H24" s="12">
        <f t="shared" si="3"/>
        <v>0</v>
      </c>
    </row>
    <row r="25" spans="2:8" x14ac:dyDescent="0.25">
      <c r="B25" s="31" t="str">
        <f>+'County Data'!$B$14</f>
        <v>County 4</v>
      </c>
      <c r="C25" s="20">
        <f>VLOOKUP($B25,'County Data'!$B$11:$L$44,3,FALSE)</f>
        <v>38820</v>
      </c>
      <c r="D25" s="73">
        <f>VLOOKUP($B25,'County Data'!$B$11:$L$44,8,FALSE)</f>
        <v>0.43290000000000001</v>
      </c>
      <c r="E25" s="79">
        <f t="shared" si="0"/>
        <v>16805.178</v>
      </c>
      <c r="F25" s="7">
        <f t="shared" si="1"/>
        <v>9.0509257530132069E-3</v>
      </c>
      <c r="G25" s="18">
        <f t="shared" si="2"/>
        <v>0</v>
      </c>
      <c r="H25" s="12">
        <f t="shared" si="3"/>
        <v>0</v>
      </c>
    </row>
    <row r="26" spans="2:8" x14ac:dyDescent="0.25">
      <c r="B26" s="31" t="str">
        <f>+'County Data'!$B$27</f>
        <v>County 17</v>
      </c>
      <c r="C26" s="20">
        <f>VLOOKUP($B26,'County Data'!$B$11:$L$44,3,FALSE)</f>
        <v>67690</v>
      </c>
      <c r="D26" s="73">
        <f>VLOOKUP($B26,'County Data'!$B$11:$L$44,8,FALSE)</f>
        <v>0.436</v>
      </c>
      <c r="E26" s="79">
        <f t="shared" si="0"/>
        <v>29512.84</v>
      </c>
      <c r="F26" s="7">
        <f t="shared" si="1"/>
        <v>1.5895013048987536E-2</v>
      </c>
      <c r="G26" s="18">
        <f t="shared" si="2"/>
        <v>0</v>
      </c>
      <c r="H26" s="12">
        <f t="shared" si="3"/>
        <v>0</v>
      </c>
    </row>
    <row r="27" spans="2:8" x14ac:dyDescent="0.25">
      <c r="B27" s="31" t="str">
        <f>+'County Data'!$B$21</f>
        <v>County 11</v>
      </c>
      <c r="C27" s="20">
        <f>VLOOKUP($B27,'County Data'!$B$11:$L$44,3,FALSE)</f>
        <v>7415</v>
      </c>
      <c r="D27" s="73">
        <f>VLOOKUP($B27,'County Data'!$B$11:$L$44,8,FALSE)</f>
        <v>0.43909999999999999</v>
      </c>
      <c r="E27" s="79">
        <f t="shared" si="0"/>
        <v>3255.9265</v>
      </c>
      <c r="F27" s="7">
        <f t="shared" si="1"/>
        <v>1.7535755353955877E-3</v>
      </c>
      <c r="G27" s="18">
        <f t="shared" si="2"/>
        <v>0</v>
      </c>
      <c r="H27" s="12">
        <f t="shared" si="3"/>
        <v>0</v>
      </c>
    </row>
    <row r="28" spans="2:8" x14ac:dyDescent="0.25">
      <c r="B28" s="31" t="str">
        <f>+'County Data'!$B$13</f>
        <v>County 3</v>
      </c>
      <c r="C28" s="20">
        <f>VLOOKUP($B28,'County Data'!$B$11:$L$44,3,FALSE)</f>
        <v>413000</v>
      </c>
      <c r="D28" s="73">
        <f>VLOOKUP($B28,'County Data'!$B$11:$L$44,8,FALSE)</f>
        <v>0.44109999999999999</v>
      </c>
      <c r="E28" s="79">
        <f t="shared" si="0"/>
        <v>182174.3</v>
      </c>
      <c r="F28" s="7">
        <f t="shared" si="1"/>
        <v>9.8115358457206078E-2</v>
      </c>
      <c r="G28" s="18">
        <f t="shared" si="2"/>
        <v>0</v>
      </c>
      <c r="H28" s="12">
        <f t="shared" si="3"/>
        <v>0</v>
      </c>
    </row>
    <row r="29" spans="2:8" x14ac:dyDescent="0.25">
      <c r="B29" s="31" t="str">
        <f>+'County Data'!$B$24</f>
        <v>County 14</v>
      </c>
      <c r="C29" s="20">
        <f>VLOOKUP($B29,'County Data'!$B$11:$L$44,3,FALSE)</f>
        <v>216900</v>
      </c>
      <c r="D29" s="73">
        <f>VLOOKUP($B29,'County Data'!$B$11:$L$44,8,FALSE)</f>
        <v>0.4511</v>
      </c>
      <c r="E29" s="79">
        <f t="shared" si="0"/>
        <v>97843.59</v>
      </c>
      <c r="F29" s="7">
        <f t="shared" si="1"/>
        <v>5.2696559863767312E-2</v>
      </c>
      <c r="G29" s="18">
        <f t="shared" si="2"/>
        <v>0</v>
      </c>
      <c r="H29" s="12">
        <f t="shared" si="3"/>
        <v>0</v>
      </c>
    </row>
    <row r="30" spans="2:8" x14ac:dyDescent="0.25">
      <c r="B30" s="31" t="str">
        <f>'County Data'!$B$43</f>
        <v>County 33</v>
      </c>
      <c r="C30" s="20">
        <f>VLOOKUP($B30,'County Data'!$B$11:$L$44,3,FALSE)</f>
        <v>1480</v>
      </c>
      <c r="D30" s="73">
        <f>VLOOKUP($B30,'County Data'!$B$11:$L$44,8,FALSE)</f>
        <v>0.45600000000000002</v>
      </c>
      <c r="E30" s="79">
        <f t="shared" si="0"/>
        <v>674.88</v>
      </c>
      <c r="F30" s="7">
        <f t="shared" si="1"/>
        <v>3.634765887153086E-4</v>
      </c>
      <c r="G30" s="18">
        <f t="shared" si="2"/>
        <v>0</v>
      </c>
      <c r="H30" s="12">
        <f t="shared" si="3"/>
        <v>0</v>
      </c>
    </row>
    <row r="31" spans="2:8" x14ac:dyDescent="0.25">
      <c r="B31" s="31" t="str">
        <f>+'County Data'!$B$11</f>
        <v>County 1</v>
      </c>
      <c r="C31" s="20">
        <f>VLOOKUP($B31,'County Data'!$B$11:$L$44,3,FALSE)</f>
        <v>16750</v>
      </c>
      <c r="D31" s="73">
        <f>VLOOKUP($B31,'County Data'!$B$11:$L$44,8,FALSE)</f>
        <v>0.45739999999999997</v>
      </c>
      <c r="E31" s="79">
        <f t="shared" si="0"/>
        <v>7661.45</v>
      </c>
      <c r="F31" s="7">
        <f t="shared" si="1"/>
        <v>4.1263005432267972E-3</v>
      </c>
      <c r="G31" s="18">
        <f t="shared" si="2"/>
        <v>0</v>
      </c>
      <c r="H31" s="12">
        <f t="shared" si="3"/>
        <v>0</v>
      </c>
    </row>
    <row r="32" spans="2:8" x14ac:dyDescent="0.25">
      <c r="B32" s="31" t="str">
        <f>+'County Data'!$B$32</f>
        <v>County 22</v>
      </c>
      <c r="C32" s="20">
        <f>VLOOKUP($B32,'County Data'!$B$11:$L$44,3,FALSE)</f>
        <v>31845</v>
      </c>
      <c r="D32" s="73">
        <f>VLOOKUP($B32,'County Data'!$B$11:$L$44,8,FALSE)</f>
        <v>0.46029999999999999</v>
      </c>
      <c r="E32" s="79">
        <f t="shared" si="0"/>
        <v>14658.253499999999</v>
      </c>
      <c r="F32" s="7">
        <f t="shared" si="1"/>
        <v>7.894636051896978E-3</v>
      </c>
      <c r="G32" s="18">
        <f t="shared" si="2"/>
        <v>0</v>
      </c>
      <c r="H32" s="12">
        <f t="shared" si="3"/>
        <v>0</v>
      </c>
    </row>
    <row r="33" spans="2:8" x14ac:dyDescent="0.25">
      <c r="B33" s="31" t="str">
        <f>+'County Data'!$B$28</f>
        <v>County 18</v>
      </c>
      <c r="C33" s="20">
        <f>VLOOKUP($B33,'County Data'!$B$11:$L$44,3,FALSE)</f>
        <v>8120</v>
      </c>
      <c r="D33" s="73">
        <f>VLOOKUP($B33,'County Data'!$B$11:$L$44,8,FALSE)</f>
        <v>0.4617</v>
      </c>
      <c r="E33" s="79">
        <f t="shared" si="0"/>
        <v>3749.0039999999999</v>
      </c>
      <c r="F33" s="7">
        <f t="shared" si="1"/>
        <v>2.0191370095425064E-3</v>
      </c>
      <c r="G33" s="18">
        <f t="shared" si="2"/>
        <v>0</v>
      </c>
      <c r="H33" s="12">
        <f t="shared" si="3"/>
        <v>0</v>
      </c>
    </row>
    <row r="34" spans="2:8" x14ac:dyDescent="0.25">
      <c r="B34" s="31" t="str">
        <f>+'County Data'!$B$19</f>
        <v>County 9</v>
      </c>
      <c r="C34" s="20">
        <f>VLOOKUP($B34,'County Data'!$B$11:$L$44,3,FALSE)</f>
        <v>182930</v>
      </c>
      <c r="D34" s="73">
        <f>VLOOKUP($B34,'County Data'!$B$11:$L$44,8,FALSE)</f>
        <v>0.46510000000000001</v>
      </c>
      <c r="E34" s="79">
        <f t="shared" si="0"/>
        <v>85080.743000000002</v>
      </c>
      <c r="F34" s="7">
        <f t="shared" si="1"/>
        <v>4.5822751053526366E-2</v>
      </c>
      <c r="G34" s="18">
        <f t="shared" si="2"/>
        <v>0</v>
      </c>
      <c r="H34" s="12">
        <f t="shared" si="3"/>
        <v>0</v>
      </c>
    </row>
    <row r="35" spans="2:8" x14ac:dyDescent="0.25">
      <c r="B35" s="31" t="str">
        <f>+'County Data'!$B$16</f>
        <v>County 6</v>
      </c>
      <c r="C35" s="20">
        <f>VLOOKUP($B35,'County Data'!$B$11:$L$44,3,FALSE)</f>
        <v>63310</v>
      </c>
      <c r="D35" s="73">
        <f>VLOOKUP($B35,'County Data'!$B$11:$L$44,8,FALSE)</f>
        <v>0.4662</v>
      </c>
      <c r="E35" s="79">
        <f t="shared" si="0"/>
        <v>29515.121999999999</v>
      </c>
      <c r="F35" s="7">
        <f t="shared" si="1"/>
        <v>1.5896242087595065E-2</v>
      </c>
      <c r="G35" s="18">
        <f t="shared" si="2"/>
        <v>0</v>
      </c>
      <c r="H35" s="12">
        <f t="shared" si="3"/>
        <v>0</v>
      </c>
    </row>
    <row r="36" spans="2:8" x14ac:dyDescent="0.25">
      <c r="B36" s="31" t="str">
        <f>+'County Data'!$B$40</f>
        <v>County 30</v>
      </c>
      <c r="C36" s="20">
        <f>VLOOKUP($B36,'County Data'!$B$11:$L$44,3,FALSE)</f>
        <v>26900</v>
      </c>
      <c r="D36" s="73">
        <f>VLOOKUP($B36,'County Data'!$B$11:$L$44,8,FALSE)</f>
        <v>0.46639999999999998</v>
      </c>
      <c r="E36" s="79">
        <f t="shared" si="0"/>
        <v>12546.16</v>
      </c>
      <c r="F36" s="7">
        <f t="shared" si="1"/>
        <v>6.7571056162228195E-3</v>
      </c>
      <c r="G36" s="18">
        <f t="shared" si="2"/>
        <v>0</v>
      </c>
      <c r="H36" s="12">
        <f t="shared" si="3"/>
        <v>0</v>
      </c>
    </row>
    <row r="37" spans="2:8" x14ac:dyDescent="0.25">
      <c r="B37" s="31" t="str">
        <f>+'County Data'!$B$29</f>
        <v>County 19</v>
      </c>
      <c r="C37" s="20">
        <f>VLOOKUP($B37,'County Data'!$B$11:$L$44,3,FALSE)</f>
        <v>370600</v>
      </c>
      <c r="D37" s="73">
        <f>VLOOKUP($B37,'County Data'!$B$11:$L$44,8,FALSE)</f>
        <v>0.4667</v>
      </c>
      <c r="E37" s="79">
        <f t="shared" si="0"/>
        <v>172959.02</v>
      </c>
      <c r="F37" s="7">
        <f t="shared" si="1"/>
        <v>9.3152196801124396E-2</v>
      </c>
      <c r="G37" s="18">
        <f t="shared" si="2"/>
        <v>0</v>
      </c>
      <c r="H37" s="12">
        <f t="shared" si="3"/>
        <v>0</v>
      </c>
    </row>
    <row r="38" spans="2:8" x14ac:dyDescent="0.25">
      <c r="B38" s="31" t="str">
        <f>+'County Data'!$B$26</f>
        <v>County 16</v>
      </c>
      <c r="C38" s="20">
        <f>VLOOKUP($B38,'County Data'!$B$11:$L$44,3,FALSE)</f>
        <v>85650</v>
      </c>
      <c r="D38" s="73">
        <f>VLOOKUP($B38,'County Data'!$B$11:$L$44,8,FALSE)</f>
        <v>0.47549999999999998</v>
      </c>
      <c r="E38" s="79">
        <f t="shared" si="0"/>
        <v>40726.574999999997</v>
      </c>
      <c r="F38" s="7">
        <f t="shared" si="1"/>
        <v>2.193450176484437E-2</v>
      </c>
      <c r="G38" s="18">
        <f t="shared" si="2"/>
        <v>0</v>
      </c>
      <c r="H38" s="12">
        <f t="shared" si="3"/>
        <v>0</v>
      </c>
    </row>
    <row r="39" spans="2:8" x14ac:dyDescent="0.25">
      <c r="B39" s="31" t="str">
        <f>+'County Data'!$B$35</f>
        <v>County 25</v>
      </c>
      <c r="C39" s="20">
        <f>VLOOKUP($B39,'County Data'!$B$11:$L$44,3,FALSE)</f>
        <v>803000</v>
      </c>
      <c r="D39" s="73">
        <f>VLOOKUP($B39,'County Data'!$B$11:$L$44,8,FALSE)</f>
        <v>0.48349999999999999</v>
      </c>
      <c r="E39" s="79">
        <f t="shared" si="0"/>
        <v>388250.5</v>
      </c>
      <c r="F39" s="7">
        <f t="shared" si="1"/>
        <v>0.2091037922401211</v>
      </c>
      <c r="G39" s="18">
        <f t="shared" si="2"/>
        <v>0</v>
      </c>
      <c r="H39" s="12">
        <f t="shared" si="3"/>
        <v>0</v>
      </c>
    </row>
    <row r="40" spans="2:8" x14ac:dyDescent="0.25">
      <c r="B40" s="31" t="str">
        <f>+'County Data'!$B$12</f>
        <v>County 2</v>
      </c>
      <c r="C40" s="20">
        <f>VLOOKUP($B40,'County Data'!$B$11:$L$44,3,FALSE)</f>
        <v>92575</v>
      </c>
      <c r="D40" s="73">
        <f>VLOOKUP($B40,'County Data'!$B$11:$L$44,8,FALSE)</f>
        <v>0.48480000000000001</v>
      </c>
      <c r="E40" s="79">
        <f t="shared" si="0"/>
        <v>44880.36</v>
      </c>
      <c r="F40" s="7">
        <f t="shared" si="1"/>
        <v>2.4171645556417421E-2</v>
      </c>
      <c r="G40" s="18">
        <f t="shared" si="2"/>
        <v>0</v>
      </c>
      <c r="H40" s="12">
        <f t="shared" si="3"/>
        <v>0</v>
      </c>
    </row>
    <row r="41" spans="2:8" x14ac:dyDescent="0.25">
      <c r="B41" s="5" t="s">
        <v>3</v>
      </c>
      <c r="C41" s="6">
        <f>SUM(C7:C40)</f>
        <v>4141100</v>
      </c>
      <c r="D41" s="6"/>
      <c r="E41" s="6">
        <f>SUM(E7:E40)</f>
        <v>1856735.8144999999</v>
      </c>
      <c r="F41" s="10">
        <f>SUM(F7:F40)</f>
        <v>1</v>
      </c>
      <c r="G41" s="13">
        <f>SUM(G7:G40)</f>
        <v>0</v>
      </c>
      <c r="H41" s="14">
        <f t="shared" ref="H41" si="4">G41/C41</f>
        <v>0</v>
      </c>
    </row>
  </sheetData>
  <sortState ref="B7:H40">
    <sortCondition ref="D7:D4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RL xmlns="http://schemas.microsoft.com/sharepoint/v3">
      <Url>https://www.oregon.gov/oha/PH/ABOUT/Documents/phab/2018-Fund-Formula-Model-Blank.xlsx</Url>
      <Description>PHAB: Fund Formula Model</Description>
    </URL>
    <PublishingExpirationDate xmlns="http://schemas.microsoft.com/sharepoint/v3" xsi:nil="true"/>
    <PublishingStartDate xmlns="http://schemas.microsoft.com/sharepoint/v3" xsi:nil="true"/>
    <IACategory xmlns="59da1016-2a1b-4f8a-9768-d7a4932f6f16">Public Health</IACategory>
    <IASubtopic xmlns="59da1016-2a1b-4f8a-9768-d7a4932f6f16" xsi:nil="true"/>
    <Meta_x0020_Description xmlns="09207eb7-70e0-4957-a658-5743f843bbb6" xsi:nil="true"/>
    <DocumentExpirationDate xmlns="59da1016-2a1b-4f8a-9768-d7a4932f6f16">2019-12-31T08:00:00+00:00</DocumentExpirationDate>
    <Meta_x0020_Keywords xmlns="09207eb7-70e0-4957-a658-5743f843bbb6" xsi:nil="true"/>
    <IATopic xmlns="59da1016-2a1b-4f8a-9768-d7a4932f6f16" xsi:nil="true"/>
    <Category xmlns="09207eb7-70e0-4957-a658-5743f843bbb6">
      <Value>phab</Value>
    </Categor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D24727F62793E46BB1E5FABCDB5D2E7" ma:contentTypeVersion="23" ma:contentTypeDescription="Create a new document." ma:contentTypeScope="" ma:versionID="195901bad83ce543e71cda8eb000f1d4">
  <xsd:schema xmlns:xsd="http://www.w3.org/2001/XMLSchema" xmlns:xs="http://www.w3.org/2001/XMLSchema" xmlns:p="http://schemas.microsoft.com/office/2006/metadata/properties" xmlns:ns1="http://schemas.microsoft.com/sharepoint/v3" xmlns:ns2="59da1016-2a1b-4f8a-9768-d7a4932f6f16" xmlns:ns3="09207eb7-70e0-4957-a658-5743f843bbb6" targetNamespace="http://schemas.microsoft.com/office/2006/metadata/properties" ma:root="true" ma:fieldsID="c4820f3c511a42a50a72e7a154daca81" ns1:_="" ns2:_="" ns3:_="">
    <xsd:import namespace="http://schemas.microsoft.com/sharepoint/v3"/>
    <xsd:import namespace="59da1016-2a1b-4f8a-9768-d7a4932f6f16"/>
    <xsd:import namespace="09207eb7-70e0-4957-a658-5743f843bbb6"/>
    <xsd:element name="properties">
      <xsd:complexType>
        <xsd:sequence>
          <xsd:element name="documentManagement">
            <xsd:complexType>
              <xsd:all>
                <xsd:element ref="ns2:IACategory" minOccurs="0"/>
                <xsd:element ref="ns2:IATopic" minOccurs="0"/>
                <xsd:element ref="ns2:IASubtopic" minOccurs="0"/>
                <xsd:element ref="ns3:Meta_x0020_Description" minOccurs="0"/>
                <xsd:element ref="ns3:Meta_x0020_Keywords" minOccurs="0"/>
                <xsd:element ref="ns1:PublishingStartDate" minOccurs="0"/>
                <xsd:element ref="ns1:PublishingExpirationDate" minOccurs="0"/>
                <xsd:element ref="ns1:URL" minOccurs="0"/>
                <xsd:element ref="ns2:DocumentExpirationDate" minOccurs="0"/>
                <xsd:element ref="ns2:SharedWithUsers" minOccurs="0"/>
                <xsd:element ref="ns3: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URL" ma:index="11"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4"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5"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6"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2" nillable="true" ma:displayName="Document Expiration Date" ma:format="DateOnly" ma:hidden="true" ma:internalName="DocumentExpirationDate" ma:readOnly="false">
      <xsd:simpleType>
        <xsd:restriction base="dms:DateTime"/>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9207eb7-70e0-4957-a658-5743f843bbb6" elementFormDefault="qualified">
    <xsd:import namespace="http://schemas.microsoft.com/office/2006/documentManagement/types"/>
    <xsd:import namespace="http://schemas.microsoft.com/office/infopath/2007/PartnerControls"/>
    <xsd:element name="Meta_x0020_Description" ma:index="7" nillable="true" ma:displayName="Meta Description" ma:internalName="Meta_x0020_Description" ma:readOnly="false">
      <xsd:simpleType>
        <xsd:restriction base="dms:Text"/>
      </xsd:simpleType>
    </xsd:element>
    <xsd:element name="Meta_x0020_Keywords" ma:index="8" nillable="true" ma:displayName="Meta Keywords" ma:internalName="Meta_x0020_Keywords" ma:readOnly="false">
      <xsd:simpleType>
        <xsd:restriction base="dms:Text"/>
      </xsd:simpleType>
    </xsd:element>
    <xsd:element name="Category" ma:index="18" nillable="true" ma:displayName="Area" ma:internalName="Category">
      <xsd:complexType>
        <xsd:complexContent>
          <xsd:extension base="dms:MultiChoice">
            <xsd:sequence>
              <xsd:element name="Value" maxOccurs="unbounded" minOccurs="0" nillable="true">
                <xsd:simpleType>
                  <xsd:restriction base="dms:Choice">
                    <xsd:enumeration value="ADAC"/>
                    <xsd:enumeration value="Community-DM"/>
                    <xsd:enumeration value="Indicators"/>
                    <xsd:enumeration value="phab"/>
                    <xsd:enumeration value="sha"/>
                    <xsd:enumeration value="ship"/>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B92C13-AADE-4E11-BE95-5435E58B3A29}"/>
</file>

<file path=customXml/itemProps2.xml><?xml version="1.0" encoding="utf-8"?>
<ds:datastoreItem xmlns:ds="http://schemas.openxmlformats.org/officeDocument/2006/customXml" ds:itemID="{C794F425-DC2D-4DCA-9C4E-175A941E195B}"/>
</file>

<file path=customXml/itemProps3.xml><?xml version="1.0" encoding="utf-8"?>
<ds:datastoreItem xmlns:ds="http://schemas.openxmlformats.org/officeDocument/2006/customXml" ds:itemID="{72FE51F8-1BBE-4362-9AA4-AD5239BFA1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Input</vt:lpstr>
      <vt:lpstr>Summary</vt:lpstr>
      <vt:lpstr>County Data</vt:lpstr>
      <vt:lpstr>Population</vt:lpstr>
      <vt:lpstr>Burden</vt:lpstr>
      <vt:lpstr>Health Status</vt:lpstr>
      <vt:lpstr>Ethnicity</vt:lpstr>
      <vt:lpstr>Poverty</vt:lpstr>
      <vt:lpstr>Income Inequality</vt:lpstr>
      <vt:lpstr>Education</vt:lpstr>
      <vt:lpstr>Language</vt:lpstr>
      <vt:lpstr>Matching</vt:lpstr>
      <vt:lpstr>Incentives</vt:lpstr>
      <vt:lpstr>'County Data'!Print_Area</vt:lpstr>
    </vt:vector>
  </TitlesOfParts>
  <Company>Oregon DHS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PHAB: Fund Formula Model</dc:title>
  <dc:creator>Curtis Christopher J</dc:creator>
  <cp:lastModifiedBy>BEAUDRAULT Sara</cp:lastModifiedBy>
  <cp:lastPrinted>2016-12-13T20:56:48Z</cp:lastPrinted>
  <dcterms:created xsi:type="dcterms:W3CDTF">2016-05-10T19:52:04Z</dcterms:created>
  <dcterms:modified xsi:type="dcterms:W3CDTF">2018-02-09T01:17:38Z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0x010100ED24727F62793E46BB1E5FABCDB5D2E7</vt:lpwstr>
  </property>
  <property fmtid="{D5CDD505-2E9C-101B-9397-08002B2CF9AE}" pid="3" name="WorkflowChangePath">
    <vt:lpwstr>c971328f-5b26-48de-b4fb-1298253f516e,3;</vt:lpwstr>
  </property>
</Properties>
</file>