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drawings/drawing1.xml" ContentType="application/vnd.openxmlformats-officedocument.drawing+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PH Modernization\PHAB\Incentives and Funding Subcommittee\funding formula guidance and framework\model review - May 2017\"/>
    </mc:Choice>
  </mc:AlternateContent>
  <bookViews>
    <workbookView xWindow="0" yWindow="0" windowWidth="28800" windowHeight="13575" tabRatio="684" activeTab="1"/>
  </bookViews>
  <sheets>
    <sheet name="Input" sheetId="13" r:id="rId1"/>
    <sheet name="Summary" sheetId="1" r:id="rId2"/>
    <sheet name="County Data" sheetId="2" r:id="rId3"/>
    <sheet name="Population" sheetId="4" state="hidden" r:id="rId4"/>
    <sheet name="Burden" sheetId="14" state="hidden" r:id="rId5"/>
    <sheet name="Health Status" sheetId="15" state="hidden" r:id="rId6"/>
    <sheet name="Ethnicity" sheetId="16" state="hidden" r:id="rId7"/>
    <sheet name="Poverty" sheetId="17" state="hidden" r:id="rId8"/>
    <sheet name="Income Inequality" sheetId="19" state="hidden" r:id="rId9"/>
    <sheet name="Education" sheetId="20" state="hidden" r:id="rId10"/>
    <sheet name="Language" sheetId="18" state="hidden" r:id="rId11"/>
    <sheet name="Matching" sheetId="8" state="hidden" r:id="rId12"/>
    <sheet name="Incentives" sheetId="9" state="hidden" r:id="rId13"/>
  </sheets>
  <definedNames>
    <definedName name="_xlnm.Print_Area" localSheetId="2">'County Data'!$A$1:$M$46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3" l="1"/>
  <c r="C9" i="13"/>
  <c r="C8" i="13"/>
  <c r="C7" i="13"/>
  <c r="C6" i="13"/>
  <c r="B7" i="9" l="1"/>
  <c r="B8" i="9"/>
  <c r="B11" i="9"/>
  <c r="B9" i="9"/>
  <c r="B10" i="9"/>
  <c r="B34" i="9"/>
  <c r="B16" i="9"/>
  <c r="B14" i="9"/>
  <c r="B25" i="9"/>
  <c r="B24" i="9"/>
  <c r="B22" i="9"/>
  <c r="B31" i="9"/>
  <c r="B39" i="9"/>
  <c r="B19" i="9"/>
  <c r="B38" i="9"/>
  <c r="B28" i="9"/>
  <c r="B18" i="9"/>
  <c r="B27" i="9"/>
  <c r="B20" i="9"/>
  <c r="B40" i="9"/>
  <c r="B12" i="9"/>
  <c r="B36" i="9"/>
  <c r="B21" i="9"/>
  <c r="B33" i="9"/>
  <c r="B23" i="9"/>
  <c r="B30" i="9"/>
  <c r="B37" i="9"/>
  <c r="B26" i="9"/>
  <c r="B29" i="9"/>
  <c r="B15" i="9"/>
  <c r="B35" i="9"/>
  <c r="B17" i="9"/>
  <c r="B32" i="9"/>
  <c r="B13" i="9"/>
  <c r="B7" i="8"/>
  <c r="B8" i="8"/>
  <c r="B11" i="8"/>
  <c r="B9" i="8"/>
  <c r="B10" i="8"/>
  <c r="B34" i="8"/>
  <c r="B16" i="8"/>
  <c r="B14" i="8"/>
  <c r="B25" i="8"/>
  <c r="B24" i="8"/>
  <c r="B22" i="8"/>
  <c r="B31" i="8"/>
  <c r="B39" i="8"/>
  <c r="B19" i="8"/>
  <c r="B38" i="8"/>
  <c r="B28" i="8"/>
  <c r="B18" i="8"/>
  <c r="B27" i="8"/>
  <c r="B20" i="8"/>
  <c r="B40" i="8"/>
  <c r="B12" i="8"/>
  <c r="B36" i="8"/>
  <c r="B21" i="8"/>
  <c r="B33" i="8"/>
  <c r="B23" i="8"/>
  <c r="B30" i="8"/>
  <c r="B37" i="8"/>
  <c r="B26" i="8"/>
  <c r="B29" i="8"/>
  <c r="B15" i="8"/>
  <c r="B35" i="8"/>
  <c r="B17" i="8"/>
  <c r="B32" i="8"/>
  <c r="B13" i="8"/>
  <c r="B10" i="18"/>
  <c r="B7" i="18"/>
  <c r="B18" i="18"/>
  <c r="B8" i="18"/>
  <c r="B9" i="18"/>
  <c r="B21" i="18"/>
  <c r="B13" i="18"/>
  <c r="B17" i="18"/>
  <c r="B16" i="18"/>
  <c r="B14" i="18"/>
  <c r="B22" i="18"/>
  <c r="B31" i="18"/>
  <c r="B36" i="18"/>
  <c r="B19" i="18"/>
  <c r="B29" i="18"/>
  <c r="B34" i="18"/>
  <c r="B26" i="18"/>
  <c r="B30" i="18"/>
  <c r="B33" i="18"/>
  <c r="B35" i="18"/>
  <c r="B39" i="18"/>
  <c r="B38" i="18"/>
  <c r="B37" i="18"/>
  <c r="B20" i="18"/>
  <c r="B24" i="18"/>
  <c r="B25" i="18"/>
  <c r="B23" i="18"/>
  <c r="B27" i="18"/>
  <c r="B15" i="18"/>
  <c r="B32" i="18"/>
  <c r="B28" i="18"/>
  <c r="B40" i="18"/>
  <c r="B12" i="18"/>
  <c r="B11" i="18"/>
  <c r="B22" i="20"/>
  <c r="B8" i="20"/>
  <c r="B33" i="20"/>
  <c r="B29" i="20"/>
  <c r="B28" i="20"/>
  <c r="B9" i="20"/>
  <c r="B14" i="20"/>
  <c r="B34" i="20"/>
  <c r="B25" i="20"/>
  <c r="B19" i="20"/>
  <c r="B12" i="20"/>
  <c r="B31" i="20"/>
  <c r="B15" i="20"/>
  <c r="B13" i="20"/>
  <c r="B10" i="20"/>
  <c r="B37" i="20"/>
  <c r="B21" i="20"/>
  <c r="B16" i="20"/>
  <c r="B32" i="20"/>
  <c r="B17" i="20"/>
  <c r="B40" i="20"/>
  <c r="B36" i="20"/>
  <c r="B39" i="20"/>
  <c r="B20" i="20"/>
  <c r="B26" i="20"/>
  <c r="B7" i="20"/>
  <c r="B11" i="20"/>
  <c r="B30" i="20"/>
  <c r="B24" i="20"/>
  <c r="B35" i="20"/>
  <c r="B23" i="20"/>
  <c r="B38" i="20"/>
  <c r="B27" i="20"/>
  <c r="B18" i="20"/>
  <c r="B30" i="19"/>
  <c r="B17" i="19"/>
  <c r="B33" i="19"/>
  <c r="B19" i="19"/>
  <c r="B27" i="19"/>
  <c r="B34" i="19"/>
  <c r="B12" i="19"/>
  <c r="B14" i="19"/>
  <c r="B35" i="19"/>
  <c r="B16" i="19"/>
  <c r="B25" i="19"/>
  <c r="B15" i="19"/>
  <c r="B23" i="19"/>
  <c r="B36" i="19"/>
  <c r="B28" i="19"/>
  <c r="B10" i="19"/>
  <c r="B11" i="19"/>
  <c r="B13" i="19"/>
  <c r="B21" i="19"/>
  <c r="B39" i="19"/>
  <c r="B7" i="19"/>
  <c r="B22" i="19"/>
  <c r="B32" i="19"/>
  <c r="B8" i="19"/>
  <c r="B24" i="19"/>
  <c r="B40" i="19"/>
  <c r="B37" i="19"/>
  <c r="B26" i="19"/>
  <c r="B38" i="19"/>
  <c r="B20" i="19"/>
  <c r="B29" i="19"/>
  <c r="B9" i="19"/>
  <c r="B18" i="19"/>
  <c r="B31" i="19"/>
  <c r="B25" i="17"/>
  <c r="B10" i="17"/>
  <c r="B23" i="17"/>
  <c r="B38" i="17"/>
  <c r="B13" i="17"/>
  <c r="B11" i="17"/>
  <c r="B12" i="17"/>
  <c r="B36" i="17"/>
  <c r="B24" i="17"/>
  <c r="B9" i="17"/>
  <c r="B15" i="17"/>
  <c r="B17" i="17"/>
  <c r="B8" i="17"/>
  <c r="B29" i="17"/>
  <c r="B7" i="17"/>
  <c r="B19" i="17"/>
  <c r="B21" i="17"/>
  <c r="B18" i="17"/>
  <c r="B16" i="17"/>
  <c r="B27" i="17"/>
  <c r="B31" i="17"/>
  <c r="B30" i="17"/>
  <c r="B40" i="17"/>
  <c r="B32" i="17"/>
  <c r="B20" i="17"/>
  <c r="B39" i="17"/>
  <c r="B35" i="17"/>
  <c r="B28" i="17"/>
  <c r="B34" i="17"/>
  <c r="B37" i="17"/>
  <c r="B22" i="17"/>
  <c r="B14" i="17"/>
  <c r="B33" i="17"/>
  <c r="B26" i="17"/>
  <c r="B9" i="16"/>
  <c r="B7" i="16"/>
  <c r="B20" i="16"/>
  <c r="B13" i="16"/>
  <c r="B8" i="16"/>
  <c r="B21" i="16"/>
  <c r="B16" i="16"/>
  <c r="B19" i="16"/>
  <c r="B15" i="16"/>
  <c r="B12" i="16"/>
  <c r="B23" i="16"/>
  <c r="B33" i="16"/>
  <c r="B34" i="16"/>
  <c r="B11" i="16"/>
  <c r="B24" i="16"/>
  <c r="B36" i="16"/>
  <c r="B27" i="16"/>
  <c r="B31" i="16"/>
  <c r="B32" i="16"/>
  <c r="B28" i="16"/>
  <c r="B40" i="16"/>
  <c r="B37" i="16"/>
  <c r="B39" i="16"/>
  <c r="B25" i="16"/>
  <c r="B26" i="16"/>
  <c r="B18" i="16"/>
  <c r="B22" i="16"/>
  <c r="B29" i="16"/>
  <c r="B17" i="16"/>
  <c r="B35" i="16"/>
  <c r="B30" i="16"/>
  <c r="B38" i="16"/>
  <c r="B14" i="16"/>
  <c r="B10" i="16"/>
  <c r="B7" i="15"/>
  <c r="B8" i="15"/>
  <c r="B11" i="15"/>
  <c r="B37" i="15"/>
  <c r="B9" i="15"/>
  <c r="B10" i="15"/>
  <c r="B38" i="15"/>
  <c r="B18" i="15"/>
  <c r="B25" i="15"/>
  <c r="B31" i="15"/>
  <c r="B24" i="15"/>
  <c r="B15" i="15"/>
  <c r="B12" i="15"/>
  <c r="B22" i="15"/>
  <c r="B14" i="15"/>
  <c r="B33" i="15"/>
  <c r="B26" i="15"/>
  <c r="B17" i="15"/>
  <c r="B34" i="15"/>
  <c r="B20" i="15"/>
  <c r="B40" i="15"/>
  <c r="B32" i="15"/>
  <c r="B39" i="15"/>
  <c r="B27" i="15"/>
  <c r="B29" i="15"/>
  <c r="B16" i="15"/>
  <c r="B21" i="15"/>
  <c r="B35" i="15"/>
  <c r="B23" i="15"/>
  <c r="B30" i="15"/>
  <c r="B28" i="15"/>
  <c r="B13" i="15"/>
  <c r="B36" i="15"/>
  <c r="B19" i="15"/>
  <c r="B16" i="4"/>
  <c r="B13" i="14"/>
  <c r="B16" i="14"/>
  <c r="B8" i="14"/>
  <c r="B27" i="14"/>
  <c r="B20" i="14"/>
  <c r="B23" i="14"/>
  <c r="B28" i="14"/>
  <c r="B11" i="14"/>
  <c r="B30" i="14"/>
  <c r="B18" i="14"/>
  <c r="B15" i="14"/>
  <c r="B17" i="14"/>
  <c r="B21" i="14"/>
  <c r="B22" i="14"/>
  <c r="B37" i="14"/>
  <c r="B19" i="14"/>
  <c r="B29" i="14"/>
  <c r="B35" i="14"/>
  <c r="B33" i="14"/>
  <c r="B38" i="14"/>
  <c r="B24" i="14"/>
  <c r="B9" i="14"/>
  <c r="B39" i="14"/>
  <c r="B14" i="14"/>
  <c r="B34" i="14"/>
  <c r="B12" i="14"/>
  <c r="B40" i="14"/>
  <c r="B25" i="14"/>
  <c r="B36" i="14"/>
  <c r="B26" i="14"/>
  <c r="B32" i="14"/>
  <c r="B10" i="14"/>
  <c r="B7" i="14"/>
  <c r="B31" i="14"/>
  <c r="B21" i="4"/>
  <c r="B28" i="4"/>
  <c r="B26" i="4"/>
  <c r="B14" i="4"/>
  <c r="B19" i="4"/>
  <c r="B10" i="4"/>
  <c r="B35" i="4"/>
  <c r="B17" i="4"/>
  <c r="B8" i="4"/>
  <c r="B29" i="4"/>
  <c r="B15" i="4"/>
  <c r="B12" i="4"/>
  <c r="B25" i="4"/>
  <c r="B23" i="4"/>
  <c r="B13" i="4"/>
  <c r="B32" i="4"/>
  <c r="B31" i="4"/>
  <c r="B30" i="4"/>
  <c r="B18" i="4"/>
  <c r="B22" i="4"/>
  <c r="B27" i="4"/>
  <c r="B24" i="4"/>
  <c r="B9" i="4"/>
  <c r="B34" i="4"/>
  <c r="B11" i="4"/>
  <c r="B33" i="4"/>
  <c r="B7" i="4"/>
  <c r="B20" i="4"/>
  <c r="B38" i="4"/>
  <c r="B36" i="4"/>
  <c r="B37" i="4"/>
  <c r="B39" i="4"/>
  <c r="B40" i="4"/>
  <c r="D8" i="18" l="1"/>
  <c r="D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7" i="18"/>
  <c r="D30" i="9"/>
  <c r="D38" i="9"/>
  <c r="D22" i="9"/>
  <c r="D24" i="9"/>
  <c r="D25" i="9"/>
  <c r="D14" i="9"/>
  <c r="D16" i="9"/>
  <c r="D34" i="9"/>
  <c r="D32" i="9"/>
  <c r="D10" i="9"/>
  <c r="D9" i="9"/>
  <c r="D17" i="9"/>
  <c r="D35" i="9"/>
  <c r="D15" i="9"/>
  <c r="D29" i="9"/>
  <c r="D26" i="9"/>
  <c r="D11" i="9"/>
  <c r="D37" i="9"/>
  <c r="D23" i="9"/>
  <c r="D33" i="9"/>
  <c r="D21" i="9"/>
  <c r="D36" i="9"/>
  <c r="D12" i="9"/>
  <c r="D40" i="9"/>
  <c r="D20" i="9"/>
  <c r="D27" i="9"/>
  <c r="D18" i="9"/>
  <c r="D28" i="9"/>
  <c r="D19" i="9"/>
  <c r="D8" i="9"/>
  <c r="D39" i="9"/>
  <c r="D7" i="9"/>
  <c r="D31" i="9"/>
  <c r="D13" i="9"/>
  <c r="D30" i="8"/>
  <c r="D38" i="8"/>
  <c r="D22" i="8"/>
  <c r="D24" i="8"/>
  <c r="D25" i="8"/>
  <c r="D14" i="8"/>
  <c r="D16" i="8"/>
  <c r="D34" i="8"/>
  <c r="D32" i="8"/>
  <c r="D10" i="8"/>
  <c r="D9" i="8"/>
  <c r="D17" i="8"/>
  <c r="D35" i="8"/>
  <c r="D15" i="8"/>
  <c r="D29" i="8"/>
  <c r="D26" i="8"/>
  <c r="D11" i="8"/>
  <c r="D37" i="8"/>
  <c r="D23" i="8"/>
  <c r="D33" i="8"/>
  <c r="D21" i="8"/>
  <c r="D36" i="8"/>
  <c r="D12" i="8"/>
  <c r="D40" i="8"/>
  <c r="D20" i="8"/>
  <c r="D27" i="8"/>
  <c r="D18" i="8"/>
  <c r="D28" i="8"/>
  <c r="D19" i="8"/>
  <c r="D8" i="8"/>
  <c r="D39" i="8"/>
  <c r="D7" i="8"/>
  <c r="D31" i="8"/>
  <c r="D13" i="8"/>
  <c r="D15" i="20"/>
  <c r="D19" i="20"/>
  <c r="D8" i="20"/>
  <c r="D14" i="20"/>
  <c r="D12" i="20"/>
  <c r="D9" i="20"/>
  <c r="D28" i="20"/>
  <c r="D38" i="20"/>
  <c r="D26" i="20"/>
  <c r="D16" i="20"/>
  <c r="D31" i="20"/>
  <c r="D25" i="20"/>
  <c r="D32" i="20"/>
  <c r="D21" i="20"/>
  <c r="D18" i="20"/>
  <c r="D22" i="20"/>
  <c r="D37" i="20"/>
  <c r="D23" i="20"/>
  <c r="D30" i="20"/>
  <c r="D40" i="20"/>
  <c r="D13" i="20"/>
  <c r="D34" i="20"/>
  <c r="D33" i="20"/>
  <c r="D36" i="20"/>
  <c r="D17" i="20"/>
  <c r="D24" i="20"/>
  <c r="D27" i="20"/>
  <c r="D20" i="20"/>
  <c r="D11" i="20"/>
  <c r="D35" i="20"/>
  <c r="D29" i="20"/>
  <c r="D7" i="20"/>
  <c r="D39" i="20"/>
  <c r="D10" i="20"/>
  <c r="D23" i="19"/>
  <c r="D16" i="19"/>
  <c r="D17" i="19"/>
  <c r="D12" i="19"/>
  <c r="D25" i="19"/>
  <c r="D34" i="19"/>
  <c r="D27" i="19"/>
  <c r="D9" i="19"/>
  <c r="D24" i="19"/>
  <c r="D13" i="19"/>
  <c r="D15" i="19"/>
  <c r="D35" i="19"/>
  <c r="D21" i="19"/>
  <c r="D11" i="19"/>
  <c r="D31" i="19"/>
  <c r="D30" i="19"/>
  <c r="D10" i="19"/>
  <c r="D29" i="19"/>
  <c r="D26" i="19"/>
  <c r="D7" i="19"/>
  <c r="D36" i="19"/>
  <c r="D14" i="19"/>
  <c r="D33" i="19"/>
  <c r="D22" i="19"/>
  <c r="D39" i="19"/>
  <c r="D38" i="19"/>
  <c r="D18" i="19"/>
  <c r="D8" i="19"/>
  <c r="D37" i="19"/>
  <c r="D20" i="19"/>
  <c r="D19" i="19"/>
  <c r="D40" i="19"/>
  <c r="D32" i="19"/>
  <c r="D28" i="19"/>
  <c r="J9" i="2"/>
  <c r="I9" i="2"/>
  <c r="C39" i="20" l="1"/>
  <c r="C7" i="20"/>
  <c r="C29" i="20"/>
  <c r="C35" i="20"/>
  <c r="C11" i="20"/>
  <c r="C20" i="20"/>
  <c r="C27" i="20"/>
  <c r="C24" i="20"/>
  <c r="C17" i="20"/>
  <c r="C36" i="20"/>
  <c r="C33" i="20"/>
  <c r="C34" i="20"/>
  <c r="C13" i="20"/>
  <c r="C40" i="20"/>
  <c r="C30" i="20"/>
  <c r="C23" i="20"/>
  <c r="C37" i="20"/>
  <c r="C22" i="20"/>
  <c r="C18" i="20"/>
  <c r="C21" i="20"/>
  <c r="C32" i="20"/>
  <c r="C25" i="20"/>
  <c r="C31" i="20"/>
  <c r="C16" i="20"/>
  <c r="C26" i="20"/>
  <c r="C38" i="20"/>
  <c r="C28" i="20"/>
  <c r="C9" i="20"/>
  <c r="C12" i="20"/>
  <c r="C14" i="20"/>
  <c r="C8" i="20"/>
  <c r="C19" i="20"/>
  <c r="C15" i="20"/>
  <c r="C10" i="20"/>
  <c r="C32" i="19"/>
  <c r="C40" i="19"/>
  <c r="C19" i="19"/>
  <c r="C20" i="19"/>
  <c r="C37" i="19"/>
  <c r="C8" i="19"/>
  <c r="C18" i="19"/>
  <c r="C38" i="19"/>
  <c r="C39" i="19"/>
  <c r="C22" i="19"/>
  <c r="C33" i="19"/>
  <c r="C14" i="19"/>
  <c r="C36" i="19"/>
  <c r="C7" i="19"/>
  <c r="C26" i="19"/>
  <c r="C29" i="19"/>
  <c r="C10" i="19"/>
  <c r="C30" i="19"/>
  <c r="C31" i="19"/>
  <c r="C11" i="19"/>
  <c r="C21" i="19"/>
  <c r="C35" i="19"/>
  <c r="C15" i="19"/>
  <c r="C13" i="19"/>
  <c r="C24" i="19"/>
  <c r="C9" i="19"/>
  <c r="C27" i="19"/>
  <c r="C34" i="19"/>
  <c r="C25" i="19"/>
  <c r="C12" i="19"/>
  <c r="C17" i="19"/>
  <c r="C16" i="19"/>
  <c r="C23" i="19"/>
  <c r="C28" i="19"/>
  <c r="C41" i="20" l="1"/>
  <c r="E12" i="19"/>
  <c r="E35" i="19"/>
  <c r="E30" i="19"/>
  <c r="E7" i="19"/>
  <c r="E8" i="19"/>
  <c r="E40" i="19"/>
  <c r="E19" i="20"/>
  <c r="E16" i="19"/>
  <c r="E29" i="19"/>
  <c r="E14" i="19"/>
  <c r="E22" i="20"/>
  <c r="E40" i="20"/>
  <c r="E36" i="20"/>
  <c r="E20" i="20"/>
  <c r="E7" i="20"/>
  <c r="E25" i="19"/>
  <c r="E24" i="19"/>
  <c r="E21" i="19"/>
  <c r="E10" i="19"/>
  <c r="E39" i="19"/>
  <c r="E32" i="19"/>
  <c r="E28" i="20"/>
  <c r="E31" i="20"/>
  <c r="E18" i="20"/>
  <c r="E30" i="20"/>
  <c r="E33" i="20"/>
  <c r="E27" i="20"/>
  <c r="E26" i="19"/>
  <c r="E33" i="19"/>
  <c r="E32" i="20"/>
  <c r="E11" i="20"/>
  <c r="E14" i="20"/>
  <c r="E39" i="20"/>
  <c r="E23" i="19"/>
  <c r="E36" i="19"/>
  <c r="E35" i="20"/>
  <c r="E37" i="19"/>
  <c r="E27" i="19"/>
  <c r="E15" i="19"/>
  <c r="E38" i="19"/>
  <c r="E20" i="19"/>
  <c r="E10" i="20"/>
  <c r="E9" i="19"/>
  <c r="E31" i="19"/>
  <c r="E38" i="20"/>
  <c r="E25" i="20"/>
  <c r="E29" i="20"/>
  <c r="E11" i="19"/>
  <c r="E15" i="20"/>
  <c r="E26" i="20"/>
  <c r="E34" i="19"/>
  <c r="E18" i="19"/>
  <c r="E9" i="20"/>
  <c r="E16" i="20"/>
  <c r="E37" i="20"/>
  <c r="E13" i="20"/>
  <c r="E17" i="20"/>
  <c r="E12" i="20"/>
  <c r="E17" i="19"/>
  <c r="E13" i="19"/>
  <c r="E22" i="19"/>
  <c r="E19" i="19"/>
  <c r="E8" i="20"/>
  <c r="E21" i="20"/>
  <c r="E23" i="20"/>
  <c r="E34" i="20"/>
  <c r="E24" i="20"/>
  <c r="C41" i="19"/>
  <c r="E28" i="19"/>
  <c r="E41" i="20" l="1"/>
  <c r="F40" i="20" s="1"/>
  <c r="E41" i="19"/>
  <c r="F28" i="19" s="1"/>
  <c r="C36" i="2"/>
  <c r="F14" i="20" l="1"/>
  <c r="F35" i="20"/>
  <c r="F17" i="20"/>
  <c r="F30" i="20"/>
  <c r="F12" i="20"/>
  <c r="F7" i="20"/>
  <c r="F23" i="20"/>
  <c r="F28" i="20"/>
  <c r="F16" i="20"/>
  <c r="F9" i="20"/>
  <c r="F34" i="20"/>
  <c r="F37" i="20"/>
  <c r="F11" i="20"/>
  <c r="F15" i="20"/>
  <c r="F39" i="20"/>
  <c r="F27" i="20"/>
  <c r="F33" i="20"/>
  <c r="F31" i="20"/>
  <c r="F22" i="20"/>
  <c r="F19" i="20"/>
  <c r="F38" i="20"/>
  <c r="F24" i="20"/>
  <c r="F20" i="20"/>
  <c r="F18" i="20"/>
  <c r="F29" i="20"/>
  <c r="F8" i="20"/>
  <c r="F36" i="20"/>
  <c r="F21" i="20"/>
  <c r="F10" i="20"/>
  <c r="F32" i="20"/>
  <c r="F13" i="20"/>
  <c r="F26" i="20"/>
  <c r="F25" i="20"/>
  <c r="F37" i="19"/>
  <c r="F21" i="19"/>
  <c r="F25" i="19"/>
  <c r="F9" i="19"/>
  <c r="F7" i="19"/>
  <c r="F26" i="19"/>
  <c r="F16" i="19"/>
  <c r="F32" i="19"/>
  <c r="F36" i="19"/>
  <c r="F18" i="19"/>
  <c r="F38" i="19"/>
  <c r="F24" i="19"/>
  <c r="F35" i="19"/>
  <c r="F27" i="19"/>
  <c r="F22" i="19"/>
  <c r="F39" i="19"/>
  <c r="F11" i="19"/>
  <c r="F34" i="19"/>
  <c r="F10" i="19"/>
  <c r="F23" i="19"/>
  <c r="F33" i="19"/>
  <c r="F31" i="19"/>
  <c r="F8" i="19"/>
  <c r="F30" i="19"/>
  <c r="F20" i="19"/>
  <c r="F14" i="19"/>
  <c r="F12" i="19"/>
  <c r="F15" i="19"/>
  <c r="F17" i="19"/>
  <c r="F19" i="19"/>
  <c r="F40" i="19"/>
  <c r="F29" i="19"/>
  <c r="F13" i="19"/>
  <c r="C42" i="2"/>
  <c r="C35" i="2"/>
  <c r="C13" i="2"/>
  <c r="C43" i="2"/>
  <c r="C41" i="2"/>
  <c r="C34" i="2"/>
  <c r="C28" i="2"/>
  <c r="C22" i="2"/>
  <c r="C21" i="2"/>
  <c r="C11" i="2"/>
  <c r="F41" i="20" l="1"/>
  <c r="F41" i="19"/>
  <c r="D7" i="15"/>
  <c r="D14" i="15"/>
  <c r="D16" i="15"/>
  <c r="D13" i="15"/>
  <c r="D10" i="15"/>
  <c r="D17" i="15"/>
  <c r="D9" i="15"/>
  <c r="D15" i="15"/>
  <c r="D31" i="15"/>
  <c r="D40" i="15"/>
  <c r="D21" i="15"/>
  <c r="D32" i="15"/>
  <c r="D20" i="15"/>
  <c r="D18" i="15"/>
  <c r="D19" i="15"/>
  <c r="D11" i="15"/>
  <c r="D34" i="15"/>
  <c r="D28" i="15"/>
  <c r="D27" i="15"/>
  <c r="D22" i="15"/>
  <c r="D8" i="15"/>
  <c r="D33" i="15"/>
  <c r="D26" i="15"/>
  <c r="D24" i="15"/>
  <c r="D23" i="15"/>
  <c r="D29" i="15"/>
  <c r="D39" i="15"/>
  <c r="D36" i="15"/>
  <c r="D38" i="15"/>
  <c r="D25" i="15"/>
  <c r="D37" i="15"/>
  <c r="D35" i="15"/>
  <c r="D30" i="15"/>
  <c r="D12" i="15"/>
  <c r="D41" i="15" l="1"/>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7" i="18"/>
  <c r="C8" i="17"/>
  <c r="D8" i="17"/>
  <c r="C9" i="17"/>
  <c r="D9" i="17"/>
  <c r="C10" i="17"/>
  <c r="D10" i="17"/>
  <c r="C12" i="17"/>
  <c r="D12" i="17"/>
  <c r="C15" i="17"/>
  <c r="D15" i="17"/>
  <c r="C11" i="17"/>
  <c r="D11" i="17"/>
  <c r="C13" i="17"/>
  <c r="D13" i="17"/>
  <c r="C14" i="17"/>
  <c r="D14" i="17"/>
  <c r="C20" i="17"/>
  <c r="D20" i="17"/>
  <c r="C18" i="17"/>
  <c r="D18" i="17"/>
  <c r="C17" i="17"/>
  <c r="D17" i="17"/>
  <c r="C24" i="17"/>
  <c r="D24" i="17"/>
  <c r="C16" i="17"/>
  <c r="D16" i="17"/>
  <c r="C21" i="17"/>
  <c r="D21" i="17"/>
  <c r="C26" i="17"/>
  <c r="D26" i="17"/>
  <c r="C25" i="17"/>
  <c r="D25" i="17"/>
  <c r="C19" i="17"/>
  <c r="D19" i="17"/>
  <c r="C22" i="17"/>
  <c r="D22" i="17"/>
  <c r="C28" i="17"/>
  <c r="D28" i="17"/>
  <c r="C31" i="17"/>
  <c r="D31" i="17"/>
  <c r="C29" i="17"/>
  <c r="D29" i="17"/>
  <c r="C36" i="17"/>
  <c r="D36" i="17"/>
  <c r="C23" i="17"/>
  <c r="D23" i="17"/>
  <c r="C30" i="17"/>
  <c r="D30" i="17"/>
  <c r="C27" i="17"/>
  <c r="D27" i="17"/>
  <c r="C34" i="17"/>
  <c r="D34" i="17"/>
  <c r="C33" i="17"/>
  <c r="D33" i="17"/>
  <c r="C32" i="17"/>
  <c r="D32" i="17"/>
  <c r="C35" i="17"/>
  <c r="D35" i="17"/>
  <c r="C37" i="17"/>
  <c r="D37" i="17"/>
  <c r="C38" i="17"/>
  <c r="D38" i="17"/>
  <c r="C39" i="17"/>
  <c r="D39" i="17"/>
  <c r="C40" i="17"/>
  <c r="D40" i="17"/>
  <c r="D7" i="17"/>
  <c r="C7" i="17"/>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C31" i="16"/>
  <c r="D31" i="16"/>
  <c r="C32" i="16"/>
  <c r="D32" i="16"/>
  <c r="C33" i="16"/>
  <c r="D33" i="16"/>
  <c r="C34" i="16"/>
  <c r="D34" i="16"/>
  <c r="C35" i="16"/>
  <c r="D35" i="16"/>
  <c r="C36" i="16"/>
  <c r="D36" i="16"/>
  <c r="C37" i="16"/>
  <c r="D37" i="16"/>
  <c r="C38" i="16"/>
  <c r="D38" i="16"/>
  <c r="C39" i="16"/>
  <c r="D39" i="16"/>
  <c r="C40" i="16"/>
  <c r="D40" i="16"/>
  <c r="D7" i="16"/>
  <c r="C7" i="16"/>
  <c r="C14" i="15"/>
  <c r="E14" i="15" s="1"/>
  <c r="C16" i="15"/>
  <c r="E16" i="15" s="1"/>
  <c r="C13" i="15"/>
  <c r="E13" i="15" s="1"/>
  <c r="C10" i="15"/>
  <c r="E10" i="15" s="1"/>
  <c r="C17" i="15"/>
  <c r="E17" i="15" s="1"/>
  <c r="C9" i="15"/>
  <c r="E9" i="15" s="1"/>
  <c r="C15" i="15"/>
  <c r="E15" i="15" s="1"/>
  <c r="C31" i="15"/>
  <c r="E31" i="15" s="1"/>
  <c r="C40" i="15"/>
  <c r="E40" i="15" s="1"/>
  <c r="C21" i="15"/>
  <c r="E21" i="15" s="1"/>
  <c r="C32" i="15"/>
  <c r="E32" i="15" s="1"/>
  <c r="C20" i="15"/>
  <c r="E20" i="15" s="1"/>
  <c r="C18" i="15"/>
  <c r="E18" i="15" s="1"/>
  <c r="C7" i="15"/>
  <c r="E7" i="15" s="1"/>
  <c r="C19" i="15"/>
  <c r="E19" i="15" s="1"/>
  <c r="C11" i="15"/>
  <c r="E11" i="15" s="1"/>
  <c r="C34" i="15"/>
  <c r="E34" i="15" s="1"/>
  <c r="C28" i="15"/>
  <c r="E28" i="15" s="1"/>
  <c r="C27" i="15"/>
  <c r="E27" i="15" s="1"/>
  <c r="C22" i="15"/>
  <c r="E22" i="15" s="1"/>
  <c r="C8" i="15"/>
  <c r="E8" i="15" s="1"/>
  <c r="C33" i="15"/>
  <c r="E33" i="15" s="1"/>
  <c r="C26" i="15"/>
  <c r="E26" i="15" s="1"/>
  <c r="C24" i="15"/>
  <c r="E24" i="15" s="1"/>
  <c r="C23" i="15"/>
  <c r="E23" i="15" s="1"/>
  <c r="C29" i="15"/>
  <c r="E29" i="15" s="1"/>
  <c r="C39" i="15"/>
  <c r="E39" i="15" s="1"/>
  <c r="C36" i="15"/>
  <c r="E36" i="15" s="1"/>
  <c r="C38" i="15"/>
  <c r="E38" i="15" s="1"/>
  <c r="C25" i="15"/>
  <c r="E25" i="15" s="1"/>
  <c r="C37" i="15"/>
  <c r="E37" i="15" s="1"/>
  <c r="C35" i="15"/>
  <c r="E35" i="15" s="1"/>
  <c r="C30" i="15"/>
  <c r="E30" i="15" s="1"/>
  <c r="C12" i="15"/>
  <c r="E12" i="15" s="1"/>
  <c r="D10" i="14"/>
  <c r="D7" i="14"/>
  <c r="D9" i="14"/>
  <c r="D27" i="14"/>
  <c r="D12" i="14"/>
  <c r="D40" i="14"/>
  <c r="D14" i="14"/>
  <c r="D16" i="14"/>
  <c r="D19" i="14"/>
  <c r="D25" i="14"/>
  <c r="D31" i="14"/>
  <c r="D37" i="14"/>
  <c r="D28" i="14"/>
  <c r="D18" i="14"/>
  <c r="D32" i="14"/>
  <c r="D15" i="14"/>
  <c r="D30" i="14"/>
  <c r="D20" i="14"/>
  <c r="D26" i="14"/>
  <c r="D17" i="14"/>
  <c r="D13" i="14"/>
  <c r="D11" i="14"/>
  <c r="D33" i="14"/>
  <c r="D36" i="14"/>
  <c r="D29" i="14"/>
  <c r="D24" i="14"/>
  <c r="D34" i="14"/>
  <c r="D22" i="14"/>
  <c r="D39" i="14"/>
  <c r="D23" i="14"/>
  <c r="D35" i="14"/>
  <c r="D38" i="14"/>
  <c r="D21" i="14"/>
  <c r="D8" i="14"/>
  <c r="C10" i="14"/>
  <c r="C7" i="14"/>
  <c r="C9" i="14"/>
  <c r="C27" i="14"/>
  <c r="C12" i="14"/>
  <c r="C40" i="14"/>
  <c r="C14" i="14"/>
  <c r="C16" i="14"/>
  <c r="C19" i="14"/>
  <c r="C25" i="14"/>
  <c r="C31" i="14"/>
  <c r="C37" i="14"/>
  <c r="C28" i="14"/>
  <c r="C18" i="14"/>
  <c r="C32" i="14"/>
  <c r="C15" i="14"/>
  <c r="C30" i="14"/>
  <c r="C20" i="14"/>
  <c r="C26" i="14"/>
  <c r="C17" i="14"/>
  <c r="C13" i="14"/>
  <c r="C11" i="14"/>
  <c r="C33" i="14"/>
  <c r="C36" i="14"/>
  <c r="C29" i="14"/>
  <c r="C24" i="14"/>
  <c r="C34" i="14"/>
  <c r="C22" i="14"/>
  <c r="C39" i="14"/>
  <c r="C23" i="14"/>
  <c r="C35" i="14"/>
  <c r="C38" i="14"/>
  <c r="C21" i="14"/>
  <c r="C8" i="14"/>
  <c r="M9" i="2"/>
  <c r="L9" i="2"/>
  <c r="K9" i="2"/>
  <c r="H9" i="2"/>
  <c r="G9" i="2"/>
  <c r="F9" i="2"/>
  <c r="C6" i="2"/>
  <c r="E9" i="2"/>
  <c r="D9" i="2"/>
  <c r="C33" i="2"/>
  <c r="C29" i="2"/>
  <c r="C24" i="2"/>
  <c r="C19" i="2"/>
  <c r="C31" i="2"/>
  <c r="C20" i="2"/>
  <c r="C44" i="2"/>
  <c r="C26" i="2"/>
  <c r="C39" i="2"/>
  <c r="C37" i="2"/>
  <c r="C12" i="2"/>
  <c r="C40" i="2"/>
  <c r="C38" i="2"/>
  <c r="C32" i="2"/>
  <c r="C30" i="2"/>
  <c r="C27" i="2"/>
  <c r="C25" i="2"/>
  <c r="C23" i="2"/>
  <c r="C18" i="2"/>
  <c r="C17" i="2"/>
  <c r="C16" i="2"/>
  <c r="C15" i="2"/>
  <c r="C14" i="2"/>
  <c r="N9" i="2" l="1"/>
  <c r="E35" i="14"/>
  <c r="E33" i="14"/>
  <c r="E32" i="14"/>
  <c r="E14" i="14"/>
  <c r="E22" i="14"/>
  <c r="E17" i="14"/>
  <c r="E37" i="14"/>
  <c r="E27" i="14"/>
  <c r="E8" i="14"/>
  <c r="E24" i="14"/>
  <c r="E20" i="14"/>
  <c r="E25" i="14"/>
  <c r="E7" i="14"/>
  <c r="E23" i="14"/>
  <c r="E11" i="14"/>
  <c r="E18" i="14"/>
  <c r="E40" i="14"/>
  <c r="E39" i="14"/>
  <c r="E13" i="14"/>
  <c r="E28" i="14"/>
  <c r="E12" i="14"/>
  <c r="E34" i="14"/>
  <c r="E26" i="14"/>
  <c r="E31" i="14"/>
  <c r="E9" i="14"/>
  <c r="C3" i="16"/>
  <c r="C3" i="20"/>
  <c r="C3" i="19"/>
  <c r="E21" i="14"/>
  <c r="E29" i="14"/>
  <c r="E30" i="14"/>
  <c r="E19" i="14"/>
  <c r="E10" i="14"/>
  <c r="E38" i="14"/>
  <c r="E36" i="14"/>
  <c r="E15" i="14"/>
  <c r="E16" i="14"/>
  <c r="C41" i="15"/>
  <c r="D41" i="14"/>
  <c r="C41" i="14"/>
  <c r="E37" i="16"/>
  <c r="E33" i="16"/>
  <c r="E29" i="16"/>
  <c r="E25" i="16"/>
  <c r="E21" i="16"/>
  <c r="E17" i="16"/>
  <c r="E13" i="16"/>
  <c r="E9" i="16"/>
  <c r="E7" i="18"/>
  <c r="E33" i="18"/>
  <c r="E25" i="18"/>
  <c r="E21" i="18"/>
  <c r="E17" i="18"/>
  <c r="E13" i="18"/>
  <c r="E9" i="18"/>
  <c r="C3" i="17"/>
  <c r="C3" i="18"/>
  <c r="E26" i="16"/>
  <c r="E20" i="17"/>
  <c r="E34" i="18"/>
  <c r="C3" i="14"/>
  <c r="E14" i="16"/>
  <c r="E15" i="17"/>
  <c r="E8" i="17"/>
  <c r="E18" i="18"/>
  <c r="C3" i="15"/>
  <c r="E37" i="17"/>
  <c r="E22" i="17"/>
  <c r="E21" i="17"/>
  <c r="E39" i="18"/>
  <c r="E35" i="18"/>
  <c r="E27" i="18"/>
  <c r="E23" i="18"/>
  <c r="E19" i="18"/>
  <c r="E11" i="18"/>
  <c r="E11" i="16"/>
  <c r="E31" i="17"/>
  <c r="E35" i="16"/>
  <c r="E36" i="17"/>
  <c r="E11" i="17"/>
  <c r="E31" i="18"/>
  <c r="E15" i="18"/>
  <c r="E37" i="18"/>
  <c r="E40" i="16"/>
  <c r="E28" i="16"/>
  <c r="E20" i="16"/>
  <c r="E16" i="16"/>
  <c r="E38" i="17"/>
  <c r="E33" i="17"/>
  <c r="E23" i="17"/>
  <c r="E28" i="17"/>
  <c r="E26" i="17"/>
  <c r="E17" i="17"/>
  <c r="E13" i="17"/>
  <c r="E10" i="17"/>
  <c r="E40" i="18"/>
  <c r="E32" i="18"/>
  <c r="E28" i="18"/>
  <c r="E24" i="18"/>
  <c r="E20" i="18"/>
  <c r="E16" i="18"/>
  <c r="E8" i="18"/>
  <c r="C41" i="17"/>
  <c r="E38" i="16"/>
  <c r="E34" i="16"/>
  <c r="E30" i="16"/>
  <c r="E22" i="16"/>
  <c r="E40" i="17"/>
  <c r="E35" i="17"/>
  <c r="E27" i="17"/>
  <c r="E29" i="17"/>
  <c r="E16" i="17"/>
  <c r="C45" i="2"/>
  <c r="L10" i="2" s="1"/>
  <c r="E39" i="17"/>
  <c r="E30" i="17"/>
  <c r="E25" i="17"/>
  <c r="E12" i="17"/>
  <c r="E36" i="16"/>
  <c r="E32" i="16"/>
  <c r="E24" i="16"/>
  <c r="E12" i="16"/>
  <c r="E8" i="16"/>
  <c r="E12" i="18"/>
  <c r="E27" i="16"/>
  <c r="E19" i="16"/>
  <c r="E15" i="16"/>
  <c r="E7" i="17"/>
  <c r="E34" i="17"/>
  <c r="E18" i="17"/>
  <c r="E39" i="16"/>
  <c r="E31" i="16"/>
  <c r="E23" i="16"/>
  <c r="E36" i="18"/>
  <c r="E18" i="16"/>
  <c r="E10" i="16"/>
  <c r="E19" i="17"/>
  <c r="E32" i="17"/>
  <c r="E24" i="17"/>
  <c r="E14" i="17"/>
  <c r="E38" i="18"/>
  <c r="E30" i="18"/>
  <c r="E26" i="18"/>
  <c r="E22" i="18"/>
  <c r="E14" i="18"/>
  <c r="E10" i="18"/>
  <c r="E29" i="18"/>
  <c r="E7" i="16"/>
  <c r="C41" i="16"/>
  <c r="C41" i="18"/>
  <c r="E9" i="17"/>
  <c r="C30" i="9"/>
  <c r="C38" i="9"/>
  <c r="C22" i="9"/>
  <c r="C24" i="9"/>
  <c r="C25" i="9"/>
  <c r="C14" i="9"/>
  <c r="C16" i="9"/>
  <c r="C34" i="9"/>
  <c r="C32" i="9"/>
  <c r="C10" i="9"/>
  <c r="C9" i="9"/>
  <c r="C17" i="9"/>
  <c r="C35" i="9"/>
  <c r="C15" i="9"/>
  <c r="C29" i="9"/>
  <c r="C26" i="9"/>
  <c r="C11" i="9"/>
  <c r="C37" i="9"/>
  <c r="C23" i="9"/>
  <c r="C33" i="9"/>
  <c r="C21" i="9"/>
  <c r="C36" i="9"/>
  <c r="C12" i="9"/>
  <c r="C40" i="9"/>
  <c r="C20" i="9"/>
  <c r="C27" i="9"/>
  <c r="C18" i="9"/>
  <c r="C28" i="9"/>
  <c r="C19" i="9"/>
  <c r="C8" i="9"/>
  <c r="C39" i="9"/>
  <c r="C7" i="9"/>
  <c r="C31" i="9"/>
  <c r="C13" i="9"/>
  <c r="C30" i="8"/>
  <c r="C38" i="8"/>
  <c r="C22" i="8"/>
  <c r="C24" i="8"/>
  <c r="C25" i="8"/>
  <c r="C14" i="8"/>
  <c r="C16" i="8"/>
  <c r="C34" i="8"/>
  <c r="C32" i="8"/>
  <c r="C10" i="8"/>
  <c r="C9" i="8"/>
  <c r="C17" i="8"/>
  <c r="C35" i="8"/>
  <c r="C15" i="8"/>
  <c r="C29" i="8"/>
  <c r="C26" i="8"/>
  <c r="C11" i="8"/>
  <c r="C37" i="8"/>
  <c r="C23" i="8"/>
  <c r="C33" i="8"/>
  <c r="C21" i="8"/>
  <c r="C36" i="8"/>
  <c r="C12" i="8"/>
  <c r="C40" i="8"/>
  <c r="C20" i="8"/>
  <c r="C27" i="8"/>
  <c r="C18" i="8"/>
  <c r="C28" i="8"/>
  <c r="C19" i="8"/>
  <c r="C8" i="8"/>
  <c r="C39" i="8"/>
  <c r="C7" i="8"/>
  <c r="C31" i="8"/>
  <c r="C13" i="8"/>
  <c r="C39" i="4"/>
  <c r="C37" i="4"/>
  <c r="C36" i="4"/>
  <c r="C38" i="4"/>
  <c r="C20" i="4"/>
  <c r="C7" i="4"/>
  <c r="C33" i="4"/>
  <c r="C11" i="4"/>
  <c r="C34" i="4"/>
  <c r="C9" i="4"/>
  <c r="C24" i="4"/>
  <c r="C27" i="4"/>
  <c r="C22" i="4"/>
  <c r="C18" i="4"/>
  <c r="C30" i="4"/>
  <c r="C16" i="4"/>
  <c r="C31" i="4"/>
  <c r="C32" i="4"/>
  <c r="C13" i="4"/>
  <c r="C23" i="4"/>
  <c r="C25" i="4"/>
  <c r="C12" i="4"/>
  <c r="C15" i="4"/>
  <c r="C29" i="4"/>
  <c r="C8" i="4"/>
  <c r="C17" i="4"/>
  <c r="C35" i="4"/>
  <c r="C10" i="4"/>
  <c r="C19" i="4"/>
  <c r="C14" i="4"/>
  <c r="C26" i="4"/>
  <c r="C28" i="4"/>
  <c r="C21" i="4"/>
  <c r="C40" i="4"/>
  <c r="C23" i="1"/>
  <c r="C25" i="1"/>
  <c r="C32"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11" i="1"/>
  <c r="C24" i="1"/>
  <c r="C34" i="1"/>
  <c r="C42" i="1"/>
  <c r="C26" i="1"/>
  <c r="C28" i="1"/>
  <c r="C29" i="1"/>
  <c r="C18" i="1"/>
  <c r="C20" i="1"/>
  <c r="C38" i="1"/>
  <c r="C36" i="1"/>
  <c r="C14" i="1"/>
  <c r="C13" i="1"/>
  <c r="C21" i="1"/>
  <c r="C39" i="1"/>
  <c r="C19" i="1"/>
  <c r="C33" i="1"/>
  <c r="C30" i="1"/>
  <c r="C15" i="1"/>
  <c r="C41" i="1"/>
  <c r="C27" i="1"/>
  <c r="C37" i="1"/>
  <c r="C40" i="1"/>
  <c r="C16" i="1"/>
  <c r="C44" i="1"/>
  <c r="C31" i="1"/>
  <c r="C22" i="1"/>
  <c r="C12" i="1"/>
  <c r="C43" i="1"/>
  <c r="C11" i="1"/>
  <c r="C35" i="1"/>
  <c r="C17" i="1"/>
  <c r="J10" i="2" l="1"/>
  <c r="C4" i="20" s="1"/>
  <c r="I10" i="2"/>
  <c r="C4" i="19" s="1"/>
  <c r="E10" i="2"/>
  <c r="C4" i="14" s="1"/>
  <c r="D10" i="2"/>
  <c r="H10" i="2"/>
  <c r="G10" i="2"/>
  <c r="C4" i="16" s="1"/>
  <c r="M10" i="2"/>
  <c r="K10" i="2"/>
  <c r="C4" i="18" s="1"/>
  <c r="F10" i="2"/>
  <c r="C4" i="15" s="1"/>
  <c r="E41" i="18"/>
  <c r="F7" i="18" s="1"/>
  <c r="E41" i="16"/>
  <c r="F10" i="16" s="1"/>
  <c r="E41" i="17"/>
  <c r="C45" i="1"/>
  <c r="C4" i="17" l="1"/>
  <c r="E41" i="15"/>
  <c r="F26" i="15" s="1"/>
  <c r="G26" i="15" s="1"/>
  <c r="F22" i="1" s="1"/>
  <c r="E41" i="14"/>
  <c r="F38" i="14" s="1"/>
  <c r="G38" i="14" s="1"/>
  <c r="E19" i="1" s="1"/>
  <c r="G10" i="16"/>
  <c r="G17" i="1" s="1"/>
  <c r="F34" i="16"/>
  <c r="G34" i="16" s="1"/>
  <c r="G43" i="1" s="1"/>
  <c r="F31" i="16"/>
  <c r="G31" i="16" s="1"/>
  <c r="G31" i="1" s="1"/>
  <c r="F40" i="18"/>
  <c r="G40" i="18" s="1"/>
  <c r="K21" i="1" s="1"/>
  <c r="F37" i="16"/>
  <c r="G37" i="16" s="1"/>
  <c r="G40" i="1" s="1"/>
  <c r="F27" i="16"/>
  <c r="G27" i="16" s="1"/>
  <c r="G22" i="1" s="1"/>
  <c r="F40" i="16"/>
  <c r="G40" i="16" s="1"/>
  <c r="G16" i="1" s="1"/>
  <c r="F19" i="16"/>
  <c r="G19" i="16" s="1"/>
  <c r="G18" i="1" s="1"/>
  <c r="F21" i="16"/>
  <c r="G21" i="16" s="1"/>
  <c r="G38" i="1" s="1"/>
  <c r="F25" i="18"/>
  <c r="G25" i="18" s="1"/>
  <c r="K34" i="1" s="1"/>
  <c r="F17" i="16"/>
  <c r="G17" i="16" s="1"/>
  <c r="G33" i="1" s="1"/>
  <c r="F28" i="16"/>
  <c r="G28" i="16" s="1"/>
  <c r="G44" i="1" s="1"/>
  <c r="F22" i="18"/>
  <c r="G22" i="18" s="1"/>
  <c r="K26" i="1" s="1"/>
  <c r="F24" i="18"/>
  <c r="G24" i="18" s="1"/>
  <c r="K27" i="1" s="1"/>
  <c r="G7" i="18"/>
  <c r="K12" i="1" s="1"/>
  <c r="F32" i="16"/>
  <c r="G32" i="16" s="1"/>
  <c r="G24" i="1" s="1"/>
  <c r="F33" i="16"/>
  <c r="G33" i="16" s="1"/>
  <c r="G35" i="1" s="1"/>
  <c r="F24" i="16"/>
  <c r="G24" i="16" s="1"/>
  <c r="G42" i="1" s="1"/>
  <c r="F18" i="16"/>
  <c r="G18" i="16" s="1"/>
  <c r="G34" i="1" s="1"/>
  <c r="F25" i="16"/>
  <c r="G25" i="16" s="1"/>
  <c r="G37" i="1" s="1"/>
  <c r="F21" i="18"/>
  <c r="G21" i="18" s="1"/>
  <c r="K38" i="1" s="1"/>
  <c r="F13" i="16"/>
  <c r="G13" i="16" s="1"/>
  <c r="G13" i="1" s="1"/>
  <c r="F16" i="18"/>
  <c r="G16" i="18" s="1"/>
  <c r="K29" i="1" s="1"/>
  <c r="F16" i="16"/>
  <c r="G16" i="16" s="1"/>
  <c r="G20" i="1" s="1"/>
  <c r="F35" i="18"/>
  <c r="G35" i="18" s="1"/>
  <c r="K44" i="1" s="1"/>
  <c r="F11" i="18"/>
  <c r="G11" i="18" s="1"/>
  <c r="K17" i="1" s="1"/>
  <c r="F7" i="16"/>
  <c r="G7" i="16" s="1"/>
  <c r="G12" i="1" s="1"/>
  <c r="F8" i="16"/>
  <c r="G8" i="16" s="1"/>
  <c r="G14" i="1" s="1"/>
  <c r="F35" i="16"/>
  <c r="G35" i="16" s="1"/>
  <c r="G19" i="1" s="1"/>
  <c r="F11" i="16"/>
  <c r="G11" i="16" s="1"/>
  <c r="G23" i="1" s="1"/>
  <c r="F38" i="18"/>
  <c r="G38" i="18" s="1"/>
  <c r="K40" i="1" s="1"/>
  <c r="F22" i="16"/>
  <c r="G22" i="16" s="1"/>
  <c r="G41" i="1" s="1"/>
  <c r="F29" i="16"/>
  <c r="G29" i="16" s="1"/>
  <c r="G30" i="1" s="1"/>
  <c r="F12" i="16"/>
  <c r="G12" i="16" s="1"/>
  <c r="G28" i="1" s="1"/>
  <c r="F20" i="16"/>
  <c r="G20" i="16" s="1"/>
  <c r="G15" i="1" s="1"/>
  <c r="F38" i="16"/>
  <c r="G38" i="16" s="1"/>
  <c r="G21" i="1" s="1"/>
  <c r="F29" i="18"/>
  <c r="G29" i="18" s="1"/>
  <c r="K42" i="1" s="1"/>
  <c r="F39" i="18"/>
  <c r="G39" i="18" s="1"/>
  <c r="K16" i="1" s="1"/>
  <c r="F32" i="18"/>
  <c r="G32" i="18" s="1"/>
  <c r="K19" i="1" s="1"/>
  <c r="F36" i="18"/>
  <c r="G36" i="18" s="1"/>
  <c r="K43" i="1" s="1"/>
  <c r="F8" i="18"/>
  <c r="G8" i="18" s="1"/>
  <c r="K13" i="1" s="1"/>
  <c r="F33" i="18"/>
  <c r="G33" i="18" s="1"/>
  <c r="K24" i="1" s="1"/>
  <c r="F39" i="16"/>
  <c r="G39" i="16" s="1"/>
  <c r="G25" i="1" s="1"/>
  <c r="F23" i="18"/>
  <c r="G23" i="18" s="1"/>
  <c r="K41" i="1" s="1"/>
  <c r="F30" i="16"/>
  <c r="G30" i="16" s="1"/>
  <c r="G39" i="1" s="1"/>
  <c r="F23" i="16"/>
  <c r="G23" i="16" s="1"/>
  <c r="G26" i="1" s="1"/>
  <c r="F9" i="18"/>
  <c r="G9" i="18" s="1"/>
  <c r="K14" i="1" s="1"/>
  <c r="F9" i="16"/>
  <c r="G9" i="16" s="1"/>
  <c r="G11" i="1" s="1"/>
  <c r="F18" i="18"/>
  <c r="G18" i="18" s="1"/>
  <c r="K15" i="1" s="1"/>
  <c r="F15" i="18"/>
  <c r="G15" i="18" s="1"/>
  <c r="K33" i="1" s="1"/>
  <c r="F20" i="18"/>
  <c r="G20" i="18" s="1"/>
  <c r="K37" i="1" s="1"/>
  <c r="F10" i="18"/>
  <c r="G10" i="18" s="1"/>
  <c r="K11" i="1" s="1"/>
  <c r="F27" i="18"/>
  <c r="G27" i="18" s="1"/>
  <c r="K30" i="1" s="1"/>
  <c r="F14" i="18"/>
  <c r="G14" i="18" s="1"/>
  <c r="K28" i="1" s="1"/>
  <c r="F19" i="18"/>
  <c r="G19" i="18" s="1"/>
  <c r="K23" i="1" s="1"/>
  <c r="F26" i="18"/>
  <c r="G26" i="18" s="1"/>
  <c r="K22" i="1" s="1"/>
  <c r="F37" i="18"/>
  <c r="G37" i="18" s="1"/>
  <c r="K25" i="1" s="1"/>
  <c r="F12" i="18"/>
  <c r="G12" i="18" s="1"/>
  <c r="K36" i="1" s="1"/>
  <c r="F15" i="16"/>
  <c r="G15" i="16" s="1"/>
  <c r="G29" i="1" s="1"/>
  <c r="F30" i="18"/>
  <c r="G30" i="18" s="1"/>
  <c r="K31" i="1" s="1"/>
  <c r="F26" i="16"/>
  <c r="G26" i="16" s="1"/>
  <c r="G27" i="1" s="1"/>
  <c r="F28" i="18"/>
  <c r="G28" i="18" s="1"/>
  <c r="K39" i="1" s="1"/>
  <c r="F36" i="16"/>
  <c r="G36" i="16" s="1"/>
  <c r="G32" i="1" s="1"/>
  <c r="F17" i="18"/>
  <c r="G17" i="18" s="1"/>
  <c r="K18" i="1" s="1"/>
  <c r="F34" i="18"/>
  <c r="G34" i="18" s="1"/>
  <c r="K32" i="1" s="1"/>
  <c r="F13" i="18"/>
  <c r="G13" i="18" s="1"/>
  <c r="K20" i="1" s="1"/>
  <c r="F31" i="18"/>
  <c r="G31" i="18" s="1"/>
  <c r="K35" i="1" s="1"/>
  <c r="F14" i="16"/>
  <c r="G14" i="16" s="1"/>
  <c r="G36" i="1" s="1"/>
  <c r="F17" i="17"/>
  <c r="F24" i="17"/>
  <c r="F31" i="17"/>
  <c r="F22" i="17"/>
  <c r="F13" i="17"/>
  <c r="F16" i="17"/>
  <c r="F7" i="17"/>
  <c r="F34" i="17"/>
  <c r="F28" i="17"/>
  <c r="F33" i="17"/>
  <c r="F27" i="17"/>
  <c r="F40" i="17"/>
  <c r="F11" i="17"/>
  <c r="F32" i="17"/>
  <c r="F15" i="17"/>
  <c r="F35" i="17"/>
  <c r="F14" i="17"/>
  <c r="F25" i="17"/>
  <c r="F29" i="17"/>
  <c r="F39" i="17"/>
  <c r="F26" i="17"/>
  <c r="F23" i="17"/>
  <c r="F30" i="17"/>
  <c r="F8" i="17"/>
  <c r="F37" i="17"/>
  <c r="F18" i="17"/>
  <c r="F38" i="17"/>
  <c r="F12" i="17"/>
  <c r="F20" i="17"/>
  <c r="F19" i="17"/>
  <c r="F10" i="17"/>
  <c r="F36" i="17"/>
  <c r="F21" i="17"/>
  <c r="F9" i="17"/>
  <c r="G35" i="17" l="1"/>
  <c r="H41" i="1" s="1"/>
  <c r="G36" i="17"/>
  <c r="H18" i="1" s="1"/>
  <c r="G8" i="17"/>
  <c r="H43" i="1" s="1"/>
  <c r="G34" i="17"/>
  <c r="H33" i="1" s="1"/>
  <c r="G38" i="17"/>
  <c r="H13" i="1" s="1"/>
  <c r="G29" i="17"/>
  <c r="H23" i="1" s="1"/>
  <c r="G27" i="17"/>
  <c r="H44" i="1" s="1"/>
  <c r="G31" i="17"/>
  <c r="H16" i="1" s="1"/>
  <c r="G10" i="17"/>
  <c r="H12" i="1" s="1"/>
  <c r="G30" i="17"/>
  <c r="H40" i="1" s="1"/>
  <c r="G15" i="17"/>
  <c r="H26" i="1" s="1"/>
  <c r="G19" i="17"/>
  <c r="H32" i="1" s="1"/>
  <c r="G23" i="17"/>
  <c r="H15" i="1" s="1"/>
  <c r="G32" i="17"/>
  <c r="H37" i="1" s="1"/>
  <c r="G16" i="17"/>
  <c r="H24" i="1" s="1"/>
  <c r="G20" i="17"/>
  <c r="H27" i="1" s="1"/>
  <c r="G26" i="17"/>
  <c r="H17" i="1" s="1"/>
  <c r="G11" i="17"/>
  <c r="H38" i="1" s="1"/>
  <c r="G13" i="17"/>
  <c r="H14" i="1" s="1"/>
  <c r="G9" i="17"/>
  <c r="H28" i="1" s="1"/>
  <c r="G18" i="17"/>
  <c r="H31" i="1" s="1"/>
  <c r="G25" i="17"/>
  <c r="H11" i="1" s="1"/>
  <c r="G33" i="17"/>
  <c r="H36" i="1" s="1"/>
  <c r="G24" i="17"/>
  <c r="H29" i="1" s="1"/>
  <c r="G21" i="17"/>
  <c r="H22" i="1" s="1"/>
  <c r="G37" i="17"/>
  <c r="H19" i="1" s="1"/>
  <c r="G14" i="17"/>
  <c r="H21" i="1" s="1"/>
  <c r="G28" i="17"/>
  <c r="H30" i="1" s="1"/>
  <c r="G17" i="17"/>
  <c r="H35" i="1" s="1"/>
  <c r="G12" i="17"/>
  <c r="G39" i="17"/>
  <c r="G40" i="17"/>
  <c r="G22" i="17"/>
  <c r="G28" i="20"/>
  <c r="J14" i="1" s="1"/>
  <c r="G32" i="20"/>
  <c r="J24" i="1" s="1"/>
  <c r="G24" i="20"/>
  <c r="J33" i="1" s="1"/>
  <c r="G10" i="20"/>
  <c r="J42" i="1" s="1"/>
  <c r="G37" i="20"/>
  <c r="J32" i="1" s="1"/>
  <c r="G14" i="20"/>
  <c r="J20" i="1" s="1"/>
  <c r="G36" i="20"/>
  <c r="J40" i="1" s="1"/>
  <c r="G25" i="20"/>
  <c r="J29" i="1" s="1"/>
  <c r="G23" i="20"/>
  <c r="J39" i="1" s="1"/>
  <c r="G31" i="20"/>
  <c r="J35" i="1" s="1"/>
  <c r="G18" i="20"/>
  <c r="J17" i="1" s="1"/>
  <c r="G40" i="20"/>
  <c r="J16" i="1" s="1"/>
  <c r="G33" i="20"/>
  <c r="J15" i="1" s="1"/>
  <c r="G12" i="20"/>
  <c r="J26" i="1" s="1"/>
  <c r="G29" i="20"/>
  <c r="J13" i="1" s="1"/>
  <c r="G27" i="20"/>
  <c r="J36" i="1" s="1"/>
  <c r="G30" i="20"/>
  <c r="J30" i="1" s="1"/>
  <c r="G34" i="20"/>
  <c r="J18" i="1" s="1"/>
  <c r="G8" i="20"/>
  <c r="G7" i="20"/>
  <c r="J34" i="1" s="1"/>
  <c r="G35" i="20"/>
  <c r="J19" i="1" s="1"/>
  <c r="G20" i="20"/>
  <c r="J37" i="1" s="1"/>
  <c r="G13" i="20"/>
  <c r="J23" i="1" s="1"/>
  <c r="G39" i="20"/>
  <c r="J25" i="1" s="1"/>
  <c r="G17" i="20"/>
  <c r="J44" i="1" s="1"/>
  <c r="G22" i="20"/>
  <c r="J11" i="1" s="1"/>
  <c r="G21" i="20"/>
  <c r="J22" i="1" s="1"/>
  <c r="G16" i="20"/>
  <c r="J31" i="1" s="1"/>
  <c r="G9" i="20"/>
  <c r="J38" i="1" s="1"/>
  <c r="G19" i="20"/>
  <c r="J28" i="1" s="1"/>
  <c r="G15" i="20"/>
  <c r="J43" i="1" s="1"/>
  <c r="G11" i="20"/>
  <c r="J41" i="1" s="1"/>
  <c r="G38" i="20"/>
  <c r="J21" i="1" s="1"/>
  <c r="G26" i="20"/>
  <c r="J27" i="1" s="1"/>
  <c r="G28" i="19"/>
  <c r="I42" i="1" s="1"/>
  <c r="G13" i="19"/>
  <c r="I31" i="1" s="1"/>
  <c r="G7" i="19"/>
  <c r="I16" i="1" s="1"/>
  <c r="G25" i="19"/>
  <c r="I26" i="1" s="1"/>
  <c r="G37" i="19"/>
  <c r="I41" i="1" s="1"/>
  <c r="G16" i="19"/>
  <c r="I28" i="1" s="1"/>
  <c r="G19" i="19"/>
  <c r="I13" i="1" s="1"/>
  <c r="G15" i="19"/>
  <c r="I35" i="1" s="1"/>
  <c r="G14" i="19"/>
  <c r="I18" i="1" s="1"/>
  <c r="G29" i="19"/>
  <c r="I39" i="1" s="1"/>
  <c r="G31" i="19"/>
  <c r="I17" i="1" s="1"/>
  <c r="G23" i="19"/>
  <c r="I43" i="1" s="1"/>
  <c r="G34" i="19"/>
  <c r="I38" i="1" s="1"/>
  <c r="G30" i="19"/>
  <c r="I11" i="1" s="1"/>
  <c r="G27" i="19"/>
  <c r="I14" i="1" s="1"/>
  <c r="G24" i="19"/>
  <c r="I27" i="1" s="1"/>
  <c r="G18" i="19"/>
  <c r="I36" i="1" s="1"/>
  <c r="G39" i="19"/>
  <c r="I44" i="1" s="1"/>
  <c r="G26" i="19"/>
  <c r="I30" i="1" s="1"/>
  <c r="G9" i="19"/>
  <c r="I21" i="1" s="1"/>
  <c r="G21" i="19"/>
  <c r="I24" i="1" s="1"/>
  <c r="G32" i="19"/>
  <c r="I25" i="1" s="1"/>
  <c r="G12" i="19"/>
  <c r="I20" i="1" s="1"/>
  <c r="G20" i="19"/>
  <c r="I19" i="1" s="1"/>
  <c r="G40" i="19"/>
  <c r="I34" i="1" s="1"/>
  <c r="G33" i="19"/>
  <c r="I15" i="1" s="1"/>
  <c r="G10" i="19"/>
  <c r="I32" i="1" s="1"/>
  <c r="G11" i="19"/>
  <c r="I22" i="1" s="1"/>
  <c r="G8" i="19"/>
  <c r="I37" i="1" s="1"/>
  <c r="G17" i="19"/>
  <c r="I12" i="1" s="1"/>
  <c r="G35" i="19"/>
  <c r="I29" i="1" s="1"/>
  <c r="G38" i="19"/>
  <c r="I33" i="1" s="1"/>
  <c r="G36" i="19"/>
  <c r="I23" i="1" s="1"/>
  <c r="G22" i="19"/>
  <c r="I40" i="1" s="1"/>
  <c r="H28" i="18"/>
  <c r="H31" i="18"/>
  <c r="H12" i="18"/>
  <c r="H15" i="18"/>
  <c r="H11" i="18"/>
  <c r="H39" i="18"/>
  <c r="H27" i="18"/>
  <c r="H34" i="18"/>
  <c r="H18" i="18"/>
  <c r="H35" i="18"/>
  <c r="H17" i="18"/>
  <c r="H9" i="18"/>
  <c r="H32" i="18"/>
  <c r="H38" i="18"/>
  <c r="H16" i="18"/>
  <c r="H38" i="16"/>
  <c r="H8" i="16"/>
  <c r="H28" i="16"/>
  <c r="H15" i="16"/>
  <c r="H39" i="16"/>
  <c r="H18" i="16"/>
  <c r="H12" i="16"/>
  <c r="H24" i="16"/>
  <c r="H29" i="16"/>
  <c r="H33" i="16"/>
  <c r="H10" i="16"/>
  <c r="H25" i="16"/>
  <c r="H19" i="16"/>
  <c r="H40" i="16"/>
  <c r="H23" i="16"/>
  <c r="H11" i="16"/>
  <c r="H13" i="16"/>
  <c r="H27" i="16"/>
  <c r="H26" i="16"/>
  <c r="H30" i="16"/>
  <c r="H35" i="16"/>
  <c r="H37" i="16"/>
  <c r="H38" i="14"/>
  <c r="H20" i="16"/>
  <c r="H34" i="16"/>
  <c r="H17" i="16"/>
  <c r="H31" i="16"/>
  <c r="H8" i="18"/>
  <c r="F12" i="15"/>
  <c r="H26" i="18"/>
  <c r="H21" i="16"/>
  <c r="H40" i="18"/>
  <c r="H32" i="16"/>
  <c r="H23" i="18"/>
  <c r="H13" i="18"/>
  <c r="H22" i="18"/>
  <c r="H29" i="18"/>
  <c r="H33" i="18"/>
  <c r="H37" i="18"/>
  <c r="H24" i="18"/>
  <c r="H14" i="18"/>
  <c r="H22" i="16"/>
  <c r="H25" i="18"/>
  <c r="H7" i="18"/>
  <c r="H16" i="16"/>
  <c r="F26" i="14"/>
  <c r="G26" i="14" s="1"/>
  <c r="F40" i="14"/>
  <c r="G40" i="14" s="1"/>
  <c r="F8" i="14"/>
  <c r="H9" i="16"/>
  <c r="F30" i="14"/>
  <c r="G30" i="14" s="1"/>
  <c r="E24" i="1" s="1"/>
  <c r="F36" i="14"/>
  <c r="G36" i="14" s="1"/>
  <c r="E29" i="1" s="1"/>
  <c r="F12" i="14"/>
  <c r="G12" i="14" s="1"/>
  <c r="E38" i="1" s="1"/>
  <c r="F7" i="14"/>
  <c r="F31" i="14"/>
  <c r="G31" i="14" s="1"/>
  <c r="H21" i="18"/>
  <c r="H20" i="18"/>
  <c r="F28" i="14"/>
  <c r="G28" i="14" s="1"/>
  <c r="E22" i="1" s="1"/>
  <c r="F35" i="14"/>
  <c r="G35" i="14" s="1"/>
  <c r="F32" i="14"/>
  <c r="G32" i="14" s="1"/>
  <c r="E26" i="1" s="1"/>
  <c r="F27" i="14"/>
  <c r="G27" i="14" s="1"/>
  <c r="E12" i="1" s="1"/>
  <c r="F19" i="14"/>
  <c r="G19" i="14" s="1"/>
  <c r="F18" i="14"/>
  <c r="G18" i="14" s="1"/>
  <c r="E44" i="1" s="1"/>
  <c r="F33" i="14"/>
  <c r="G33" i="14" s="1"/>
  <c r="F24" i="14"/>
  <c r="G24" i="14" s="1"/>
  <c r="H36" i="18"/>
  <c r="F9" i="14"/>
  <c r="G9" i="14" s="1"/>
  <c r="E21" i="1" s="1"/>
  <c r="F15" i="14"/>
  <c r="G15" i="14" s="1"/>
  <c r="F34" i="14"/>
  <c r="G34" i="14" s="1"/>
  <c r="F39" i="14"/>
  <c r="G39" i="14" s="1"/>
  <c r="F10" i="14"/>
  <c r="G10" i="14" s="1"/>
  <c r="F22" i="14"/>
  <c r="G22" i="14" s="1"/>
  <c r="E37" i="1" s="1"/>
  <c r="F37" i="14"/>
  <c r="G37" i="14" s="1"/>
  <c r="F23" i="14"/>
  <c r="G23" i="14" s="1"/>
  <c r="F21" i="14"/>
  <c r="G21" i="14" s="1"/>
  <c r="F29" i="14"/>
  <c r="G29" i="14" s="1"/>
  <c r="F11" i="14"/>
  <c r="G11" i="14" s="1"/>
  <c r="F14" i="14"/>
  <c r="G14" i="14" s="1"/>
  <c r="F16" i="14"/>
  <c r="G16" i="14" s="1"/>
  <c r="F13" i="14"/>
  <c r="G13" i="14" s="1"/>
  <c r="F17" i="14"/>
  <c r="G17" i="14" s="1"/>
  <c r="F20" i="14"/>
  <c r="G20" i="14" s="1"/>
  <c r="F25" i="14"/>
  <c r="G25" i="14" s="1"/>
  <c r="H36" i="16"/>
  <c r="F41" i="18"/>
  <c r="H19" i="18"/>
  <c r="H10" i="18"/>
  <c r="G41" i="18"/>
  <c r="H41" i="18" s="1"/>
  <c r="H30" i="18"/>
  <c r="F41" i="16"/>
  <c r="H14" i="16"/>
  <c r="H26" i="15"/>
  <c r="F22" i="15"/>
  <c r="G22" i="15" s="1"/>
  <c r="F23" i="1" s="1"/>
  <c r="F37" i="15"/>
  <c r="G37" i="15" s="1"/>
  <c r="F13" i="1" s="1"/>
  <c r="F14" i="15"/>
  <c r="G14" i="15" s="1"/>
  <c r="F42" i="1" s="1"/>
  <c r="F29" i="15"/>
  <c r="G29" i="15" s="1"/>
  <c r="F27" i="1" s="1"/>
  <c r="F16" i="15"/>
  <c r="G16" i="15" s="1"/>
  <c r="F34" i="1" s="1"/>
  <c r="F24" i="15"/>
  <c r="G24" i="15" s="1"/>
  <c r="F26" i="1" s="1"/>
  <c r="F19" i="15"/>
  <c r="G19" i="15" s="1"/>
  <c r="F17" i="1" s="1"/>
  <c r="G7" i="17"/>
  <c r="H42" i="1" s="1"/>
  <c r="F41" i="17"/>
  <c r="G41" i="16"/>
  <c r="H41" i="16" s="1"/>
  <c r="H7" i="16"/>
  <c r="F28" i="15"/>
  <c r="G28" i="15" s="1"/>
  <c r="F39" i="1" s="1"/>
  <c r="F17" i="15"/>
  <c r="G17" i="15" s="1"/>
  <c r="F31" i="1" s="1"/>
  <c r="F39" i="15"/>
  <c r="G39" i="15" s="1"/>
  <c r="F25" i="1" s="1"/>
  <c r="F23" i="15"/>
  <c r="G23" i="15" s="1"/>
  <c r="F33" i="1" s="1"/>
  <c r="F7" i="15"/>
  <c r="G7" i="15" s="1"/>
  <c r="F11" i="1" s="1"/>
  <c r="F18" i="15"/>
  <c r="G18" i="15" s="1"/>
  <c r="F18" i="1" s="1"/>
  <c r="F9" i="15"/>
  <c r="G9" i="15" s="1"/>
  <c r="F14" i="1" s="1"/>
  <c r="F33" i="15"/>
  <c r="G33" i="15" s="1"/>
  <c r="F32" i="1" s="1"/>
  <c r="F20" i="15"/>
  <c r="G20" i="15" s="1"/>
  <c r="F44" i="1" s="1"/>
  <c r="F34" i="15"/>
  <c r="G34" i="15" s="1"/>
  <c r="F24" i="1" s="1"/>
  <c r="F25" i="15"/>
  <c r="G25" i="15" s="1"/>
  <c r="F29" i="1" s="1"/>
  <c r="F13" i="15"/>
  <c r="G13" i="15" s="1"/>
  <c r="F21" i="1" s="1"/>
  <c r="F31" i="15"/>
  <c r="G31" i="15" s="1"/>
  <c r="F28" i="1" s="1"/>
  <c r="F38" i="15"/>
  <c r="G38" i="15" s="1"/>
  <c r="F20" i="1" s="1"/>
  <c r="F35" i="15"/>
  <c r="G35" i="15" s="1"/>
  <c r="F30" i="1" s="1"/>
  <c r="F36" i="15"/>
  <c r="G36" i="15" s="1"/>
  <c r="F36" i="1" s="1"/>
  <c r="F30" i="15"/>
  <c r="G30" i="15" s="1"/>
  <c r="F19" i="1" s="1"/>
  <c r="F10" i="15"/>
  <c r="G10" i="15" s="1"/>
  <c r="F38" i="1" s="1"/>
  <c r="F40" i="15"/>
  <c r="G40" i="15" s="1"/>
  <c r="F16" i="1" s="1"/>
  <c r="F11" i="15"/>
  <c r="G11" i="15" s="1"/>
  <c r="F15" i="1" s="1"/>
  <c r="F32" i="15"/>
  <c r="G32" i="15" s="1"/>
  <c r="F40" i="1" s="1"/>
  <c r="F27" i="15"/>
  <c r="G27" i="15" s="1"/>
  <c r="F37" i="1" s="1"/>
  <c r="F8" i="15"/>
  <c r="G8" i="15" s="1"/>
  <c r="F12" i="1" s="1"/>
  <c r="F21" i="15"/>
  <c r="G21" i="15" s="1"/>
  <c r="F41" i="1" s="1"/>
  <c r="F15" i="15"/>
  <c r="G15" i="15" s="1"/>
  <c r="F35" i="1" s="1"/>
  <c r="G7" i="14" l="1"/>
  <c r="E34" i="1" s="1"/>
  <c r="H36" i="17"/>
  <c r="H35" i="17"/>
  <c r="H8" i="17"/>
  <c r="H34" i="17"/>
  <c r="H26" i="17"/>
  <c r="H29" i="17"/>
  <c r="H14" i="17"/>
  <c r="H37" i="17"/>
  <c r="H11" i="17"/>
  <c r="H31" i="17"/>
  <c r="H21" i="17"/>
  <c r="H27" i="17"/>
  <c r="H38" i="17"/>
  <c r="H25" i="17"/>
  <c r="H15" i="17"/>
  <c r="H30" i="17"/>
  <c r="H18" i="17"/>
  <c r="H10" i="17"/>
  <c r="H9" i="17"/>
  <c r="H13" i="17"/>
  <c r="H20" i="17"/>
  <c r="H17" i="17"/>
  <c r="H28" i="17"/>
  <c r="H19" i="17"/>
  <c r="H24" i="17"/>
  <c r="H23" i="17"/>
  <c r="H33" i="17"/>
  <c r="H16" i="17"/>
  <c r="H32" i="17"/>
  <c r="H39" i="17"/>
  <c r="H34" i="1"/>
  <c r="H22" i="17"/>
  <c r="H39" i="1"/>
  <c r="H40" i="17"/>
  <c r="H25" i="1"/>
  <c r="H12" i="17"/>
  <c r="H20" i="1"/>
  <c r="J12" i="1"/>
  <c r="G41" i="20"/>
  <c r="H41" i="20" s="1"/>
  <c r="H38" i="19"/>
  <c r="H20" i="19"/>
  <c r="H24" i="19"/>
  <c r="H15" i="19"/>
  <c r="H26" i="20"/>
  <c r="H22" i="20"/>
  <c r="H34" i="20"/>
  <c r="H31" i="20"/>
  <c r="H32" i="20"/>
  <c r="H35" i="19"/>
  <c r="H12" i="19"/>
  <c r="H27" i="19"/>
  <c r="H19" i="19"/>
  <c r="H38" i="20"/>
  <c r="H17" i="20"/>
  <c r="H30" i="20"/>
  <c r="H23" i="20"/>
  <c r="H28" i="20"/>
  <c r="H22" i="19"/>
  <c r="H33" i="19"/>
  <c r="H39" i="19"/>
  <c r="H29" i="19"/>
  <c r="H13" i="19"/>
  <c r="H16" i="20"/>
  <c r="H40" i="20"/>
  <c r="H36" i="19"/>
  <c r="H40" i="19"/>
  <c r="H18" i="19"/>
  <c r="H14" i="19"/>
  <c r="H21" i="20"/>
  <c r="H8" i="20"/>
  <c r="H18" i="20"/>
  <c r="H24" i="20"/>
  <c r="H17" i="19"/>
  <c r="H32" i="19"/>
  <c r="H30" i="19"/>
  <c r="H16" i="19"/>
  <c r="H11" i="20"/>
  <c r="H39" i="20"/>
  <c r="H27" i="20"/>
  <c r="H25" i="20"/>
  <c r="H13" i="20"/>
  <c r="H11" i="19"/>
  <c r="H9" i="19"/>
  <c r="H23" i="19"/>
  <c r="H25" i="19"/>
  <c r="H19" i="20"/>
  <c r="H20" i="20"/>
  <c r="H12" i="20"/>
  <c r="H14" i="20"/>
  <c r="H7" i="20"/>
  <c r="H8" i="19"/>
  <c r="H21" i="19"/>
  <c r="H34" i="19"/>
  <c r="H37" i="19"/>
  <c r="H15" i="20"/>
  <c r="H29" i="20"/>
  <c r="H36" i="20"/>
  <c r="H10" i="19"/>
  <c r="H26" i="19"/>
  <c r="H31" i="19"/>
  <c r="H7" i="19"/>
  <c r="H9" i="20"/>
  <c r="H35" i="20"/>
  <c r="H33" i="20"/>
  <c r="H37" i="20"/>
  <c r="G41" i="19"/>
  <c r="H41" i="19" s="1"/>
  <c r="H28" i="19"/>
  <c r="H10" i="20"/>
  <c r="E32" i="1"/>
  <c r="E33" i="1"/>
  <c r="E31" i="1"/>
  <c r="E41" i="1"/>
  <c r="E17" i="1"/>
  <c r="E18" i="1"/>
  <c r="E15" i="1"/>
  <c r="E36" i="1"/>
  <c r="E39" i="1"/>
  <c r="E14" i="1"/>
  <c r="E42" i="1"/>
  <c r="E13" i="1"/>
  <c r="E23" i="1"/>
  <c r="E25" i="1"/>
  <c r="E16" i="1"/>
  <c r="E28" i="1"/>
  <c r="E35" i="1"/>
  <c r="E30" i="1"/>
  <c r="E27" i="1"/>
  <c r="E20" i="1"/>
  <c r="E11" i="1"/>
  <c r="E40" i="1"/>
  <c r="G12" i="15"/>
  <c r="F43" i="1" s="1"/>
  <c r="F41" i="15"/>
  <c r="H34" i="14"/>
  <c r="H21" i="14"/>
  <c r="H26" i="14"/>
  <c r="H17" i="14"/>
  <c r="H13" i="14"/>
  <c r="H37" i="14"/>
  <c r="H24" i="14"/>
  <c r="H40" i="14"/>
  <c r="H29" i="14"/>
  <c r="H20" i="14"/>
  <c r="H15" i="14"/>
  <c r="H14" i="14"/>
  <c r="H10" i="14"/>
  <c r="H25" i="14"/>
  <c r="H23" i="14"/>
  <c r="H35" i="14"/>
  <c r="H16" i="14"/>
  <c r="H33" i="14"/>
  <c r="H11" i="14"/>
  <c r="H39" i="14"/>
  <c r="H19" i="14"/>
  <c r="H31" i="14"/>
  <c r="F41" i="14"/>
  <c r="G8" i="14"/>
  <c r="E43" i="1" s="1"/>
  <c r="H36" i="14"/>
  <c r="H9" i="14"/>
  <c r="H12" i="14"/>
  <c r="H30" i="14"/>
  <c r="H32" i="14"/>
  <c r="H18" i="14"/>
  <c r="H27" i="14"/>
  <c r="H28" i="14"/>
  <c r="H22" i="14"/>
  <c r="H32" i="15"/>
  <c r="H11" i="15"/>
  <c r="H19" i="15"/>
  <c r="H40" i="15"/>
  <c r="H25" i="15"/>
  <c r="H39" i="15"/>
  <c r="H24" i="15"/>
  <c r="H18" i="15"/>
  <c r="H22" i="15"/>
  <c r="H7" i="15"/>
  <c r="H13" i="15"/>
  <c r="H23" i="15"/>
  <c r="H10" i="15"/>
  <c r="H34" i="15"/>
  <c r="H17" i="15"/>
  <c r="H16" i="15"/>
  <c r="H38" i="15"/>
  <c r="H31" i="15"/>
  <c r="H30" i="15"/>
  <c r="H28" i="15"/>
  <c r="H21" i="15"/>
  <c r="H27" i="15"/>
  <c r="H15" i="15"/>
  <c r="H20" i="15"/>
  <c r="H29" i="15"/>
  <c r="H36" i="15"/>
  <c r="H33" i="15"/>
  <c r="H14" i="15"/>
  <c r="H8" i="15"/>
  <c r="H35" i="15"/>
  <c r="H9" i="15"/>
  <c r="H37" i="15"/>
  <c r="H7" i="17"/>
  <c r="G41" i="17"/>
  <c r="H41" i="17" s="1"/>
  <c r="B45" i="1"/>
  <c r="P24" i="1" s="1"/>
  <c r="H7" i="14" l="1"/>
  <c r="J45" i="1"/>
  <c r="I45" i="1"/>
  <c r="H12" i="15"/>
  <c r="G41" i="15"/>
  <c r="H41" i="15" s="1"/>
  <c r="H8" i="14"/>
  <c r="G41" i="14"/>
  <c r="H41" i="14" s="1"/>
  <c r="P44" i="1"/>
  <c r="P19" i="1"/>
  <c r="P13" i="1"/>
  <c r="P36" i="1"/>
  <c r="P41" i="1"/>
  <c r="P27" i="1"/>
  <c r="P34" i="1"/>
  <c r="P23" i="1"/>
  <c r="P31" i="1"/>
  <c r="P28" i="1"/>
  <c r="P25" i="1"/>
  <c r="P11" i="1"/>
  <c r="P30" i="1"/>
  <c r="P43" i="1"/>
  <c r="P29" i="1"/>
  <c r="P42" i="1"/>
  <c r="P17" i="1"/>
  <c r="P33" i="1"/>
  <c r="P37" i="1"/>
  <c r="P39" i="1"/>
  <c r="P14" i="1"/>
  <c r="P12" i="1"/>
  <c r="P26" i="1"/>
  <c r="P22" i="1"/>
  <c r="P32" i="1"/>
  <c r="P35" i="1"/>
  <c r="P18" i="1"/>
  <c r="P40" i="1"/>
  <c r="P38" i="1"/>
  <c r="P20" i="1"/>
  <c r="P16" i="1"/>
  <c r="P21" i="1"/>
  <c r="P15" i="1"/>
  <c r="E7" i="9"/>
  <c r="E26" i="9"/>
  <c r="E34" i="9"/>
  <c r="C3" i="9"/>
  <c r="C3" i="8"/>
  <c r="P45" i="1" l="1"/>
  <c r="E13" i="9"/>
  <c r="E30" i="9"/>
  <c r="E38" i="9"/>
  <c r="E22" i="9"/>
  <c r="E24" i="9"/>
  <c r="E25" i="9"/>
  <c r="E14" i="9"/>
  <c r="E16" i="9"/>
  <c r="E32" i="9"/>
  <c r="E10" i="9"/>
  <c r="E9" i="9"/>
  <c r="E17" i="9"/>
  <c r="E35" i="9"/>
  <c r="E29" i="9"/>
  <c r="E15" i="9"/>
  <c r="E11" i="9"/>
  <c r="E37" i="9"/>
  <c r="E23" i="9"/>
  <c r="E21" i="9"/>
  <c r="E33" i="9"/>
  <c r="E36" i="9"/>
  <c r="E12" i="9"/>
  <c r="E40" i="9"/>
  <c r="E31" i="9"/>
  <c r="E19" i="9"/>
  <c r="E20" i="9"/>
  <c r="E27" i="9"/>
  <c r="E18" i="9"/>
  <c r="E28" i="9"/>
  <c r="E8" i="9"/>
  <c r="E31" i="8"/>
  <c r="E39" i="8"/>
  <c r="E39" i="9"/>
  <c r="E7" i="8"/>
  <c r="E8" i="8"/>
  <c r="E19" i="8"/>
  <c r="E28" i="8"/>
  <c r="E18" i="8"/>
  <c r="E27" i="8"/>
  <c r="E36" i="8"/>
  <c r="E20" i="8"/>
  <c r="E40" i="8"/>
  <c r="E12" i="8"/>
  <c r="E21" i="8"/>
  <c r="E11" i="8"/>
  <c r="E33" i="8"/>
  <c r="E23" i="8"/>
  <c r="E37" i="8"/>
  <c r="E35" i="8"/>
  <c r="E32" i="8"/>
  <c r="E25" i="8"/>
  <c r="E26" i="8"/>
  <c r="E29" i="8"/>
  <c r="E15" i="8"/>
  <c r="E17" i="8"/>
  <c r="E9" i="8"/>
  <c r="E10" i="8"/>
  <c r="E34" i="8"/>
  <c r="E16" i="8"/>
  <c r="E14" i="8"/>
  <c r="E24" i="8"/>
  <c r="E22" i="8"/>
  <c r="E38" i="8"/>
  <c r="E30" i="8"/>
  <c r="E13" i="8"/>
  <c r="C41" i="9"/>
  <c r="C41" i="8"/>
  <c r="E41" i="9" l="1"/>
  <c r="F34" i="9" s="1"/>
  <c r="E41" i="8"/>
  <c r="F8" i="8" s="1"/>
  <c r="F13" i="8" l="1"/>
  <c r="F29" i="9"/>
  <c r="F12" i="9"/>
  <c r="F40" i="9"/>
  <c r="F11" i="9"/>
  <c r="F18" i="9"/>
  <c r="F37" i="9"/>
  <c r="F28" i="9"/>
  <c r="F16" i="9"/>
  <c r="F31" i="9"/>
  <c r="F25" i="9"/>
  <c r="F38" i="9"/>
  <c r="F14" i="9"/>
  <c r="F17" i="9"/>
  <c r="F26" i="9"/>
  <c r="F10" i="9"/>
  <c r="F20" i="9"/>
  <c r="F30" i="9"/>
  <c r="F13" i="9"/>
  <c r="F22" i="9"/>
  <c r="F7" i="9"/>
  <c r="F19" i="9"/>
  <c r="F27" i="9"/>
  <c r="F39" i="9"/>
  <c r="F36" i="9"/>
  <c r="F15" i="9"/>
  <c r="F9" i="9"/>
  <c r="F33" i="9"/>
  <c r="F35" i="9"/>
  <c r="F21" i="9"/>
  <c r="F24" i="9"/>
  <c r="F33" i="8"/>
  <c r="F23" i="9"/>
  <c r="F8" i="9"/>
  <c r="F32" i="9"/>
  <c r="F18" i="8"/>
  <c r="F36" i="8"/>
  <c r="F40" i="8"/>
  <c r="F11" i="8"/>
  <c r="F7" i="8"/>
  <c r="F32" i="8"/>
  <c r="F24" i="8"/>
  <c r="F31" i="8"/>
  <c r="F17" i="8"/>
  <c r="F37" i="8"/>
  <c r="F20" i="8"/>
  <c r="F27" i="8"/>
  <c r="F16" i="8"/>
  <c r="F38" i="8"/>
  <c r="F19" i="8"/>
  <c r="F39" i="8"/>
  <c r="F35" i="8"/>
  <c r="F15" i="8"/>
  <c r="F34" i="8"/>
  <c r="F10" i="8"/>
  <c r="F22" i="8"/>
  <c r="F26" i="8"/>
  <c r="F29" i="8"/>
  <c r="F28" i="8"/>
  <c r="F9" i="8"/>
  <c r="F14" i="8"/>
  <c r="F12" i="8"/>
  <c r="F25" i="8"/>
  <c r="F23" i="8"/>
  <c r="F30" i="8"/>
  <c r="F21" i="8"/>
  <c r="F41" i="9" l="1"/>
  <c r="F41" i="8"/>
  <c r="C3" i="4" l="1"/>
  <c r="C41" i="4" l="1"/>
  <c r="D32" i="4" s="1"/>
  <c r="D8" i="4" l="1"/>
  <c r="D40" i="4"/>
  <c r="D16" i="4"/>
  <c r="D30" i="4"/>
  <c r="D39" i="4"/>
  <c r="D11" i="4"/>
  <c r="D29" i="4"/>
  <c r="D25" i="4"/>
  <c r="D9" i="4"/>
  <c r="D27" i="4"/>
  <c r="D34" i="4"/>
  <c r="D26" i="4"/>
  <c r="D7" i="4"/>
  <c r="D28" i="4"/>
  <c r="D12" i="4"/>
  <c r="D22" i="4"/>
  <c r="D23" i="4"/>
  <c r="D36" i="4"/>
  <c r="D38" i="4"/>
  <c r="D21" i="4"/>
  <c r="D35" i="4"/>
  <c r="D10" i="4"/>
  <c r="D20" i="4"/>
  <c r="D14" i="4"/>
  <c r="D13" i="4"/>
  <c r="D24" i="4"/>
  <c r="D37" i="4"/>
  <c r="D18" i="4"/>
  <c r="D19" i="4"/>
  <c r="D33" i="4"/>
  <c r="D15" i="4"/>
  <c r="D17" i="4"/>
  <c r="D31" i="4"/>
  <c r="D41" i="4" l="1"/>
  <c r="D45" i="2" l="1"/>
  <c r="C4" i="8"/>
  <c r="C4" i="9"/>
  <c r="C4" i="4"/>
  <c r="E32" i="4" l="1"/>
  <c r="E31" i="4"/>
  <c r="E23" i="4"/>
  <c r="E8" i="4"/>
  <c r="E21" i="4"/>
  <c r="E30" i="4"/>
  <c r="E38" i="4"/>
  <c r="E16" i="4"/>
  <c r="E36" i="4"/>
  <c r="E40" i="4"/>
  <c r="D11" i="1" s="1"/>
  <c r="E19" i="4"/>
  <c r="E7" i="4"/>
  <c r="D17" i="1" s="1"/>
  <c r="E17" i="4"/>
  <c r="E22" i="4"/>
  <c r="E15" i="4"/>
  <c r="E12" i="4"/>
  <c r="E33" i="4"/>
  <c r="E28" i="4"/>
  <c r="E13" i="4"/>
  <c r="E9" i="4"/>
  <c r="E18" i="4"/>
  <c r="E26" i="4"/>
  <c r="E37" i="4"/>
  <c r="E34" i="4"/>
  <c r="E24" i="4"/>
  <c r="E27" i="4"/>
  <c r="E35" i="4"/>
  <c r="E39" i="4"/>
  <c r="E14" i="4"/>
  <c r="E25" i="4"/>
  <c r="E20" i="4"/>
  <c r="E29" i="4"/>
  <c r="E10" i="4"/>
  <c r="E11" i="4"/>
  <c r="G8" i="8"/>
  <c r="G12" i="8"/>
  <c r="G35" i="8"/>
  <c r="G13" i="8"/>
  <c r="G39" i="8"/>
  <c r="G18" i="8"/>
  <c r="G34" i="8"/>
  <c r="G30" i="8"/>
  <c r="G38" i="8"/>
  <c r="G23" i="8"/>
  <c r="G20" i="8"/>
  <c r="G16" i="8"/>
  <c r="G25" i="8"/>
  <c r="G27" i="8"/>
  <c r="G33" i="8"/>
  <c r="G19" i="8"/>
  <c r="G14" i="8"/>
  <c r="G37" i="8"/>
  <c r="G9" i="8"/>
  <c r="G17" i="8"/>
  <c r="G28" i="8"/>
  <c r="G31" i="8"/>
  <c r="G21" i="8"/>
  <c r="G24" i="8"/>
  <c r="G26" i="8"/>
  <c r="G32" i="8"/>
  <c r="G22" i="8"/>
  <c r="G36" i="8"/>
  <c r="G10" i="8"/>
  <c r="G7" i="8"/>
  <c r="G29" i="8"/>
  <c r="G11" i="8"/>
  <c r="G15" i="8"/>
  <c r="G40" i="8"/>
  <c r="G34" i="9"/>
  <c r="G32" i="9"/>
  <c r="G13" i="9"/>
  <c r="G12" i="9"/>
  <c r="G19" i="9"/>
  <c r="G18" i="9"/>
  <c r="G22" i="9"/>
  <c r="G40" i="9"/>
  <c r="G7" i="9"/>
  <c r="G11" i="9"/>
  <c r="G20" i="9"/>
  <c r="G9" i="9"/>
  <c r="G21" i="9"/>
  <c r="G17" i="9"/>
  <c r="G35" i="9"/>
  <c r="G24" i="9"/>
  <c r="G26" i="9"/>
  <c r="G8" i="9"/>
  <c r="G30" i="9"/>
  <c r="G29" i="9"/>
  <c r="G10" i="9"/>
  <c r="G23" i="9"/>
  <c r="G33" i="9"/>
  <c r="G27" i="9"/>
  <c r="G37" i="9"/>
  <c r="G15" i="9"/>
  <c r="G31" i="9"/>
  <c r="G39" i="9"/>
  <c r="G28" i="9"/>
  <c r="G36" i="9"/>
  <c r="G16" i="9"/>
  <c r="G25" i="9"/>
  <c r="G38" i="9"/>
  <c r="G14" i="9"/>
  <c r="F7" i="4" l="1"/>
  <c r="D35" i="1"/>
  <c r="F29" i="4"/>
  <c r="D12" i="1"/>
  <c r="F39" i="4"/>
  <c r="D20" i="1"/>
  <c r="F34" i="4"/>
  <c r="D21" i="1"/>
  <c r="F9" i="4"/>
  <c r="D33" i="1"/>
  <c r="F12" i="4"/>
  <c r="D27" i="1"/>
  <c r="F16" i="4"/>
  <c r="D36" i="1"/>
  <c r="F8" i="4"/>
  <c r="E41" i="4"/>
  <c r="F41" i="4" s="1"/>
  <c r="D16" i="1"/>
  <c r="F20" i="4"/>
  <c r="D38" i="1"/>
  <c r="F35" i="4"/>
  <c r="D13" i="1"/>
  <c r="F37" i="4"/>
  <c r="D30" i="1"/>
  <c r="F13" i="4"/>
  <c r="D34" i="1"/>
  <c r="F15" i="4"/>
  <c r="D40" i="1"/>
  <c r="F19" i="4"/>
  <c r="D15" i="1"/>
  <c r="F38" i="4"/>
  <c r="D31" i="1"/>
  <c r="F23" i="4"/>
  <c r="D19" i="1"/>
  <c r="F11" i="4"/>
  <c r="D32" i="1"/>
  <c r="F25" i="4"/>
  <c r="D23" i="1"/>
  <c r="F27" i="4"/>
  <c r="D42" i="1"/>
  <c r="F26" i="4"/>
  <c r="D43" i="1"/>
  <c r="F28" i="4"/>
  <c r="D24" i="1"/>
  <c r="F22" i="4"/>
  <c r="F40" i="4"/>
  <c r="D26" i="1"/>
  <c r="F30" i="4"/>
  <c r="D28" i="1"/>
  <c r="F31" i="4"/>
  <c r="D39" i="1"/>
  <c r="F10" i="4"/>
  <c r="D41" i="1"/>
  <c r="F14" i="4"/>
  <c r="D22" i="1"/>
  <c r="F24" i="4"/>
  <c r="D25" i="1"/>
  <c r="F18" i="4"/>
  <c r="D18" i="1"/>
  <c r="F33" i="4"/>
  <c r="D37" i="1"/>
  <c r="F17" i="4"/>
  <c r="D14" i="1"/>
  <c r="F36" i="4"/>
  <c r="D44" i="1"/>
  <c r="F21" i="4"/>
  <c r="D29" i="1"/>
  <c r="F32" i="4"/>
  <c r="L33" i="1"/>
  <c r="H29" i="8"/>
  <c r="H9" i="8"/>
  <c r="L13" i="1"/>
  <c r="H34" i="8"/>
  <c r="L38" i="1"/>
  <c r="L15" i="1"/>
  <c r="H11" i="8"/>
  <c r="H36" i="8"/>
  <c r="L40" i="1"/>
  <c r="H24" i="8"/>
  <c r="L28" i="1"/>
  <c r="L21" i="1"/>
  <c r="H17" i="8"/>
  <c r="H19" i="8"/>
  <c r="L23" i="1"/>
  <c r="L20" i="1"/>
  <c r="H16" i="8"/>
  <c r="H30" i="8"/>
  <c r="L34" i="1"/>
  <c r="L17" i="1"/>
  <c r="H13" i="8"/>
  <c r="G41" i="8"/>
  <c r="H41" i="8" s="1"/>
  <c r="H22" i="8"/>
  <c r="L26" i="1"/>
  <c r="H33" i="8"/>
  <c r="L37" i="1"/>
  <c r="L24" i="1"/>
  <c r="H20" i="8"/>
  <c r="L44" i="1"/>
  <c r="H40" i="8"/>
  <c r="L11" i="1"/>
  <c r="H7" i="8"/>
  <c r="L36" i="1"/>
  <c r="H32" i="8"/>
  <c r="H31" i="8"/>
  <c r="L35" i="1"/>
  <c r="H37" i="8"/>
  <c r="L41" i="1"/>
  <c r="H27" i="8"/>
  <c r="L31" i="1"/>
  <c r="H23" i="8"/>
  <c r="L27" i="1"/>
  <c r="H18" i="8"/>
  <c r="L22" i="1"/>
  <c r="H12" i="8"/>
  <c r="L16" i="1"/>
  <c r="H21" i="8"/>
  <c r="L25" i="1"/>
  <c r="L39" i="1"/>
  <c r="H35" i="8"/>
  <c r="H15" i="8"/>
  <c r="L19" i="1"/>
  <c r="L14" i="1"/>
  <c r="H10" i="8"/>
  <c r="L30" i="1"/>
  <c r="H26" i="8"/>
  <c r="L32" i="1"/>
  <c r="H28" i="8"/>
  <c r="L18" i="1"/>
  <c r="H14" i="8"/>
  <c r="H25" i="8"/>
  <c r="L29" i="1"/>
  <c r="H38" i="8"/>
  <c r="L42" i="1"/>
  <c r="H39" i="8"/>
  <c r="L43" i="1"/>
  <c r="H8" i="8"/>
  <c r="L12" i="1"/>
  <c r="M20" i="1"/>
  <c r="H16" i="9"/>
  <c r="M35" i="1"/>
  <c r="H31" i="9"/>
  <c r="M37" i="1"/>
  <c r="H33" i="9"/>
  <c r="H30" i="9"/>
  <c r="M34" i="1"/>
  <c r="H35" i="9"/>
  <c r="M39" i="1"/>
  <c r="M24" i="1"/>
  <c r="H20" i="9"/>
  <c r="M26" i="1"/>
  <c r="H22" i="9"/>
  <c r="M17" i="1"/>
  <c r="H13" i="9"/>
  <c r="G41" i="9"/>
  <c r="H41" i="9" s="1"/>
  <c r="M18" i="1"/>
  <c r="H14" i="9"/>
  <c r="M40" i="1"/>
  <c r="H36" i="9"/>
  <c r="H15" i="9"/>
  <c r="M19" i="1"/>
  <c r="M27" i="1"/>
  <c r="H23" i="9"/>
  <c r="M12" i="1"/>
  <c r="H8" i="9"/>
  <c r="M21" i="1"/>
  <c r="H17" i="9"/>
  <c r="H11" i="9"/>
  <c r="M15" i="1"/>
  <c r="H18" i="9"/>
  <c r="M22" i="1"/>
  <c r="M36" i="1"/>
  <c r="H32" i="9"/>
  <c r="H38" i="9"/>
  <c r="M42" i="1"/>
  <c r="H28" i="9"/>
  <c r="M32" i="1"/>
  <c r="H37" i="9"/>
  <c r="M41" i="1"/>
  <c r="M14" i="1"/>
  <c r="H10" i="9"/>
  <c r="M30" i="1"/>
  <c r="H26" i="9"/>
  <c r="M25" i="1"/>
  <c r="H21" i="9"/>
  <c r="H7" i="9"/>
  <c r="M11" i="1"/>
  <c r="M23" i="1"/>
  <c r="H19" i="9"/>
  <c r="M38" i="1"/>
  <c r="H34" i="9"/>
  <c r="M29" i="1"/>
  <c r="H25" i="9"/>
  <c r="H39" i="9"/>
  <c r="M43" i="1"/>
  <c r="M31" i="1"/>
  <c r="H27" i="9"/>
  <c r="M33" i="1"/>
  <c r="H29" i="9"/>
  <c r="M28" i="1"/>
  <c r="H24" i="9"/>
  <c r="M13" i="1"/>
  <c r="H9" i="9"/>
  <c r="M44" i="1"/>
  <c r="H40" i="9"/>
  <c r="H12" i="9"/>
  <c r="M16" i="1"/>
  <c r="N17" i="1" l="1"/>
  <c r="N31" i="1"/>
  <c r="N25" i="1"/>
  <c r="N41" i="1"/>
  <c r="N28" i="1"/>
  <c r="N27" i="1"/>
  <c r="N12" i="1"/>
  <c r="N29" i="1"/>
  <c r="N14" i="1"/>
  <c r="N18" i="1"/>
  <c r="N22" i="1"/>
  <c r="N39" i="1"/>
  <c r="N26" i="1"/>
  <c r="N36" i="1"/>
  <c r="N33" i="1"/>
  <c r="N20" i="1"/>
  <c r="N35" i="1"/>
  <c r="N30" i="1"/>
  <c r="N43" i="1"/>
  <c r="N23" i="1"/>
  <c r="N19" i="1"/>
  <c r="N15" i="1"/>
  <c r="N34" i="1"/>
  <c r="N13" i="1"/>
  <c r="N16" i="1"/>
  <c r="N42" i="1"/>
  <c r="N32" i="1"/>
  <c r="N11" i="1"/>
  <c r="N24" i="1"/>
  <c r="N21" i="1"/>
  <c r="N40" i="1"/>
  <c r="N44" i="1"/>
  <c r="N37" i="1"/>
  <c r="N38" i="1"/>
  <c r="R17" i="1" l="1"/>
  <c r="R41" i="1"/>
  <c r="R44" i="1"/>
  <c r="R30" i="1"/>
  <c r="R37" i="1"/>
  <c r="Q11" i="1"/>
  <c r="K45" i="1"/>
  <c r="Q17" i="1"/>
  <c r="D45" i="1" l="1"/>
  <c r="E45" i="1"/>
  <c r="Q38" i="1" l="1"/>
  <c r="Q32" i="1"/>
  <c r="Q27" i="1"/>
  <c r="Q37" i="1"/>
  <c r="Q22" i="1"/>
  <c r="Q30" i="1"/>
  <c r="Q13" i="1"/>
  <c r="Q39" i="1"/>
  <c r="Q42" i="1"/>
  <c r="Q15" i="1"/>
  <c r="Q21" i="1"/>
  <c r="Q36" i="1"/>
  <c r="Q16" i="1"/>
  <c r="Q25" i="1"/>
  <c r="Q40" i="1"/>
  <c r="Q14" i="1"/>
  <c r="Q35" i="1"/>
  <c r="Q23" i="1"/>
  <c r="Q44" i="1"/>
  <c r="Q19" i="1"/>
  <c r="Q31" i="1"/>
  <c r="Q12" i="1"/>
  <c r="Q41" i="1"/>
  <c r="Q34" i="1"/>
  <c r="Q29" i="1"/>
  <c r="Q24" i="1"/>
  <c r="Q18" i="1"/>
  <c r="Q26" i="1"/>
  <c r="Q43" i="1"/>
  <c r="Q20" i="1"/>
  <c r="Q28" i="1"/>
  <c r="Q33" i="1"/>
  <c r="L45" i="1"/>
  <c r="F45" i="1"/>
  <c r="G45" i="1"/>
  <c r="H45" i="1"/>
  <c r="M45" i="1"/>
  <c r="N45" i="1" l="1"/>
  <c r="R45" i="1" l="1"/>
  <c r="Q45" i="1"/>
  <c r="O17" i="1"/>
  <c r="O34" i="1"/>
  <c r="O37" i="1"/>
  <c r="O19" i="1"/>
  <c r="O16" i="1"/>
  <c r="O40" i="1"/>
  <c r="O14" i="1"/>
  <c r="O44" i="1"/>
  <c r="O20" i="1"/>
  <c r="O39" i="1"/>
  <c r="O22" i="1"/>
  <c r="O32" i="1"/>
  <c r="O21" i="1"/>
  <c r="O42" i="1"/>
  <c r="O15" i="1"/>
  <c r="O27" i="1"/>
  <c r="O25" i="1"/>
  <c r="O29" i="1"/>
  <c r="O11" i="1"/>
  <c r="O26" i="1"/>
  <c r="O28" i="1"/>
  <c r="O13" i="1"/>
  <c r="O35" i="1"/>
  <c r="O31" i="1"/>
  <c r="O24" i="1"/>
  <c r="O33" i="1"/>
  <c r="O23" i="1"/>
  <c r="O12" i="1"/>
  <c r="O30" i="1"/>
  <c r="O18" i="1"/>
  <c r="O38" i="1"/>
  <c r="O36" i="1"/>
  <c r="O41" i="1"/>
  <c r="O43" i="1"/>
  <c r="O45" i="1" l="1"/>
</calcChain>
</file>

<file path=xl/comments1.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by rank weight.</t>
        </r>
      </text>
    </comment>
  </commentList>
</comments>
</file>

<file path=xl/comments2.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by rank weight.</t>
        </r>
      </text>
    </comment>
  </commentList>
</comments>
</file>

<file path=xl/comments3.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4.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5.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6.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comments7.xml><?xml version="1.0" encoding="utf-8"?>
<comments xmlns="http://schemas.openxmlformats.org/spreadsheetml/2006/main">
  <authors>
    <author>Curtis Christopher J</author>
  </authors>
  <commentList>
    <comment ref="E6" authorId="0" shapeId="0">
      <text>
        <r>
          <rPr>
            <sz val="9"/>
            <color indexed="81"/>
            <rFont val="Tahoma"/>
            <family val="2"/>
          </rPr>
          <t>Weight is calculated as County Population multiplied population percentage group.</t>
        </r>
      </text>
    </comment>
  </commentList>
</comments>
</file>

<file path=xl/sharedStrings.xml><?xml version="1.0" encoding="utf-8"?>
<sst xmlns="http://schemas.openxmlformats.org/spreadsheetml/2006/main" count="306" uniqueCount="114">
  <si>
    <t>Total Pool</t>
  </si>
  <si>
    <t>County Population</t>
  </si>
  <si>
    <t>Incentives</t>
  </si>
  <si>
    <t>Total</t>
  </si>
  <si>
    <t>% Split</t>
  </si>
  <si>
    <t>Y</t>
  </si>
  <si>
    <t>Award Percentage</t>
  </si>
  <si>
    <t>Weighted Per Capita</t>
  </si>
  <si>
    <t>County Group</t>
  </si>
  <si>
    <t>Burden of Disease Rank</t>
  </si>
  <si>
    <t>Health Status Rank</t>
  </si>
  <si>
    <t>Were Matching  Goals Met</t>
  </si>
  <si>
    <t>Were Incentives Met</t>
  </si>
  <si>
    <t>Category Weight</t>
  </si>
  <si>
    <t>Category Dollars</t>
  </si>
  <si>
    <t>Award Per Capita</t>
  </si>
  <si>
    <t>Weighted Burden Payout</t>
  </si>
  <si>
    <t>Burden Pool</t>
  </si>
  <si>
    <t>Weighted Payout</t>
  </si>
  <si>
    <t>Rank</t>
  </si>
  <si>
    <t>Matched</t>
  </si>
  <si>
    <t>Eligible Population</t>
  </si>
  <si>
    <t>% of Total Population</t>
  </si>
  <si>
    <r>
      <t>Burden of Disease</t>
    </r>
    <r>
      <rPr>
        <vertAlign val="superscript"/>
        <sz val="11"/>
        <color theme="1"/>
        <rFont val="Calibri"/>
        <family val="2"/>
        <scheme val="minor"/>
      </rPr>
      <t>2</t>
    </r>
  </si>
  <si>
    <r>
      <t>Health Status</t>
    </r>
    <r>
      <rPr>
        <vertAlign val="superscript"/>
        <sz val="11"/>
        <color theme="1"/>
        <rFont val="Calibri"/>
        <family val="2"/>
        <scheme val="minor"/>
      </rPr>
      <t>3</t>
    </r>
  </si>
  <si>
    <r>
      <t xml:space="preserve">1 </t>
    </r>
    <r>
      <rPr>
        <sz val="11"/>
        <color theme="1"/>
        <rFont val="Calibri"/>
        <family val="2"/>
        <scheme val="minor"/>
      </rPr>
      <t>Source: American Community Survey population 5-year estimate, 2009-2014.</t>
    </r>
  </si>
  <si>
    <r>
      <t xml:space="preserve">3 </t>
    </r>
    <r>
      <rPr>
        <sz val="11"/>
        <color theme="1"/>
        <rFont val="Calibri"/>
        <family val="2"/>
        <scheme val="minor"/>
      </rPr>
      <t>Source: County Health Rankings, Health Outcomes, Overall, 2016.</t>
    </r>
  </si>
  <si>
    <r>
      <t xml:space="preserve">2 </t>
    </r>
    <r>
      <rPr>
        <sz val="11"/>
        <color theme="1"/>
        <rFont val="Calibri"/>
        <family val="2"/>
        <scheme val="minor"/>
      </rPr>
      <t>Source: County Health Rankings, Health Factors/Health Behaviors, 2016.</t>
    </r>
  </si>
  <si>
    <t>% Non-white Population</t>
  </si>
  <si>
    <t>Population below 100% FPL</t>
  </si>
  <si>
    <t>Limited English Proficiency</t>
  </si>
  <si>
    <t>County 1</t>
  </si>
  <si>
    <t>County 2</t>
  </si>
  <si>
    <t>County 3</t>
  </si>
  <si>
    <t>County 4</t>
  </si>
  <si>
    <t>County 5</t>
  </si>
  <si>
    <t>County 6</t>
  </si>
  <si>
    <t>County 7</t>
  </si>
  <si>
    <t>County 8</t>
  </si>
  <si>
    <t>County 9</t>
  </si>
  <si>
    <t>County 10</t>
  </si>
  <si>
    <t>County 11</t>
  </si>
  <si>
    <t>County 12</t>
  </si>
  <si>
    <t>County 13</t>
  </si>
  <si>
    <t>County 14</t>
  </si>
  <si>
    <t>County 15</t>
  </si>
  <si>
    <t>County 16</t>
  </si>
  <si>
    <t>County 17</t>
  </si>
  <si>
    <t>County 18</t>
  </si>
  <si>
    <t>County 19</t>
  </si>
  <si>
    <t>County 20</t>
  </si>
  <si>
    <t>County 21</t>
  </si>
  <si>
    <t>County 22</t>
  </si>
  <si>
    <t>County 23</t>
  </si>
  <si>
    <t>County 24</t>
  </si>
  <si>
    <t>County 25</t>
  </si>
  <si>
    <t>County 26</t>
  </si>
  <si>
    <t>County 27</t>
  </si>
  <si>
    <t>County 28</t>
  </si>
  <si>
    <t>County 29</t>
  </si>
  <si>
    <t>County 30</t>
  </si>
  <si>
    <t>County 31</t>
  </si>
  <si>
    <t>County 32</t>
  </si>
  <si>
    <t>County 33</t>
  </si>
  <si>
    <t>County 34</t>
  </si>
  <si>
    <t>Floor</t>
  </si>
  <si>
    <t>Total Pool:</t>
  </si>
  <si>
    <t>Medium County Floor:</t>
  </si>
  <si>
    <t>Large County Floor:</t>
  </si>
  <si>
    <t>Small County Floor:</t>
  </si>
  <si>
    <t>Base Funding</t>
  </si>
  <si>
    <t>Indicator Allocations</t>
  </si>
  <si>
    <t>County Population:</t>
  </si>
  <si>
    <t>Burden of Disease:</t>
  </si>
  <si>
    <t>Health Status:</t>
  </si>
  <si>
    <t>Racial/Ethinic Diversity:</t>
  </si>
  <si>
    <t>Poverty:</t>
  </si>
  <si>
    <t>Limited English Proficiency:</t>
  </si>
  <si>
    <t>Matching Funds:</t>
  </si>
  <si>
    <t>Incentives:</t>
  </si>
  <si>
    <t>Weight</t>
  </si>
  <si>
    <t>Weighted Average</t>
  </si>
  <si>
    <t>Extra Small County Floor:</t>
  </si>
  <si>
    <t>Extra Large County Floor:</t>
  </si>
  <si>
    <t>Avg Award Per Capita</t>
  </si>
  <si>
    <t>Income Inequality:</t>
  </si>
  <si>
    <t>Education:</t>
  </si>
  <si>
    <t>Income Inequality</t>
  </si>
  <si>
    <r>
      <t>Race/Ethnicity</t>
    </r>
    <r>
      <rPr>
        <vertAlign val="superscript"/>
        <sz val="11"/>
        <color theme="1"/>
        <rFont val="Calibri"/>
        <family val="2"/>
        <scheme val="minor"/>
      </rPr>
      <t>1</t>
    </r>
  </si>
  <si>
    <r>
      <t>Poverty</t>
    </r>
    <r>
      <rPr>
        <vertAlign val="superscript"/>
        <sz val="11"/>
        <color theme="1"/>
        <rFont val="Calibri"/>
        <family val="2"/>
        <scheme val="minor"/>
      </rPr>
      <t>1</t>
    </r>
  </si>
  <si>
    <r>
      <t>Income Inequality</t>
    </r>
    <r>
      <rPr>
        <vertAlign val="superscript"/>
        <sz val="11"/>
        <color theme="1"/>
        <rFont val="Calibri"/>
        <family val="2"/>
      </rPr>
      <t>1</t>
    </r>
  </si>
  <si>
    <r>
      <t>Education</t>
    </r>
    <r>
      <rPr>
        <vertAlign val="superscript"/>
        <sz val="11"/>
        <color theme="1"/>
        <rFont val="Calibri"/>
        <family val="2"/>
      </rPr>
      <t>1</t>
    </r>
  </si>
  <si>
    <r>
      <t>4</t>
    </r>
    <r>
      <rPr>
        <sz val="11"/>
        <color theme="1"/>
        <rFont val="Calibri"/>
        <family val="2"/>
      </rPr>
      <t xml:space="preserve"> Source: American Community Survey population 5-year estimate, 2012</t>
    </r>
  </si>
  <si>
    <r>
      <t>Limited English Proficiency</t>
    </r>
    <r>
      <rPr>
        <vertAlign val="superscript"/>
        <sz val="11"/>
        <color theme="1"/>
        <rFont val="Calibri"/>
        <family val="2"/>
      </rPr>
      <t>4</t>
    </r>
  </si>
  <si>
    <r>
      <t>Matching Funds</t>
    </r>
    <r>
      <rPr>
        <vertAlign val="superscript"/>
        <sz val="11"/>
        <color theme="1"/>
        <rFont val="Calibri"/>
        <family val="2"/>
        <scheme val="minor"/>
      </rPr>
      <t>5</t>
    </r>
  </si>
  <si>
    <r>
      <t>5</t>
    </r>
    <r>
      <rPr>
        <sz val="11"/>
        <color theme="1"/>
        <rFont val="Calibri"/>
        <family val="2"/>
      </rPr>
      <t xml:space="preserve"> Limitations exist for calculating current county contributions for public health. An updated process will be developed to address these limitations. Matching funds will be awarded based on actual, not projected expenditures, and will be limited to county contributions that supoprt public health modernization. Given the change in process, matching funds will not be awarded until 2019.</t>
    </r>
  </si>
  <si>
    <r>
      <t>6</t>
    </r>
    <r>
      <rPr>
        <sz val="11"/>
        <color theme="1"/>
        <rFont val="Calibri"/>
        <family val="2"/>
      </rPr>
      <t xml:space="preserve"> The Accountability Metrics subcommittee will define a set of accountability metrics. Following selection of accountability metrics, baseline data will be collected. Funds will not be awarded for achievement of accountability metrics until 2019. </t>
    </r>
  </si>
  <si>
    <r>
      <t>Incentives</t>
    </r>
    <r>
      <rPr>
        <vertAlign val="superscript"/>
        <sz val="11"/>
        <color theme="1"/>
        <rFont val="Calibri"/>
        <family val="2"/>
        <scheme val="minor"/>
      </rPr>
      <t>6</t>
    </r>
  </si>
  <si>
    <t>Total Award</t>
  </si>
  <si>
    <r>
      <t>Population</t>
    </r>
    <r>
      <rPr>
        <vertAlign val="superscript"/>
        <sz val="11"/>
        <color theme="1"/>
        <rFont val="Calibri"/>
        <family val="2"/>
      </rPr>
      <t>7</t>
    </r>
  </si>
  <si>
    <r>
      <t>7</t>
    </r>
    <r>
      <rPr>
        <sz val="11"/>
        <color theme="1"/>
        <rFont val="Calibri"/>
        <family val="2"/>
      </rPr>
      <t xml:space="preserve"> Source: Portland State University Certified Population estimate July 1, 2015</t>
    </r>
  </si>
  <si>
    <t>High School Education</t>
  </si>
  <si>
    <t>Indicator Pool</t>
  </si>
  <si>
    <t>PHAB Funding and Incentives Subcommittee</t>
  </si>
  <si>
    <t>Subcommittee Members: Diane Hoover, Jeff Luck, Alejandro Queral, Akiko Saito, Tricia Tillman</t>
  </si>
  <si>
    <t>PHAB Incentives and Funding Subcommittee</t>
  </si>
  <si>
    <t>county size bands</t>
  </si>
  <si>
    <t>small</t>
  </si>
  <si>
    <t>medium</t>
  </si>
  <si>
    <t>large</t>
  </si>
  <si>
    <t>extra large</t>
  </si>
  <si>
    <t>extra small</t>
  </si>
  <si>
    <r>
      <rPr>
        <b/>
        <sz val="10"/>
        <color theme="1"/>
        <rFont val="Calibri"/>
        <family val="2"/>
        <scheme val="minor"/>
      </rPr>
      <t xml:space="preserve">Local public health funding formula model: </t>
    </r>
    <r>
      <rPr>
        <sz val="10"/>
        <color theme="1"/>
        <rFont val="Calibri"/>
        <family val="2"/>
        <scheme val="minor"/>
      </rPr>
      <t>This model includes a floor payment for each county. Awards for each indicator (burden of disease, health status, racial and ethnic diversity, poverty, income inequality, and limited English proficiency) are tied to each county's ranking on the indicator and the county population.</t>
    </r>
    <r>
      <rPr>
        <b/>
        <sz val="10"/>
        <color theme="1"/>
        <rFont val="Calibri"/>
        <family val="2"/>
        <scheme val="minor"/>
      </rPr>
      <t xml:space="preserve"> This funding formula assumes an annual allocation to LPHAs of $10 million. This is an example only. </t>
    </r>
  </si>
  <si>
    <t>Local public health funding formula model example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</si>
</sst>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2"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vertAlign val="superscript"/>
      <sz val="11"/>
      <color theme="1"/>
      <name val="Calibri"/>
      <family val="2"/>
      <scheme val="minor"/>
    </font>
    <font>
      <vertAlign val="superscript"/>
      <sz val="11"/>
      <color theme="1"/>
      <name val="Calibri"/>
      <family val="2"/>
    </font>
    <font>
      <sz val="9"/>
      <color indexed="81"/>
      <name val="Tahoma"/>
      <family val="2"/>
    </font>
    <font>
      <sz val="10"/>
      <name val="MS Sans Serif"/>
      <family val="2"/>
    </font>
    <font>
      <sz val="10"/>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11">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cellStyleXfs>
  <cellXfs count="106">
    <xf numFmtId="0" fontId="0" fillId="0" borderId="0" xfId="0"/>
    <xf numFmtId="6" fontId="0" fillId="3" borderId="0" xfId="0" applyNumberFormat="1" applyFill="1"/>
    <xf numFmtId="0" fontId="0" fillId="0" borderId="0" xfId="0" applyAlignment="1">
      <alignment horizontal="center" vertical="center" wrapText="1"/>
    </xf>
    <xf numFmtId="0" fontId="0" fillId="4" borderId="0" xfId="0"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xf numFmtId="164" fontId="3" fillId="2" borderId="0" xfId="1" applyNumberFormat="1" applyFont="1" applyFill="1"/>
    <xf numFmtId="10" fontId="0" fillId="0" borderId="0" xfId="3" applyNumberFormat="1" applyFont="1"/>
    <xf numFmtId="165" fontId="3" fillId="2" borderId="0" xfId="0" applyNumberFormat="1" applyFont="1" applyFill="1"/>
    <xf numFmtId="10" fontId="0" fillId="0" borderId="0" xfId="0" applyNumberFormat="1"/>
    <xf numFmtId="43" fontId="3" fillId="2" borderId="0" xfId="1" applyNumberFormat="1" applyFont="1" applyFill="1"/>
    <xf numFmtId="6" fontId="0" fillId="0" borderId="0" xfId="0" applyNumberFormat="1" applyFill="1"/>
    <xf numFmtId="8" fontId="0" fillId="0" borderId="0" xfId="0" applyNumberFormat="1"/>
    <xf numFmtId="6" fontId="3" fillId="2" borderId="0" xfId="0" applyNumberFormat="1" applyFont="1" applyFill="1"/>
    <xf numFmtId="8" fontId="3" fillId="2" borderId="0" xfId="0" applyNumberFormat="1" applyFont="1" applyFill="1"/>
    <xf numFmtId="0" fontId="0" fillId="5" borderId="0" xfId="0" applyFill="1" applyAlignment="1">
      <alignment horizontal="center" vertical="center" wrapText="1"/>
    </xf>
    <xf numFmtId="6" fontId="0" fillId="5" borderId="0" xfId="0" applyNumberFormat="1" applyFill="1"/>
    <xf numFmtId="0" fontId="0" fillId="6" borderId="0" xfId="0" applyFill="1" applyAlignment="1">
      <alignment horizontal="center" vertical="center" wrapText="1"/>
    </xf>
    <xf numFmtId="6" fontId="0" fillId="6" borderId="0" xfId="0" applyNumberFormat="1" applyFill="1"/>
    <xf numFmtId="0" fontId="0" fillId="5" borderId="0" xfId="0" applyFill="1" applyAlignment="1">
      <alignment horizontal="center"/>
    </xf>
    <xf numFmtId="164" fontId="0" fillId="0" borderId="0" xfId="1" applyNumberFormat="1" applyFont="1" applyFill="1"/>
    <xf numFmtId="43" fontId="0" fillId="0" borderId="3" xfId="1" applyFont="1" applyFill="1" applyBorder="1" applyAlignment="1">
      <alignment horizontal="center"/>
    </xf>
    <xf numFmtId="43" fontId="0" fillId="0" borderId="4" xfId="1" applyFont="1" applyFill="1" applyBorder="1" applyAlignment="1">
      <alignment horizontal="center"/>
    </xf>
    <xf numFmtId="43" fontId="0" fillId="0" borderId="0" xfId="1" applyFont="1" applyFill="1" applyBorder="1" applyAlignment="1">
      <alignment horizontal="center"/>
    </xf>
    <xf numFmtId="43" fontId="0" fillId="0" borderId="6" xfId="1" applyFont="1" applyFill="1" applyBorder="1" applyAlignment="1">
      <alignment horizontal="center"/>
    </xf>
    <xf numFmtId="43" fontId="0" fillId="0" borderId="8" xfId="1" applyFont="1" applyFill="1" applyBorder="1" applyAlignment="1">
      <alignment horizontal="center"/>
    </xf>
    <xf numFmtId="43" fontId="0" fillId="0" borderId="9" xfId="1" applyFont="1" applyFill="1" applyBorder="1" applyAlignment="1">
      <alignment horizontal="center"/>
    </xf>
    <xf numFmtId="164" fontId="3" fillId="0" borderId="1" xfId="0" applyNumberFormat="1" applyFont="1" applyBorder="1"/>
    <xf numFmtId="0" fontId="0" fillId="0" borderId="2" xfId="0" applyFill="1" applyBorder="1" applyAlignment="1"/>
    <xf numFmtId="0" fontId="0" fillId="0" borderId="5" xfId="0" applyFill="1" applyBorder="1" applyAlignment="1"/>
    <xf numFmtId="0" fontId="0" fillId="0" borderId="7" xfId="0" applyFill="1" applyBorder="1" applyAlignment="1"/>
    <xf numFmtId="0" fontId="0" fillId="0" borderId="0" xfId="0" applyFill="1" applyBorder="1" applyAlignment="1"/>
    <xf numFmtId="44" fontId="3" fillId="2" borderId="0" xfId="2" applyNumberFormat="1" applyFont="1" applyFill="1" applyAlignment="1">
      <alignment horizontal="center"/>
    </xf>
    <xf numFmtId="166" fontId="3" fillId="2" borderId="0" xfId="3" applyNumberFormat="1" applyFont="1" applyFill="1"/>
    <xf numFmtId="43" fontId="0" fillId="0" borderId="0" xfId="1" applyFont="1"/>
    <xf numFmtId="0" fontId="4" fillId="0" borderId="0" xfId="0" applyFont="1" applyAlignment="1">
      <alignment vertical="center"/>
    </xf>
    <xf numFmtId="0" fontId="5" fillId="0" borderId="0" xfId="0" applyFont="1"/>
    <xf numFmtId="0" fontId="6" fillId="0" borderId="0" xfId="0" applyFont="1" applyAlignment="1">
      <alignment horizontal="left"/>
    </xf>
    <xf numFmtId="164" fontId="3" fillId="2" borderId="0" xfId="0" applyNumberFormat="1" applyFont="1" applyFill="1"/>
    <xf numFmtId="0" fontId="0" fillId="6" borderId="0" xfId="0" applyFill="1" applyAlignment="1"/>
    <xf numFmtId="164" fontId="0" fillId="6" borderId="0" xfId="1" applyNumberFormat="1" applyFont="1" applyFill="1" applyAlignment="1"/>
    <xf numFmtId="165" fontId="2" fillId="6" borderId="0" xfId="2" applyNumberFormat="1" applyFont="1" applyFill="1" applyAlignment="1">
      <alignment horizontal="center"/>
    </xf>
    <xf numFmtId="0" fontId="0" fillId="5" borderId="0" xfId="0" applyFill="1" applyAlignment="1"/>
    <xf numFmtId="164" fontId="0" fillId="5" borderId="0" xfId="1" applyNumberFormat="1" applyFont="1" applyFill="1" applyAlignment="1"/>
    <xf numFmtId="165" fontId="2" fillId="5" borderId="0" xfId="2" applyNumberFormat="1" applyFont="1" applyFill="1" applyAlignment="1">
      <alignment horizontal="center"/>
    </xf>
    <xf numFmtId="0" fontId="0" fillId="7" borderId="0" xfId="0" applyFill="1" applyAlignment="1"/>
    <xf numFmtId="0" fontId="0" fillId="8" borderId="0" xfId="0" applyFill="1" applyAlignment="1"/>
    <xf numFmtId="164" fontId="0" fillId="8" borderId="0" xfId="1" applyNumberFormat="1" applyFont="1" applyFill="1" applyAlignment="1"/>
    <xf numFmtId="165" fontId="2" fillId="8" borderId="0" xfId="2" applyNumberFormat="1" applyFont="1" applyFill="1" applyAlignment="1">
      <alignment horizontal="center"/>
    </xf>
    <xf numFmtId="164" fontId="0" fillId="7" borderId="0" xfId="1" applyNumberFormat="1" applyFont="1" applyFill="1" applyAlignment="1"/>
    <xf numFmtId="165" fontId="2" fillId="7" borderId="0" xfId="2" applyNumberFormat="1" applyFont="1" applyFill="1" applyAlignment="1">
      <alignment horizontal="center"/>
    </xf>
    <xf numFmtId="0" fontId="0" fillId="2" borderId="0" xfId="0" applyFill="1" applyAlignment="1">
      <alignment horizontal="center" vertical="center" wrapText="1"/>
    </xf>
    <xf numFmtId="165" fontId="3" fillId="5" borderId="0" xfId="2" applyNumberFormat="1" applyFont="1" applyFill="1" applyAlignment="1">
      <alignment horizontal="center"/>
    </xf>
    <xf numFmtId="166" fontId="3" fillId="5" borderId="0" xfId="3" applyNumberFormat="1" applyFont="1" applyFill="1"/>
    <xf numFmtId="44" fontId="3" fillId="5" borderId="0" xfId="2" applyNumberFormat="1" applyFont="1" applyFill="1" applyAlignment="1">
      <alignment horizontal="center"/>
    </xf>
    <xf numFmtId="165" fontId="3" fillId="8" borderId="0" xfId="2" applyNumberFormat="1" applyFont="1" applyFill="1" applyAlignment="1">
      <alignment horizontal="center"/>
    </xf>
    <xf numFmtId="166" fontId="3" fillId="8" borderId="0" xfId="3" applyNumberFormat="1" applyFont="1" applyFill="1"/>
    <xf numFmtId="44" fontId="3" fillId="8" borderId="0" xfId="2" applyNumberFormat="1" applyFont="1" applyFill="1" applyAlignment="1">
      <alignment horizontal="center"/>
    </xf>
    <xf numFmtId="165" fontId="3" fillId="7" borderId="0" xfId="2" applyNumberFormat="1" applyFont="1" applyFill="1" applyAlignment="1">
      <alignment horizontal="center"/>
    </xf>
    <xf numFmtId="166" fontId="3" fillId="7" borderId="0" xfId="3" applyNumberFormat="1" applyFont="1" applyFill="1"/>
    <xf numFmtId="44" fontId="3" fillId="7" borderId="0" xfId="2" applyNumberFormat="1" applyFont="1" applyFill="1" applyAlignment="1">
      <alignment horizontal="center"/>
    </xf>
    <xf numFmtId="165" fontId="3" fillId="6" borderId="0" xfId="2" applyNumberFormat="1" applyFont="1" applyFill="1" applyAlignment="1">
      <alignment horizontal="center"/>
    </xf>
    <xf numFmtId="166" fontId="3" fillId="6" borderId="0" xfId="3" applyNumberFormat="1" applyFont="1" applyFill="1"/>
    <xf numFmtId="44" fontId="3" fillId="6" borderId="0" xfId="2" applyNumberFormat="1" applyFont="1" applyFill="1" applyAlignment="1">
      <alignment horizontal="center"/>
    </xf>
    <xf numFmtId="0" fontId="0" fillId="0" borderId="0" xfId="0" applyAlignment="1">
      <alignment horizontal="center"/>
    </xf>
    <xf numFmtId="0" fontId="6" fillId="0" borderId="0" xfId="0" applyFont="1" applyAlignment="1"/>
    <xf numFmtId="0" fontId="0" fillId="9" borderId="5" xfId="0" applyFill="1" applyBorder="1" applyAlignment="1"/>
    <xf numFmtId="43" fontId="0" fillId="9" borderId="0" xfId="1" applyFont="1" applyFill="1" applyBorder="1" applyAlignment="1">
      <alignment horizontal="center"/>
    </xf>
    <xf numFmtId="43" fontId="0" fillId="9" borderId="6" xfId="1" applyFont="1" applyFill="1" applyBorder="1" applyAlignment="1">
      <alignment horizontal="center"/>
    </xf>
    <xf numFmtId="0" fontId="0" fillId="0" borderId="0" xfId="0" applyFill="1" applyAlignment="1">
      <alignment vertical="top" wrapText="1"/>
    </xf>
    <xf numFmtId="6" fontId="0" fillId="0" borderId="3" xfId="0" applyNumberFormat="1" applyFill="1" applyBorder="1" applyAlignment="1"/>
    <xf numFmtId="6" fontId="0" fillId="9" borderId="0" xfId="0" applyNumberFormat="1" applyFill="1" applyBorder="1" applyAlignment="1"/>
    <xf numFmtId="6" fontId="0" fillId="0" borderId="0" xfId="0" applyNumberFormat="1" applyFill="1" applyBorder="1" applyAlignment="1"/>
    <xf numFmtId="6" fontId="0" fillId="0" borderId="8" xfId="0" applyNumberFormat="1" applyFill="1" applyBorder="1" applyAlignment="1"/>
    <xf numFmtId="166" fontId="0" fillId="0" borderId="0" xfId="3" applyNumberFormat="1" applyFont="1" applyFill="1"/>
    <xf numFmtId="6" fontId="0" fillId="8" borderId="0" xfId="0" applyNumberFormat="1" applyFill="1"/>
    <xf numFmtId="166" fontId="0" fillId="8" borderId="0" xfId="3" applyNumberFormat="1" applyFont="1" applyFill="1"/>
    <xf numFmtId="0" fontId="3" fillId="0" borderId="0" xfId="0" applyFont="1"/>
    <xf numFmtId="9" fontId="0" fillId="5" borderId="0" xfId="3" applyFont="1" applyFill="1" applyAlignment="1">
      <alignment horizontal="center"/>
    </xf>
    <xf numFmtId="5" fontId="3" fillId="0" borderId="1" xfId="0" applyNumberFormat="1" applyFont="1" applyBorder="1"/>
    <xf numFmtId="164" fontId="0" fillId="0" borderId="0" xfId="1" applyNumberFormat="1" applyFont="1"/>
    <xf numFmtId="43" fontId="0" fillId="0" borderId="0" xfId="0" applyNumberFormat="1"/>
    <xf numFmtId="10" fontId="3" fillId="2" borderId="0" xfId="1" applyNumberFormat="1" applyFont="1" applyFill="1"/>
    <xf numFmtId="10" fontId="0" fillId="0" borderId="0" xfId="3" applyNumberFormat="1" applyFont="1" applyFill="1"/>
    <xf numFmtId="164" fontId="0" fillId="3" borderId="3" xfId="1" applyNumberFormat="1" applyFont="1" applyFill="1" applyBorder="1"/>
    <xf numFmtId="166" fontId="0" fillId="3" borderId="3" xfId="3" applyNumberFormat="1" applyFont="1" applyFill="1" applyBorder="1"/>
    <xf numFmtId="164" fontId="0" fillId="3" borderId="0" xfId="1" applyNumberFormat="1" applyFont="1" applyFill="1" applyBorder="1"/>
    <xf numFmtId="166" fontId="0" fillId="3" borderId="0" xfId="3" applyNumberFormat="1" applyFont="1" applyFill="1" applyBorder="1"/>
    <xf numFmtId="164" fontId="0" fillId="3" borderId="8" xfId="1" applyNumberFormat="1" applyFont="1" applyFill="1" applyBorder="1"/>
    <xf numFmtId="166" fontId="0" fillId="3" borderId="8" xfId="3" applyNumberFormat="1" applyFont="1" applyFill="1" applyBorder="1"/>
    <xf numFmtId="166" fontId="0" fillId="0" borderId="0" xfId="3" applyNumberFormat="1" applyFont="1"/>
    <xf numFmtId="0" fontId="0" fillId="10" borderId="0" xfId="0" applyFill="1" applyAlignment="1"/>
    <xf numFmtId="164" fontId="0" fillId="10" borderId="0" xfId="1" applyNumberFormat="1" applyFont="1" applyFill="1" applyAlignment="1"/>
    <xf numFmtId="165" fontId="2" fillId="10" borderId="0" xfId="2" applyNumberFormat="1" applyFont="1" applyFill="1" applyAlignment="1">
      <alignment horizontal="center"/>
    </xf>
    <xf numFmtId="165" fontId="3" fillId="10" borderId="0" xfId="2" applyNumberFormat="1" applyFont="1" applyFill="1" applyAlignment="1">
      <alignment horizontal="center"/>
    </xf>
    <xf numFmtId="166" fontId="3" fillId="10" borderId="0" xfId="3" applyNumberFormat="1" applyFont="1" applyFill="1"/>
    <xf numFmtId="44" fontId="3" fillId="10" borderId="0" xfId="2" applyNumberFormat="1" applyFont="1" applyFill="1" applyAlignment="1">
      <alignment horizontal="center"/>
    </xf>
    <xf numFmtId="0" fontId="0" fillId="0" borderId="10" xfId="0" applyBorder="1"/>
    <xf numFmtId="0" fontId="0" fillId="7" borderId="10" xfId="0" applyFill="1" applyBorder="1"/>
    <xf numFmtId="0" fontId="0" fillId="6" borderId="10" xfId="0" applyFill="1" applyBorder="1"/>
    <xf numFmtId="0" fontId="0" fillId="8" borderId="10" xfId="0" applyFill="1" applyBorder="1"/>
    <xf numFmtId="0" fontId="0" fillId="10" borderId="10" xfId="0" applyFill="1" applyBorder="1"/>
    <xf numFmtId="0" fontId="0" fillId="5" borderId="10" xfId="0" applyFill="1" applyBorder="1"/>
    <xf numFmtId="0" fontId="6" fillId="0" borderId="0" xfId="0" applyFont="1" applyAlignment="1">
      <alignment horizontal="left" vertical="top" wrapText="1"/>
    </xf>
    <xf numFmtId="0" fontId="6" fillId="0" borderId="0" xfId="0" applyFont="1" applyAlignment="1">
      <alignment horizontal="left" wrapText="1"/>
    </xf>
    <xf numFmtId="0" fontId="10" fillId="0" borderId="0" xfId="0" applyFont="1" applyAlignment="1">
      <alignment horizontal="left" wrapText="1"/>
    </xf>
  </cellXfs>
  <cellStyles count="5">
    <cellStyle name="Comma" xfId="1" builtinId="3"/>
    <cellStyle name="Comma 2" xfId="4"/>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742949</xdr:colOff>
      <xdr:row>16</xdr:row>
      <xdr:rowOff>5516</xdr:rowOff>
    </xdr:from>
    <xdr:ext cx="7414486" cy="3849387"/>
    <xdr:sp macro="" textlink="">
      <xdr:nvSpPr>
        <xdr:cNvPr id="2" name="Rectangle 1"/>
        <xdr:cNvSpPr/>
      </xdr:nvSpPr>
      <xdr:spPr>
        <a:xfrm rot="20395701">
          <a:off x="3095624" y="2777291"/>
          <a:ext cx="7414486" cy="3849387"/>
        </a:xfrm>
        <a:prstGeom prst="rect">
          <a:avLst/>
        </a:prstGeom>
        <a:noFill/>
      </xdr:spPr>
      <xdr:txBody>
        <a:bodyPr wrap="square" lIns="91440" tIns="45720" rIns="91440" bIns="45720">
          <a:sp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174626</xdr:colOff>
      <xdr:row>16</xdr:row>
      <xdr:rowOff>47625</xdr:rowOff>
    </xdr:from>
    <xdr:ext cx="7414486" cy="3849387"/>
    <xdr:sp macro="" textlink="">
      <xdr:nvSpPr>
        <xdr:cNvPr id="2" name="Rectangle 1"/>
        <xdr:cNvSpPr/>
      </xdr:nvSpPr>
      <xdr:spPr>
        <a:xfrm rot="20395701">
          <a:off x="1936751" y="3381375"/>
          <a:ext cx="7414486" cy="3849387"/>
        </a:xfrm>
        <a:prstGeom prst="rect">
          <a:avLst/>
        </a:prstGeom>
        <a:noFill/>
      </xdr:spPr>
      <xdr:txBody>
        <a:bodyPr wrap="square" lIns="91440" tIns="45720" rIns="91440" bIns="45720">
          <a:sp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2"/>
  <sheetViews>
    <sheetView workbookViewId="0"/>
  </sheetViews>
  <sheetFormatPr defaultRowHeight="15" x14ac:dyDescent="0.25"/>
  <cols>
    <col min="2" max="2" width="25.85546875" bestFit="1" customWidth="1"/>
    <col min="3" max="3" width="11.85546875" bestFit="1" customWidth="1"/>
  </cols>
  <sheetData>
    <row r="1" spans="2:4" ht="18.75" x14ac:dyDescent="0.3">
      <c r="B1" s="36" t="s">
        <v>103</v>
      </c>
      <c r="C1" s="36"/>
    </row>
    <row r="2" spans="2:4" ht="15.75" x14ac:dyDescent="0.25">
      <c r="B2" s="35" t="s">
        <v>104</v>
      </c>
      <c r="C2" s="35"/>
    </row>
    <row r="4" spans="2:4" x14ac:dyDescent="0.25">
      <c r="B4" s="77" t="s">
        <v>70</v>
      </c>
    </row>
    <row r="5" spans="2:4" x14ac:dyDescent="0.25">
      <c r="B5" t="s">
        <v>66</v>
      </c>
      <c r="C5" s="75">
        <v>10000000</v>
      </c>
    </row>
    <row r="6" spans="2:4" x14ac:dyDescent="0.25">
      <c r="B6" t="s">
        <v>82</v>
      </c>
      <c r="C6" s="75">
        <f>IF($C$5&gt;=10000000,(30000+($C$5-10000000)*0.003),30000)</f>
        <v>30000</v>
      </c>
      <c r="D6" s="7"/>
    </row>
    <row r="7" spans="2:4" x14ac:dyDescent="0.25">
      <c r="B7" t="s">
        <v>69</v>
      </c>
      <c r="C7" s="75">
        <f>IF($C$5&gt;=10000000,(45000+($C$5-10000000)*0.0045),45000)</f>
        <v>45000</v>
      </c>
      <c r="D7" s="7"/>
    </row>
    <row r="8" spans="2:4" x14ac:dyDescent="0.25">
      <c r="B8" t="s">
        <v>67</v>
      </c>
      <c r="C8" s="75">
        <f>IF($C$5&gt;=10000000,(60000+($C$5-10000000)*0.006),60000)</f>
        <v>60000</v>
      </c>
      <c r="D8" s="7"/>
    </row>
    <row r="9" spans="2:4" x14ac:dyDescent="0.25">
      <c r="B9" t="s">
        <v>68</v>
      </c>
      <c r="C9" s="75">
        <f>IF($C$5&gt;=10000000,(75000+($C$5-10000000)*0.0075),75000)</f>
        <v>75000</v>
      </c>
      <c r="D9" s="7"/>
    </row>
    <row r="10" spans="2:4" x14ac:dyDescent="0.25">
      <c r="B10" t="s">
        <v>83</v>
      </c>
      <c r="C10" s="75">
        <f>IF($C$5&gt;=10000000,(90000+($C$5-10000000)*0.009),90000)</f>
        <v>90000</v>
      </c>
      <c r="D10" s="7"/>
    </row>
    <row r="12" spans="2:4" x14ac:dyDescent="0.25">
      <c r="B12" s="77" t="s">
        <v>71</v>
      </c>
    </row>
    <row r="13" spans="2:4" hidden="1" x14ac:dyDescent="0.25">
      <c r="B13" t="s">
        <v>72</v>
      </c>
      <c r="C13" s="76">
        <v>0</v>
      </c>
    </row>
    <row r="14" spans="2:4" x14ac:dyDescent="0.25">
      <c r="B14" t="s">
        <v>73</v>
      </c>
      <c r="C14" s="76">
        <v>0.2</v>
      </c>
    </row>
    <row r="15" spans="2:4" x14ac:dyDescent="0.25">
      <c r="B15" t="s">
        <v>74</v>
      </c>
      <c r="C15" s="76">
        <v>0.2</v>
      </c>
    </row>
    <row r="16" spans="2:4" x14ac:dyDescent="0.25">
      <c r="B16" t="s">
        <v>75</v>
      </c>
      <c r="C16" s="76">
        <v>0.2</v>
      </c>
    </row>
    <row r="17" spans="2:3" x14ac:dyDescent="0.25">
      <c r="B17" t="s">
        <v>76</v>
      </c>
      <c r="C17" s="76">
        <v>0.1</v>
      </c>
    </row>
    <row r="18" spans="2:3" hidden="1" x14ac:dyDescent="0.25">
      <c r="B18" t="s">
        <v>85</v>
      </c>
      <c r="C18" s="76">
        <v>0</v>
      </c>
    </row>
    <row r="19" spans="2:3" x14ac:dyDescent="0.25">
      <c r="B19" t="s">
        <v>86</v>
      </c>
      <c r="C19" s="76">
        <v>0.1</v>
      </c>
    </row>
    <row r="20" spans="2:3" x14ac:dyDescent="0.25">
      <c r="B20" t="s">
        <v>77</v>
      </c>
      <c r="C20" s="76">
        <v>0.2</v>
      </c>
    </row>
    <row r="21" spans="2:3" hidden="1" x14ac:dyDescent="0.25">
      <c r="B21" t="s">
        <v>78</v>
      </c>
      <c r="C21" s="76">
        <v>0</v>
      </c>
    </row>
    <row r="22" spans="2:3" hidden="1" x14ac:dyDescent="0.25">
      <c r="B22" t="s">
        <v>79</v>
      </c>
      <c r="C22" s="76">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B4" sqref="B4"/>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102</v>
      </c>
      <c r="C4" s="18">
        <f>'County Data'!J10</f>
        <v>815500</v>
      </c>
      <c r="D4" s="11"/>
    </row>
    <row r="6" spans="2:8" s="2" customFormat="1" ht="30" x14ac:dyDescent="0.25">
      <c r="B6" s="3" t="s">
        <v>8</v>
      </c>
      <c r="C6" s="3" t="s">
        <v>1</v>
      </c>
      <c r="D6" s="3" t="s">
        <v>19</v>
      </c>
      <c r="E6" s="3" t="s">
        <v>80</v>
      </c>
      <c r="F6" s="3" t="s">
        <v>81</v>
      </c>
      <c r="G6" s="17" t="s">
        <v>18</v>
      </c>
      <c r="H6" s="3" t="s">
        <v>7</v>
      </c>
    </row>
    <row r="7" spans="2:8" x14ac:dyDescent="0.25">
      <c r="B7" s="31" t="str">
        <f>+'County Data'!$B$12</f>
        <v>County 2</v>
      </c>
      <c r="C7" s="20">
        <f>VLOOKUP($B7,'County Data'!$B$11:$L$44,3,FALSE)</f>
        <v>90005</v>
      </c>
      <c r="D7" s="74">
        <f>VLOOKUP($B7,'County Data'!$B$11:$L$44,9,FALSE)</f>
        <v>5.4121808076489565E-2</v>
      </c>
      <c r="E7" s="80">
        <f t="shared" ref="E7:E40" si="0">C7*D7</f>
        <v>4871.2333359244431</v>
      </c>
      <c r="F7" s="7">
        <f t="shared" ref="F7:F40" si="1">E7/$E$41</f>
        <v>1.1512142353972644E-2</v>
      </c>
      <c r="G7" s="18">
        <f t="shared" ref="G7:G40" si="2">$C$4*F7</f>
        <v>9388.1520896646907</v>
      </c>
      <c r="H7" s="12">
        <f t="shared" ref="H7:H40" si="3">G7/C7</f>
        <v>0.10430700616259864</v>
      </c>
    </row>
    <row r="8" spans="2:8" x14ac:dyDescent="0.25">
      <c r="B8" s="31" t="str">
        <f>+'County Data'!$B$41</f>
        <v>County 31</v>
      </c>
      <c r="C8" s="20">
        <f>VLOOKUP($B8,'County Data'!$B$11:$L$44,3,FALSE)</f>
        <v>7100</v>
      </c>
      <c r="D8" s="74">
        <f>VLOOKUP($B8,'County Data'!$B$11:$L$44,9,FALSE)</f>
        <v>6.9024529378208785E-2</v>
      </c>
      <c r="E8" s="80">
        <f t="shared" si="0"/>
        <v>490.07415858528236</v>
      </c>
      <c r="F8" s="7">
        <f t="shared" si="1"/>
        <v>1.1581878938193907E-3</v>
      </c>
      <c r="G8" s="18">
        <f t="shared" si="2"/>
        <v>944.5022274097131</v>
      </c>
      <c r="H8" s="12">
        <f t="shared" si="3"/>
        <v>0.13302848273376242</v>
      </c>
    </row>
    <row r="9" spans="2:8" x14ac:dyDescent="0.25">
      <c r="B9" s="31" t="str">
        <f>+'County Data'!$B$19</f>
        <v>County 9</v>
      </c>
      <c r="C9" s="20">
        <f>VLOOKUP($B9,'County Data'!$B$11:$L$44,3,FALSE)</f>
        <v>170740</v>
      </c>
      <c r="D9" s="74">
        <f>VLOOKUP($B9,'County Data'!$B$11:$L$44,9,FALSE)</f>
        <v>7.1183525999009886E-2</v>
      </c>
      <c r="E9" s="80">
        <f t="shared" si="0"/>
        <v>12153.875229070947</v>
      </c>
      <c r="F9" s="7">
        <f t="shared" si="1"/>
        <v>2.8723145072444719E-2</v>
      </c>
      <c r="G9" s="18">
        <f t="shared" si="2"/>
        <v>23423.72480657867</v>
      </c>
      <c r="H9" s="12">
        <f t="shared" si="3"/>
        <v>0.13718943895149743</v>
      </c>
    </row>
    <row r="10" spans="2:8" x14ac:dyDescent="0.25">
      <c r="B10" s="31" t="str">
        <f>+'County Data'!$B$13</f>
        <v>County 3</v>
      </c>
      <c r="C10" s="20">
        <f>VLOOKUP($B10,'County Data'!$B$11:$L$44,3,FALSE)</f>
        <v>397385</v>
      </c>
      <c r="D10" s="74">
        <f>VLOOKUP($B10,'County Data'!$B$11:$L$44,9,FALSE)</f>
        <v>7.1669084322317347E-2</v>
      </c>
      <c r="E10" s="80">
        <f t="shared" si="0"/>
        <v>28480.219073424079</v>
      </c>
      <c r="F10" s="7">
        <f t="shared" si="1"/>
        <v>6.7307048058572086E-2</v>
      </c>
      <c r="G10" s="18">
        <f t="shared" si="2"/>
        <v>54888.897691765538</v>
      </c>
      <c r="H10" s="12">
        <f t="shared" si="3"/>
        <v>0.1381252379726601</v>
      </c>
    </row>
    <row r="11" spans="2:8" x14ac:dyDescent="0.25">
      <c r="B11" s="31" t="str">
        <f>+'County Data'!$B$29</f>
        <v>County 19</v>
      </c>
      <c r="C11" s="20">
        <f>VLOOKUP($B11,'County Data'!$B$11:$L$44,3,FALSE)</f>
        <v>362150</v>
      </c>
      <c r="D11" s="74">
        <f>VLOOKUP($B11,'County Data'!$B$11:$L$44,9,FALSE)</f>
        <v>8.9257593035835872E-2</v>
      </c>
      <c r="E11" s="80">
        <f t="shared" si="0"/>
        <v>32324.637317927962</v>
      </c>
      <c r="F11" s="7">
        <f t="shared" si="1"/>
        <v>7.6392527452988995E-2</v>
      </c>
      <c r="G11" s="18">
        <f t="shared" si="2"/>
        <v>62298.106137912524</v>
      </c>
      <c r="H11" s="12">
        <f t="shared" si="3"/>
        <v>0.17202293562864152</v>
      </c>
    </row>
    <row r="12" spans="2:8" x14ac:dyDescent="0.25">
      <c r="B12" s="31" t="str">
        <f>+'County Data'!$B$14</f>
        <v>County 4</v>
      </c>
      <c r="C12" s="20">
        <f>VLOOKUP($B12,'County Data'!$B$11:$L$44,3,FALSE)</f>
        <v>37750</v>
      </c>
      <c r="D12" s="74">
        <f>VLOOKUP($B12,'County Data'!$B$11:$L$44,9,FALSE)</f>
        <v>9.1089702740188183E-2</v>
      </c>
      <c r="E12" s="80">
        <f t="shared" si="0"/>
        <v>3438.636278442104</v>
      </c>
      <c r="F12" s="7">
        <f t="shared" si="1"/>
        <v>8.1264984883849204E-3</v>
      </c>
      <c r="G12" s="18">
        <f t="shared" si="2"/>
        <v>6627.1595172779025</v>
      </c>
      <c r="H12" s="12">
        <f t="shared" si="3"/>
        <v>0.17555389449742789</v>
      </c>
    </row>
    <row r="13" spans="2:8" x14ac:dyDescent="0.25">
      <c r="B13" s="31" t="str">
        <f>+'County Data'!$B$40</f>
        <v>County 30</v>
      </c>
      <c r="C13" s="20">
        <f>VLOOKUP($B13,'County Data'!$B$11:$L$44,3,FALSE)</f>
        <v>26625</v>
      </c>
      <c r="D13" s="74">
        <f>VLOOKUP($B13,'County Data'!$B$11:$L$44,9,FALSE)</f>
        <v>9.1638835179000414E-2</v>
      </c>
      <c r="E13" s="80">
        <f t="shared" si="0"/>
        <v>2439.8839866408862</v>
      </c>
      <c r="F13" s="7">
        <f t="shared" si="1"/>
        <v>5.7661560932099525E-3</v>
      </c>
      <c r="G13" s="18">
        <f t="shared" si="2"/>
        <v>4702.3002940127162</v>
      </c>
      <c r="H13" s="12">
        <f t="shared" si="3"/>
        <v>0.17661221761550108</v>
      </c>
    </row>
    <row r="14" spans="2:8" x14ac:dyDescent="0.25">
      <c r="B14" s="31" t="str">
        <f>+'County Data'!$B$18</f>
        <v>County 8</v>
      </c>
      <c r="C14" s="20">
        <f>VLOOKUP($B14,'County Data'!$B$11:$L$44,3,FALSE)</f>
        <v>22470</v>
      </c>
      <c r="D14" s="74">
        <f>VLOOKUP($B14,'County Data'!$B$11:$L$44,9,FALSE)</f>
        <v>9.2041640593890431E-2</v>
      </c>
      <c r="E14" s="80">
        <f t="shared" si="0"/>
        <v>2068.1756641447178</v>
      </c>
      <c r="F14" s="7">
        <f t="shared" si="1"/>
        <v>4.8877011255174267E-3</v>
      </c>
      <c r="G14" s="18">
        <f t="shared" si="2"/>
        <v>3985.9202678594615</v>
      </c>
      <c r="H14" s="12">
        <f t="shared" si="3"/>
        <v>0.17738852994479135</v>
      </c>
    </row>
    <row r="15" spans="2:8" x14ac:dyDescent="0.25">
      <c r="B15" s="31" t="str">
        <f>+'County Data'!$B$42</f>
        <v>County 32</v>
      </c>
      <c r="C15" s="20">
        <f>VLOOKUP($B15,'County Data'!$B$11:$L$44,3,FALSE)</f>
        <v>570510</v>
      </c>
      <c r="D15" s="74">
        <f>VLOOKUP($B15,'County Data'!$B$11:$L$44,9,FALSE)</f>
        <v>9.4399820654283789E-2</v>
      </c>
      <c r="E15" s="80">
        <f t="shared" si="0"/>
        <v>53856.041681475443</v>
      </c>
      <c r="F15" s="7">
        <f t="shared" si="1"/>
        <v>0.12727750360186119</v>
      </c>
      <c r="G15" s="18">
        <f t="shared" si="2"/>
        <v>103794.8041873178</v>
      </c>
      <c r="H15" s="12">
        <f t="shared" si="3"/>
        <v>0.18193336521238507</v>
      </c>
    </row>
    <row r="16" spans="2:8" x14ac:dyDescent="0.25">
      <c r="B16" s="31" t="str">
        <f>+'County Data'!$B$37</f>
        <v>County 27</v>
      </c>
      <c r="C16" s="20">
        <f>VLOOKUP($B16,'County Data'!$B$11:$L$44,3,FALSE)</f>
        <v>78570</v>
      </c>
      <c r="D16" s="74">
        <f>VLOOKUP($B16,'County Data'!$B$11:$L$44,9,FALSE)</f>
        <v>9.5128856924380514E-2</v>
      </c>
      <c r="E16" s="80">
        <f t="shared" si="0"/>
        <v>7474.2742885485768</v>
      </c>
      <c r="F16" s="7">
        <f t="shared" si="1"/>
        <v>1.766388585162685E-2</v>
      </c>
      <c r="G16" s="18">
        <f t="shared" si="2"/>
        <v>14404.898912001696</v>
      </c>
      <c r="H16" s="12">
        <f t="shared" si="3"/>
        <v>0.183338410487485</v>
      </c>
    </row>
    <row r="17" spans="2:8" x14ac:dyDescent="0.25">
      <c r="B17" s="31" t="str">
        <f>+'County Data'!$B$35</f>
        <v>County 25</v>
      </c>
      <c r="C17" s="20">
        <f>VLOOKUP($B17,'County Data'!$B$11:$L$44,3,FALSE)</f>
        <v>777490</v>
      </c>
      <c r="D17" s="74">
        <f>VLOOKUP($B17,'County Data'!$B$11:$L$44,9,FALSE)</f>
        <v>9.9756382843988176E-2</v>
      </c>
      <c r="E17" s="80">
        <f t="shared" si="0"/>
        <v>77559.590097372362</v>
      </c>
      <c r="F17" s="7">
        <f t="shared" si="1"/>
        <v>0.18329588844203273</v>
      </c>
      <c r="G17" s="18">
        <f t="shared" si="2"/>
        <v>149477.79702447768</v>
      </c>
      <c r="H17" s="12">
        <f t="shared" si="3"/>
        <v>0.19225687407487901</v>
      </c>
    </row>
    <row r="18" spans="2:8" x14ac:dyDescent="0.25">
      <c r="B18" s="31" t="str">
        <f>+'County Data'!$B$11</f>
        <v>County 1</v>
      </c>
      <c r="C18" s="20">
        <f>VLOOKUP($B18,'County Data'!$B$11:$L$44,3,FALSE)</f>
        <v>16425</v>
      </c>
      <c r="D18" s="74">
        <f>VLOOKUP($B18,'County Data'!$B$11:$L$44,9,FALSE)</f>
        <v>0.10209778379292844</v>
      </c>
      <c r="E18" s="80">
        <f t="shared" si="0"/>
        <v>1676.9560987988498</v>
      </c>
      <c r="F18" s="7">
        <f t="shared" si="1"/>
        <v>3.9631354113878184E-3</v>
      </c>
      <c r="G18" s="18">
        <f t="shared" si="2"/>
        <v>3231.936927986766</v>
      </c>
      <c r="H18" s="12">
        <f t="shared" si="3"/>
        <v>0.19676937156692639</v>
      </c>
    </row>
    <row r="19" spans="2:8" x14ac:dyDescent="0.25">
      <c r="B19" s="31" t="str">
        <f>+'County Data'!$B$15</f>
        <v>County 5</v>
      </c>
      <c r="C19" s="20">
        <f>VLOOKUP($B19,'County Data'!$B$11:$L$44,3,FALSE)</f>
        <v>50390</v>
      </c>
      <c r="D19" s="74">
        <f>VLOOKUP($B19,'County Data'!$B$11:$L$44,9,FALSE)</f>
        <v>0.10356664921161343</v>
      </c>
      <c r="E19" s="80">
        <f t="shared" si="0"/>
        <v>5218.7234537732011</v>
      </c>
      <c r="F19" s="7">
        <f t="shared" si="1"/>
        <v>1.2333362654337184E-2</v>
      </c>
      <c r="G19" s="18">
        <f t="shared" si="2"/>
        <v>10057.857244611974</v>
      </c>
      <c r="H19" s="12">
        <f t="shared" si="3"/>
        <v>0.19960026284207133</v>
      </c>
    </row>
    <row r="20" spans="2:8" x14ac:dyDescent="0.25">
      <c r="B20" s="31" t="str">
        <f>+'County Data'!$B$31</f>
        <v>County 21</v>
      </c>
      <c r="C20" s="20">
        <f>VLOOKUP($B20,'County Data'!$B$11:$L$44,3,FALSE)</f>
        <v>120860</v>
      </c>
      <c r="D20" s="74">
        <f>VLOOKUP($B20,'County Data'!$B$11:$L$44,9,FALSE)</f>
        <v>0.1044731573253081</v>
      </c>
      <c r="E20" s="80">
        <f t="shared" si="0"/>
        <v>12626.625794336736</v>
      </c>
      <c r="F20" s="7">
        <f t="shared" si="1"/>
        <v>2.9840392272476039E-2</v>
      </c>
      <c r="G20" s="18">
        <f t="shared" si="2"/>
        <v>24334.839898204209</v>
      </c>
      <c r="H20" s="12">
        <f t="shared" si="3"/>
        <v>0.20134734319215794</v>
      </c>
    </row>
    <row r="21" spans="2:8" x14ac:dyDescent="0.25">
      <c r="B21" s="31" t="str">
        <f>+'County Data'!$B$38</f>
        <v>County 28</v>
      </c>
      <c r="C21" s="20">
        <f>VLOOKUP($B21,'County Data'!$B$11:$L$44,3,FALSE)</f>
        <v>25690</v>
      </c>
      <c r="D21" s="74">
        <f>VLOOKUP($B21,'County Data'!$B$11:$L$44,9,FALSE)</f>
        <v>0.10494712790265158</v>
      </c>
      <c r="E21" s="80">
        <f t="shared" si="0"/>
        <v>2696.0917158191191</v>
      </c>
      <c r="F21" s="7">
        <f t="shared" si="1"/>
        <v>6.3716495374955863E-3</v>
      </c>
      <c r="G21" s="18">
        <f t="shared" si="2"/>
        <v>5196.0801978276504</v>
      </c>
      <c r="H21" s="12">
        <f t="shared" si="3"/>
        <v>0.20226080956900158</v>
      </c>
    </row>
    <row r="22" spans="2:8" x14ac:dyDescent="0.25">
      <c r="B22" s="31" t="str">
        <f>'County Data'!$B$43</f>
        <v>County 33</v>
      </c>
      <c r="C22" s="20">
        <f>VLOOKUP($B22,'County Data'!$B$11:$L$44,3,FALSE)</f>
        <v>1445</v>
      </c>
      <c r="D22" s="74">
        <f>VLOOKUP($B22,'County Data'!$B$11:$L$44,9,FALSE)</f>
        <v>0.10667903525046382</v>
      </c>
      <c r="E22" s="80">
        <f t="shared" si="0"/>
        <v>154.15120593692023</v>
      </c>
      <c r="F22" s="7">
        <f t="shared" si="1"/>
        <v>3.6430417194244306E-4</v>
      </c>
      <c r="G22" s="18">
        <f t="shared" si="2"/>
        <v>297.09005221906233</v>
      </c>
      <c r="H22" s="12">
        <f t="shared" si="3"/>
        <v>0.20559865205471442</v>
      </c>
    </row>
    <row r="23" spans="2:8" x14ac:dyDescent="0.25">
      <c r="B23" s="31" t="str">
        <f>+'County Data'!$B$24</f>
        <v>County 14</v>
      </c>
      <c r="C23" s="20">
        <f>VLOOKUP($B23,'County Data'!$B$11:$L$44,3,FALSE)</f>
        <v>210975</v>
      </c>
      <c r="D23" s="74">
        <f>VLOOKUP($B23,'County Data'!$B$11:$L$44,9,FALSE)</f>
        <v>0.11205519444750468</v>
      </c>
      <c r="E23" s="80">
        <f t="shared" si="0"/>
        <v>23640.844648562299</v>
      </c>
      <c r="F23" s="7">
        <f t="shared" si="1"/>
        <v>5.5870197585341654E-2</v>
      </c>
      <c r="G23" s="18">
        <f t="shared" si="2"/>
        <v>45562.146130846115</v>
      </c>
      <c r="H23" s="12">
        <f t="shared" si="3"/>
        <v>0.21595992952172588</v>
      </c>
    </row>
    <row r="24" spans="2:8" x14ac:dyDescent="0.25">
      <c r="B24" s="31" t="str">
        <f>+'County Data'!$B$26</f>
        <v>County 16</v>
      </c>
      <c r="C24" s="20">
        <f>VLOOKUP($B24,'County Data'!$B$11:$L$44,3,FALSE)</f>
        <v>83720</v>
      </c>
      <c r="D24" s="74">
        <f>VLOOKUP($B24,'County Data'!$B$11:$L$44,9,FALSE)</f>
        <v>0.1132868058082228</v>
      </c>
      <c r="E24" s="80">
        <f t="shared" si="0"/>
        <v>9484.3713822644131</v>
      </c>
      <c r="F24" s="7">
        <f t="shared" si="1"/>
        <v>2.2414330408964376E-2</v>
      </c>
      <c r="G24" s="18">
        <f t="shared" si="2"/>
        <v>18278.88644851045</v>
      </c>
      <c r="H24" s="12">
        <f t="shared" si="3"/>
        <v>0.21833356961909281</v>
      </c>
    </row>
    <row r="25" spans="2:8" x14ac:dyDescent="0.25">
      <c r="B25" s="31" t="str">
        <f>+'County Data'!$B$16</f>
        <v>County 6</v>
      </c>
      <c r="C25" s="20">
        <f>VLOOKUP($B25,'County Data'!$B$11:$L$44,3,FALSE)</f>
        <v>62990</v>
      </c>
      <c r="D25" s="74">
        <f>VLOOKUP($B25,'County Data'!$B$11:$L$44,9,FALSE)</f>
        <v>0.11379422265498215</v>
      </c>
      <c r="E25" s="80">
        <f t="shared" si="0"/>
        <v>7167.8980850373255</v>
      </c>
      <c r="F25" s="7">
        <f t="shared" si="1"/>
        <v>1.6939829698808237E-2</v>
      </c>
      <c r="G25" s="18">
        <f t="shared" si="2"/>
        <v>13814.431119378118</v>
      </c>
      <c r="H25" s="12">
        <f t="shared" si="3"/>
        <v>0.21931149578311029</v>
      </c>
    </row>
    <row r="26" spans="2:8" x14ac:dyDescent="0.25">
      <c r="B26" s="31" t="str">
        <f>+'County Data'!$B$30</f>
        <v>County 20</v>
      </c>
      <c r="C26" s="20">
        <f>VLOOKUP($B26,'County Data'!$B$11:$L$44,3,FALSE)</f>
        <v>47225</v>
      </c>
      <c r="D26" s="74">
        <f>VLOOKUP($B26,'County Data'!$B$11:$L$44,9,FALSE)</f>
        <v>0.11595523535609534</v>
      </c>
      <c r="E26" s="80">
        <f t="shared" si="0"/>
        <v>5475.9859896916023</v>
      </c>
      <c r="F26" s="7">
        <f t="shared" si="1"/>
        <v>1.2941348913996533E-2</v>
      </c>
      <c r="G26" s="18">
        <f t="shared" si="2"/>
        <v>10553.670039364173</v>
      </c>
      <c r="H26" s="12">
        <f t="shared" si="3"/>
        <v>0.22347633751962251</v>
      </c>
    </row>
    <row r="27" spans="2:8" x14ac:dyDescent="0.25">
      <c r="B27" s="31" t="str">
        <f>+'County Data'!$B$20</f>
        <v>County 10</v>
      </c>
      <c r="C27" s="20">
        <f>VLOOKUP($B27,'County Data'!$B$11:$L$44,3,FALSE)</f>
        <v>109910</v>
      </c>
      <c r="D27" s="74">
        <f>VLOOKUP($B27,'County Data'!$B$11:$L$44,9,FALSE)</f>
        <v>0.11874206740939219</v>
      </c>
      <c r="E27" s="80">
        <f t="shared" si="0"/>
        <v>13050.940628966297</v>
      </c>
      <c r="F27" s="7">
        <f t="shared" si="1"/>
        <v>3.0843171741719189E-2</v>
      </c>
      <c r="G27" s="18">
        <f t="shared" si="2"/>
        <v>25152.606555372</v>
      </c>
      <c r="H27" s="12">
        <f t="shared" si="3"/>
        <v>0.22884729829289419</v>
      </c>
    </row>
    <row r="28" spans="2:8" x14ac:dyDescent="0.25">
      <c r="B28" s="31" t="str">
        <f>+'County Data'!$B$21</f>
        <v>County 11</v>
      </c>
      <c r="C28" s="20">
        <f>VLOOKUP($B28,'County Data'!$B$11:$L$44,3,FALSE)</f>
        <v>7430</v>
      </c>
      <c r="D28" s="74">
        <f>VLOOKUP($B28,'County Data'!$B$11:$L$44,9,FALSE)</f>
        <v>0.12086122670526506</v>
      </c>
      <c r="E28" s="80">
        <f t="shared" si="0"/>
        <v>897.99891442011938</v>
      </c>
      <c r="F28" s="7">
        <f t="shared" si="1"/>
        <v>2.1222328358359022E-3</v>
      </c>
      <c r="G28" s="18">
        <f t="shared" si="2"/>
        <v>1730.6808776241783</v>
      </c>
      <c r="H28" s="12">
        <f t="shared" si="3"/>
        <v>0.23293147747297149</v>
      </c>
    </row>
    <row r="29" spans="2:8" x14ac:dyDescent="0.25">
      <c r="B29" s="31" t="str">
        <f>+'County Data'!$B$22</f>
        <v>County 12</v>
      </c>
      <c r="C29" s="20">
        <f>VLOOKUP($B29,'County Data'!$B$11:$L$44,3,FALSE)</f>
        <v>7295</v>
      </c>
      <c r="D29" s="74">
        <f>VLOOKUP($B29,'County Data'!$B$11:$L$44,9,FALSE)</f>
        <v>0.12339282287468815</v>
      </c>
      <c r="E29" s="80">
        <f t="shared" si="0"/>
        <v>900.15064287085011</v>
      </c>
      <c r="F29" s="7">
        <f t="shared" si="1"/>
        <v>2.1273179965177408E-3</v>
      </c>
      <c r="G29" s="18">
        <f t="shared" si="2"/>
        <v>1734.8278261602177</v>
      </c>
      <c r="H29" s="12">
        <f t="shared" si="3"/>
        <v>0.23781053134478652</v>
      </c>
    </row>
    <row r="30" spans="2:8" x14ac:dyDescent="0.25">
      <c r="B30" s="31" t="str">
        <f>+'County Data'!$B$27</f>
        <v>County 17</v>
      </c>
      <c r="C30" s="20">
        <f>VLOOKUP($B30,'County Data'!$B$11:$L$44,3,FALSE)</f>
        <v>67110</v>
      </c>
      <c r="D30" s="74">
        <f>VLOOKUP($B30,'County Data'!$B$11:$L$44,9,FALSE)</f>
        <v>0.12604175804895165</v>
      </c>
      <c r="E30" s="80">
        <f t="shared" si="0"/>
        <v>8458.6623826651448</v>
      </c>
      <c r="F30" s="7">
        <f t="shared" si="1"/>
        <v>1.9990281466357781E-2</v>
      </c>
      <c r="G30" s="18">
        <f t="shared" si="2"/>
        <v>16302.074535814771</v>
      </c>
      <c r="H30" s="12">
        <f t="shared" si="3"/>
        <v>0.2429157284430751</v>
      </c>
    </row>
    <row r="31" spans="2:8" x14ac:dyDescent="0.25">
      <c r="B31" s="31" t="str">
        <f>+'County Data'!$B$44</f>
        <v>County 34</v>
      </c>
      <c r="C31" s="20">
        <f>VLOOKUP($B31,'County Data'!$B$11:$L$44,3,FALSE)</f>
        <v>103630</v>
      </c>
      <c r="D31" s="74">
        <f>VLOOKUP($B31,'County Data'!$B$11:$L$44,9,FALSE)</f>
        <v>0.13266535511125346</v>
      </c>
      <c r="E31" s="80">
        <f t="shared" si="0"/>
        <v>13748.110750179196</v>
      </c>
      <c r="F31" s="7">
        <f t="shared" si="1"/>
        <v>3.2490787679381135E-2</v>
      </c>
      <c r="G31" s="18">
        <f t="shared" si="2"/>
        <v>26496.237352535314</v>
      </c>
      <c r="H31" s="12">
        <f t="shared" si="3"/>
        <v>0.25568114785810397</v>
      </c>
    </row>
    <row r="32" spans="2:8" x14ac:dyDescent="0.25">
      <c r="B32" s="31" t="str">
        <f>+'County Data'!$B$36</f>
        <v>County 26</v>
      </c>
      <c r="C32" s="20">
        <f>VLOOKUP($B32,'County Data'!$B$11:$L$44,3,FALSE)</f>
        <v>30135</v>
      </c>
      <c r="D32" s="74">
        <f>VLOOKUP($B32,'County Data'!$B$11:$L$44,9,FALSE)</f>
        <v>0.13940346911699672</v>
      </c>
      <c r="E32" s="80">
        <f t="shared" si="0"/>
        <v>4200.9235418406961</v>
      </c>
      <c r="F32" s="7">
        <f t="shared" si="1"/>
        <v>9.928005188166002E-3</v>
      </c>
      <c r="G32" s="18">
        <f t="shared" si="2"/>
        <v>8096.2882309493743</v>
      </c>
      <c r="H32" s="12">
        <f t="shared" si="3"/>
        <v>0.26866727164258752</v>
      </c>
    </row>
    <row r="33" spans="2:8" x14ac:dyDescent="0.25">
      <c r="B33" s="31" t="str">
        <f>+'County Data'!$B$28</f>
        <v>County 18</v>
      </c>
      <c r="C33" s="20">
        <f>VLOOKUP($B33,'County Data'!$B$11:$L$44,3,FALSE)</f>
        <v>8010</v>
      </c>
      <c r="D33" s="74">
        <f>VLOOKUP($B33,'County Data'!$B$11:$L$44,9,FALSE)</f>
        <v>0.14508210597596072</v>
      </c>
      <c r="E33" s="80">
        <f t="shared" si="0"/>
        <v>1162.1076688674455</v>
      </c>
      <c r="F33" s="7">
        <f t="shared" si="1"/>
        <v>2.7463987027643477E-3</v>
      </c>
      <c r="G33" s="18">
        <f t="shared" si="2"/>
        <v>2239.6881421043254</v>
      </c>
      <c r="H33" s="12">
        <f t="shared" si="3"/>
        <v>0.27961150338381091</v>
      </c>
    </row>
    <row r="34" spans="2:8" x14ac:dyDescent="0.25">
      <c r="B34" s="31" t="str">
        <f>+'County Data'!$B$17</f>
        <v>County 7</v>
      </c>
      <c r="C34" s="20">
        <f>VLOOKUP($B34,'County Data'!$B$11:$L$44,3,FALSE)</f>
        <v>21085</v>
      </c>
      <c r="D34" s="74">
        <f>VLOOKUP($B34,'County Data'!$B$11:$L$44,9,FALSE)</f>
        <v>0.15239770654156892</v>
      </c>
      <c r="E34" s="80">
        <f t="shared" si="0"/>
        <v>3213.3056424289807</v>
      </c>
      <c r="F34" s="7">
        <f t="shared" si="1"/>
        <v>7.5939766033494161E-3</v>
      </c>
      <c r="G34" s="18">
        <f t="shared" si="2"/>
        <v>6192.8879200314486</v>
      </c>
      <c r="H34" s="12">
        <f t="shared" si="3"/>
        <v>0.29371059615989797</v>
      </c>
    </row>
    <row r="35" spans="2:8" x14ac:dyDescent="0.25">
      <c r="B35" s="31" t="str">
        <f>+'County Data'!$B$25</f>
        <v>County 15</v>
      </c>
      <c r="C35" s="20">
        <f>VLOOKUP($B35,'County Data'!$B$11:$L$44,3,FALSE)</f>
        <v>22445</v>
      </c>
      <c r="D35" s="74">
        <f>VLOOKUP($B35,'County Data'!$B$11:$L$44,9,FALSE)</f>
        <v>0.15649301493359025</v>
      </c>
      <c r="E35" s="80">
        <f t="shared" si="0"/>
        <v>3512.4857201844329</v>
      </c>
      <c r="F35" s="7">
        <f t="shared" si="1"/>
        <v>8.3010262162663342E-3</v>
      </c>
      <c r="G35" s="18">
        <f t="shared" si="2"/>
        <v>6769.4868793651958</v>
      </c>
      <c r="H35" s="12">
        <f t="shared" si="3"/>
        <v>0.30160333612676299</v>
      </c>
    </row>
    <row r="36" spans="2:8" x14ac:dyDescent="0.25">
      <c r="B36" s="31" t="str">
        <f>+'County Data'!$B$33</f>
        <v>County 23</v>
      </c>
      <c r="C36" s="20">
        <f>VLOOKUP($B36,'County Data'!$B$11:$L$44,3,FALSE)</f>
        <v>329770</v>
      </c>
      <c r="D36" s="74">
        <f>VLOOKUP($B36,'County Data'!$B$11:$L$44,9,FALSE)</f>
        <v>0.16434281284821473</v>
      </c>
      <c r="E36" s="80">
        <f t="shared" si="0"/>
        <v>54195.329392955769</v>
      </c>
      <c r="F36" s="7">
        <f t="shared" si="1"/>
        <v>0.1280793392283153</v>
      </c>
      <c r="G36" s="18">
        <f t="shared" si="2"/>
        <v>104448.70114069112</v>
      </c>
      <c r="H36" s="12">
        <f t="shared" si="3"/>
        <v>0.31673196816172217</v>
      </c>
    </row>
    <row r="37" spans="2:8" x14ac:dyDescent="0.25">
      <c r="B37" s="31" t="str">
        <f>+'County Data'!$B$39</f>
        <v>County 29</v>
      </c>
      <c r="C37" s="20">
        <f>VLOOKUP($B37,'County Data'!$B$11:$L$44,3,FALSE)</f>
        <v>79155</v>
      </c>
      <c r="D37" s="74">
        <f>VLOOKUP($B37,'County Data'!$B$11:$L$44,9,FALSE)</f>
        <v>0.16659249969658968</v>
      </c>
      <c r="E37" s="80">
        <f t="shared" si="0"/>
        <v>13186.629313483556</v>
      </c>
      <c r="F37" s="7">
        <f t="shared" si="1"/>
        <v>3.1163843601239041E-2</v>
      </c>
      <c r="G37" s="18">
        <f t="shared" si="2"/>
        <v>25414.114456810439</v>
      </c>
      <c r="H37" s="12">
        <f t="shared" si="3"/>
        <v>0.32106770837989312</v>
      </c>
    </row>
    <row r="38" spans="2:8" x14ac:dyDescent="0.25">
      <c r="B38" s="31" t="str">
        <f>+'County Data'!$B$23</f>
        <v>County 13</v>
      </c>
      <c r="C38" s="20">
        <f>VLOOKUP($B38,'County Data'!$B$11:$L$44,3,FALSE)</f>
        <v>24245</v>
      </c>
      <c r="D38" s="74">
        <f>VLOOKUP($B38,'County Data'!$B$11:$L$44,9,FALSE)</f>
        <v>0.17770704860420397</v>
      </c>
      <c r="E38" s="80">
        <f t="shared" si="0"/>
        <v>4308.5073934089251</v>
      </c>
      <c r="F38" s="7">
        <f t="shared" si="1"/>
        <v>1.0182257146311437E-2</v>
      </c>
      <c r="G38" s="18">
        <f t="shared" si="2"/>
        <v>8303.6307028169776</v>
      </c>
      <c r="H38" s="12">
        <f t="shared" si="3"/>
        <v>0.34248837710113333</v>
      </c>
    </row>
    <row r="39" spans="2:8" x14ac:dyDescent="0.25">
      <c r="B39" s="31" t="str">
        <f>+'County Data'!$B$32</f>
        <v>County 22</v>
      </c>
      <c r="C39" s="20">
        <f>VLOOKUP($B39,'County Data'!$B$11:$L$44,3,FALSE)</f>
        <v>31480</v>
      </c>
      <c r="D39" s="74">
        <f>VLOOKUP($B39,'County Data'!$B$11:$L$44,9,FALSE)</f>
        <v>0.19867152774309543</v>
      </c>
      <c r="E39" s="80">
        <f t="shared" si="0"/>
        <v>6254.1796933526439</v>
      </c>
      <c r="F39" s="7">
        <f t="shared" si="1"/>
        <v>1.4780447162368775E-2</v>
      </c>
      <c r="G39" s="18">
        <f t="shared" si="2"/>
        <v>12053.454660911737</v>
      </c>
      <c r="H39" s="12">
        <f t="shared" si="3"/>
        <v>0.3828924606388735</v>
      </c>
    </row>
    <row r="40" spans="2:8" x14ac:dyDescent="0.25">
      <c r="B40" s="31" t="str">
        <f>+'County Data'!$B$34</f>
        <v>County 24</v>
      </c>
      <c r="C40" s="20">
        <f>VLOOKUP($B40,'County Data'!$B$11:$L$44,3,FALSE)</f>
        <v>11630</v>
      </c>
      <c r="D40" s="74">
        <f>VLOOKUP($B40,'County Data'!$B$11:$L$44,9,FALSE)</f>
        <v>0.23655308363841171</v>
      </c>
      <c r="E40" s="80">
        <f t="shared" si="0"/>
        <v>2751.1123627147281</v>
      </c>
      <c r="F40" s="7">
        <f t="shared" si="1"/>
        <v>6.501679342226693E-3</v>
      </c>
      <c r="G40" s="18">
        <f t="shared" si="2"/>
        <v>5302.1195035858682</v>
      </c>
      <c r="H40" s="12">
        <f t="shared" si="3"/>
        <v>0.45590021526963614</v>
      </c>
    </row>
    <row r="41" spans="2:8" x14ac:dyDescent="0.25">
      <c r="B41" s="5" t="s">
        <v>3</v>
      </c>
      <c r="C41" s="6">
        <f>SUM(C6:C40)</f>
        <v>4013845</v>
      </c>
      <c r="D41" s="6"/>
      <c r="E41" s="6">
        <f>SUM(E6:E40)</f>
        <v>423138.73353411612</v>
      </c>
      <c r="F41" s="10">
        <f>SUM(F6:F40)</f>
        <v>1.0000000000000002</v>
      </c>
      <c r="G41" s="13">
        <f>SUM(G6:G40)</f>
        <v>815499.99999999988</v>
      </c>
      <c r="H41" s="14">
        <f t="shared" ref="H41" si="4">G41/C41</f>
        <v>0.20317177170518541</v>
      </c>
    </row>
  </sheetData>
  <sortState ref="B7:H40">
    <sortCondition ref="D7:D40"/>
  </sortState>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J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 min="10" max="10" width="10.5703125" bestFit="1" customWidth="1"/>
  </cols>
  <sheetData>
    <row r="3" spans="2:10" x14ac:dyDescent="0.25">
      <c r="B3" t="s">
        <v>0</v>
      </c>
      <c r="C3" s="1">
        <f>'County Data'!C6</f>
        <v>10000000</v>
      </c>
    </row>
    <row r="4" spans="2:10" x14ac:dyDescent="0.25">
      <c r="B4" t="s">
        <v>102</v>
      </c>
      <c r="C4" s="18">
        <f>'County Data'!K10</f>
        <v>1631000</v>
      </c>
      <c r="D4" s="11"/>
    </row>
    <row r="6" spans="2:10" s="2" customFormat="1" ht="30" x14ac:dyDescent="0.25">
      <c r="B6" s="3" t="s">
        <v>8</v>
      </c>
      <c r="C6" s="3" t="s">
        <v>1</v>
      </c>
      <c r="D6" s="3" t="s">
        <v>19</v>
      </c>
      <c r="E6" s="3" t="s">
        <v>80</v>
      </c>
      <c r="F6" s="3" t="s">
        <v>81</v>
      </c>
      <c r="G6" s="17" t="s">
        <v>18</v>
      </c>
      <c r="H6" s="3" t="s">
        <v>7</v>
      </c>
    </row>
    <row r="7" spans="2:10" x14ac:dyDescent="0.25">
      <c r="B7" s="31" t="str">
        <f>+'County Data'!$B$41</f>
        <v>County 31</v>
      </c>
      <c r="C7" s="20">
        <f>VLOOKUP($B7,'County Data'!$B$11:$L$44,3,FALSE)</f>
        <v>7100</v>
      </c>
      <c r="D7" s="74">
        <f>VLOOKUP($B7,'County Data'!$B$11:$L$44,10,FALSE)</f>
        <v>5.145278450363196E-3</v>
      </c>
      <c r="E7" s="80">
        <f t="shared" ref="E7:E40" si="0">C7*D7</f>
        <v>36.531476997578693</v>
      </c>
      <c r="F7" s="7">
        <f t="shared" ref="F7:F40" si="1">E7/$E$41</f>
        <v>1.4424850441838231E-4</v>
      </c>
      <c r="G7" s="18">
        <f t="shared" ref="G7:G40" si="2">$C$4*F7</f>
        <v>235.26931070638156</v>
      </c>
      <c r="H7" s="12">
        <f t="shared" ref="H7:H40" si="3">G7/C7</f>
        <v>3.3136522634701626E-2</v>
      </c>
      <c r="J7" s="81"/>
    </row>
    <row r="8" spans="2:10" x14ac:dyDescent="0.25">
      <c r="B8" s="31" t="str">
        <f>+'County Data'!$B$22</f>
        <v>County 12</v>
      </c>
      <c r="C8" s="20">
        <f>VLOOKUP($B8,'County Data'!$B$11:$L$44,3,FALSE)</f>
        <v>7295</v>
      </c>
      <c r="D8" s="74">
        <f>VLOOKUP($B8,'County Data'!$B$11:$L$44,10,FALSE)</f>
        <v>5.7430007178750899E-3</v>
      </c>
      <c r="E8" s="80">
        <f t="shared" si="0"/>
        <v>41.895190236898785</v>
      </c>
      <c r="F8" s="7">
        <f t="shared" si="1"/>
        <v>1.6542770866879577E-4</v>
      </c>
      <c r="G8" s="18">
        <f t="shared" si="2"/>
        <v>269.81259283880587</v>
      </c>
      <c r="H8" s="12">
        <f t="shared" si="3"/>
        <v>3.6985962006690319E-2</v>
      </c>
      <c r="J8" s="81"/>
    </row>
    <row r="9" spans="2:10" x14ac:dyDescent="0.25">
      <c r="B9" s="31" t="str">
        <f>+'County Data'!$B$21</f>
        <v>County 11</v>
      </c>
      <c r="C9" s="20">
        <f>VLOOKUP($B9,'County Data'!$B$11:$L$44,3,FALSE)</f>
        <v>7430</v>
      </c>
      <c r="D9" s="74">
        <f>VLOOKUP($B9,'County Data'!$B$11:$L$44,10,FALSE)</f>
        <v>5.9743954480796588E-3</v>
      </c>
      <c r="E9" s="80">
        <f t="shared" si="0"/>
        <v>44.389758179231862</v>
      </c>
      <c r="F9" s="7">
        <f t="shared" si="1"/>
        <v>1.752777811111292E-4</v>
      </c>
      <c r="G9" s="18">
        <f t="shared" si="2"/>
        <v>285.87806099225173</v>
      </c>
      <c r="H9" s="12">
        <f t="shared" si="3"/>
        <v>3.8476185867059455E-2</v>
      </c>
      <c r="J9" s="81"/>
    </row>
    <row r="10" spans="2:10" x14ac:dyDescent="0.25">
      <c r="B10" s="31" t="str">
        <f>'County Data'!$B$43</f>
        <v>County 33</v>
      </c>
      <c r="C10" s="20">
        <f>VLOOKUP($B10,'County Data'!$B$11:$L$44,3,FALSE)</f>
        <v>1445</v>
      </c>
      <c r="D10" s="74">
        <f>VLOOKUP($B10,'County Data'!$B$11:$L$44,10,FALSE)</f>
        <v>7.2405470635559131E-3</v>
      </c>
      <c r="E10" s="80">
        <f t="shared" si="0"/>
        <v>10.462590506838295</v>
      </c>
      <c r="F10" s="7">
        <f t="shared" si="1"/>
        <v>4.1312674903711646E-5</v>
      </c>
      <c r="G10" s="18">
        <f t="shared" si="2"/>
        <v>67.380972767953693</v>
      </c>
      <c r="H10" s="12">
        <f t="shared" si="3"/>
        <v>4.6630430981282833E-2</v>
      </c>
      <c r="J10" s="81"/>
    </row>
    <row r="11" spans="2:10" x14ac:dyDescent="0.25">
      <c r="B11" s="31" t="str">
        <f>+'County Data'!$B$11</f>
        <v>County 1</v>
      </c>
      <c r="C11" s="20">
        <f>VLOOKUP($B11,'County Data'!$B$11:$L$44,3,FALSE)</f>
        <v>16425</v>
      </c>
      <c r="D11" s="74">
        <f>VLOOKUP($B11,'County Data'!$B$11:$L$44,10,FALSE)</f>
        <v>9.8090504839131575E-3</v>
      </c>
      <c r="E11" s="80">
        <f t="shared" si="0"/>
        <v>161.11365419827362</v>
      </c>
      <c r="F11" s="7">
        <f t="shared" si="1"/>
        <v>6.3617476131670693E-4</v>
      </c>
      <c r="G11" s="18">
        <f t="shared" si="2"/>
        <v>1037.601035707549</v>
      </c>
      <c r="H11" s="12">
        <f t="shared" si="3"/>
        <v>6.3172056968496135E-2</v>
      </c>
      <c r="J11" s="81"/>
    </row>
    <row r="12" spans="2:10" x14ac:dyDescent="0.25">
      <c r="B12" s="31" t="str">
        <f>+'County Data'!$B$20</f>
        <v>County 10</v>
      </c>
      <c r="C12" s="20">
        <f>VLOOKUP($B12,'County Data'!$B$11:$L$44,3,FALSE)</f>
        <v>109910</v>
      </c>
      <c r="D12" s="74">
        <f>VLOOKUP($B12,'County Data'!$B$11:$L$44,10,FALSE)</f>
        <v>1.0176044590112456E-2</v>
      </c>
      <c r="E12" s="80">
        <f t="shared" si="0"/>
        <v>1118.4490608992601</v>
      </c>
      <c r="F12" s="7">
        <f t="shared" si="1"/>
        <v>4.4163175858878013E-3</v>
      </c>
      <c r="G12" s="18">
        <f t="shared" si="2"/>
        <v>7203.0139825830038</v>
      </c>
      <c r="H12" s="12">
        <f t="shared" si="3"/>
        <v>6.5535565304185278E-2</v>
      </c>
      <c r="J12" s="81"/>
    </row>
    <row r="13" spans="2:10" x14ac:dyDescent="0.25">
      <c r="B13" s="31" t="str">
        <f>+'County Data'!$B$18</f>
        <v>County 8</v>
      </c>
      <c r="C13" s="20">
        <f>VLOOKUP($B13,'County Data'!$B$11:$L$44,3,FALSE)</f>
        <v>22470</v>
      </c>
      <c r="D13" s="74">
        <f>VLOOKUP($B13,'County Data'!$B$11:$L$44,10,FALSE)</f>
        <v>1.0719112643892435E-2</v>
      </c>
      <c r="E13" s="80">
        <f t="shared" si="0"/>
        <v>240.85846110826301</v>
      </c>
      <c r="F13" s="7">
        <f t="shared" si="1"/>
        <v>9.5105579206892837E-4</v>
      </c>
      <c r="G13" s="18">
        <f t="shared" si="2"/>
        <v>1551.1719968644222</v>
      </c>
      <c r="H13" s="12">
        <f t="shared" si="3"/>
        <v>6.9033021667308514E-2</v>
      </c>
      <c r="J13" s="81"/>
    </row>
    <row r="14" spans="2:10" x14ac:dyDescent="0.25">
      <c r="B14" s="31" t="str">
        <f>+'County Data'!$B$15</f>
        <v>County 5</v>
      </c>
      <c r="C14" s="20">
        <f>VLOOKUP($B14,'County Data'!$B$11:$L$44,3,FALSE)</f>
        <v>50390</v>
      </c>
      <c r="D14" s="74">
        <f>VLOOKUP($B14,'County Data'!$B$11:$L$44,10,FALSE)</f>
        <v>1.1346542313147375E-2</v>
      </c>
      <c r="E14" s="80">
        <f t="shared" si="0"/>
        <v>571.75226715949623</v>
      </c>
      <c r="F14" s="7">
        <f t="shared" si="1"/>
        <v>2.2576259219150405E-3</v>
      </c>
      <c r="G14" s="18">
        <f t="shared" si="2"/>
        <v>3682.1878786434308</v>
      </c>
      <c r="H14" s="12">
        <f t="shared" si="3"/>
        <v>7.3073782072701543E-2</v>
      </c>
      <c r="J14" s="81"/>
    </row>
    <row r="15" spans="2:10" x14ac:dyDescent="0.25">
      <c r="B15" s="31" t="str">
        <f>+'County Data'!$B$26</f>
        <v>County 16</v>
      </c>
      <c r="C15" s="20">
        <f>VLOOKUP($B15,'County Data'!$B$11:$L$44,3,FALSE)</f>
        <v>83720</v>
      </c>
      <c r="D15" s="74">
        <f>VLOOKUP($B15,'County Data'!$B$11:$L$44,10,FALSE)</f>
        <v>1.1807308800652845E-2</v>
      </c>
      <c r="E15" s="80">
        <f t="shared" si="0"/>
        <v>988.50789279065623</v>
      </c>
      <c r="F15" s="7">
        <f t="shared" si="1"/>
        <v>3.903230771377508E-3</v>
      </c>
      <c r="G15" s="18">
        <f t="shared" si="2"/>
        <v>6366.1693881167157</v>
      </c>
      <c r="H15" s="12">
        <f t="shared" si="3"/>
        <v>7.6041201482521692E-2</v>
      </c>
      <c r="J15" s="81"/>
    </row>
    <row r="16" spans="2:10" x14ac:dyDescent="0.25">
      <c r="B16" s="31" t="str">
        <f>+'County Data'!$B$16</f>
        <v>County 6</v>
      </c>
      <c r="C16" s="20">
        <f>VLOOKUP($B16,'County Data'!$B$11:$L$44,3,FALSE)</f>
        <v>62990</v>
      </c>
      <c r="D16" s="74">
        <f>VLOOKUP($B16,'County Data'!$B$11:$L$44,10,FALSE)</f>
        <v>1.33518496829354E-2</v>
      </c>
      <c r="E16" s="80">
        <f t="shared" si="0"/>
        <v>841.03301152810081</v>
      </c>
      <c r="F16" s="7">
        <f t="shared" si="1"/>
        <v>3.3209101862335753E-3</v>
      </c>
      <c r="G16" s="18">
        <f t="shared" si="2"/>
        <v>5416.4045137469611</v>
      </c>
      <c r="H16" s="12">
        <f t="shared" si="3"/>
        <v>8.5988323761659963E-2</v>
      </c>
      <c r="J16" s="81"/>
    </row>
    <row r="17" spans="2:10" x14ac:dyDescent="0.25">
      <c r="B17" s="31" t="str">
        <f>+'County Data'!$B$17</f>
        <v>County 7</v>
      </c>
      <c r="C17" s="20">
        <f>VLOOKUP($B17,'County Data'!$B$11:$L$44,3,FALSE)</f>
        <v>21085</v>
      </c>
      <c r="D17" s="74">
        <f>VLOOKUP($B17,'County Data'!$B$11:$L$44,10,FALSE)</f>
        <v>1.997702641961744E-2</v>
      </c>
      <c r="E17" s="80">
        <f t="shared" si="0"/>
        <v>421.2156020576337</v>
      </c>
      <c r="F17" s="7">
        <f t="shared" si="1"/>
        <v>1.6632155507572085E-3</v>
      </c>
      <c r="G17" s="18">
        <f t="shared" si="2"/>
        <v>2712.7045632850072</v>
      </c>
      <c r="H17" s="12">
        <f t="shared" si="3"/>
        <v>0.12865565868081608</v>
      </c>
      <c r="J17" s="81"/>
    </row>
    <row r="18" spans="2:10" x14ac:dyDescent="0.25">
      <c r="B18" s="31" t="str">
        <f>+'County Data'!$B$28</f>
        <v>County 18</v>
      </c>
      <c r="C18" s="20">
        <f>VLOOKUP($B18,'County Data'!$B$11:$L$44,3,FALSE)</f>
        <v>8010</v>
      </c>
      <c r="D18" s="74">
        <f>VLOOKUP($B18,'County Data'!$B$11:$L$44,10,FALSE)</f>
        <v>2.0015801948907033E-2</v>
      </c>
      <c r="E18" s="80">
        <f t="shared" si="0"/>
        <v>160.32657361074533</v>
      </c>
      <c r="F18" s="7">
        <f t="shared" si="1"/>
        <v>6.3306688813612828E-4</v>
      </c>
      <c r="G18" s="18">
        <f t="shared" si="2"/>
        <v>1032.5320945500252</v>
      </c>
      <c r="H18" s="12">
        <f t="shared" si="3"/>
        <v>0.12890538009363611</v>
      </c>
      <c r="J18" s="81"/>
    </row>
    <row r="19" spans="2:10" x14ac:dyDescent="0.25">
      <c r="B19" s="31" t="str">
        <f>+'County Data'!$B$40</f>
        <v>County 30</v>
      </c>
      <c r="C19" s="20">
        <f>VLOOKUP($B19,'County Data'!$B$11:$L$44,3,FALSE)</f>
        <v>26625</v>
      </c>
      <c r="D19" s="74">
        <f>VLOOKUP($B19,'County Data'!$B$11:$L$44,10,FALSE)</f>
        <v>2.2922636103151862E-2</v>
      </c>
      <c r="E19" s="80">
        <f t="shared" si="0"/>
        <v>610.31518624641831</v>
      </c>
      <c r="F19" s="7">
        <f t="shared" si="1"/>
        <v>2.40989579604754E-3</v>
      </c>
      <c r="G19" s="18">
        <f t="shared" si="2"/>
        <v>3930.5400433535378</v>
      </c>
      <c r="H19" s="12">
        <f t="shared" si="3"/>
        <v>0.14762591712125964</v>
      </c>
      <c r="J19" s="81"/>
    </row>
    <row r="20" spans="2:10" x14ac:dyDescent="0.25">
      <c r="B20" s="31" t="str">
        <f>+'County Data'!$B$31</f>
        <v>County 21</v>
      </c>
      <c r="C20" s="20">
        <f>VLOOKUP($B20,'County Data'!$B$11:$L$44,3,FALSE)</f>
        <v>120860</v>
      </c>
      <c r="D20" s="74">
        <f>VLOOKUP($B20,'County Data'!$B$11:$L$44,10,FALSE)</f>
        <v>2.527984476967151E-2</v>
      </c>
      <c r="E20" s="80">
        <f t="shared" si="0"/>
        <v>3055.3220388624986</v>
      </c>
      <c r="F20" s="7">
        <f t="shared" si="1"/>
        <v>1.2064270893061601E-2</v>
      </c>
      <c r="G20" s="18">
        <f t="shared" si="2"/>
        <v>19676.82582658347</v>
      </c>
      <c r="H20" s="12">
        <f t="shared" si="3"/>
        <v>0.16280676672665456</v>
      </c>
      <c r="J20" s="81"/>
    </row>
    <row r="21" spans="2:10" x14ac:dyDescent="0.25">
      <c r="B21" s="31" t="str">
        <f>+'County Data'!$B$19</f>
        <v>County 9</v>
      </c>
      <c r="C21" s="20">
        <f>VLOOKUP($B21,'County Data'!$B$11:$L$44,3,FALSE)</f>
        <v>170740</v>
      </c>
      <c r="D21" s="74">
        <f>VLOOKUP($B21,'County Data'!$B$11:$L$44,10,FALSE)</f>
        <v>2.670263612386703E-2</v>
      </c>
      <c r="E21" s="80">
        <f t="shared" si="0"/>
        <v>4559.2080917890562</v>
      </c>
      <c r="F21" s="7">
        <f t="shared" si="1"/>
        <v>1.8002528302273346E-2</v>
      </c>
      <c r="G21" s="18">
        <f t="shared" si="2"/>
        <v>29362.123661007827</v>
      </c>
      <c r="H21" s="12">
        <f t="shared" si="3"/>
        <v>0.17196980005275755</v>
      </c>
      <c r="J21" s="81"/>
    </row>
    <row r="22" spans="2:10" x14ac:dyDescent="0.25">
      <c r="B22" s="31" t="str">
        <f>+'County Data'!$B$14</f>
        <v>County 4</v>
      </c>
      <c r="C22" s="20">
        <f>VLOOKUP($B22,'County Data'!$B$11:$L$44,3,FALSE)</f>
        <v>37750</v>
      </c>
      <c r="D22" s="74">
        <f>VLOOKUP($B22,'County Data'!$B$11:$L$44,10,FALSE)</f>
        <v>3.0486936205373679E-2</v>
      </c>
      <c r="E22" s="80">
        <f t="shared" si="0"/>
        <v>1150.8818417528564</v>
      </c>
      <c r="F22" s="7">
        <f t="shared" si="1"/>
        <v>4.5443819434436289E-3</v>
      </c>
      <c r="G22" s="18">
        <f t="shared" si="2"/>
        <v>7411.8869497565584</v>
      </c>
      <c r="H22" s="12">
        <f t="shared" si="3"/>
        <v>0.19634137615249161</v>
      </c>
      <c r="J22" s="81"/>
    </row>
    <row r="23" spans="2:10" x14ac:dyDescent="0.25">
      <c r="B23" s="31" t="str">
        <f>+'County Data'!$B$29</f>
        <v>County 19</v>
      </c>
      <c r="C23" s="20">
        <f>VLOOKUP($B23,'County Data'!$B$11:$L$44,3,FALSE)</f>
        <v>362150</v>
      </c>
      <c r="D23" s="74">
        <f>VLOOKUP($B23,'County Data'!$B$11:$L$44,10,FALSE)</f>
        <v>3.0675030495206184E-2</v>
      </c>
      <c r="E23" s="80">
        <f t="shared" si="0"/>
        <v>11108.96229383892</v>
      </c>
      <c r="F23" s="7">
        <f t="shared" si="1"/>
        <v>4.3864944103756784E-2</v>
      </c>
      <c r="G23" s="18">
        <f t="shared" si="2"/>
        <v>71543.723833227312</v>
      </c>
      <c r="H23" s="12">
        <f t="shared" si="3"/>
        <v>0.19755273735531495</v>
      </c>
      <c r="J23" s="81"/>
    </row>
    <row r="24" spans="2:10" x14ac:dyDescent="0.25">
      <c r="B24" s="31" t="str">
        <f>+'County Data'!$B$30</f>
        <v>County 20</v>
      </c>
      <c r="C24" s="20">
        <f>VLOOKUP($B24,'County Data'!$B$11:$L$44,3,FALSE)</f>
        <v>47225</v>
      </c>
      <c r="D24" s="74">
        <f>VLOOKUP($B24,'County Data'!$B$11:$L$44,10,FALSE)</f>
        <v>3.1207846544273988E-2</v>
      </c>
      <c r="E24" s="80">
        <f t="shared" si="0"/>
        <v>1473.7905530533392</v>
      </c>
      <c r="F24" s="7">
        <f t="shared" si="1"/>
        <v>5.8194220594468523E-3</v>
      </c>
      <c r="G24" s="18">
        <f t="shared" si="2"/>
        <v>9491.4773789578157</v>
      </c>
      <c r="H24" s="12">
        <f t="shared" si="3"/>
        <v>0.20098416895622692</v>
      </c>
      <c r="J24" s="81"/>
    </row>
    <row r="25" spans="2:10" x14ac:dyDescent="0.25">
      <c r="B25" s="31" t="str">
        <f>+'County Data'!$B$12</f>
        <v>County 2</v>
      </c>
      <c r="C25" s="20">
        <f>VLOOKUP($B25,'County Data'!$B$11:$L$44,3,FALSE)</f>
        <v>90005</v>
      </c>
      <c r="D25" s="74">
        <f>VLOOKUP($B25,'County Data'!$B$11:$L$44,10,FALSE)</f>
        <v>3.3516133770748663E-2</v>
      </c>
      <c r="E25" s="80">
        <f t="shared" si="0"/>
        <v>3016.6196200362333</v>
      </c>
      <c r="F25" s="7">
        <f t="shared" si="1"/>
        <v>1.1911450189057964E-2</v>
      </c>
      <c r="G25" s="18">
        <f t="shared" si="2"/>
        <v>19427.57525835354</v>
      </c>
      <c r="H25" s="12">
        <f t="shared" si="3"/>
        <v>0.21584995565083651</v>
      </c>
      <c r="J25" s="81"/>
    </row>
    <row r="26" spans="2:10" x14ac:dyDescent="0.25">
      <c r="B26" s="31" t="str">
        <f>+'County Data'!$B$38</f>
        <v>County 28</v>
      </c>
      <c r="C26" s="20">
        <f>VLOOKUP($B26,'County Data'!$B$11:$L$44,3,FALSE)</f>
        <v>25690</v>
      </c>
      <c r="D26" s="74">
        <f>VLOOKUP($B26,'County Data'!$B$11:$L$44,10,FALSE)</f>
        <v>3.4153062502609494E-2</v>
      </c>
      <c r="E26" s="80">
        <f t="shared" si="0"/>
        <v>877.39217569203788</v>
      </c>
      <c r="F26" s="7">
        <f t="shared" si="1"/>
        <v>3.4644782947143246E-3</v>
      </c>
      <c r="G26" s="18">
        <f t="shared" si="2"/>
        <v>5650.5640986790631</v>
      </c>
      <c r="H26" s="12">
        <f t="shared" si="3"/>
        <v>0.21995189173526911</v>
      </c>
      <c r="J26" s="81"/>
    </row>
    <row r="27" spans="2:10" x14ac:dyDescent="0.25">
      <c r="B27" s="31" t="str">
        <f>+'County Data'!$B$27</f>
        <v>County 17</v>
      </c>
      <c r="C27" s="20">
        <f>VLOOKUP($B27,'County Data'!$B$11:$L$44,3,FALSE)</f>
        <v>67110</v>
      </c>
      <c r="D27" s="74">
        <f>VLOOKUP($B27,'County Data'!$B$11:$L$44,10,FALSE)</f>
        <v>3.5354020559131519E-2</v>
      </c>
      <c r="E27" s="80">
        <f t="shared" si="0"/>
        <v>2372.6083197233161</v>
      </c>
      <c r="F27" s="7">
        <f t="shared" si="1"/>
        <v>9.3685016270594092E-3</v>
      </c>
      <c r="G27" s="18">
        <f t="shared" si="2"/>
        <v>15280.026153733896</v>
      </c>
      <c r="H27" s="12">
        <f t="shared" si="3"/>
        <v>0.2276862785536268</v>
      </c>
      <c r="J27" s="81"/>
    </row>
    <row r="28" spans="2:10" x14ac:dyDescent="0.25">
      <c r="B28" s="31" t="str">
        <f>+'County Data'!$B$24</f>
        <v>County 14</v>
      </c>
      <c r="C28" s="20">
        <f>VLOOKUP($B28,'County Data'!$B$11:$L$44,3,FALSE)</f>
        <v>210975</v>
      </c>
      <c r="D28" s="74">
        <f>VLOOKUP($B28,'County Data'!$B$11:$L$44,10,FALSE)</f>
        <v>3.7016361283859926E-2</v>
      </c>
      <c r="E28" s="80">
        <f t="shared" si="0"/>
        <v>7809.5268218623478</v>
      </c>
      <c r="F28" s="7">
        <f t="shared" si="1"/>
        <v>3.0836764808155753E-2</v>
      </c>
      <c r="G28" s="18">
        <f t="shared" si="2"/>
        <v>50294.763402102035</v>
      </c>
      <c r="H28" s="12">
        <f t="shared" si="3"/>
        <v>0.23839205309682207</v>
      </c>
      <c r="J28" s="81"/>
    </row>
    <row r="29" spans="2:10" x14ac:dyDescent="0.25">
      <c r="B29" s="31" t="str">
        <f>+'County Data'!$B$13</f>
        <v>County 3</v>
      </c>
      <c r="C29" s="20">
        <f>VLOOKUP($B29,'County Data'!$B$11:$L$44,3,FALSE)</f>
        <v>397385</v>
      </c>
      <c r="D29" s="74">
        <f>VLOOKUP($B29,'County Data'!$B$11:$L$44,10,FALSE)</f>
        <v>4.5398369781982216E-2</v>
      </c>
      <c r="E29" s="80">
        <f t="shared" si="0"/>
        <v>18040.631175813003</v>
      </c>
      <c r="F29" s="7">
        <f t="shared" si="1"/>
        <v>7.1235391496685188E-2</v>
      </c>
      <c r="G29" s="18">
        <f t="shared" si="2"/>
        <v>116184.92353109355</v>
      </c>
      <c r="H29" s="12">
        <f t="shared" si="3"/>
        <v>0.2923737019039308</v>
      </c>
      <c r="J29" s="81"/>
    </row>
    <row r="30" spans="2:10" x14ac:dyDescent="0.25">
      <c r="B30" s="31" t="str">
        <f>+'County Data'!$B$37</f>
        <v>County 27</v>
      </c>
      <c r="C30" s="20">
        <f>VLOOKUP($B30,'County Data'!$B$11:$L$44,3,FALSE)</f>
        <v>78570</v>
      </c>
      <c r="D30" s="74">
        <f>VLOOKUP($B30,'County Data'!$B$11:$L$44,10,FALSE)</f>
        <v>4.5450691087933523E-2</v>
      </c>
      <c r="E30" s="80">
        <f t="shared" si="0"/>
        <v>3571.0607987789367</v>
      </c>
      <c r="F30" s="7">
        <f t="shared" si="1"/>
        <v>1.4100721398292149E-2</v>
      </c>
      <c r="G30" s="18">
        <f t="shared" si="2"/>
        <v>22998.276600614496</v>
      </c>
      <c r="H30" s="12">
        <f t="shared" si="3"/>
        <v>0.29271066056528566</v>
      </c>
      <c r="J30" s="81"/>
    </row>
    <row r="31" spans="2:10" x14ac:dyDescent="0.25">
      <c r="B31" s="31" t="str">
        <f>+'County Data'!$B$44</f>
        <v>County 34</v>
      </c>
      <c r="C31" s="20">
        <f>VLOOKUP($B31,'County Data'!$B$11:$L$44,3,FALSE)</f>
        <v>103630</v>
      </c>
      <c r="D31" s="74">
        <f>VLOOKUP($B31,'County Data'!$B$11:$L$44,10,FALSE)</f>
        <v>6.6194159465786384E-2</v>
      </c>
      <c r="E31" s="80">
        <f t="shared" si="0"/>
        <v>6859.7007454394434</v>
      </c>
      <c r="F31" s="7">
        <f t="shared" si="1"/>
        <v>2.7086273389736917E-2</v>
      </c>
      <c r="G31" s="18">
        <f t="shared" si="2"/>
        <v>44177.711898660913</v>
      </c>
      <c r="H31" s="12">
        <f t="shared" si="3"/>
        <v>0.4263023439029327</v>
      </c>
      <c r="J31" s="81"/>
    </row>
    <row r="32" spans="2:10" x14ac:dyDescent="0.25">
      <c r="B32" s="31" t="str">
        <f>+'County Data'!$B$25</f>
        <v>County 15</v>
      </c>
      <c r="C32" s="20">
        <f>VLOOKUP($B32,'County Data'!$B$11:$L$44,3,FALSE)</f>
        <v>22445</v>
      </c>
      <c r="D32" s="74">
        <f>VLOOKUP($B32,'County Data'!$B$11:$L$44,10,FALSE)</f>
        <v>6.6293415250458301E-2</v>
      </c>
      <c r="E32" s="80">
        <f t="shared" si="0"/>
        <v>1487.9557052965365</v>
      </c>
      <c r="F32" s="7">
        <f t="shared" si="1"/>
        <v>5.8753547014825233E-3</v>
      </c>
      <c r="G32" s="18">
        <f t="shared" si="2"/>
        <v>9582.7035181179963</v>
      </c>
      <c r="H32" s="12">
        <f t="shared" si="3"/>
        <v>0.4269415690852304</v>
      </c>
      <c r="J32" s="81"/>
    </row>
    <row r="33" spans="2:10" x14ac:dyDescent="0.25">
      <c r="B33" s="31" t="str">
        <f>+'County Data'!$B$36</f>
        <v>County 26</v>
      </c>
      <c r="C33" s="20">
        <f>VLOOKUP($B33,'County Data'!$B$11:$L$44,3,FALSE)</f>
        <v>30135</v>
      </c>
      <c r="D33" s="74">
        <f>VLOOKUP($B33,'County Data'!$B$11:$L$44,10,FALSE)</f>
        <v>7.6551317051575293E-2</v>
      </c>
      <c r="E33" s="80">
        <f t="shared" si="0"/>
        <v>2306.8739393492215</v>
      </c>
      <c r="F33" s="7">
        <f t="shared" si="1"/>
        <v>9.1089422870836226E-3</v>
      </c>
      <c r="G33" s="18">
        <f t="shared" si="2"/>
        <v>14856.684870233388</v>
      </c>
      <c r="H33" s="12">
        <f t="shared" si="3"/>
        <v>0.4930043096145143</v>
      </c>
      <c r="J33" s="81"/>
    </row>
    <row r="34" spans="2:10" x14ac:dyDescent="0.25">
      <c r="B34" s="31" t="str">
        <f>+'County Data'!$B$39</f>
        <v>County 29</v>
      </c>
      <c r="C34" s="20">
        <f>VLOOKUP($B34,'County Data'!$B$11:$L$44,3,FALSE)</f>
        <v>79155</v>
      </c>
      <c r="D34" s="74">
        <f>VLOOKUP($B34,'County Data'!$B$11:$L$44,10,FALSE)</f>
        <v>8.1320244700526387E-2</v>
      </c>
      <c r="E34" s="80">
        <f t="shared" si="0"/>
        <v>6436.9039692701663</v>
      </c>
      <c r="F34" s="7">
        <f t="shared" si="1"/>
        <v>2.5416814401276799E-2</v>
      </c>
      <c r="G34" s="18">
        <f t="shared" si="2"/>
        <v>41454.824288482458</v>
      </c>
      <c r="H34" s="12">
        <f t="shared" si="3"/>
        <v>0.52371706510621507</v>
      </c>
      <c r="J34" s="81"/>
    </row>
    <row r="35" spans="2:10" x14ac:dyDescent="0.25">
      <c r="B35" s="31" t="str">
        <f>+'County Data'!$B$35</f>
        <v>County 25</v>
      </c>
      <c r="C35" s="20">
        <f>VLOOKUP($B35,'County Data'!$B$11:$L$44,3,FALSE)</f>
        <v>777490</v>
      </c>
      <c r="D35" s="74">
        <f>VLOOKUP($B35,'County Data'!$B$11:$L$44,10,FALSE)</f>
        <v>9.3043382616850565E-2</v>
      </c>
      <c r="E35" s="80">
        <f t="shared" si="0"/>
        <v>72340.299550775148</v>
      </c>
      <c r="F35" s="7">
        <f t="shared" si="1"/>
        <v>0.28564352927938608</v>
      </c>
      <c r="G35" s="18">
        <f t="shared" si="2"/>
        <v>465884.59625467868</v>
      </c>
      <c r="H35" s="12">
        <f t="shared" si="3"/>
        <v>0.59921619088950173</v>
      </c>
      <c r="J35" s="81"/>
    </row>
    <row r="36" spans="2:10" x14ac:dyDescent="0.25">
      <c r="B36" s="31" t="str">
        <f>+'County Data'!$B$42</f>
        <v>County 32</v>
      </c>
      <c r="C36" s="20">
        <f>VLOOKUP($B36,'County Data'!$B$11:$L$44,3,FALSE)</f>
        <v>570510</v>
      </c>
      <c r="D36" s="74">
        <f>VLOOKUP($B36,'County Data'!$B$11:$L$44,10,FALSE)</f>
        <v>9.7199637931348712E-2</v>
      </c>
      <c r="E36" s="80">
        <f t="shared" si="0"/>
        <v>55453.365436213753</v>
      </c>
      <c r="F36" s="7">
        <f t="shared" si="1"/>
        <v>0.21896363592608167</v>
      </c>
      <c r="G36" s="18">
        <f t="shared" si="2"/>
        <v>357129.69019543921</v>
      </c>
      <c r="H36" s="12">
        <f t="shared" si="3"/>
        <v>0.6259832258776169</v>
      </c>
      <c r="J36" s="81"/>
    </row>
    <row r="37" spans="2:10" x14ac:dyDescent="0.25">
      <c r="B37" s="31" t="str">
        <f>+'County Data'!$B$32</f>
        <v>County 22</v>
      </c>
      <c r="C37" s="20">
        <f>VLOOKUP($B37,'County Data'!$B$11:$L$44,3,FALSE)</f>
        <v>31480</v>
      </c>
      <c r="D37" s="74">
        <f>VLOOKUP($B37,'County Data'!$B$11:$L$44,10,FALSE)</f>
        <v>0.10456768286338571</v>
      </c>
      <c r="E37" s="80">
        <f t="shared" si="0"/>
        <v>3291.7906565393819</v>
      </c>
      <c r="F37" s="7">
        <f t="shared" si="1"/>
        <v>1.2997992911583694E-2</v>
      </c>
      <c r="G37" s="18">
        <f t="shared" si="2"/>
        <v>21199.726438793004</v>
      </c>
      <c r="H37" s="12">
        <f t="shared" si="3"/>
        <v>0.67343476616242071</v>
      </c>
      <c r="J37" s="81"/>
    </row>
    <row r="38" spans="2:10" x14ac:dyDescent="0.25">
      <c r="B38" s="31" t="str">
        <f>+'County Data'!$B$33</f>
        <v>County 23</v>
      </c>
      <c r="C38" s="20">
        <f>VLOOKUP($B38,'County Data'!$B$11:$L$44,3,FALSE)</f>
        <v>329770</v>
      </c>
      <c r="D38" s="74">
        <f>VLOOKUP($B38,'County Data'!$B$11:$L$44,10,FALSE)</f>
        <v>0.11207377753730143</v>
      </c>
      <c r="E38" s="80">
        <f t="shared" si="0"/>
        <v>36958.569618475893</v>
      </c>
      <c r="F38" s="7">
        <f t="shared" si="1"/>
        <v>0.14593492601629995</v>
      </c>
      <c r="G38" s="18">
        <f t="shared" si="2"/>
        <v>238019.86433258522</v>
      </c>
      <c r="H38" s="12">
        <f t="shared" si="3"/>
        <v>0.721775371721458</v>
      </c>
      <c r="J38" s="81"/>
    </row>
    <row r="39" spans="2:10" x14ac:dyDescent="0.25">
      <c r="B39" s="31" t="str">
        <f>+'County Data'!$B$34</f>
        <v>County 24</v>
      </c>
      <c r="C39" s="20">
        <f>VLOOKUP($B39,'County Data'!$B$11:$L$44,3,FALSE)</f>
        <v>11630</v>
      </c>
      <c r="D39" s="74">
        <f>VLOOKUP($B39,'County Data'!$B$11:$L$44,10,FALSE)</f>
        <v>0.13739130434782609</v>
      </c>
      <c r="E39" s="80">
        <f t="shared" si="0"/>
        <v>1597.8608695652174</v>
      </c>
      <c r="F39" s="7">
        <f t="shared" si="1"/>
        <v>6.3093271788248603E-3</v>
      </c>
      <c r="G39" s="18">
        <f t="shared" si="2"/>
        <v>10290.512628663348</v>
      </c>
      <c r="H39" s="12">
        <f t="shared" si="3"/>
        <v>0.88482481759788023</v>
      </c>
      <c r="J39" s="81"/>
    </row>
    <row r="40" spans="2:10" x14ac:dyDescent="0.25">
      <c r="B40" s="31" t="str">
        <f>+'County Data'!$B$23</f>
        <v>County 13</v>
      </c>
      <c r="C40" s="20">
        <f>VLOOKUP($B40,'County Data'!$B$11:$L$44,3,FALSE)</f>
        <v>24245</v>
      </c>
      <c r="D40" s="74">
        <f>VLOOKUP($B40,'County Data'!$B$11:$L$44,10,FALSE)</f>
        <v>0.1747820642489043</v>
      </c>
      <c r="E40" s="80">
        <f t="shared" si="0"/>
        <v>4237.5911477146847</v>
      </c>
      <c r="F40" s="7">
        <f t="shared" si="1"/>
        <v>1.6732588869454532E-2</v>
      </c>
      <c r="G40" s="18">
        <f t="shared" si="2"/>
        <v>27290.852446080342</v>
      </c>
      <c r="H40" s="12">
        <f t="shared" si="3"/>
        <v>1.1256280654188633</v>
      </c>
      <c r="J40" s="81"/>
    </row>
    <row r="41" spans="2:10" x14ac:dyDescent="0.25">
      <c r="B41" s="5" t="s">
        <v>3</v>
      </c>
      <c r="C41" s="6">
        <f>SUM(C7:C40)</f>
        <v>4013845</v>
      </c>
      <c r="D41" s="6"/>
      <c r="E41" s="6">
        <f>SUM(E7:E40)</f>
        <v>253253.76609536135</v>
      </c>
      <c r="F41" s="82">
        <f>SUM(F7:F40)</f>
        <v>1.0000000000000002</v>
      </c>
      <c r="G41" s="13">
        <f>SUM(G7:G40)</f>
        <v>1631000.0000000002</v>
      </c>
      <c r="H41" s="14">
        <f t="shared" ref="H41" si="4">G41/C41</f>
        <v>0.40634354341037093</v>
      </c>
    </row>
  </sheetData>
  <sortState ref="B7:H40">
    <sortCondition ref="D7:D40"/>
  </sortStat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102</v>
      </c>
      <c r="C4" s="18">
        <f>'County Data'!L10</f>
        <v>0</v>
      </c>
    </row>
    <row r="6" spans="2:8" s="2" customFormat="1" ht="30" x14ac:dyDescent="0.25">
      <c r="B6" s="3" t="s">
        <v>8</v>
      </c>
      <c r="C6" s="3" t="s">
        <v>1</v>
      </c>
      <c r="D6" s="3" t="s">
        <v>20</v>
      </c>
      <c r="E6" s="3" t="s">
        <v>21</v>
      </c>
      <c r="F6" s="3" t="s">
        <v>4</v>
      </c>
      <c r="G6" s="17" t="s">
        <v>16</v>
      </c>
      <c r="H6" s="3" t="s">
        <v>7</v>
      </c>
    </row>
    <row r="7" spans="2:8" x14ac:dyDescent="0.25">
      <c r="B7" s="31" t="str">
        <f>'County Data'!$B$43</f>
        <v>County 33</v>
      </c>
      <c r="C7" s="20">
        <f>VLOOKUP($B7,'County Data'!$B$11:$M$44,3,FALSE)</f>
        <v>1445</v>
      </c>
      <c r="D7" s="20" t="str">
        <f>VLOOKUP(B7,'County Data'!$B$11:$M$44,11,FALSE)</f>
        <v>Y</v>
      </c>
      <c r="E7" s="20">
        <f t="shared" ref="E7:E40" si="0">IF(D7="Y",C7,0)</f>
        <v>1445</v>
      </c>
      <c r="F7" s="7">
        <f t="shared" ref="F7:F40" si="1">E7/$E$41</f>
        <v>3.6000393637522125E-4</v>
      </c>
      <c r="G7" s="18">
        <f t="shared" ref="G7:G40" si="2">$C$4*F7</f>
        <v>0</v>
      </c>
      <c r="H7" s="12">
        <f t="shared" ref="H7:H40" si="3">G7/C7</f>
        <v>0</v>
      </c>
    </row>
    <row r="8" spans="2:8" x14ac:dyDescent="0.25">
      <c r="B8" s="31" t="str">
        <f>+'County Data'!$B$41</f>
        <v>County 31</v>
      </c>
      <c r="C8" s="20">
        <f>VLOOKUP($B8,'County Data'!$B$11:$M$44,3,FALSE)</f>
        <v>7100</v>
      </c>
      <c r="D8" s="20" t="str">
        <f>VLOOKUP(B8,'County Data'!$B$11:$M$44,11,FALSE)</f>
        <v>Y</v>
      </c>
      <c r="E8" s="20">
        <f t="shared" si="0"/>
        <v>7100</v>
      </c>
      <c r="F8" s="7">
        <f t="shared" si="1"/>
        <v>1.7688774728471079E-3</v>
      </c>
      <c r="G8" s="18">
        <f t="shared" si="2"/>
        <v>0</v>
      </c>
      <c r="H8" s="12">
        <f t="shared" si="3"/>
        <v>0</v>
      </c>
    </row>
    <row r="9" spans="2:8" x14ac:dyDescent="0.25">
      <c r="B9" s="31" t="str">
        <f>+'County Data'!$B$22</f>
        <v>County 12</v>
      </c>
      <c r="C9" s="20">
        <f>VLOOKUP($B9,'County Data'!$B$11:$M$44,3,FALSE)</f>
        <v>7295</v>
      </c>
      <c r="D9" s="20" t="str">
        <f>VLOOKUP(B9,'County Data'!$B$11:$M$44,11,FALSE)</f>
        <v>Y</v>
      </c>
      <c r="E9" s="20">
        <f t="shared" si="0"/>
        <v>7295</v>
      </c>
      <c r="F9" s="7">
        <f t="shared" si="1"/>
        <v>1.8174593189323454E-3</v>
      </c>
      <c r="G9" s="18">
        <f t="shared" si="2"/>
        <v>0</v>
      </c>
      <c r="H9" s="12">
        <f t="shared" si="3"/>
        <v>0</v>
      </c>
    </row>
    <row r="10" spans="2:8" x14ac:dyDescent="0.25">
      <c r="B10" s="31" t="str">
        <f>+'County Data'!$B$21</f>
        <v>County 11</v>
      </c>
      <c r="C10" s="20">
        <f>VLOOKUP($B10,'County Data'!$B$11:$M$44,3,FALSE)</f>
        <v>7430</v>
      </c>
      <c r="D10" s="20" t="str">
        <f>VLOOKUP(B10,'County Data'!$B$11:$M$44,11,FALSE)</f>
        <v>Y</v>
      </c>
      <c r="E10" s="20">
        <f t="shared" si="0"/>
        <v>7430</v>
      </c>
      <c r="F10" s="7">
        <f t="shared" si="1"/>
        <v>1.8510929046836636E-3</v>
      </c>
      <c r="G10" s="18">
        <f t="shared" si="2"/>
        <v>0</v>
      </c>
      <c r="H10" s="12">
        <f t="shared" si="3"/>
        <v>0</v>
      </c>
    </row>
    <row r="11" spans="2:8" x14ac:dyDescent="0.25">
      <c r="B11" s="31" t="str">
        <f>+'County Data'!$B$28</f>
        <v>County 18</v>
      </c>
      <c r="C11" s="20">
        <f>VLOOKUP($B11,'County Data'!$B$11:$M$44,3,FALSE)</f>
        <v>8010</v>
      </c>
      <c r="D11" s="20" t="str">
        <f>VLOOKUP(B11,'County Data'!$B$11:$M$44,11,FALSE)</f>
        <v>Y</v>
      </c>
      <c r="E11" s="20">
        <f t="shared" si="0"/>
        <v>8010</v>
      </c>
      <c r="F11" s="7">
        <f t="shared" si="1"/>
        <v>1.9955927545782163E-3</v>
      </c>
      <c r="G11" s="18">
        <f t="shared" si="2"/>
        <v>0</v>
      </c>
      <c r="H11" s="12">
        <f t="shared" si="3"/>
        <v>0</v>
      </c>
    </row>
    <row r="12" spans="2:8" x14ac:dyDescent="0.25">
      <c r="B12" s="31" t="str">
        <f>+'County Data'!$B$34</f>
        <v>County 24</v>
      </c>
      <c r="C12" s="20">
        <f>VLOOKUP($B12,'County Data'!$B$11:$M$44,3,FALSE)</f>
        <v>11630</v>
      </c>
      <c r="D12" s="20" t="str">
        <f>VLOOKUP(B12,'County Data'!$B$11:$M$44,11,FALSE)</f>
        <v>Y</v>
      </c>
      <c r="E12" s="20">
        <f t="shared" si="0"/>
        <v>11630</v>
      </c>
      <c r="F12" s="7">
        <f t="shared" si="1"/>
        <v>2.8974711280580091E-3</v>
      </c>
      <c r="G12" s="18">
        <f t="shared" si="2"/>
        <v>0</v>
      </c>
      <c r="H12" s="12">
        <f t="shared" si="3"/>
        <v>0</v>
      </c>
    </row>
    <row r="13" spans="2:8" x14ac:dyDescent="0.25">
      <c r="B13" s="31" t="str">
        <f>+'County Data'!$B$11</f>
        <v>County 1</v>
      </c>
      <c r="C13" s="20">
        <f>VLOOKUP($B13,'County Data'!$B$11:$M$44,3,FALSE)</f>
        <v>16425</v>
      </c>
      <c r="D13" s="20" t="str">
        <f>VLOOKUP(B13,'County Data'!$B$11:$M$44,11,FALSE)</f>
        <v>Y</v>
      </c>
      <c r="E13" s="20">
        <f t="shared" si="0"/>
        <v>16425</v>
      </c>
      <c r="F13" s="7">
        <f t="shared" si="1"/>
        <v>4.0920862664103868E-3</v>
      </c>
      <c r="G13" s="18">
        <f t="shared" si="2"/>
        <v>0</v>
      </c>
      <c r="H13" s="12">
        <f t="shared" si="3"/>
        <v>0</v>
      </c>
    </row>
    <row r="14" spans="2:8" x14ac:dyDescent="0.25">
      <c r="B14" s="31" t="str">
        <f>+'County Data'!$B$17</f>
        <v>County 7</v>
      </c>
      <c r="C14" s="20">
        <f>VLOOKUP($B14,'County Data'!$B$11:$M$44,3,FALSE)</f>
        <v>21085</v>
      </c>
      <c r="D14" s="20" t="str">
        <f>VLOOKUP(B14,'County Data'!$B$11:$M$44,11,FALSE)</f>
        <v>Y</v>
      </c>
      <c r="E14" s="20">
        <f t="shared" si="0"/>
        <v>21085</v>
      </c>
      <c r="F14" s="7">
        <f t="shared" si="1"/>
        <v>5.2530678190114465E-3</v>
      </c>
      <c r="G14" s="18">
        <f t="shared" si="2"/>
        <v>0</v>
      </c>
      <c r="H14" s="12">
        <f t="shared" si="3"/>
        <v>0</v>
      </c>
    </row>
    <row r="15" spans="2:8" x14ac:dyDescent="0.25">
      <c r="B15" s="31" t="str">
        <f>+'County Data'!$B$25</f>
        <v>County 15</v>
      </c>
      <c r="C15" s="20">
        <f>VLOOKUP($B15,'County Data'!$B$11:$M$44,3,FALSE)</f>
        <v>22445</v>
      </c>
      <c r="D15" s="20" t="str">
        <f>VLOOKUP(B15,'County Data'!$B$11:$M$44,11,FALSE)</f>
        <v>Y</v>
      </c>
      <c r="E15" s="20">
        <f t="shared" si="0"/>
        <v>22445</v>
      </c>
      <c r="F15" s="7">
        <f t="shared" si="1"/>
        <v>5.5918950532469489E-3</v>
      </c>
      <c r="G15" s="18">
        <f t="shared" si="2"/>
        <v>0</v>
      </c>
      <c r="H15" s="12">
        <f t="shared" si="3"/>
        <v>0</v>
      </c>
    </row>
    <row r="16" spans="2:8" x14ac:dyDescent="0.25">
      <c r="B16" s="31" t="str">
        <f>+'County Data'!$B$18</f>
        <v>County 8</v>
      </c>
      <c r="C16" s="20">
        <f>VLOOKUP($B16,'County Data'!$B$11:$M$44,3,FALSE)</f>
        <v>22470</v>
      </c>
      <c r="D16" s="20" t="str">
        <f>VLOOKUP(B16,'County Data'!$B$11:$M$44,11,FALSE)</f>
        <v>Y</v>
      </c>
      <c r="E16" s="20">
        <f t="shared" si="0"/>
        <v>22470</v>
      </c>
      <c r="F16" s="7">
        <f t="shared" si="1"/>
        <v>5.5981234950527488E-3</v>
      </c>
      <c r="G16" s="18">
        <f t="shared" si="2"/>
        <v>0</v>
      </c>
      <c r="H16" s="12">
        <f t="shared" si="3"/>
        <v>0</v>
      </c>
    </row>
    <row r="17" spans="2:8" x14ac:dyDescent="0.25">
      <c r="B17" s="31" t="str">
        <f>+'County Data'!$B$23</f>
        <v>County 13</v>
      </c>
      <c r="C17" s="20">
        <f>VLOOKUP($B17,'County Data'!$B$11:$M$44,3,FALSE)</f>
        <v>24245</v>
      </c>
      <c r="D17" s="20" t="str">
        <f>VLOOKUP(B17,'County Data'!$B$11:$M$44,11,FALSE)</f>
        <v>Y</v>
      </c>
      <c r="E17" s="20">
        <f t="shared" si="0"/>
        <v>24245</v>
      </c>
      <c r="F17" s="7">
        <f t="shared" si="1"/>
        <v>6.0403428632645256E-3</v>
      </c>
      <c r="G17" s="18">
        <f t="shared" si="2"/>
        <v>0</v>
      </c>
      <c r="H17" s="12">
        <f t="shared" si="3"/>
        <v>0</v>
      </c>
    </row>
    <row r="18" spans="2:8" x14ac:dyDescent="0.25">
      <c r="B18" s="31" t="str">
        <f>+'County Data'!$B$38</f>
        <v>County 28</v>
      </c>
      <c r="C18" s="20">
        <f>VLOOKUP($B18,'County Data'!$B$11:$M$44,3,FALSE)</f>
        <v>25690</v>
      </c>
      <c r="D18" s="20" t="str">
        <f>VLOOKUP(B18,'County Data'!$B$11:$M$44,11,FALSE)</f>
        <v>Y</v>
      </c>
      <c r="E18" s="20">
        <f t="shared" si="0"/>
        <v>25690</v>
      </c>
      <c r="F18" s="7">
        <f t="shared" si="1"/>
        <v>6.4003467996397471E-3</v>
      </c>
      <c r="G18" s="18">
        <f t="shared" si="2"/>
        <v>0</v>
      </c>
      <c r="H18" s="12">
        <f t="shared" si="3"/>
        <v>0</v>
      </c>
    </row>
    <row r="19" spans="2:8" x14ac:dyDescent="0.25">
      <c r="B19" s="31" t="str">
        <f>+'County Data'!$B$40</f>
        <v>County 30</v>
      </c>
      <c r="C19" s="20">
        <f>VLOOKUP($B19,'County Data'!$B$11:$M$44,3,FALSE)</f>
        <v>26625</v>
      </c>
      <c r="D19" s="20" t="str">
        <f>VLOOKUP(B19,'County Data'!$B$11:$M$44,11,FALSE)</f>
        <v>Y</v>
      </c>
      <c r="E19" s="20">
        <f t="shared" si="0"/>
        <v>26625</v>
      </c>
      <c r="F19" s="7">
        <f t="shared" si="1"/>
        <v>6.6332905231766548E-3</v>
      </c>
      <c r="G19" s="18">
        <f t="shared" si="2"/>
        <v>0</v>
      </c>
      <c r="H19" s="12">
        <f t="shared" si="3"/>
        <v>0</v>
      </c>
    </row>
    <row r="20" spans="2:8" x14ac:dyDescent="0.25">
      <c r="B20" s="31" t="str">
        <f>+'County Data'!$B$36</f>
        <v>County 26</v>
      </c>
      <c r="C20" s="20">
        <f>VLOOKUP($B20,'County Data'!$B$11:$M$44,3,FALSE)</f>
        <v>30135</v>
      </c>
      <c r="D20" s="20" t="str">
        <f>VLOOKUP(B20,'County Data'!$B$11:$M$44,11,FALSE)</f>
        <v>Y</v>
      </c>
      <c r="E20" s="20">
        <f t="shared" si="0"/>
        <v>30135</v>
      </c>
      <c r="F20" s="7">
        <f t="shared" si="1"/>
        <v>7.5077637527109289E-3</v>
      </c>
      <c r="G20" s="18">
        <f t="shared" si="2"/>
        <v>0</v>
      </c>
      <c r="H20" s="12">
        <f t="shared" si="3"/>
        <v>0</v>
      </c>
    </row>
    <row r="21" spans="2:8" x14ac:dyDescent="0.25">
      <c r="B21" s="31" t="str">
        <f>+'County Data'!$B$32</f>
        <v>County 22</v>
      </c>
      <c r="C21" s="20">
        <f>VLOOKUP($B21,'County Data'!$B$11:$M$44,3,FALSE)</f>
        <v>31480</v>
      </c>
      <c r="D21" s="20" t="str">
        <f>VLOOKUP(B21,'County Data'!$B$11:$M$44,11,FALSE)</f>
        <v>Y</v>
      </c>
      <c r="E21" s="20">
        <f t="shared" si="0"/>
        <v>31480</v>
      </c>
      <c r="F21" s="7">
        <f t="shared" si="1"/>
        <v>7.8428539218629526E-3</v>
      </c>
      <c r="G21" s="18">
        <f t="shared" si="2"/>
        <v>0</v>
      </c>
      <c r="H21" s="12">
        <f t="shared" si="3"/>
        <v>0</v>
      </c>
    </row>
    <row r="22" spans="2:8" x14ac:dyDescent="0.25">
      <c r="B22" s="31" t="str">
        <f>+'County Data'!$B$14</f>
        <v>County 4</v>
      </c>
      <c r="C22" s="20">
        <f>VLOOKUP($B22,'County Data'!$B$11:$M$44,3,FALSE)</f>
        <v>37750</v>
      </c>
      <c r="D22" s="20" t="str">
        <f>VLOOKUP(B22,'County Data'!$B$11:$M$44,11,FALSE)</f>
        <v>Y</v>
      </c>
      <c r="E22" s="20">
        <f t="shared" si="0"/>
        <v>37750</v>
      </c>
      <c r="F22" s="7">
        <f t="shared" si="1"/>
        <v>9.404947126757511E-3</v>
      </c>
      <c r="G22" s="18">
        <f t="shared" si="2"/>
        <v>0</v>
      </c>
      <c r="H22" s="12">
        <f t="shared" si="3"/>
        <v>0</v>
      </c>
    </row>
    <row r="23" spans="2:8" x14ac:dyDescent="0.25">
      <c r="B23" s="31" t="str">
        <f>+'County Data'!$B$30</f>
        <v>County 20</v>
      </c>
      <c r="C23" s="20">
        <f>VLOOKUP($B23,'County Data'!$B$11:$M$44,3,FALSE)</f>
        <v>47225</v>
      </c>
      <c r="D23" s="20" t="str">
        <f>VLOOKUP(B23,'County Data'!$B$11:$M$44,11,FALSE)</f>
        <v>Y</v>
      </c>
      <c r="E23" s="20">
        <f t="shared" si="0"/>
        <v>47225</v>
      </c>
      <c r="F23" s="7">
        <f t="shared" si="1"/>
        <v>1.1765526571155588E-2</v>
      </c>
      <c r="G23" s="18">
        <f t="shared" si="2"/>
        <v>0</v>
      </c>
      <c r="H23" s="12">
        <f t="shared" si="3"/>
        <v>0</v>
      </c>
    </row>
    <row r="24" spans="2:8" x14ac:dyDescent="0.25">
      <c r="B24" s="31" t="str">
        <f>+'County Data'!$B$15</f>
        <v>County 5</v>
      </c>
      <c r="C24" s="20">
        <f>VLOOKUP($B24,'County Data'!$B$11:$M$44,3,FALSE)</f>
        <v>50390</v>
      </c>
      <c r="D24" s="20" t="str">
        <f>VLOOKUP(B24,'County Data'!$B$11:$M$44,11,FALSE)</f>
        <v>Y</v>
      </c>
      <c r="E24" s="20">
        <f t="shared" si="0"/>
        <v>50390</v>
      </c>
      <c r="F24" s="7">
        <f t="shared" si="1"/>
        <v>1.2554047303769827E-2</v>
      </c>
      <c r="G24" s="18">
        <f t="shared" si="2"/>
        <v>0</v>
      </c>
      <c r="H24" s="12">
        <f t="shared" si="3"/>
        <v>0</v>
      </c>
    </row>
    <row r="25" spans="2:8" x14ac:dyDescent="0.25">
      <c r="B25" s="31" t="str">
        <f>+'County Data'!$B$16</f>
        <v>County 6</v>
      </c>
      <c r="C25" s="20">
        <f>VLOOKUP($B25,'County Data'!$B$11:$M$44,3,FALSE)</f>
        <v>62990</v>
      </c>
      <c r="D25" s="20" t="str">
        <f>VLOOKUP(B25,'County Data'!$B$11:$M$44,11,FALSE)</f>
        <v>Y</v>
      </c>
      <c r="E25" s="20">
        <f t="shared" si="0"/>
        <v>62990</v>
      </c>
      <c r="F25" s="7">
        <f t="shared" si="1"/>
        <v>1.5693181973892863E-2</v>
      </c>
      <c r="G25" s="18">
        <f t="shared" si="2"/>
        <v>0</v>
      </c>
      <c r="H25" s="12">
        <f t="shared" si="3"/>
        <v>0</v>
      </c>
    </row>
    <row r="26" spans="2:8" x14ac:dyDescent="0.25">
      <c r="B26" s="31" t="str">
        <f>+'County Data'!$B$27</f>
        <v>County 17</v>
      </c>
      <c r="C26" s="20">
        <f>VLOOKUP($B26,'County Data'!$B$11:$M$44,3,FALSE)</f>
        <v>67110</v>
      </c>
      <c r="D26" s="20" t="str">
        <f>VLOOKUP(B26,'County Data'!$B$11:$M$44,11,FALSE)</f>
        <v>Y</v>
      </c>
      <c r="E26" s="20">
        <f t="shared" si="0"/>
        <v>67110</v>
      </c>
      <c r="F26" s="7">
        <f t="shared" si="1"/>
        <v>1.6719629183488651E-2</v>
      </c>
      <c r="G26" s="18">
        <f t="shared" si="2"/>
        <v>0</v>
      </c>
      <c r="H26" s="12">
        <f t="shared" si="3"/>
        <v>0</v>
      </c>
    </row>
    <row r="27" spans="2:8" x14ac:dyDescent="0.25">
      <c r="B27" s="31" t="str">
        <f>+'County Data'!$B$37</f>
        <v>County 27</v>
      </c>
      <c r="C27" s="20">
        <f>VLOOKUP($B27,'County Data'!$B$11:$M$44,3,FALSE)</f>
        <v>78570</v>
      </c>
      <c r="D27" s="20" t="str">
        <f>VLOOKUP(B27,'County Data'!$B$11:$M$44,11,FALSE)</f>
        <v>Y</v>
      </c>
      <c r="E27" s="20">
        <f t="shared" si="0"/>
        <v>78570</v>
      </c>
      <c r="F27" s="7">
        <f t="shared" si="1"/>
        <v>1.957474690726722E-2</v>
      </c>
      <c r="G27" s="18">
        <f t="shared" si="2"/>
        <v>0</v>
      </c>
      <c r="H27" s="12">
        <f t="shared" si="3"/>
        <v>0</v>
      </c>
    </row>
    <row r="28" spans="2:8" x14ac:dyDescent="0.25">
      <c r="B28" s="31" t="str">
        <f>+'County Data'!$B$39</f>
        <v>County 29</v>
      </c>
      <c r="C28" s="20">
        <f>VLOOKUP($B28,'County Data'!$B$11:$M$44,3,FALSE)</f>
        <v>79155</v>
      </c>
      <c r="D28" s="20" t="str">
        <f>VLOOKUP(B28,'County Data'!$B$11:$M$44,11,FALSE)</f>
        <v>Y</v>
      </c>
      <c r="E28" s="20">
        <f t="shared" si="0"/>
        <v>79155</v>
      </c>
      <c r="F28" s="7">
        <f t="shared" si="1"/>
        <v>1.9720492445522934E-2</v>
      </c>
      <c r="G28" s="18">
        <f t="shared" si="2"/>
        <v>0</v>
      </c>
      <c r="H28" s="12">
        <f t="shared" si="3"/>
        <v>0</v>
      </c>
    </row>
    <row r="29" spans="2:8" x14ac:dyDescent="0.25">
      <c r="B29" s="31" t="str">
        <f>+'County Data'!$B$26</f>
        <v>County 16</v>
      </c>
      <c r="C29" s="20">
        <f>VLOOKUP($B29,'County Data'!$B$11:$M$44,3,FALSE)</f>
        <v>83720</v>
      </c>
      <c r="D29" s="20" t="str">
        <f>VLOOKUP(B29,'County Data'!$B$11:$M$44,11,FALSE)</f>
        <v>Y</v>
      </c>
      <c r="E29" s="20">
        <f t="shared" si="0"/>
        <v>83720</v>
      </c>
      <c r="F29" s="7">
        <f t="shared" si="1"/>
        <v>2.0857805919261955E-2</v>
      </c>
      <c r="G29" s="18">
        <f t="shared" si="2"/>
        <v>0</v>
      </c>
      <c r="H29" s="12">
        <f t="shared" si="3"/>
        <v>0</v>
      </c>
    </row>
    <row r="30" spans="2:8" x14ac:dyDescent="0.25">
      <c r="B30" s="31" t="str">
        <f>+'County Data'!$B$12</f>
        <v>County 2</v>
      </c>
      <c r="C30" s="20">
        <f>VLOOKUP($B30,'County Data'!$B$11:$M$44,3,FALSE)</f>
        <v>90005</v>
      </c>
      <c r="D30" s="20" t="str">
        <f>VLOOKUP(B30,'County Data'!$B$11:$M$44,11,FALSE)</f>
        <v>Y</v>
      </c>
      <c r="E30" s="20">
        <f t="shared" si="0"/>
        <v>90005</v>
      </c>
      <c r="F30" s="7">
        <f t="shared" si="1"/>
        <v>2.2423636189239992E-2</v>
      </c>
      <c r="G30" s="18">
        <f t="shared" si="2"/>
        <v>0</v>
      </c>
      <c r="H30" s="12">
        <f t="shared" si="3"/>
        <v>0</v>
      </c>
    </row>
    <row r="31" spans="2:8" x14ac:dyDescent="0.25">
      <c r="B31" s="31" t="str">
        <f>+'County Data'!$B$44</f>
        <v>County 34</v>
      </c>
      <c r="C31" s="20">
        <f>VLOOKUP($B31,'County Data'!$B$11:$M$44,3,FALSE)</f>
        <v>103630</v>
      </c>
      <c r="D31" s="20" t="str">
        <f>VLOOKUP(B31,'County Data'!$B$11:$M$44,11,FALSE)</f>
        <v>Y</v>
      </c>
      <c r="E31" s="20">
        <f t="shared" si="0"/>
        <v>103630</v>
      </c>
      <c r="F31" s="7">
        <f t="shared" si="1"/>
        <v>2.5818136973400817E-2</v>
      </c>
      <c r="G31" s="18">
        <f t="shared" si="2"/>
        <v>0</v>
      </c>
      <c r="H31" s="12">
        <f t="shared" si="3"/>
        <v>0</v>
      </c>
    </row>
    <row r="32" spans="2:8" x14ac:dyDescent="0.25">
      <c r="B32" s="31" t="str">
        <f>+'County Data'!$B$20</f>
        <v>County 10</v>
      </c>
      <c r="C32" s="20">
        <f>VLOOKUP($B32,'County Data'!$B$11:$M$44,3,FALSE)</f>
        <v>109910</v>
      </c>
      <c r="D32" s="20" t="str">
        <f>VLOOKUP(B32,'County Data'!$B$11:$M$44,11,FALSE)</f>
        <v>Y</v>
      </c>
      <c r="E32" s="20">
        <f t="shared" si="0"/>
        <v>109910</v>
      </c>
      <c r="F32" s="7">
        <f t="shared" si="1"/>
        <v>2.7382721555017694E-2</v>
      </c>
      <c r="G32" s="18">
        <f t="shared" si="2"/>
        <v>0</v>
      </c>
      <c r="H32" s="12">
        <f t="shared" si="3"/>
        <v>0</v>
      </c>
    </row>
    <row r="33" spans="2:8" x14ac:dyDescent="0.25">
      <c r="B33" s="31" t="str">
        <f>+'County Data'!$B$31</f>
        <v>County 21</v>
      </c>
      <c r="C33" s="20">
        <f>VLOOKUP($B33,'County Data'!$B$11:$M$44,3,FALSE)</f>
        <v>120860</v>
      </c>
      <c r="D33" s="20" t="str">
        <f>VLOOKUP(B33,'County Data'!$B$11:$M$44,11,FALSE)</f>
        <v>Y</v>
      </c>
      <c r="E33" s="20">
        <f t="shared" si="0"/>
        <v>120860</v>
      </c>
      <c r="F33" s="7">
        <f t="shared" si="1"/>
        <v>3.0110779065957952E-2</v>
      </c>
      <c r="G33" s="18">
        <f t="shared" si="2"/>
        <v>0</v>
      </c>
      <c r="H33" s="12">
        <f t="shared" si="3"/>
        <v>0</v>
      </c>
    </row>
    <row r="34" spans="2:8" x14ac:dyDescent="0.25">
      <c r="B34" s="31" t="str">
        <f>+'County Data'!$B$19</f>
        <v>County 9</v>
      </c>
      <c r="C34" s="20">
        <f>VLOOKUP($B34,'County Data'!$B$11:$M$44,3,FALSE)</f>
        <v>170740</v>
      </c>
      <c r="D34" s="20" t="str">
        <f>VLOOKUP(B34,'County Data'!$B$11:$M$44,11,FALSE)</f>
        <v>Y</v>
      </c>
      <c r="E34" s="20">
        <f t="shared" si="0"/>
        <v>170740</v>
      </c>
      <c r="F34" s="7">
        <f t="shared" si="1"/>
        <v>4.2537766156889464E-2</v>
      </c>
      <c r="G34" s="18">
        <f t="shared" si="2"/>
        <v>0</v>
      </c>
      <c r="H34" s="12">
        <f t="shared" si="3"/>
        <v>0</v>
      </c>
    </row>
    <row r="35" spans="2:8" x14ac:dyDescent="0.25">
      <c r="B35" s="31" t="str">
        <f>+'County Data'!$B$24</f>
        <v>County 14</v>
      </c>
      <c r="C35" s="20">
        <f>VLOOKUP($B35,'County Data'!$B$11:$M$44,3,FALSE)</f>
        <v>210975</v>
      </c>
      <c r="D35" s="20" t="str">
        <f>VLOOKUP(B35,'County Data'!$B$11:$M$44,11,FALSE)</f>
        <v>Y</v>
      </c>
      <c r="E35" s="20">
        <f t="shared" si="0"/>
        <v>210975</v>
      </c>
      <c r="F35" s="7">
        <f t="shared" si="1"/>
        <v>5.2561820399143463E-2</v>
      </c>
      <c r="G35" s="18">
        <f t="shared" si="2"/>
        <v>0</v>
      </c>
      <c r="H35" s="12">
        <f t="shared" si="3"/>
        <v>0</v>
      </c>
    </row>
    <row r="36" spans="2:8" x14ac:dyDescent="0.25">
      <c r="B36" s="31" t="str">
        <f>+'County Data'!$B$33</f>
        <v>County 23</v>
      </c>
      <c r="C36" s="20">
        <f>VLOOKUP($B36,'County Data'!$B$11:$M$44,3,FALSE)</f>
        <v>329770</v>
      </c>
      <c r="D36" s="20" t="str">
        <f>VLOOKUP(B36,'County Data'!$B$11:$M$44,11,FALSE)</f>
        <v>Y</v>
      </c>
      <c r="E36" s="20">
        <f t="shared" si="0"/>
        <v>329770</v>
      </c>
      <c r="F36" s="7">
        <f t="shared" si="1"/>
        <v>8.2158130171942359E-2</v>
      </c>
      <c r="G36" s="18">
        <f t="shared" si="2"/>
        <v>0</v>
      </c>
      <c r="H36" s="12">
        <f t="shared" si="3"/>
        <v>0</v>
      </c>
    </row>
    <row r="37" spans="2:8" x14ac:dyDescent="0.25">
      <c r="B37" s="31" t="str">
        <f>+'County Data'!$B$29</f>
        <v>County 19</v>
      </c>
      <c r="C37" s="20">
        <f>VLOOKUP($B37,'County Data'!$B$11:$M$44,3,FALSE)</f>
        <v>362150</v>
      </c>
      <c r="D37" s="20" t="str">
        <f>VLOOKUP(B37,'County Data'!$B$11:$M$44,11,FALSE)</f>
        <v>Y</v>
      </c>
      <c r="E37" s="20">
        <f t="shared" si="0"/>
        <v>362150</v>
      </c>
      <c r="F37" s="7">
        <f t="shared" si="1"/>
        <v>9.0225207998814103E-2</v>
      </c>
      <c r="G37" s="18">
        <f t="shared" si="2"/>
        <v>0</v>
      </c>
      <c r="H37" s="12">
        <f t="shared" si="3"/>
        <v>0</v>
      </c>
    </row>
    <row r="38" spans="2:8" x14ac:dyDescent="0.25">
      <c r="B38" s="31" t="str">
        <f>+'County Data'!$B$13</f>
        <v>County 3</v>
      </c>
      <c r="C38" s="20">
        <f>VLOOKUP($B38,'County Data'!$B$11:$M$44,3,FALSE)</f>
        <v>397385</v>
      </c>
      <c r="D38" s="20" t="str">
        <f>VLOOKUP(B38,'County Data'!$B$11:$M$44,11,FALSE)</f>
        <v>Y</v>
      </c>
      <c r="E38" s="20">
        <f t="shared" si="0"/>
        <v>397385</v>
      </c>
      <c r="F38" s="7">
        <f t="shared" si="1"/>
        <v>9.9003573879908172E-2</v>
      </c>
      <c r="G38" s="18">
        <f t="shared" si="2"/>
        <v>0</v>
      </c>
      <c r="H38" s="12">
        <f t="shared" si="3"/>
        <v>0</v>
      </c>
    </row>
    <row r="39" spans="2:8" x14ac:dyDescent="0.25">
      <c r="B39" s="31" t="str">
        <f>+'County Data'!$B$42</f>
        <v>County 32</v>
      </c>
      <c r="C39" s="20">
        <f>VLOOKUP($B39,'County Data'!$B$11:$M$44,3,FALSE)</f>
        <v>570510</v>
      </c>
      <c r="D39" s="20" t="str">
        <f>VLOOKUP(B39,'County Data'!$B$11:$M$44,11,FALSE)</f>
        <v>Y</v>
      </c>
      <c r="E39" s="20">
        <f t="shared" si="0"/>
        <v>570510</v>
      </c>
      <c r="F39" s="7">
        <f t="shared" si="1"/>
        <v>0.14213553338507093</v>
      </c>
      <c r="G39" s="18">
        <f t="shared" si="2"/>
        <v>0</v>
      </c>
      <c r="H39" s="12">
        <f t="shared" si="3"/>
        <v>0</v>
      </c>
    </row>
    <row r="40" spans="2:8" x14ac:dyDescent="0.25">
      <c r="B40" s="31" t="str">
        <f>+'County Data'!$B$35</f>
        <v>County 25</v>
      </c>
      <c r="C40" s="20">
        <f>VLOOKUP($B40,'County Data'!$B$11:$M$44,3,FALSE)</f>
        <v>777490</v>
      </c>
      <c r="D40" s="20" t="str">
        <f>VLOOKUP(B40,'County Data'!$B$11:$M$44,11,FALSE)</f>
        <v>Y</v>
      </c>
      <c r="E40" s="20">
        <f t="shared" si="0"/>
        <v>777490</v>
      </c>
      <c r="F40" s="7">
        <f t="shared" si="1"/>
        <v>0.19370204878364761</v>
      </c>
      <c r="G40" s="18">
        <f t="shared" si="2"/>
        <v>0</v>
      </c>
      <c r="H40" s="12">
        <f t="shared" si="3"/>
        <v>0</v>
      </c>
    </row>
    <row r="41" spans="2:8" x14ac:dyDescent="0.25">
      <c r="B41" s="5" t="s">
        <v>3</v>
      </c>
      <c r="C41" s="6">
        <f t="shared" ref="C41:F41" si="4">SUM(C7:C40)</f>
        <v>4013845</v>
      </c>
      <c r="D41" s="6"/>
      <c r="E41" s="6">
        <f>SUM(E7:E40)</f>
        <v>4013845</v>
      </c>
      <c r="F41" s="10">
        <f t="shared" si="4"/>
        <v>1</v>
      </c>
      <c r="G41" s="13">
        <f>SUM(G7:G40)</f>
        <v>0</v>
      </c>
      <c r="H41" s="14">
        <f t="shared" ref="H41" si="5">G41/C41</f>
        <v>0</v>
      </c>
    </row>
  </sheetData>
  <sortState ref="B7:H40">
    <sortCondition ref="C7:C40"/>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102</v>
      </c>
      <c r="C4" s="18">
        <f>'County Data'!M10</f>
        <v>0</v>
      </c>
    </row>
    <row r="6" spans="2:8" s="2" customFormat="1" ht="30" x14ac:dyDescent="0.25">
      <c r="B6" s="3" t="s">
        <v>8</v>
      </c>
      <c r="C6" s="3" t="s">
        <v>1</v>
      </c>
      <c r="D6" s="3" t="s">
        <v>2</v>
      </c>
      <c r="E6" s="3" t="s">
        <v>21</v>
      </c>
      <c r="F6" s="3" t="s">
        <v>4</v>
      </c>
      <c r="G6" s="17" t="s">
        <v>16</v>
      </c>
      <c r="H6" s="3" t="s">
        <v>7</v>
      </c>
    </row>
    <row r="7" spans="2:8" x14ac:dyDescent="0.25">
      <c r="B7" s="31" t="str">
        <f>'County Data'!$B$43</f>
        <v>County 33</v>
      </c>
      <c r="C7" s="20">
        <f>VLOOKUP($B7,'County Data'!$B$11:$M$44,3,FALSE)</f>
        <v>1445</v>
      </c>
      <c r="D7" s="20" t="str">
        <f>VLOOKUP(B7,'County Data'!$B$11:$M$44,12,FALSE)</f>
        <v>Y</v>
      </c>
      <c r="E7" s="20">
        <f t="shared" ref="E7:E40" si="0">IF(D7="Y",C7,0)</f>
        <v>1445</v>
      </c>
      <c r="F7" s="7">
        <f t="shared" ref="F7:F40" si="1">E7/$E$41</f>
        <v>3.6000393637522125E-4</v>
      </c>
      <c r="G7" s="18">
        <f t="shared" ref="G7:G40" si="2">$C$4*F7</f>
        <v>0</v>
      </c>
      <c r="H7" s="12">
        <f t="shared" ref="H7:H40" si="3">G7/C7</f>
        <v>0</v>
      </c>
    </row>
    <row r="8" spans="2:8" x14ac:dyDescent="0.25">
      <c r="B8" s="31" t="str">
        <f>+'County Data'!$B$41</f>
        <v>County 31</v>
      </c>
      <c r="C8" s="20">
        <f>VLOOKUP($B8,'County Data'!$B$11:$M$44,3,FALSE)</f>
        <v>7100</v>
      </c>
      <c r="D8" s="20" t="str">
        <f>VLOOKUP(B8,'County Data'!$B$11:$M$44,12,FALSE)</f>
        <v>Y</v>
      </c>
      <c r="E8" s="20">
        <f t="shared" si="0"/>
        <v>7100</v>
      </c>
      <c r="F8" s="7">
        <f t="shared" si="1"/>
        <v>1.7688774728471079E-3</v>
      </c>
      <c r="G8" s="18">
        <f t="shared" si="2"/>
        <v>0</v>
      </c>
      <c r="H8" s="12">
        <f t="shared" si="3"/>
        <v>0</v>
      </c>
    </row>
    <row r="9" spans="2:8" x14ac:dyDescent="0.25">
      <c r="B9" s="31" t="str">
        <f>+'County Data'!$B$22</f>
        <v>County 12</v>
      </c>
      <c r="C9" s="20">
        <f>VLOOKUP($B9,'County Data'!$B$11:$M$44,3,FALSE)</f>
        <v>7295</v>
      </c>
      <c r="D9" s="20" t="str">
        <f>VLOOKUP(B9,'County Data'!$B$11:$M$44,12,FALSE)</f>
        <v>Y</v>
      </c>
      <c r="E9" s="20">
        <f t="shared" si="0"/>
        <v>7295</v>
      </c>
      <c r="F9" s="7">
        <f t="shared" si="1"/>
        <v>1.8174593189323454E-3</v>
      </c>
      <c r="G9" s="18">
        <f t="shared" si="2"/>
        <v>0</v>
      </c>
      <c r="H9" s="12">
        <f t="shared" si="3"/>
        <v>0</v>
      </c>
    </row>
    <row r="10" spans="2:8" x14ac:dyDescent="0.25">
      <c r="B10" s="31" t="str">
        <f>+'County Data'!$B$21</f>
        <v>County 11</v>
      </c>
      <c r="C10" s="20">
        <f>VLOOKUP($B10,'County Data'!$B$11:$M$44,3,FALSE)</f>
        <v>7430</v>
      </c>
      <c r="D10" s="20" t="str">
        <f>VLOOKUP(B10,'County Data'!$B$11:$M$44,12,FALSE)</f>
        <v>Y</v>
      </c>
      <c r="E10" s="20">
        <f t="shared" si="0"/>
        <v>7430</v>
      </c>
      <c r="F10" s="7">
        <f t="shared" si="1"/>
        <v>1.8510929046836636E-3</v>
      </c>
      <c r="G10" s="18">
        <f t="shared" si="2"/>
        <v>0</v>
      </c>
      <c r="H10" s="12">
        <f t="shared" si="3"/>
        <v>0</v>
      </c>
    </row>
    <row r="11" spans="2:8" x14ac:dyDescent="0.25">
      <c r="B11" s="31" t="str">
        <f>+'County Data'!$B$28</f>
        <v>County 18</v>
      </c>
      <c r="C11" s="20">
        <f>VLOOKUP($B11,'County Data'!$B$11:$M$44,3,FALSE)</f>
        <v>8010</v>
      </c>
      <c r="D11" s="20" t="str">
        <f>VLOOKUP(B11,'County Data'!$B$11:$M$44,12,FALSE)</f>
        <v>Y</v>
      </c>
      <c r="E11" s="20">
        <f t="shared" si="0"/>
        <v>8010</v>
      </c>
      <c r="F11" s="7">
        <f t="shared" si="1"/>
        <v>1.9955927545782163E-3</v>
      </c>
      <c r="G11" s="18">
        <f t="shared" si="2"/>
        <v>0</v>
      </c>
      <c r="H11" s="12">
        <f t="shared" si="3"/>
        <v>0</v>
      </c>
    </row>
    <row r="12" spans="2:8" x14ac:dyDescent="0.25">
      <c r="B12" s="31" t="str">
        <f>+'County Data'!$B$34</f>
        <v>County 24</v>
      </c>
      <c r="C12" s="20">
        <f>VLOOKUP($B12,'County Data'!$B$11:$M$44,3,FALSE)</f>
        <v>11630</v>
      </c>
      <c r="D12" s="20" t="str">
        <f>VLOOKUP(B12,'County Data'!$B$11:$M$44,12,FALSE)</f>
        <v>Y</v>
      </c>
      <c r="E12" s="20">
        <f t="shared" si="0"/>
        <v>11630</v>
      </c>
      <c r="F12" s="7">
        <f t="shared" si="1"/>
        <v>2.8974711280580091E-3</v>
      </c>
      <c r="G12" s="18">
        <f t="shared" si="2"/>
        <v>0</v>
      </c>
      <c r="H12" s="12">
        <f t="shared" si="3"/>
        <v>0</v>
      </c>
    </row>
    <row r="13" spans="2:8" x14ac:dyDescent="0.25">
      <c r="B13" s="31" t="str">
        <f>+'County Data'!$B$11</f>
        <v>County 1</v>
      </c>
      <c r="C13" s="20">
        <f>VLOOKUP($B13,'County Data'!$B$11:$M$44,3,FALSE)</f>
        <v>16425</v>
      </c>
      <c r="D13" s="20" t="str">
        <f>VLOOKUP(B13,'County Data'!$B$11:$M$44,12,FALSE)</f>
        <v>Y</v>
      </c>
      <c r="E13" s="20">
        <f t="shared" si="0"/>
        <v>16425</v>
      </c>
      <c r="F13" s="7">
        <f t="shared" si="1"/>
        <v>4.0920862664103868E-3</v>
      </c>
      <c r="G13" s="18">
        <f t="shared" si="2"/>
        <v>0</v>
      </c>
      <c r="H13" s="12">
        <f t="shared" si="3"/>
        <v>0</v>
      </c>
    </row>
    <row r="14" spans="2:8" x14ac:dyDescent="0.25">
      <c r="B14" s="31" t="str">
        <f>+'County Data'!$B$17</f>
        <v>County 7</v>
      </c>
      <c r="C14" s="20">
        <f>VLOOKUP($B14,'County Data'!$B$11:$M$44,3,FALSE)</f>
        <v>21085</v>
      </c>
      <c r="D14" s="20" t="str">
        <f>VLOOKUP(B14,'County Data'!$B$11:$M$44,12,FALSE)</f>
        <v>Y</v>
      </c>
      <c r="E14" s="20">
        <f t="shared" si="0"/>
        <v>21085</v>
      </c>
      <c r="F14" s="7">
        <f t="shared" si="1"/>
        <v>5.2530678190114465E-3</v>
      </c>
      <c r="G14" s="18">
        <f t="shared" si="2"/>
        <v>0</v>
      </c>
      <c r="H14" s="12">
        <f t="shared" si="3"/>
        <v>0</v>
      </c>
    </row>
    <row r="15" spans="2:8" x14ac:dyDescent="0.25">
      <c r="B15" s="31" t="str">
        <f>+'County Data'!$B$25</f>
        <v>County 15</v>
      </c>
      <c r="C15" s="20">
        <f>VLOOKUP($B15,'County Data'!$B$11:$M$44,3,FALSE)</f>
        <v>22445</v>
      </c>
      <c r="D15" s="20" t="str">
        <f>VLOOKUP(B15,'County Data'!$B$11:$M$44,12,FALSE)</f>
        <v>Y</v>
      </c>
      <c r="E15" s="20">
        <f t="shared" si="0"/>
        <v>22445</v>
      </c>
      <c r="F15" s="7">
        <f t="shared" si="1"/>
        <v>5.5918950532469489E-3</v>
      </c>
      <c r="G15" s="18">
        <f t="shared" si="2"/>
        <v>0</v>
      </c>
      <c r="H15" s="12">
        <f t="shared" si="3"/>
        <v>0</v>
      </c>
    </row>
    <row r="16" spans="2:8" x14ac:dyDescent="0.25">
      <c r="B16" s="31" t="str">
        <f>+'County Data'!$B$18</f>
        <v>County 8</v>
      </c>
      <c r="C16" s="20">
        <f>VLOOKUP($B16,'County Data'!$B$11:$M$44,3,FALSE)</f>
        <v>22470</v>
      </c>
      <c r="D16" s="20" t="str">
        <f>VLOOKUP(B16,'County Data'!$B$11:$M$44,12,FALSE)</f>
        <v>Y</v>
      </c>
      <c r="E16" s="20">
        <f t="shared" si="0"/>
        <v>22470</v>
      </c>
      <c r="F16" s="7">
        <f t="shared" si="1"/>
        <v>5.5981234950527488E-3</v>
      </c>
      <c r="G16" s="18">
        <f t="shared" si="2"/>
        <v>0</v>
      </c>
      <c r="H16" s="12">
        <f t="shared" si="3"/>
        <v>0</v>
      </c>
    </row>
    <row r="17" spans="2:8" x14ac:dyDescent="0.25">
      <c r="B17" s="31" t="str">
        <f>+'County Data'!$B$23</f>
        <v>County 13</v>
      </c>
      <c r="C17" s="20">
        <f>VLOOKUP($B17,'County Data'!$B$11:$M$44,3,FALSE)</f>
        <v>24245</v>
      </c>
      <c r="D17" s="20" t="str">
        <f>VLOOKUP(B17,'County Data'!$B$11:$M$44,12,FALSE)</f>
        <v>Y</v>
      </c>
      <c r="E17" s="20">
        <f t="shared" si="0"/>
        <v>24245</v>
      </c>
      <c r="F17" s="7">
        <f t="shared" si="1"/>
        <v>6.0403428632645256E-3</v>
      </c>
      <c r="G17" s="18">
        <f t="shared" si="2"/>
        <v>0</v>
      </c>
      <c r="H17" s="12">
        <f t="shared" si="3"/>
        <v>0</v>
      </c>
    </row>
    <row r="18" spans="2:8" x14ac:dyDescent="0.25">
      <c r="B18" s="31" t="str">
        <f>+'County Data'!$B$38</f>
        <v>County 28</v>
      </c>
      <c r="C18" s="20">
        <f>VLOOKUP($B18,'County Data'!$B$11:$M$44,3,FALSE)</f>
        <v>25690</v>
      </c>
      <c r="D18" s="20" t="str">
        <f>VLOOKUP(B18,'County Data'!$B$11:$M$44,12,FALSE)</f>
        <v>Y</v>
      </c>
      <c r="E18" s="20">
        <f t="shared" si="0"/>
        <v>25690</v>
      </c>
      <c r="F18" s="7">
        <f t="shared" si="1"/>
        <v>6.4003467996397471E-3</v>
      </c>
      <c r="G18" s="18">
        <f t="shared" si="2"/>
        <v>0</v>
      </c>
      <c r="H18" s="12">
        <f t="shared" si="3"/>
        <v>0</v>
      </c>
    </row>
    <row r="19" spans="2:8" x14ac:dyDescent="0.25">
      <c r="B19" s="31" t="str">
        <f>+'County Data'!$B$40</f>
        <v>County 30</v>
      </c>
      <c r="C19" s="20">
        <f>VLOOKUP($B19,'County Data'!$B$11:$M$44,3,FALSE)</f>
        <v>26625</v>
      </c>
      <c r="D19" s="20" t="str">
        <f>VLOOKUP(B19,'County Data'!$B$11:$M$44,12,FALSE)</f>
        <v>Y</v>
      </c>
      <c r="E19" s="20">
        <f t="shared" si="0"/>
        <v>26625</v>
      </c>
      <c r="F19" s="7">
        <f t="shared" si="1"/>
        <v>6.6332905231766548E-3</v>
      </c>
      <c r="G19" s="18">
        <f t="shared" si="2"/>
        <v>0</v>
      </c>
      <c r="H19" s="12">
        <f t="shared" si="3"/>
        <v>0</v>
      </c>
    </row>
    <row r="20" spans="2:8" x14ac:dyDescent="0.25">
      <c r="B20" s="31" t="str">
        <f>+'County Data'!$B$36</f>
        <v>County 26</v>
      </c>
      <c r="C20" s="20">
        <f>VLOOKUP($B20,'County Data'!$B$11:$M$44,3,FALSE)</f>
        <v>30135</v>
      </c>
      <c r="D20" s="20" t="str">
        <f>VLOOKUP(B20,'County Data'!$B$11:$M$44,12,FALSE)</f>
        <v>Y</v>
      </c>
      <c r="E20" s="20">
        <f t="shared" si="0"/>
        <v>30135</v>
      </c>
      <c r="F20" s="7">
        <f t="shared" si="1"/>
        <v>7.5077637527109289E-3</v>
      </c>
      <c r="G20" s="18">
        <f t="shared" si="2"/>
        <v>0</v>
      </c>
      <c r="H20" s="12">
        <f t="shared" si="3"/>
        <v>0</v>
      </c>
    </row>
    <row r="21" spans="2:8" x14ac:dyDescent="0.25">
      <c r="B21" s="31" t="str">
        <f>+'County Data'!$B$32</f>
        <v>County 22</v>
      </c>
      <c r="C21" s="20">
        <f>VLOOKUP($B21,'County Data'!$B$11:$M$44,3,FALSE)</f>
        <v>31480</v>
      </c>
      <c r="D21" s="20" t="str">
        <f>VLOOKUP(B21,'County Data'!$B$11:$M$44,12,FALSE)</f>
        <v>Y</v>
      </c>
      <c r="E21" s="20">
        <f t="shared" si="0"/>
        <v>31480</v>
      </c>
      <c r="F21" s="7">
        <f t="shared" si="1"/>
        <v>7.8428539218629526E-3</v>
      </c>
      <c r="G21" s="18">
        <f t="shared" si="2"/>
        <v>0</v>
      </c>
      <c r="H21" s="12">
        <f t="shared" si="3"/>
        <v>0</v>
      </c>
    </row>
    <row r="22" spans="2:8" x14ac:dyDescent="0.25">
      <c r="B22" s="31" t="str">
        <f>+'County Data'!$B$14</f>
        <v>County 4</v>
      </c>
      <c r="C22" s="20">
        <f>VLOOKUP($B22,'County Data'!$B$11:$M$44,3,FALSE)</f>
        <v>37750</v>
      </c>
      <c r="D22" s="20" t="str">
        <f>VLOOKUP(B22,'County Data'!$B$11:$M$44,12,FALSE)</f>
        <v>Y</v>
      </c>
      <c r="E22" s="20">
        <f t="shared" si="0"/>
        <v>37750</v>
      </c>
      <c r="F22" s="7">
        <f t="shared" si="1"/>
        <v>9.404947126757511E-3</v>
      </c>
      <c r="G22" s="18">
        <f t="shared" si="2"/>
        <v>0</v>
      </c>
      <c r="H22" s="12">
        <f t="shared" si="3"/>
        <v>0</v>
      </c>
    </row>
    <row r="23" spans="2:8" x14ac:dyDescent="0.25">
      <c r="B23" s="31" t="str">
        <f>+'County Data'!$B$30</f>
        <v>County 20</v>
      </c>
      <c r="C23" s="20">
        <f>VLOOKUP($B23,'County Data'!$B$11:$M$44,3,FALSE)</f>
        <v>47225</v>
      </c>
      <c r="D23" s="20" t="str">
        <f>VLOOKUP(B23,'County Data'!$B$11:$M$44,12,FALSE)</f>
        <v>Y</v>
      </c>
      <c r="E23" s="20">
        <f t="shared" si="0"/>
        <v>47225</v>
      </c>
      <c r="F23" s="7">
        <f t="shared" si="1"/>
        <v>1.1765526571155588E-2</v>
      </c>
      <c r="G23" s="18">
        <f t="shared" si="2"/>
        <v>0</v>
      </c>
      <c r="H23" s="12">
        <f t="shared" si="3"/>
        <v>0</v>
      </c>
    </row>
    <row r="24" spans="2:8" x14ac:dyDescent="0.25">
      <c r="B24" s="31" t="str">
        <f>+'County Data'!$B$15</f>
        <v>County 5</v>
      </c>
      <c r="C24" s="20">
        <f>VLOOKUP($B24,'County Data'!$B$11:$M$44,3,FALSE)</f>
        <v>50390</v>
      </c>
      <c r="D24" s="20" t="str">
        <f>VLOOKUP(B24,'County Data'!$B$11:$M$44,12,FALSE)</f>
        <v>Y</v>
      </c>
      <c r="E24" s="20">
        <f t="shared" si="0"/>
        <v>50390</v>
      </c>
      <c r="F24" s="7">
        <f t="shared" si="1"/>
        <v>1.2554047303769827E-2</v>
      </c>
      <c r="G24" s="18">
        <f t="shared" si="2"/>
        <v>0</v>
      </c>
      <c r="H24" s="12">
        <f t="shared" si="3"/>
        <v>0</v>
      </c>
    </row>
    <row r="25" spans="2:8" x14ac:dyDescent="0.25">
      <c r="B25" s="31" t="str">
        <f>+'County Data'!$B$16</f>
        <v>County 6</v>
      </c>
      <c r="C25" s="20">
        <f>VLOOKUP($B25,'County Data'!$B$11:$M$44,3,FALSE)</f>
        <v>62990</v>
      </c>
      <c r="D25" s="20" t="str">
        <f>VLOOKUP(B25,'County Data'!$B$11:$M$44,12,FALSE)</f>
        <v>Y</v>
      </c>
      <c r="E25" s="20">
        <f t="shared" si="0"/>
        <v>62990</v>
      </c>
      <c r="F25" s="7">
        <f t="shared" si="1"/>
        <v>1.5693181973892863E-2</v>
      </c>
      <c r="G25" s="18">
        <f t="shared" si="2"/>
        <v>0</v>
      </c>
      <c r="H25" s="12">
        <f t="shared" si="3"/>
        <v>0</v>
      </c>
    </row>
    <row r="26" spans="2:8" x14ac:dyDescent="0.25">
      <c r="B26" s="31" t="str">
        <f>+'County Data'!$B$27</f>
        <v>County 17</v>
      </c>
      <c r="C26" s="20">
        <f>VLOOKUP($B26,'County Data'!$B$11:$M$44,3,FALSE)</f>
        <v>67110</v>
      </c>
      <c r="D26" s="20" t="str">
        <f>VLOOKUP(B26,'County Data'!$B$11:$M$44,12,FALSE)</f>
        <v>Y</v>
      </c>
      <c r="E26" s="20">
        <f t="shared" si="0"/>
        <v>67110</v>
      </c>
      <c r="F26" s="7">
        <f t="shared" si="1"/>
        <v>1.6719629183488651E-2</v>
      </c>
      <c r="G26" s="18">
        <f t="shared" si="2"/>
        <v>0</v>
      </c>
      <c r="H26" s="12">
        <f t="shared" si="3"/>
        <v>0</v>
      </c>
    </row>
    <row r="27" spans="2:8" x14ac:dyDescent="0.25">
      <c r="B27" s="31" t="str">
        <f>+'County Data'!$B$37</f>
        <v>County 27</v>
      </c>
      <c r="C27" s="20">
        <f>VLOOKUP($B27,'County Data'!$B$11:$M$44,3,FALSE)</f>
        <v>78570</v>
      </c>
      <c r="D27" s="20" t="str">
        <f>VLOOKUP(B27,'County Data'!$B$11:$M$44,12,FALSE)</f>
        <v>Y</v>
      </c>
      <c r="E27" s="20">
        <f t="shared" si="0"/>
        <v>78570</v>
      </c>
      <c r="F27" s="7">
        <f t="shared" si="1"/>
        <v>1.957474690726722E-2</v>
      </c>
      <c r="G27" s="18">
        <f t="shared" si="2"/>
        <v>0</v>
      </c>
      <c r="H27" s="12">
        <f t="shared" si="3"/>
        <v>0</v>
      </c>
    </row>
    <row r="28" spans="2:8" x14ac:dyDescent="0.25">
      <c r="B28" s="31" t="str">
        <f>+'County Data'!$B$39</f>
        <v>County 29</v>
      </c>
      <c r="C28" s="20">
        <f>VLOOKUP($B28,'County Data'!$B$11:$M$44,3,FALSE)</f>
        <v>79155</v>
      </c>
      <c r="D28" s="20" t="str">
        <f>VLOOKUP(B28,'County Data'!$B$11:$M$44,12,FALSE)</f>
        <v>Y</v>
      </c>
      <c r="E28" s="20">
        <f t="shared" si="0"/>
        <v>79155</v>
      </c>
      <c r="F28" s="7">
        <f t="shared" si="1"/>
        <v>1.9720492445522934E-2</v>
      </c>
      <c r="G28" s="18">
        <f t="shared" si="2"/>
        <v>0</v>
      </c>
      <c r="H28" s="12">
        <f t="shared" si="3"/>
        <v>0</v>
      </c>
    </row>
    <row r="29" spans="2:8" x14ac:dyDescent="0.25">
      <c r="B29" s="31" t="str">
        <f>+'County Data'!$B$26</f>
        <v>County 16</v>
      </c>
      <c r="C29" s="20">
        <f>VLOOKUP($B29,'County Data'!$B$11:$M$44,3,FALSE)</f>
        <v>83720</v>
      </c>
      <c r="D29" s="20" t="str">
        <f>VLOOKUP(B29,'County Data'!$B$11:$M$44,12,FALSE)</f>
        <v>Y</v>
      </c>
      <c r="E29" s="20">
        <f t="shared" si="0"/>
        <v>83720</v>
      </c>
      <c r="F29" s="7">
        <f t="shared" si="1"/>
        <v>2.0857805919261955E-2</v>
      </c>
      <c r="G29" s="18">
        <f t="shared" si="2"/>
        <v>0</v>
      </c>
      <c r="H29" s="12">
        <f t="shared" si="3"/>
        <v>0</v>
      </c>
    </row>
    <row r="30" spans="2:8" x14ac:dyDescent="0.25">
      <c r="B30" s="31" t="str">
        <f>+'County Data'!$B$12</f>
        <v>County 2</v>
      </c>
      <c r="C30" s="20">
        <f>VLOOKUP($B30,'County Data'!$B$11:$M$44,3,FALSE)</f>
        <v>90005</v>
      </c>
      <c r="D30" s="20" t="str">
        <f>VLOOKUP(B30,'County Data'!$B$11:$M$44,12,FALSE)</f>
        <v>Y</v>
      </c>
      <c r="E30" s="20">
        <f t="shared" si="0"/>
        <v>90005</v>
      </c>
      <c r="F30" s="7">
        <f t="shared" si="1"/>
        <v>2.2423636189239992E-2</v>
      </c>
      <c r="G30" s="18">
        <f t="shared" si="2"/>
        <v>0</v>
      </c>
      <c r="H30" s="12">
        <f t="shared" si="3"/>
        <v>0</v>
      </c>
    </row>
    <row r="31" spans="2:8" x14ac:dyDescent="0.25">
      <c r="B31" s="31" t="str">
        <f>+'County Data'!$B$44</f>
        <v>County 34</v>
      </c>
      <c r="C31" s="20">
        <f>VLOOKUP($B31,'County Data'!$B$11:$M$44,3,FALSE)</f>
        <v>103630</v>
      </c>
      <c r="D31" s="20" t="str">
        <f>VLOOKUP(B31,'County Data'!$B$11:$M$44,12,FALSE)</f>
        <v>Y</v>
      </c>
      <c r="E31" s="20">
        <f t="shared" si="0"/>
        <v>103630</v>
      </c>
      <c r="F31" s="7">
        <f t="shared" si="1"/>
        <v>2.5818136973400817E-2</v>
      </c>
      <c r="G31" s="18">
        <f t="shared" si="2"/>
        <v>0</v>
      </c>
      <c r="H31" s="12">
        <f t="shared" si="3"/>
        <v>0</v>
      </c>
    </row>
    <row r="32" spans="2:8" x14ac:dyDescent="0.25">
      <c r="B32" s="31" t="str">
        <f>+'County Data'!$B$20</f>
        <v>County 10</v>
      </c>
      <c r="C32" s="20">
        <f>VLOOKUP($B32,'County Data'!$B$11:$M$44,3,FALSE)</f>
        <v>109910</v>
      </c>
      <c r="D32" s="20" t="str">
        <f>VLOOKUP(B32,'County Data'!$B$11:$M$44,12,FALSE)</f>
        <v>Y</v>
      </c>
      <c r="E32" s="20">
        <f t="shared" si="0"/>
        <v>109910</v>
      </c>
      <c r="F32" s="7">
        <f t="shared" si="1"/>
        <v>2.7382721555017694E-2</v>
      </c>
      <c r="G32" s="18">
        <f t="shared" si="2"/>
        <v>0</v>
      </c>
      <c r="H32" s="12">
        <f t="shared" si="3"/>
        <v>0</v>
      </c>
    </row>
    <row r="33" spans="2:8" x14ac:dyDescent="0.25">
      <c r="B33" s="31" t="str">
        <f>+'County Data'!$B$31</f>
        <v>County 21</v>
      </c>
      <c r="C33" s="20">
        <f>VLOOKUP($B33,'County Data'!$B$11:$M$44,3,FALSE)</f>
        <v>120860</v>
      </c>
      <c r="D33" s="20" t="str">
        <f>VLOOKUP(B33,'County Data'!$B$11:$M$44,12,FALSE)</f>
        <v>Y</v>
      </c>
      <c r="E33" s="20">
        <f t="shared" si="0"/>
        <v>120860</v>
      </c>
      <c r="F33" s="7">
        <f t="shared" si="1"/>
        <v>3.0110779065957952E-2</v>
      </c>
      <c r="G33" s="18">
        <f t="shared" si="2"/>
        <v>0</v>
      </c>
      <c r="H33" s="12">
        <f t="shared" si="3"/>
        <v>0</v>
      </c>
    </row>
    <row r="34" spans="2:8" x14ac:dyDescent="0.25">
      <c r="B34" s="31" t="str">
        <f>+'County Data'!$B$19</f>
        <v>County 9</v>
      </c>
      <c r="C34" s="20">
        <f>VLOOKUP($B34,'County Data'!$B$11:$M$44,3,FALSE)</f>
        <v>170740</v>
      </c>
      <c r="D34" s="20" t="str">
        <f>VLOOKUP(B34,'County Data'!$B$11:$M$44,12,FALSE)</f>
        <v>Y</v>
      </c>
      <c r="E34" s="20">
        <f t="shared" si="0"/>
        <v>170740</v>
      </c>
      <c r="F34" s="7">
        <f t="shared" si="1"/>
        <v>4.2537766156889464E-2</v>
      </c>
      <c r="G34" s="18">
        <f t="shared" si="2"/>
        <v>0</v>
      </c>
      <c r="H34" s="12">
        <f t="shared" si="3"/>
        <v>0</v>
      </c>
    </row>
    <row r="35" spans="2:8" x14ac:dyDescent="0.25">
      <c r="B35" s="31" t="str">
        <f>+'County Data'!$B$24</f>
        <v>County 14</v>
      </c>
      <c r="C35" s="20">
        <f>VLOOKUP($B35,'County Data'!$B$11:$M$44,3,FALSE)</f>
        <v>210975</v>
      </c>
      <c r="D35" s="20" t="str">
        <f>VLOOKUP(B35,'County Data'!$B$11:$M$44,12,FALSE)</f>
        <v>Y</v>
      </c>
      <c r="E35" s="20">
        <f t="shared" si="0"/>
        <v>210975</v>
      </c>
      <c r="F35" s="7">
        <f t="shared" si="1"/>
        <v>5.2561820399143463E-2</v>
      </c>
      <c r="G35" s="18">
        <f t="shared" si="2"/>
        <v>0</v>
      </c>
      <c r="H35" s="12">
        <f t="shared" si="3"/>
        <v>0</v>
      </c>
    </row>
    <row r="36" spans="2:8" x14ac:dyDescent="0.25">
      <c r="B36" s="31" t="str">
        <f>+'County Data'!$B$33</f>
        <v>County 23</v>
      </c>
      <c r="C36" s="20">
        <f>VLOOKUP($B36,'County Data'!$B$11:$M$44,3,FALSE)</f>
        <v>329770</v>
      </c>
      <c r="D36" s="20" t="str">
        <f>VLOOKUP(B36,'County Data'!$B$11:$M$44,12,FALSE)</f>
        <v>Y</v>
      </c>
      <c r="E36" s="20">
        <f t="shared" si="0"/>
        <v>329770</v>
      </c>
      <c r="F36" s="7">
        <f t="shared" si="1"/>
        <v>8.2158130171942359E-2</v>
      </c>
      <c r="G36" s="18">
        <f t="shared" si="2"/>
        <v>0</v>
      </c>
      <c r="H36" s="12">
        <f t="shared" si="3"/>
        <v>0</v>
      </c>
    </row>
    <row r="37" spans="2:8" x14ac:dyDescent="0.25">
      <c r="B37" s="31" t="str">
        <f>+'County Data'!$B$29</f>
        <v>County 19</v>
      </c>
      <c r="C37" s="20">
        <f>VLOOKUP($B37,'County Data'!$B$11:$M$44,3,FALSE)</f>
        <v>362150</v>
      </c>
      <c r="D37" s="20" t="str">
        <f>VLOOKUP(B37,'County Data'!$B$11:$M$44,12,FALSE)</f>
        <v>Y</v>
      </c>
      <c r="E37" s="20">
        <f t="shared" si="0"/>
        <v>362150</v>
      </c>
      <c r="F37" s="7">
        <f t="shared" si="1"/>
        <v>9.0225207998814103E-2</v>
      </c>
      <c r="G37" s="18">
        <f t="shared" si="2"/>
        <v>0</v>
      </c>
      <c r="H37" s="12">
        <f t="shared" si="3"/>
        <v>0</v>
      </c>
    </row>
    <row r="38" spans="2:8" x14ac:dyDescent="0.25">
      <c r="B38" s="31" t="str">
        <f>+'County Data'!$B$13</f>
        <v>County 3</v>
      </c>
      <c r="C38" s="20">
        <f>VLOOKUP($B38,'County Data'!$B$11:$M$44,3,FALSE)</f>
        <v>397385</v>
      </c>
      <c r="D38" s="20" t="str">
        <f>VLOOKUP(B38,'County Data'!$B$11:$M$44,12,FALSE)</f>
        <v>Y</v>
      </c>
      <c r="E38" s="20">
        <f t="shared" si="0"/>
        <v>397385</v>
      </c>
      <c r="F38" s="7">
        <f t="shared" si="1"/>
        <v>9.9003573879908172E-2</v>
      </c>
      <c r="G38" s="18">
        <f t="shared" si="2"/>
        <v>0</v>
      </c>
      <c r="H38" s="12">
        <f t="shared" si="3"/>
        <v>0</v>
      </c>
    </row>
    <row r="39" spans="2:8" x14ac:dyDescent="0.25">
      <c r="B39" s="31" t="str">
        <f>+'County Data'!$B$42</f>
        <v>County 32</v>
      </c>
      <c r="C39" s="20">
        <f>VLOOKUP($B39,'County Data'!$B$11:$M$44,3,FALSE)</f>
        <v>570510</v>
      </c>
      <c r="D39" s="20" t="str">
        <f>VLOOKUP(B39,'County Data'!$B$11:$M$44,12,FALSE)</f>
        <v>Y</v>
      </c>
      <c r="E39" s="20">
        <f t="shared" si="0"/>
        <v>570510</v>
      </c>
      <c r="F39" s="7">
        <f t="shared" si="1"/>
        <v>0.14213553338507093</v>
      </c>
      <c r="G39" s="18">
        <f t="shared" si="2"/>
        <v>0</v>
      </c>
      <c r="H39" s="12">
        <f t="shared" si="3"/>
        <v>0</v>
      </c>
    </row>
    <row r="40" spans="2:8" x14ac:dyDescent="0.25">
      <c r="B40" s="31" t="str">
        <f>+'County Data'!$B$35</f>
        <v>County 25</v>
      </c>
      <c r="C40" s="20">
        <f>VLOOKUP($B40,'County Data'!$B$11:$M$44,3,FALSE)</f>
        <v>777490</v>
      </c>
      <c r="D40" s="20" t="str">
        <f>VLOOKUP(B40,'County Data'!$B$11:$M$44,12,FALSE)</f>
        <v>Y</v>
      </c>
      <c r="E40" s="20">
        <f t="shared" si="0"/>
        <v>777490</v>
      </c>
      <c r="F40" s="7">
        <f t="shared" si="1"/>
        <v>0.19370204878364761</v>
      </c>
      <c r="G40" s="18">
        <f t="shared" si="2"/>
        <v>0</v>
      </c>
      <c r="H40" s="12">
        <f t="shared" si="3"/>
        <v>0</v>
      </c>
    </row>
    <row r="41" spans="2:8" x14ac:dyDescent="0.25">
      <c r="B41" s="5" t="s">
        <v>3</v>
      </c>
      <c r="C41" s="6">
        <f t="shared" ref="C41:F41" si="4">SUM(C7:C40)</f>
        <v>4013845</v>
      </c>
      <c r="D41" s="6"/>
      <c r="E41" s="6">
        <f>SUM(E7:E40)</f>
        <v>4013845</v>
      </c>
      <c r="F41" s="10">
        <f t="shared" si="4"/>
        <v>1</v>
      </c>
      <c r="G41" s="13">
        <f>SUM(G7:G40)</f>
        <v>0</v>
      </c>
      <c r="H41" s="14">
        <f t="shared" ref="H41" si="5">G41/C41</f>
        <v>0</v>
      </c>
    </row>
  </sheetData>
  <sortState ref="B7:H40">
    <sortCondition ref="C7:C4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tabSelected="1" topLeftCell="A5" workbookViewId="0">
      <selection activeCell="A5" sqref="A5"/>
    </sheetView>
  </sheetViews>
  <sheetFormatPr defaultRowHeight="15" x14ac:dyDescent="0.25"/>
  <cols>
    <col min="1" max="1" width="18" customWidth="1"/>
    <col min="2" max="3" width="14.28515625" customWidth="1"/>
    <col min="4" max="4" width="14.28515625" hidden="1" customWidth="1"/>
    <col min="5" max="7" width="14.28515625" customWidth="1"/>
    <col min="8" max="8" width="15.42578125" customWidth="1"/>
    <col min="9" max="9" width="15.42578125" hidden="1" customWidth="1"/>
    <col min="10" max="10" width="15.42578125" customWidth="1"/>
    <col min="11" max="11" width="14.28515625" customWidth="1"/>
    <col min="12" max="13" width="14.28515625" hidden="1" customWidth="1"/>
    <col min="14" max="14" width="12.5703125" bestFit="1" customWidth="1"/>
    <col min="15" max="15" width="11" bestFit="1" customWidth="1"/>
    <col min="16" max="16" width="11" customWidth="1"/>
    <col min="17" max="17" width="10.140625" bestFit="1" customWidth="1"/>
    <col min="18" max="18" width="10.42578125" bestFit="1" customWidth="1"/>
    <col min="19" max="19" width="18" customWidth="1"/>
  </cols>
  <sheetData>
    <row r="1" spans="1:20" ht="15" hidden="1" customHeight="1" x14ac:dyDescent="0.25"/>
    <row r="2" spans="1:20" hidden="1" x14ac:dyDescent="0.25"/>
    <row r="3" spans="1:20" hidden="1" x14ac:dyDescent="0.25"/>
    <row r="4" spans="1:20" hidden="1" x14ac:dyDescent="0.25"/>
    <row r="5" spans="1:20" ht="18.75" x14ac:dyDescent="0.3">
      <c r="A5" s="36" t="s">
        <v>113</v>
      </c>
      <c r="B5" s="36"/>
    </row>
    <row r="6" spans="1:20" ht="15.75" x14ac:dyDescent="0.25">
      <c r="A6" s="35" t="s">
        <v>105</v>
      </c>
      <c r="B6" s="35"/>
    </row>
    <row r="7" spans="1:20" ht="15.75" x14ac:dyDescent="0.25">
      <c r="A7" s="35"/>
      <c r="B7" s="35"/>
    </row>
    <row r="8" spans="1:20" ht="15.75" x14ac:dyDescent="0.25">
      <c r="A8" s="35"/>
      <c r="B8" s="35"/>
    </row>
    <row r="9" spans="1:20" ht="30" customHeight="1" x14ac:dyDescent="0.25">
      <c r="A9" s="105" t="s">
        <v>112</v>
      </c>
      <c r="B9" s="105"/>
      <c r="C9" s="105"/>
      <c r="D9" s="105"/>
      <c r="E9" s="105"/>
      <c r="F9" s="105"/>
      <c r="G9" s="105"/>
      <c r="H9" s="105"/>
      <c r="I9" s="105"/>
      <c r="J9" s="105"/>
      <c r="K9" s="105"/>
      <c r="L9" s="105"/>
      <c r="M9" s="105"/>
      <c r="N9" s="105"/>
      <c r="O9" s="105"/>
      <c r="P9" s="105"/>
      <c r="Q9" s="105"/>
      <c r="R9" s="105"/>
    </row>
    <row r="10" spans="1:20" s="2" customFormat="1" ht="47.25" x14ac:dyDescent="0.25">
      <c r="A10" s="51" t="s">
        <v>8</v>
      </c>
      <c r="B10" s="51" t="s">
        <v>99</v>
      </c>
      <c r="C10" s="51" t="s">
        <v>65</v>
      </c>
      <c r="D10" s="51" t="s">
        <v>1</v>
      </c>
      <c r="E10" s="51" t="s">
        <v>23</v>
      </c>
      <c r="F10" s="51" t="s">
        <v>24</v>
      </c>
      <c r="G10" s="51" t="s">
        <v>88</v>
      </c>
      <c r="H10" s="51" t="s">
        <v>89</v>
      </c>
      <c r="I10" s="51" t="s">
        <v>90</v>
      </c>
      <c r="J10" s="51" t="s">
        <v>91</v>
      </c>
      <c r="K10" s="51" t="s">
        <v>93</v>
      </c>
      <c r="L10" s="51" t="s">
        <v>94</v>
      </c>
      <c r="M10" s="51" t="s">
        <v>97</v>
      </c>
      <c r="N10" s="4" t="s">
        <v>98</v>
      </c>
      <c r="O10" s="4" t="s">
        <v>6</v>
      </c>
      <c r="P10" s="4" t="s">
        <v>22</v>
      </c>
      <c r="Q10" s="4" t="s">
        <v>15</v>
      </c>
      <c r="R10" s="4" t="s">
        <v>84</v>
      </c>
    </row>
    <row r="11" spans="1:20" x14ac:dyDescent="0.25">
      <c r="A11" s="45" t="s">
        <v>63</v>
      </c>
      <c r="B11" s="49">
        <f>VLOOKUP($A11,'County Data'!$B$11:$D$44,3,FALSE)</f>
        <v>1445</v>
      </c>
      <c r="C11" s="50">
        <f>VLOOKUP($A11,'County Data'!$B$11:$M$44,2,FALSE)</f>
        <v>30000</v>
      </c>
      <c r="D11" s="50">
        <f>VLOOKUP($A11,Population!$B$7:$F$40,4,FALSE)</f>
        <v>0</v>
      </c>
      <c r="E11" s="50">
        <f>VLOOKUP($A11,Burden!$B$6:$H$40,6,FALSE)</f>
        <v>568.46560901982184</v>
      </c>
      <c r="F11" s="50">
        <f>VLOOKUP($A11,'Health Status'!$B$6:$H$40,6,FALSE)</f>
        <v>0</v>
      </c>
      <c r="G11" s="50">
        <f>VLOOKUP($A11,Ethnicity!$B$6:$H$40,6,FALSE)</f>
        <v>170.73078075608359</v>
      </c>
      <c r="H11" s="50">
        <f>VLOOKUP($A11,Poverty!$B$6:$H$40,6,FALSE)</f>
        <v>321.347727578187</v>
      </c>
      <c r="I11" s="50">
        <f>VLOOKUP($A11,'Income Inequality'!$B$6:$H$40,6,FALSE)</f>
        <v>0</v>
      </c>
      <c r="J11" s="50">
        <f>VLOOKUP($A11,Education!$B$6:$H$40,6,FALSE)</f>
        <v>297.09005221906233</v>
      </c>
      <c r="K11" s="50">
        <f>VLOOKUP($A11,Language!$B$6:$H$40,6,FALSE)</f>
        <v>67.380972767953693</v>
      </c>
      <c r="L11" s="50">
        <f>VLOOKUP($A11,Matching!$B$7:$H$40,6,FALSE)</f>
        <v>0</v>
      </c>
      <c r="M11" s="50">
        <f>VLOOKUP($A11,Incentives!$B$7:$H$40,6,FALSE)</f>
        <v>0</v>
      </c>
      <c r="N11" s="58">
        <f>SUM(C11:M11)</f>
        <v>31425.015142341112</v>
      </c>
      <c r="O11" s="59">
        <f t="shared" ref="O11:O44" si="0">N11/$N$45</f>
        <v>3.1425015142341113E-3</v>
      </c>
      <c r="P11" s="59">
        <f t="shared" ref="P11:P44" si="1">B11/$B$45</f>
        <v>3.6000393637522125E-4</v>
      </c>
      <c r="Q11" s="60">
        <f>N11/B11</f>
        <v>21.747415323419453</v>
      </c>
      <c r="S11" s="97" t="s">
        <v>106</v>
      </c>
      <c r="T11" s="90"/>
    </row>
    <row r="12" spans="1:20" x14ac:dyDescent="0.25">
      <c r="A12" s="45" t="s">
        <v>61</v>
      </c>
      <c r="B12" s="49">
        <f>VLOOKUP($A12,'County Data'!$B$11:$D$44,3,FALSE)</f>
        <v>7100</v>
      </c>
      <c r="C12" s="50">
        <f>VLOOKUP($A12,'County Data'!$B$11:$M$44,2,FALSE)</f>
        <v>30000</v>
      </c>
      <c r="D12" s="50">
        <f>VLOOKUP($A12,Population!$B$7:$F$40,4,FALSE)</f>
        <v>0</v>
      </c>
      <c r="E12" s="50">
        <f>VLOOKUP($A12,Burden!$B$6:$H$40,6,FALSE)</f>
        <v>3352.7015277342393</v>
      </c>
      <c r="F12" s="50">
        <f>VLOOKUP($A12,'Health Status'!$B$6:$H$40,6,FALSE)</f>
        <v>1067.3673088476676</v>
      </c>
      <c r="G12" s="50">
        <f>VLOOKUP($A12,Ethnicity!$B$6:$H$40,6,FALSE)</f>
        <v>591.7811216975839</v>
      </c>
      <c r="H12" s="50">
        <f>VLOOKUP($A12,Poverty!$B$6:$H$40,6,FALSE)</f>
        <v>1196.6682814126532</v>
      </c>
      <c r="I12" s="50">
        <f>VLOOKUP($A12,'Income Inequality'!$B$6:$H$40,6,FALSE)</f>
        <v>0</v>
      </c>
      <c r="J12" s="50">
        <f>VLOOKUP($A12,Education!$B$6:$H$40,6,FALSE)</f>
        <v>944.5022274097131</v>
      </c>
      <c r="K12" s="50">
        <f>VLOOKUP($A12,Language!$B$6:$H$40,6,FALSE)</f>
        <v>235.26931070638156</v>
      </c>
      <c r="L12" s="50">
        <f>VLOOKUP($A12,Matching!$B$7:$H$40,6,FALSE)</f>
        <v>0</v>
      </c>
      <c r="M12" s="50">
        <f>VLOOKUP($A12,Incentives!$B$7:$H$40,6,FALSE)</f>
        <v>0</v>
      </c>
      <c r="N12" s="58">
        <f t="shared" ref="N12:N44" si="2">SUM(C12:M12)</f>
        <v>37388.289777808233</v>
      </c>
      <c r="O12" s="59">
        <f t="shared" si="0"/>
        <v>3.7388289777808234E-3</v>
      </c>
      <c r="P12" s="59">
        <f t="shared" si="1"/>
        <v>1.7688774728471079E-3</v>
      </c>
      <c r="Q12" s="60">
        <f t="shared" ref="Q12:Q44" si="3">N12/B12</f>
        <v>5.2659563067335542</v>
      </c>
      <c r="S12" s="98" t="s">
        <v>111</v>
      </c>
      <c r="T12" s="90"/>
    </row>
    <row r="13" spans="1:20" x14ac:dyDescent="0.25">
      <c r="A13" s="45" t="s">
        <v>42</v>
      </c>
      <c r="B13" s="49">
        <f>VLOOKUP($A13,'County Data'!$B$11:$D$44,3,FALSE)</f>
        <v>7295</v>
      </c>
      <c r="C13" s="50">
        <f>VLOOKUP($A13,'County Data'!$B$11:$M$44,2,FALSE)</f>
        <v>30000</v>
      </c>
      <c r="D13" s="50">
        <f>VLOOKUP($A13,Population!$B$7:$F$40,4,FALSE)</f>
        <v>0</v>
      </c>
      <c r="E13" s="50">
        <f>VLOOKUP($A13,Burden!$B$6:$H$40,6,FALSE)</f>
        <v>4651.8696795258384</v>
      </c>
      <c r="F13" s="50">
        <f>VLOOKUP($A13,'Health Status'!$B$6:$H$40,6,FALSE)</f>
        <v>4422.106155181581</v>
      </c>
      <c r="G13" s="50">
        <f>VLOOKUP($A13,Ethnicity!$B$6:$H$40,6,FALSE)</f>
        <v>1078.4381450459578</v>
      </c>
      <c r="H13" s="50">
        <f>VLOOKUP($A13,Poverty!$B$6:$H$40,6,FALSE)</f>
        <v>1871.7385069573493</v>
      </c>
      <c r="I13" s="50">
        <f>VLOOKUP($A13,'Income Inequality'!$B$6:$H$40,6,FALSE)</f>
        <v>0</v>
      </c>
      <c r="J13" s="50">
        <f>VLOOKUP($A13,Education!$B$6:$H$40,6,FALSE)</f>
        <v>1734.8278261602177</v>
      </c>
      <c r="K13" s="50">
        <f>VLOOKUP($A13,Language!$B$6:$H$40,6,FALSE)</f>
        <v>269.81259283880587</v>
      </c>
      <c r="L13" s="50">
        <f>VLOOKUP($A13,Matching!$B$7:$H$40,6,FALSE)</f>
        <v>0</v>
      </c>
      <c r="M13" s="50">
        <f>VLOOKUP($A13,Incentives!$B$7:$H$40,6,FALSE)</f>
        <v>0</v>
      </c>
      <c r="N13" s="58">
        <f t="shared" si="2"/>
        <v>44028.792905709743</v>
      </c>
      <c r="O13" s="59">
        <f t="shared" si="0"/>
        <v>4.4028792905709746E-3</v>
      </c>
      <c r="P13" s="59">
        <f t="shared" si="1"/>
        <v>1.8174593189323454E-3</v>
      </c>
      <c r="Q13" s="60">
        <f t="shared" si="3"/>
        <v>6.0354753811802251</v>
      </c>
      <c r="S13" s="100" t="s">
        <v>107</v>
      </c>
      <c r="T13" s="90"/>
    </row>
    <row r="14" spans="1:20" x14ac:dyDescent="0.25">
      <c r="A14" s="45" t="s">
        <v>41</v>
      </c>
      <c r="B14" s="49">
        <f>VLOOKUP($A14,'County Data'!$B$11:$D$44,3,FALSE)</f>
        <v>7430</v>
      </c>
      <c r="C14" s="50">
        <f>VLOOKUP($A14,'County Data'!$B$11:$M$44,2,FALSE)</f>
        <v>30000</v>
      </c>
      <c r="D14" s="50">
        <f>VLOOKUP($A14,Population!$B$7:$F$40,4,FALSE)</f>
        <v>0</v>
      </c>
      <c r="E14" s="50">
        <f>VLOOKUP($A14,Burden!$B$6:$H$40,6,FALSE)</f>
        <v>2786.5040215421541</v>
      </c>
      <c r="F14" s="50">
        <f>VLOOKUP($A14,'Health Status'!$B$6:$H$40,6,FALSE)</f>
        <v>1657.4502445159283</v>
      </c>
      <c r="G14" s="50">
        <f>VLOOKUP($A14,Ethnicity!$B$6:$H$40,6,FALSE)</f>
        <v>806.38182627097262</v>
      </c>
      <c r="H14" s="50">
        <f>VLOOKUP($A14,Poverty!$B$6:$H$40,6,FALSE)</f>
        <v>1393.8514357630975</v>
      </c>
      <c r="I14" s="50">
        <f>VLOOKUP($A14,'Income Inequality'!$B$6:$H$40,6,FALSE)</f>
        <v>0</v>
      </c>
      <c r="J14" s="50">
        <f>VLOOKUP($A14,Education!$B$6:$H$40,6,FALSE)</f>
        <v>1730.6808776241783</v>
      </c>
      <c r="K14" s="50">
        <f>VLOOKUP($A14,Language!$B$6:$H$40,6,FALSE)</f>
        <v>285.87806099225173</v>
      </c>
      <c r="L14" s="50">
        <f>VLOOKUP($A14,Matching!$B$7:$H$40,6,FALSE)</f>
        <v>0</v>
      </c>
      <c r="M14" s="50">
        <f>VLOOKUP($A14,Incentives!$B$7:$H$40,6,FALSE)</f>
        <v>0</v>
      </c>
      <c r="N14" s="58">
        <f t="shared" si="2"/>
        <v>38660.746466708595</v>
      </c>
      <c r="O14" s="59">
        <f t="shared" si="0"/>
        <v>3.8660746466708594E-3</v>
      </c>
      <c r="P14" s="59">
        <f t="shared" si="1"/>
        <v>1.8510929046836636E-3</v>
      </c>
      <c r="Q14" s="60">
        <f t="shared" si="3"/>
        <v>5.2033306146310361</v>
      </c>
      <c r="S14" s="101" t="s">
        <v>108</v>
      </c>
      <c r="T14" s="90"/>
    </row>
    <row r="15" spans="1:20" x14ac:dyDescent="0.25">
      <c r="A15" s="45" t="s">
        <v>48</v>
      </c>
      <c r="B15" s="49">
        <f>VLOOKUP($A15,'County Data'!$B$11:$D$44,3,FALSE)</f>
        <v>8010</v>
      </c>
      <c r="C15" s="50">
        <f>VLOOKUP($A15,'County Data'!$B$11:$M$44,2,FALSE)</f>
        <v>30000</v>
      </c>
      <c r="D15" s="50">
        <f>VLOOKUP($A15,Population!$B$7:$F$40,4,FALSE)</f>
        <v>0</v>
      </c>
      <c r="E15" s="50">
        <f>VLOOKUP($A15,Burden!$B$6:$H$40,6,FALSE)</f>
        <v>3992.4796234711157</v>
      </c>
      <c r="F15" s="50">
        <f>VLOOKUP($A15,'Health Status'!$B$6:$H$40,6,FALSE)</f>
        <v>2039.3213882470009</v>
      </c>
      <c r="G15" s="50">
        <f>VLOOKUP($A15,Ethnicity!$B$6:$H$40,6,FALSE)</f>
        <v>1992.8750719977072</v>
      </c>
      <c r="H15" s="50">
        <f>VLOOKUP($A15,Poverty!$B$6:$H$40,6,FALSE)</f>
        <v>1732.8736050158784</v>
      </c>
      <c r="I15" s="50">
        <f>VLOOKUP($A15,'Income Inequality'!$B$6:$H$40,6,FALSE)</f>
        <v>0</v>
      </c>
      <c r="J15" s="50">
        <f>VLOOKUP($A15,Education!$B$6:$H$40,6,FALSE)</f>
        <v>2239.6881421043254</v>
      </c>
      <c r="K15" s="50">
        <f>VLOOKUP($A15,Language!$B$6:$H$40,6,FALSE)</f>
        <v>1032.5320945500252</v>
      </c>
      <c r="L15" s="50">
        <f>VLOOKUP($A15,Matching!$B$7:$H$40,6,FALSE)</f>
        <v>0</v>
      </c>
      <c r="M15" s="50">
        <f>VLOOKUP($A15,Incentives!$B$7:$H$40,6,FALSE)</f>
        <v>0</v>
      </c>
      <c r="N15" s="58">
        <f t="shared" si="2"/>
        <v>43029.769925386063</v>
      </c>
      <c r="O15" s="59">
        <f t="shared" si="0"/>
        <v>4.302976992538606E-3</v>
      </c>
      <c r="P15" s="59">
        <f t="shared" si="1"/>
        <v>1.9955927545782163E-3</v>
      </c>
      <c r="Q15" s="60">
        <f t="shared" si="3"/>
        <v>5.3720062328821552</v>
      </c>
      <c r="S15" s="102" t="s">
        <v>109</v>
      </c>
      <c r="T15" s="90"/>
    </row>
    <row r="16" spans="1:20" x14ac:dyDescent="0.25">
      <c r="A16" s="45" t="s">
        <v>54</v>
      </c>
      <c r="B16" s="49">
        <f>VLOOKUP($A16,'County Data'!$B$11:$D$44,3,FALSE)</f>
        <v>11630</v>
      </c>
      <c r="C16" s="50">
        <f>VLOOKUP($A16,'County Data'!$B$11:$M$44,2,FALSE)</f>
        <v>30000</v>
      </c>
      <c r="D16" s="50">
        <f>VLOOKUP($A16,Population!$B$7:$F$40,4,FALSE)</f>
        <v>0</v>
      </c>
      <c r="E16" s="50">
        <f>VLOOKUP($A16,Burden!$B$6:$H$40,6,FALSE)</f>
        <v>4539.2269847650996</v>
      </c>
      <c r="F16" s="50">
        <f>VLOOKUP($A16,'Health Status'!$B$6:$H$40,6,FALSE)</f>
        <v>7642.1026086198444</v>
      </c>
      <c r="G16" s="50">
        <f>VLOOKUP($A16,Ethnicity!$B$6:$H$40,6,FALSE)</f>
        <v>12890.268190006062</v>
      </c>
      <c r="H16" s="50">
        <f>VLOOKUP($A16,Poverty!$B$6:$H$40,6,FALSE)</f>
        <v>2729.2102613910019</v>
      </c>
      <c r="I16" s="50">
        <f>VLOOKUP($A16,'Income Inequality'!$B$6:$H$40,6,FALSE)</f>
        <v>0</v>
      </c>
      <c r="J16" s="50">
        <f>VLOOKUP($A16,Education!$B$6:$H$40,6,FALSE)</f>
        <v>5302.1195035858682</v>
      </c>
      <c r="K16" s="50">
        <f>VLOOKUP($A16,Language!$B$6:$H$40,6,FALSE)</f>
        <v>10290.512628663348</v>
      </c>
      <c r="L16" s="50">
        <f>VLOOKUP($A16,Matching!$B$7:$H$40,6,FALSE)</f>
        <v>0</v>
      </c>
      <c r="M16" s="50">
        <f>VLOOKUP($A16,Incentives!$B$7:$H$40,6,FALSE)</f>
        <v>0</v>
      </c>
      <c r="N16" s="58">
        <f t="shared" si="2"/>
        <v>73393.440177031225</v>
      </c>
      <c r="O16" s="59">
        <f t="shared" si="0"/>
        <v>7.3393440177031222E-3</v>
      </c>
      <c r="P16" s="59">
        <f t="shared" si="1"/>
        <v>2.8974711280580091E-3</v>
      </c>
      <c r="Q16" s="60">
        <f t="shared" si="3"/>
        <v>6.3106999292374226</v>
      </c>
      <c r="S16" s="99" t="s">
        <v>110</v>
      </c>
      <c r="T16" s="90"/>
    </row>
    <row r="17" spans="1:20" x14ac:dyDescent="0.25">
      <c r="A17" s="45" t="s">
        <v>31</v>
      </c>
      <c r="B17" s="49">
        <f>VLOOKUP($A17,'County Data'!$B$11:$D$44,3,FALSE)</f>
        <v>16425</v>
      </c>
      <c r="C17" s="50">
        <f>VLOOKUP($A17,'County Data'!$B$11:$M$44,2,FALSE)</f>
        <v>30000</v>
      </c>
      <c r="D17" s="50">
        <f>VLOOKUP($A17,Population!$B$7:$F$40,4,FALSE)</f>
        <v>0</v>
      </c>
      <c r="E17" s="50">
        <f>VLOOKUP($A17,Burden!$B$6:$H$40,6,FALSE)</f>
        <v>8672.7119333733262</v>
      </c>
      <c r="F17" s="50">
        <f>VLOOKUP($A17,'Health Status'!$B$6:$H$40,6,FALSE)</f>
        <v>6412.0236158552698</v>
      </c>
      <c r="G17" s="50">
        <f>VLOOKUP($A17,Ethnicity!$B$6:$H$40,6,FALSE)</f>
        <v>2006.6798603904151</v>
      </c>
      <c r="H17" s="50">
        <f>VLOOKUP($A17,Poverty!$B$6:$H$40,6,FALSE)</f>
        <v>3659.233391337661</v>
      </c>
      <c r="I17" s="50">
        <f>VLOOKUP($A17,'Income Inequality'!$B$6:$H$40,6,FALSE)</f>
        <v>0</v>
      </c>
      <c r="J17" s="50">
        <f>VLOOKUP($A17,Education!$B$6:$H$40,6,FALSE)</f>
        <v>3231.936927986766</v>
      </c>
      <c r="K17" s="50">
        <f>VLOOKUP($A17,Language!$B$6:$H$40,6,FALSE)</f>
        <v>1037.601035707549</v>
      </c>
      <c r="L17" s="50">
        <f>VLOOKUP($A17,Matching!$B$7:$H$40,6,FALSE)</f>
        <v>0</v>
      </c>
      <c r="M17" s="50">
        <f>VLOOKUP($A17,Incentives!$B$7:$H$40,6,FALSE)</f>
        <v>0</v>
      </c>
      <c r="N17" s="58">
        <f t="shared" si="2"/>
        <v>55020.186764651</v>
      </c>
      <c r="O17" s="59">
        <f t="shared" si="0"/>
        <v>5.5020186764651001E-3</v>
      </c>
      <c r="P17" s="59">
        <f t="shared" si="1"/>
        <v>4.0920862664103868E-3</v>
      </c>
      <c r="Q17" s="60">
        <f t="shared" si="3"/>
        <v>3.3497830602527245</v>
      </c>
      <c r="R17" s="60">
        <f>SUM(N11:N17)/SUM(B11:B17)</f>
        <v>5.4427612902946985</v>
      </c>
      <c r="T17" s="90"/>
    </row>
    <row r="18" spans="1:20" x14ac:dyDescent="0.25">
      <c r="A18" s="46" t="s">
        <v>37</v>
      </c>
      <c r="B18" s="47">
        <f>VLOOKUP($A18,'County Data'!$B$11:$D$44,3,FALSE)</f>
        <v>21085</v>
      </c>
      <c r="C18" s="48">
        <f>VLOOKUP($A18,'County Data'!$B$11:$M$44,2,FALSE)</f>
        <v>45000</v>
      </c>
      <c r="D18" s="48">
        <f>VLOOKUP($A18,Population!$B$7:$F$40,4,FALSE)</f>
        <v>0</v>
      </c>
      <c r="E18" s="48">
        <f>VLOOKUP($A18,Burden!$B$6:$H$40,6,FALSE)</f>
        <v>9706.9994815306618</v>
      </c>
      <c r="F18" s="48">
        <f>VLOOKUP($A18,'Health Status'!$B$6:$H$40,6,FALSE)</f>
        <v>7873.3251133261474</v>
      </c>
      <c r="G18" s="48">
        <f>VLOOKUP($A18,Ethnicity!$B$6:$H$40,6,FALSE)</f>
        <v>5123.580322804014</v>
      </c>
      <c r="H18" s="48">
        <f>VLOOKUP($A18,Poverty!$B$6:$H$40,6,FALSE)</f>
        <v>5327.7355065238398</v>
      </c>
      <c r="I18" s="48">
        <f>VLOOKUP($A18,'Income Inequality'!$B$6:$H$40,6,FALSE)</f>
        <v>0</v>
      </c>
      <c r="J18" s="48">
        <f>VLOOKUP($A18,Education!$B$6:$H$40,6,FALSE)</f>
        <v>6192.8879200314486</v>
      </c>
      <c r="K18" s="48">
        <f>VLOOKUP($A18,Language!$B$6:$H$40,6,FALSE)</f>
        <v>2712.7045632850072</v>
      </c>
      <c r="L18" s="48">
        <f>VLOOKUP($A18,Matching!$B$7:$H$40,6,FALSE)</f>
        <v>0</v>
      </c>
      <c r="M18" s="48">
        <f>VLOOKUP($A18,Incentives!$B$7:$H$40,6,FALSE)</f>
        <v>0</v>
      </c>
      <c r="N18" s="55">
        <f t="shared" si="2"/>
        <v>81937.232907501122</v>
      </c>
      <c r="O18" s="56">
        <f t="shared" si="0"/>
        <v>8.1937232907501115E-3</v>
      </c>
      <c r="P18" s="56">
        <f t="shared" si="1"/>
        <v>5.2530678190114465E-3</v>
      </c>
      <c r="Q18" s="57">
        <f t="shared" si="3"/>
        <v>3.8860437708086848</v>
      </c>
      <c r="T18" s="90"/>
    </row>
    <row r="19" spans="1:20" x14ac:dyDescent="0.25">
      <c r="A19" s="46" t="s">
        <v>45</v>
      </c>
      <c r="B19" s="47">
        <f>VLOOKUP($A19,'County Data'!$B$11:$D$44,3,FALSE)</f>
        <v>22445</v>
      </c>
      <c r="C19" s="48">
        <f>VLOOKUP($A19,'County Data'!$B$11:$M$44,2,FALSE)</f>
        <v>45000</v>
      </c>
      <c r="D19" s="48">
        <f>VLOOKUP($A19,Population!$B$7:$F$40,4,FALSE)</f>
        <v>0</v>
      </c>
      <c r="E19" s="48">
        <f>VLOOKUP($A19,Burden!$B$6:$H$40,6,FALSE)</f>
        <v>13862.360076155068</v>
      </c>
      <c r="F19" s="48">
        <f>VLOOKUP($A19,'Health Status'!$B$6:$H$40,6,FALSE)</f>
        <v>11265.586697289364</v>
      </c>
      <c r="G19" s="48">
        <f>VLOOKUP($A19,Ethnicity!$B$6:$H$40,6,FALSE)</f>
        <v>14596.118939390699</v>
      </c>
      <c r="H19" s="48">
        <f>VLOOKUP($A19,Poverty!$B$6:$H$40,6,FALSE)</f>
        <v>5688.5146404304114</v>
      </c>
      <c r="I19" s="48">
        <f>VLOOKUP($A19,'Income Inequality'!$B$6:$H$40,6,FALSE)</f>
        <v>0</v>
      </c>
      <c r="J19" s="48">
        <f>VLOOKUP($A19,Education!$B$6:$H$40,6,FALSE)</f>
        <v>6769.4868793651958</v>
      </c>
      <c r="K19" s="48">
        <f>VLOOKUP($A19,Language!$B$6:$H$40,6,FALSE)</f>
        <v>9582.7035181179963</v>
      </c>
      <c r="L19" s="48">
        <f>VLOOKUP($A19,Matching!$B$7:$H$40,6,FALSE)</f>
        <v>0</v>
      </c>
      <c r="M19" s="48">
        <f>VLOOKUP($A19,Incentives!$B$7:$H$40,6,FALSE)</f>
        <v>0</v>
      </c>
      <c r="N19" s="55">
        <f t="shared" si="2"/>
        <v>106764.77075074874</v>
      </c>
      <c r="O19" s="56">
        <f t="shared" si="0"/>
        <v>1.0676477075074874E-2</v>
      </c>
      <c r="P19" s="56">
        <f t="shared" si="1"/>
        <v>5.5918950532469489E-3</v>
      </c>
      <c r="Q19" s="57">
        <f t="shared" si="3"/>
        <v>4.7567284807640338</v>
      </c>
      <c r="T19" s="90"/>
    </row>
    <row r="20" spans="1:20" x14ac:dyDescent="0.25">
      <c r="A20" s="46" t="s">
        <v>38</v>
      </c>
      <c r="B20" s="47">
        <f>VLOOKUP($A20,'County Data'!$B$11:$D$44,3,FALSE)</f>
        <v>22470</v>
      </c>
      <c r="C20" s="48">
        <f>VLOOKUP($A20,'County Data'!$B$11:$M$44,2,FALSE)</f>
        <v>45000</v>
      </c>
      <c r="D20" s="48">
        <f>VLOOKUP($A20,Population!$B$7:$F$40,4,FALSE)</f>
        <v>0</v>
      </c>
      <c r="E20" s="48">
        <f>VLOOKUP($A20,Burden!$B$6:$H$40,6,FALSE)</f>
        <v>15280.449828870023</v>
      </c>
      <c r="F20" s="48">
        <f>VLOOKUP($A20,'Health Status'!$B$6:$H$40,6,FALSE)</f>
        <v>13784.386841756446</v>
      </c>
      <c r="G20" s="48">
        <f>VLOOKUP($A20,Ethnicity!$B$6:$H$40,6,FALSE)</f>
        <v>4518.6149800874528</v>
      </c>
      <c r="H20" s="48">
        <f>VLOOKUP($A20,Poverty!$B$6:$H$40,6,FALSE)</f>
        <v>4197.1795654680527</v>
      </c>
      <c r="I20" s="48">
        <f>VLOOKUP($A20,'Income Inequality'!$B$6:$H$40,6,FALSE)</f>
        <v>0</v>
      </c>
      <c r="J20" s="48">
        <f>VLOOKUP($A20,Education!$B$6:$H$40,6,FALSE)</f>
        <v>3985.9202678594615</v>
      </c>
      <c r="K20" s="48">
        <f>VLOOKUP($A20,Language!$B$6:$H$40,6,FALSE)</f>
        <v>1551.1719968644222</v>
      </c>
      <c r="L20" s="48">
        <f>VLOOKUP($A20,Matching!$B$7:$H$40,6,FALSE)</f>
        <v>0</v>
      </c>
      <c r="M20" s="48">
        <f>VLOOKUP($A20,Incentives!$B$7:$H$40,6,FALSE)</f>
        <v>0</v>
      </c>
      <c r="N20" s="55">
        <f t="shared" si="2"/>
        <v>88317.723480905857</v>
      </c>
      <c r="O20" s="56">
        <f t="shared" si="0"/>
        <v>8.8317723480905858E-3</v>
      </c>
      <c r="P20" s="56">
        <f t="shared" si="1"/>
        <v>5.5981234950527488E-3</v>
      </c>
      <c r="Q20" s="57">
        <f t="shared" si="3"/>
        <v>3.9304727850870429</v>
      </c>
      <c r="T20" s="90"/>
    </row>
    <row r="21" spans="1:20" x14ac:dyDescent="0.25">
      <c r="A21" s="46" t="s">
        <v>43</v>
      </c>
      <c r="B21" s="47">
        <f>VLOOKUP($A21,'County Data'!$B$11:$D$44,3,FALSE)</f>
        <v>24245</v>
      </c>
      <c r="C21" s="48">
        <f>VLOOKUP($A21,'County Data'!$B$11:$M$44,2,FALSE)</f>
        <v>45000</v>
      </c>
      <c r="D21" s="48">
        <f>VLOOKUP($A21,Population!$B$7:$F$40,4,FALSE)</f>
        <v>0</v>
      </c>
      <c r="E21" s="48">
        <f>VLOOKUP($A21,Burden!$B$6:$H$40,6,FALSE)</f>
        <v>7657.9324792611887</v>
      </c>
      <c r="F21" s="48">
        <f>VLOOKUP($A21,'Health Status'!$B$6:$H$40,6,FALSE)</f>
        <v>8465.420577086963</v>
      </c>
      <c r="G21" s="48">
        <f>VLOOKUP($A21,Ethnicity!$B$6:$H$40,6,FALSE)</f>
        <v>24510.325130642104</v>
      </c>
      <c r="H21" s="48">
        <f>VLOOKUP($A21,Poverty!$B$6:$H$40,6,FALSE)</f>
        <v>4614.840306768855</v>
      </c>
      <c r="I21" s="48">
        <f>VLOOKUP($A21,'Income Inequality'!$B$6:$H$40,6,FALSE)</f>
        <v>0</v>
      </c>
      <c r="J21" s="48">
        <f>VLOOKUP($A21,Education!$B$6:$H$40,6,FALSE)</f>
        <v>8303.6307028169776</v>
      </c>
      <c r="K21" s="48">
        <f>VLOOKUP($A21,Language!$B$6:$H$40,6,FALSE)</f>
        <v>27290.852446080342</v>
      </c>
      <c r="L21" s="48">
        <f>VLOOKUP($A21,Matching!$B$7:$H$40,6,FALSE)</f>
        <v>0</v>
      </c>
      <c r="M21" s="48">
        <f>VLOOKUP($A21,Incentives!$B$7:$H$40,6,FALSE)</f>
        <v>0</v>
      </c>
      <c r="N21" s="55">
        <f t="shared" si="2"/>
        <v>125843.00164265643</v>
      </c>
      <c r="O21" s="56">
        <f t="shared" si="0"/>
        <v>1.2584300164265642E-2</v>
      </c>
      <c r="P21" s="56">
        <f t="shared" si="1"/>
        <v>6.0403428632645256E-3</v>
      </c>
      <c r="Q21" s="57">
        <f t="shared" si="3"/>
        <v>5.190472330074507</v>
      </c>
      <c r="T21" s="90"/>
    </row>
    <row r="22" spans="1:20" x14ac:dyDescent="0.25">
      <c r="A22" s="46" t="s">
        <v>58</v>
      </c>
      <c r="B22" s="47">
        <f>VLOOKUP($A22,'County Data'!$B$11:$D$44,3,FALSE)</f>
        <v>25690</v>
      </c>
      <c r="C22" s="48">
        <f>VLOOKUP($A22,'County Data'!$B$11:$M$44,2,FALSE)</f>
        <v>45000</v>
      </c>
      <c r="D22" s="48">
        <f>VLOOKUP($A22,Population!$B$7:$F$40,4,FALSE)</f>
        <v>0</v>
      </c>
      <c r="E22" s="48">
        <f>VLOOKUP($A22,Burden!$B$6:$H$40,6,FALSE)</f>
        <v>12658.681856548923</v>
      </c>
      <c r="F22" s="48">
        <f>VLOOKUP($A22,'Health Status'!$B$6:$H$40,6,FALSE)</f>
        <v>11337.031444575136</v>
      </c>
      <c r="G22" s="48">
        <f>VLOOKUP($A22,Ethnicity!$B$6:$H$40,6,FALSE)</f>
        <v>8274.9693641167687</v>
      </c>
      <c r="H22" s="48">
        <f>VLOOKUP($A22,Poverty!$B$6:$H$40,6,FALSE)</f>
        <v>5504.3348350434062</v>
      </c>
      <c r="I22" s="48">
        <f>VLOOKUP($A22,'Income Inequality'!$B$6:$H$40,6,FALSE)</f>
        <v>0</v>
      </c>
      <c r="J22" s="48">
        <f>VLOOKUP($A22,Education!$B$6:$H$40,6,FALSE)</f>
        <v>5196.0801978276504</v>
      </c>
      <c r="K22" s="48">
        <f>VLOOKUP($A22,Language!$B$6:$H$40,6,FALSE)</f>
        <v>5650.5640986790631</v>
      </c>
      <c r="L22" s="48">
        <f>VLOOKUP($A22,Matching!$B$7:$H$40,6,FALSE)</f>
        <v>0</v>
      </c>
      <c r="M22" s="48">
        <f>VLOOKUP($A22,Incentives!$B$7:$H$40,6,FALSE)</f>
        <v>0</v>
      </c>
      <c r="N22" s="55">
        <f t="shared" si="2"/>
        <v>93621.661796790941</v>
      </c>
      <c r="O22" s="56">
        <f t="shared" si="0"/>
        <v>9.3621661796790944E-3</v>
      </c>
      <c r="P22" s="56">
        <f t="shared" si="1"/>
        <v>6.4003467996397471E-3</v>
      </c>
      <c r="Q22" s="57">
        <f t="shared" si="3"/>
        <v>3.6442842272008931</v>
      </c>
      <c r="T22" s="90"/>
    </row>
    <row r="23" spans="1:20" x14ac:dyDescent="0.25">
      <c r="A23" s="46" t="s">
        <v>60</v>
      </c>
      <c r="B23" s="47">
        <f>VLOOKUP($A23,'County Data'!$B$11:$D$44,3,FALSE)</f>
        <v>26625</v>
      </c>
      <c r="C23" s="48">
        <f>VLOOKUP($A23,'County Data'!$B$11:$M$44,2,FALSE)</f>
        <v>45000</v>
      </c>
      <c r="D23" s="48">
        <f>VLOOKUP($A23,Population!$B$7:$F$40,4,FALSE)</f>
        <v>0</v>
      </c>
      <c r="E23" s="48">
        <f>VLOOKUP($A23,Burden!$B$6:$H$40,6,FALSE)</f>
        <v>11545.01037079657</v>
      </c>
      <c r="F23" s="48">
        <f>VLOOKUP($A23,'Health Status'!$B$6:$H$40,6,FALSE)</f>
        <v>10781.270599449215</v>
      </c>
      <c r="G23" s="48">
        <f>VLOOKUP($A23,Ethnicity!$B$6:$H$40,6,FALSE)</f>
        <v>3759.7593971151382</v>
      </c>
      <c r="H23" s="48">
        <f>VLOOKUP($A23,Poverty!$B$6:$H$40,6,FALSE)</f>
        <v>6085.1077486664817</v>
      </c>
      <c r="I23" s="48">
        <f>VLOOKUP($A23,'Income Inequality'!$B$6:$H$40,6,FALSE)</f>
        <v>0</v>
      </c>
      <c r="J23" s="48">
        <f>VLOOKUP($A23,Education!$B$6:$H$40,6,FALSE)</f>
        <v>4702.3002940127162</v>
      </c>
      <c r="K23" s="48">
        <f>VLOOKUP($A23,Language!$B$6:$H$40,6,FALSE)</f>
        <v>3930.5400433535378</v>
      </c>
      <c r="L23" s="48">
        <f>VLOOKUP($A23,Matching!$B$7:$H$40,6,FALSE)</f>
        <v>0</v>
      </c>
      <c r="M23" s="48">
        <f>VLOOKUP($A23,Incentives!$B$7:$H$40,6,FALSE)</f>
        <v>0</v>
      </c>
      <c r="N23" s="55">
        <f t="shared" si="2"/>
        <v>85803.988453393671</v>
      </c>
      <c r="O23" s="56">
        <f t="shared" si="0"/>
        <v>8.5803988453393674E-3</v>
      </c>
      <c r="P23" s="56">
        <f t="shared" si="1"/>
        <v>6.6332905231766548E-3</v>
      </c>
      <c r="Q23" s="57">
        <f t="shared" si="3"/>
        <v>3.2226850123340345</v>
      </c>
      <c r="T23" s="90"/>
    </row>
    <row r="24" spans="1:20" x14ac:dyDescent="0.25">
      <c r="A24" s="46" t="s">
        <v>56</v>
      </c>
      <c r="B24" s="47">
        <f>VLOOKUP($A24,'County Data'!$B$11:$D$44,3,FALSE)</f>
        <v>30135</v>
      </c>
      <c r="C24" s="48">
        <f>VLOOKUP($A24,'County Data'!$B$11:$M$44,2,FALSE)</f>
        <v>105000</v>
      </c>
      <c r="D24" s="48">
        <f>VLOOKUP($A24,Population!$B$7:$F$40,4,FALSE)</f>
        <v>0</v>
      </c>
      <c r="E24" s="48">
        <f>VLOOKUP($A24,Burden!$B$6:$H$40,6,FALSE)</f>
        <v>15488.961014699691</v>
      </c>
      <c r="F24" s="48">
        <f>VLOOKUP($A24,'Health Status'!$B$6:$H$40,6,FALSE)</f>
        <v>16075.249994246647</v>
      </c>
      <c r="G24" s="48">
        <f>VLOOKUP($A24,Ethnicity!$B$6:$H$40,6,FALSE)</f>
        <v>14910.563235513524</v>
      </c>
      <c r="H24" s="48">
        <f>VLOOKUP($A24,Poverty!$B$6:$H$40,6,FALSE)</f>
        <v>6013.6674188274465</v>
      </c>
      <c r="I24" s="48">
        <f>VLOOKUP($A24,'Income Inequality'!$B$6:$H$40,6,FALSE)</f>
        <v>0</v>
      </c>
      <c r="J24" s="48">
        <f>VLOOKUP($A24,Education!$B$6:$H$40,6,FALSE)</f>
        <v>8096.2882309493743</v>
      </c>
      <c r="K24" s="48">
        <f>VLOOKUP($A24,Language!$B$6:$H$40,6,FALSE)</f>
        <v>14856.684870233388</v>
      </c>
      <c r="L24" s="48">
        <f>VLOOKUP($A24,Matching!$B$7:$H$40,6,FALSE)</f>
        <v>0</v>
      </c>
      <c r="M24" s="48">
        <f>VLOOKUP($A24,Incentives!$B$7:$H$40,6,FALSE)</f>
        <v>0</v>
      </c>
      <c r="N24" s="55">
        <f t="shared" si="2"/>
        <v>180441.41476447004</v>
      </c>
      <c r="O24" s="56">
        <f t="shared" si="0"/>
        <v>1.8044141476447003E-2</v>
      </c>
      <c r="P24" s="56">
        <f t="shared" si="1"/>
        <v>7.5077637527109289E-3</v>
      </c>
      <c r="Q24" s="57">
        <f t="shared" si="3"/>
        <v>5.9877688655871921</v>
      </c>
      <c r="T24" s="90"/>
    </row>
    <row r="25" spans="1:20" x14ac:dyDescent="0.25">
      <c r="A25" s="46" t="s">
        <v>52</v>
      </c>
      <c r="B25" s="47">
        <f>VLOOKUP($A25,'County Data'!$B$11:$D$44,3,FALSE)</f>
        <v>31480</v>
      </c>
      <c r="C25" s="48">
        <f>VLOOKUP($A25,'County Data'!$B$11:$M$44,2,FALSE)</f>
        <v>45000</v>
      </c>
      <c r="D25" s="48">
        <f>VLOOKUP($A25,Population!$B$7:$F$40,4,FALSE)</f>
        <v>0</v>
      </c>
      <c r="E25" s="48">
        <f>VLOOKUP($A25,Burden!$B$6:$H$40,6,FALSE)</f>
        <v>13843.863187522966</v>
      </c>
      <c r="F25" s="48">
        <f>VLOOKUP($A25,'Health Status'!$B$6:$H$40,6,FALSE)</f>
        <v>20227.604643046354</v>
      </c>
      <c r="G25" s="48">
        <f>VLOOKUP($A25,Ethnicity!$B$6:$H$40,6,FALSE)</f>
        <v>34104.25825857788</v>
      </c>
      <c r="H25" s="48">
        <f>VLOOKUP($A25,Poverty!$B$6:$H$40,6,FALSE)</f>
        <v>10861.672675935139</v>
      </c>
      <c r="I25" s="48">
        <f>VLOOKUP($A25,'Income Inequality'!$B$6:$H$40,6,FALSE)</f>
        <v>0</v>
      </c>
      <c r="J25" s="48">
        <f>VLOOKUP($A25,Education!$B$6:$H$40,6,FALSE)</f>
        <v>12053.454660911737</v>
      </c>
      <c r="K25" s="48">
        <f>VLOOKUP($A25,Language!$B$6:$H$40,6,FALSE)</f>
        <v>21199.726438793004</v>
      </c>
      <c r="L25" s="48">
        <f>VLOOKUP($A25,Matching!$B$7:$H$40,6,FALSE)</f>
        <v>0</v>
      </c>
      <c r="M25" s="48">
        <f>VLOOKUP($A25,Incentives!$B$7:$H$40,6,FALSE)</f>
        <v>0</v>
      </c>
      <c r="N25" s="55">
        <f t="shared" si="2"/>
        <v>157290.57986478705</v>
      </c>
      <c r="O25" s="56">
        <f t="shared" si="0"/>
        <v>1.5729057986478705E-2</v>
      </c>
      <c r="P25" s="56">
        <f t="shared" si="1"/>
        <v>7.8428539218629526E-3</v>
      </c>
      <c r="Q25" s="57">
        <f t="shared" si="3"/>
        <v>4.9965241380173779</v>
      </c>
      <c r="T25" s="90"/>
    </row>
    <row r="26" spans="1:20" x14ac:dyDescent="0.25">
      <c r="A26" s="46" t="s">
        <v>34</v>
      </c>
      <c r="B26" s="47">
        <f>VLOOKUP($A26,'County Data'!$B$11:$D$44,3,FALSE)</f>
        <v>37750</v>
      </c>
      <c r="C26" s="48">
        <f>VLOOKUP($A26,'County Data'!$B$11:$M$44,2,FALSE)</f>
        <v>45000</v>
      </c>
      <c r="D26" s="48">
        <f>VLOOKUP($A26,Population!$B$7:$F$40,4,FALSE)</f>
        <v>0</v>
      </c>
      <c r="E26" s="48">
        <f>VLOOKUP($A26,Burden!$B$6:$H$40,6,FALSE)</f>
        <v>20437.783039428443</v>
      </c>
      <c r="F26" s="48">
        <f>VLOOKUP($A26,'Health Status'!$B$6:$H$40,6,FALSE)</f>
        <v>15926.856356578601</v>
      </c>
      <c r="G26" s="48">
        <f>VLOOKUP($A26,Ethnicity!$B$6:$H$40,6,FALSE)</f>
        <v>9976.294623585989</v>
      </c>
      <c r="H26" s="48">
        <f>VLOOKUP($A26,Poverty!$B$6:$H$40,6,FALSE)</f>
        <v>7235.8089332328109</v>
      </c>
      <c r="I26" s="48">
        <f>VLOOKUP($A26,'Income Inequality'!$B$6:$H$40,6,FALSE)</f>
        <v>0</v>
      </c>
      <c r="J26" s="48">
        <f>VLOOKUP($A26,Education!$B$6:$H$40,6,FALSE)</f>
        <v>6627.1595172779025</v>
      </c>
      <c r="K26" s="48">
        <f>VLOOKUP($A26,Language!$B$6:$H$40,6,FALSE)</f>
        <v>7411.8869497565584</v>
      </c>
      <c r="L26" s="48">
        <f>VLOOKUP($A26,Matching!$B$7:$H$40,6,FALSE)</f>
        <v>0</v>
      </c>
      <c r="M26" s="48">
        <f>VLOOKUP($A26,Incentives!$B$7:$H$40,6,FALSE)</f>
        <v>0</v>
      </c>
      <c r="N26" s="55">
        <f t="shared" si="2"/>
        <v>112615.7894198603</v>
      </c>
      <c r="O26" s="56">
        <f t="shared" si="0"/>
        <v>1.126157894198603E-2</v>
      </c>
      <c r="P26" s="56">
        <f t="shared" si="1"/>
        <v>9.404947126757511E-3</v>
      </c>
      <c r="Q26" s="57">
        <f t="shared" si="3"/>
        <v>2.9831997197313989</v>
      </c>
      <c r="T26" s="90"/>
    </row>
    <row r="27" spans="1:20" x14ac:dyDescent="0.25">
      <c r="A27" s="46" t="s">
        <v>50</v>
      </c>
      <c r="B27" s="47">
        <f>VLOOKUP($A27,'County Data'!$B$11:$D$44,3,FALSE)</f>
        <v>47225</v>
      </c>
      <c r="C27" s="48">
        <f>VLOOKUP($A27,'County Data'!$B$11:$M$44,2,FALSE)</f>
        <v>45000</v>
      </c>
      <c r="D27" s="48">
        <f>VLOOKUP($A27,Population!$B$7:$F$40,4,FALSE)</f>
        <v>0</v>
      </c>
      <c r="E27" s="48">
        <f>VLOOKUP($A27,Burden!$B$6:$H$40,6,FALSE)</f>
        <v>28909.04873068837</v>
      </c>
      <c r="F27" s="48">
        <f>VLOOKUP($A27,'Health Status'!$B$6:$H$40,6,FALSE)</f>
        <v>21871.027809230414</v>
      </c>
      <c r="G27" s="48">
        <f>VLOOKUP($A27,Ethnicity!$B$6:$H$40,6,FALSE)</f>
        <v>13019.452790874817</v>
      </c>
      <c r="H27" s="48">
        <f>VLOOKUP($A27,Poverty!$B$6:$H$40,6,FALSE)</f>
        <v>9819.8354839524545</v>
      </c>
      <c r="I27" s="48">
        <f>VLOOKUP($A27,'Income Inequality'!$B$6:$H$40,6,FALSE)</f>
        <v>0</v>
      </c>
      <c r="J27" s="48">
        <f>VLOOKUP($A27,Education!$B$6:$H$40,6,FALSE)</f>
        <v>10553.670039364173</v>
      </c>
      <c r="K27" s="48">
        <f>VLOOKUP($A27,Language!$B$6:$H$40,6,FALSE)</f>
        <v>9491.4773789578157</v>
      </c>
      <c r="L27" s="48">
        <f>VLOOKUP($A27,Matching!$B$7:$H$40,6,FALSE)</f>
        <v>0</v>
      </c>
      <c r="M27" s="48">
        <f>VLOOKUP($A27,Incentives!$B$7:$H$40,6,FALSE)</f>
        <v>0</v>
      </c>
      <c r="N27" s="55">
        <f t="shared" si="2"/>
        <v>138664.51223306803</v>
      </c>
      <c r="O27" s="56">
        <f t="shared" si="0"/>
        <v>1.3866451223306804E-2</v>
      </c>
      <c r="P27" s="56">
        <f t="shared" si="1"/>
        <v>1.1765526571155588E-2</v>
      </c>
      <c r="Q27" s="57">
        <f t="shared" si="3"/>
        <v>2.9362522442153103</v>
      </c>
      <c r="T27" s="90"/>
    </row>
    <row r="28" spans="1:20" x14ac:dyDescent="0.25">
      <c r="A28" s="46" t="s">
        <v>35</v>
      </c>
      <c r="B28" s="47">
        <f>VLOOKUP($A28,'County Data'!$B$11:$D$44,3,FALSE)</f>
        <v>50390</v>
      </c>
      <c r="C28" s="48">
        <f>VLOOKUP($A28,'County Data'!$B$11:$M$44,2,FALSE)</f>
        <v>45000</v>
      </c>
      <c r="D28" s="48">
        <f>VLOOKUP($A28,Population!$B$7:$F$40,4,FALSE)</f>
        <v>0</v>
      </c>
      <c r="E28" s="48">
        <f>VLOOKUP($A28,Burden!$B$6:$H$40,6,FALSE)</f>
        <v>23353.480332623392</v>
      </c>
      <c r="F28" s="48">
        <f>VLOOKUP($A28,'Health Status'!$B$6:$H$40,6,FALSE)</f>
        <v>25658.27834051595</v>
      </c>
      <c r="G28" s="48">
        <f>VLOOKUP($A28,Ethnicity!$B$6:$H$40,6,FALSE)</f>
        <v>7404.9066480875899</v>
      </c>
      <c r="H28" s="48">
        <f>VLOOKUP($A28,Poverty!$B$6:$H$40,6,FALSE)</f>
        <v>8052.7297666460854</v>
      </c>
      <c r="I28" s="48">
        <f>VLOOKUP($A28,'Income Inequality'!$B$6:$H$40,6,FALSE)</f>
        <v>0</v>
      </c>
      <c r="J28" s="48">
        <f>VLOOKUP($A28,Education!$B$6:$H$40,6,FALSE)</f>
        <v>10057.857244611974</v>
      </c>
      <c r="K28" s="48">
        <f>VLOOKUP($A28,Language!$B$6:$H$40,6,FALSE)</f>
        <v>3682.1878786434308</v>
      </c>
      <c r="L28" s="48">
        <f>VLOOKUP($A28,Matching!$B$7:$H$40,6,FALSE)</f>
        <v>0</v>
      </c>
      <c r="M28" s="48">
        <f>VLOOKUP($A28,Incentives!$B$7:$H$40,6,FALSE)</f>
        <v>0</v>
      </c>
      <c r="N28" s="55">
        <f t="shared" si="2"/>
        <v>123209.44021112843</v>
      </c>
      <c r="O28" s="56">
        <f t="shared" si="0"/>
        <v>1.2320944021112843E-2</v>
      </c>
      <c r="P28" s="56">
        <f t="shared" si="1"/>
        <v>1.2554047303769827E-2</v>
      </c>
      <c r="Q28" s="57">
        <f t="shared" si="3"/>
        <v>2.4451168924613698</v>
      </c>
      <c r="T28" s="90"/>
    </row>
    <row r="29" spans="1:20" x14ac:dyDescent="0.25">
      <c r="A29" s="46" t="s">
        <v>36</v>
      </c>
      <c r="B29" s="47">
        <f>VLOOKUP($A29,'County Data'!$B$11:$D$44,3,FALSE)</f>
        <v>62990</v>
      </c>
      <c r="C29" s="48">
        <f>VLOOKUP($A29,'County Data'!$B$11:$M$44,2,FALSE)</f>
        <v>45000</v>
      </c>
      <c r="D29" s="48">
        <f>VLOOKUP($A29,Population!$B$7:$F$40,4,FALSE)</f>
        <v>0</v>
      </c>
      <c r="E29" s="48">
        <f>VLOOKUP($A29,Burden!$B$6:$H$40,6,FALSE)</f>
        <v>38343.509033599905</v>
      </c>
      <c r="F29" s="48">
        <f>VLOOKUP($A29,'Health Status'!$B$6:$H$40,6,FALSE)</f>
        <v>27492.103637384404</v>
      </c>
      <c r="G29" s="48">
        <f>VLOOKUP($A29,Ethnicity!$B$6:$H$40,6,FALSE)</f>
        <v>12037.861798725628</v>
      </c>
      <c r="H29" s="48">
        <f>VLOOKUP($A29,Poverty!$B$6:$H$40,6,FALSE)</f>
        <v>13782.177559308519</v>
      </c>
      <c r="I29" s="48">
        <f>VLOOKUP($A29,'Income Inequality'!$B$6:$H$40,6,FALSE)</f>
        <v>0</v>
      </c>
      <c r="J29" s="48">
        <f>VLOOKUP($A29,Education!$B$6:$H$40,6,FALSE)</f>
        <v>13814.431119378118</v>
      </c>
      <c r="K29" s="48">
        <f>VLOOKUP($A29,Language!$B$6:$H$40,6,FALSE)</f>
        <v>5416.4045137469611</v>
      </c>
      <c r="L29" s="48">
        <f>VLOOKUP($A29,Matching!$B$7:$H$40,6,FALSE)</f>
        <v>0</v>
      </c>
      <c r="M29" s="48">
        <f>VLOOKUP($A29,Incentives!$B$7:$H$40,6,FALSE)</f>
        <v>0</v>
      </c>
      <c r="N29" s="55">
        <f t="shared" si="2"/>
        <v>155886.48766214354</v>
      </c>
      <c r="O29" s="56">
        <f t="shared" si="0"/>
        <v>1.5588648766214354E-2</v>
      </c>
      <c r="P29" s="56">
        <f t="shared" si="1"/>
        <v>1.5693181973892863E-2</v>
      </c>
      <c r="Q29" s="57">
        <f t="shared" si="3"/>
        <v>2.4747815155126771</v>
      </c>
      <c r="T29" s="90"/>
    </row>
    <row r="30" spans="1:20" x14ac:dyDescent="0.25">
      <c r="A30" s="46" t="s">
        <v>47</v>
      </c>
      <c r="B30" s="47">
        <f>VLOOKUP($A30,'County Data'!$B$11:$D$44,3,FALSE)</f>
        <v>67110</v>
      </c>
      <c r="C30" s="48">
        <f>VLOOKUP($A30,'County Data'!$B$11:$M$44,2,FALSE)</f>
        <v>45000</v>
      </c>
      <c r="D30" s="48">
        <f>VLOOKUP($A30,Population!$B$7:$F$40,4,FALSE)</f>
        <v>0</v>
      </c>
      <c r="E30" s="48">
        <f>VLOOKUP($A30,Burden!$B$6:$H$40,6,FALSE)</f>
        <v>39166.888478527631</v>
      </c>
      <c r="F30" s="48">
        <f>VLOOKUP($A30,'Health Status'!$B$6:$H$40,6,FALSE)</f>
        <v>38077.370973747078</v>
      </c>
      <c r="G30" s="48">
        <f>VLOOKUP($A30,Ethnicity!$B$6:$H$40,6,FALSE)</f>
        <v>25122.495996024547</v>
      </c>
      <c r="H30" s="48">
        <f>VLOOKUP($A30,Poverty!$B$6:$H$40,6,FALSE)</f>
        <v>15161.30299140368</v>
      </c>
      <c r="I30" s="48">
        <f>VLOOKUP($A30,'Income Inequality'!$B$6:$H$40,6,FALSE)</f>
        <v>0</v>
      </c>
      <c r="J30" s="48">
        <f>VLOOKUP($A30,Education!$B$6:$H$40,6,FALSE)</f>
        <v>16302.074535814771</v>
      </c>
      <c r="K30" s="48">
        <f>VLOOKUP($A30,Language!$B$6:$H$40,6,FALSE)</f>
        <v>15280.026153733896</v>
      </c>
      <c r="L30" s="48">
        <f>VLOOKUP($A30,Matching!$B$7:$H$40,6,FALSE)</f>
        <v>0</v>
      </c>
      <c r="M30" s="48">
        <f>VLOOKUP($A30,Incentives!$B$7:$H$40,6,FALSE)</f>
        <v>0</v>
      </c>
      <c r="N30" s="55">
        <f t="shared" si="2"/>
        <v>194110.15912925161</v>
      </c>
      <c r="O30" s="56">
        <f t="shared" si="0"/>
        <v>1.9411015912925159E-2</v>
      </c>
      <c r="P30" s="56">
        <f t="shared" si="1"/>
        <v>1.6719629183488651E-2</v>
      </c>
      <c r="Q30" s="57">
        <f t="shared" si="3"/>
        <v>2.8924178085121683</v>
      </c>
      <c r="R30" s="57">
        <f>SUM(N18:N30)/SUM(B18:B30)</f>
        <v>3.5016326597323602</v>
      </c>
      <c r="T30" s="90"/>
    </row>
    <row r="31" spans="1:20" x14ac:dyDescent="0.25">
      <c r="A31" s="91" t="s">
        <v>57</v>
      </c>
      <c r="B31" s="92">
        <f>VLOOKUP($A31,'County Data'!$B$11:$D$44,3,FALSE)</f>
        <v>78570</v>
      </c>
      <c r="C31" s="93">
        <f>VLOOKUP($A31,'County Data'!$B$11:$M$44,2,FALSE)</f>
        <v>60000</v>
      </c>
      <c r="D31" s="93">
        <f>VLOOKUP($A31,Population!$B$7:$F$40,4,FALSE)</f>
        <v>0</v>
      </c>
      <c r="E31" s="93">
        <f>VLOOKUP($A31,Burden!$B$6:$H$40,6,FALSE)</f>
        <v>28270.384243844484</v>
      </c>
      <c r="F31" s="93">
        <f>VLOOKUP($A31,'Health Status'!$B$6:$H$40,6,FALSE)</f>
        <v>29148.220278947436</v>
      </c>
      <c r="G31" s="93">
        <f>VLOOKUP($A31,Ethnicity!$B$6:$H$40,6,FALSE)</f>
        <v>33073.421129872244</v>
      </c>
      <c r="H31" s="93">
        <f>VLOOKUP($A31,Poverty!$B$6:$H$40,6,FALSE)</f>
        <v>16267.277475388633</v>
      </c>
      <c r="I31" s="93">
        <f>VLOOKUP($A31,'Income Inequality'!$B$6:$H$40,6,FALSE)</f>
        <v>0</v>
      </c>
      <c r="J31" s="93">
        <f>VLOOKUP($A31,Education!$B$6:$H$40,6,FALSE)</f>
        <v>14404.898912001696</v>
      </c>
      <c r="K31" s="93">
        <f>VLOOKUP($A31,Language!$B$6:$H$40,6,FALSE)</f>
        <v>22998.276600614496</v>
      </c>
      <c r="L31" s="93">
        <f>VLOOKUP($A31,Matching!$B$7:$H$40,6,FALSE)</f>
        <v>0</v>
      </c>
      <c r="M31" s="93">
        <f>VLOOKUP($A31,Incentives!$B$7:$H$40,6,FALSE)</f>
        <v>0</v>
      </c>
      <c r="N31" s="94">
        <f t="shared" si="2"/>
        <v>204162.47864066897</v>
      </c>
      <c r="O31" s="95">
        <f t="shared" si="0"/>
        <v>2.0416247864066896E-2</v>
      </c>
      <c r="P31" s="95">
        <f t="shared" si="1"/>
        <v>1.957474690726722E-2</v>
      </c>
      <c r="Q31" s="96">
        <f t="shared" si="3"/>
        <v>2.5984787914047214</v>
      </c>
      <c r="T31" s="90"/>
    </row>
    <row r="32" spans="1:20" x14ac:dyDescent="0.25">
      <c r="A32" s="91" t="s">
        <v>59</v>
      </c>
      <c r="B32" s="92">
        <f>VLOOKUP($A32,'County Data'!$B$11:$D$44,3,FALSE)</f>
        <v>79155</v>
      </c>
      <c r="C32" s="93">
        <f>VLOOKUP($A32,'County Data'!$B$11:$M$44,2,FALSE)</f>
        <v>60000</v>
      </c>
      <c r="D32" s="93">
        <f>VLOOKUP($A32,Population!$B$7:$F$40,4,FALSE)</f>
        <v>0</v>
      </c>
      <c r="E32" s="93">
        <f>VLOOKUP($A32,Burden!$B$6:$H$40,6,FALSE)</f>
        <v>35352.963816791329</v>
      </c>
      <c r="F32" s="93">
        <f>VLOOKUP($A32,'Health Status'!$B$6:$H$40,6,FALSE)</f>
        <v>42032.606982445068</v>
      </c>
      <c r="G32" s="93">
        <f>VLOOKUP($A32,Ethnicity!$B$6:$H$40,6,FALSE)</f>
        <v>65743.744610787777</v>
      </c>
      <c r="H32" s="93">
        <f>VLOOKUP($A32,Poverty!$B$6:$H$40,6,FALSE)</f>
        <v>16433.839758396858</v>
      </c>
      <c r="I32" s="93">
        <f>VLOOKUP($A32,'Income Inequality'!$B$6:$H$40,6,FALSE)</f>
        <v>0</v>
      </c>
      <c r="J32" s="93">
        <f>VLOOKUP($A32,Education!$B$6:$H$40,6,FALSE)</f>
        <v>25414.114456810439</v>
      </c>
      <c r="K32" s="93">
        <f>VLOOKUP($A32,Language!$B$6:$H$40,6,FALSE)</f>
        <v>41454.824288482458</v>
      </c>
      <c r="L32" s="93">
        <f>VLOOKUP($A32,Matching!$B$7:$H$40,6,FALSE)</f>
        <v>0</v>
      </c>
      <c r="M32" s="93">
        <f>VLOOKUP($A32,Incentives!$B$7:$H$40,6,FALSE)</f>
        <v>0</v>
      </c>
      <c r="N32" s="94">
        <f t="shared" si="2"/>
        <v>286432.09391371394</v>
      </c>
      <c r="O32" s="95">
        <f t="shared" si="0"/>
        <v>2.8643209391371393E-2</v>
      </c>
      <c r="P32" s="95">
        <f t="shared" si="1"/>
        <v>1.9720492445522934E-2</v>
      </c>
      <c r="Q32" s="96">
        <f t="shared" si="3"/>
        <v>3.6186228780710499</v>
      </c>
      <c r="T32" s="90"/>
    </row>
    <row r="33" spans="1:20" x14ac:dyDescent="0.25">
      <c r="A33" s="91" t="s">
        <v>46</v>
      </c>
      <c r="B33" s="92">
        <f>VLOOKUP($A33,'County Data'!$B$11:$D$44,3,FALSE)</f>
        <v>83720</v>
      </c>
      <c r="C33" s="93">
        <f>VLOOKUP($A33,'County Data'!$B$11:$M$44,2,FALSE)</f>
        <v>60000</v>
      </c>
      <c r="D33" s="93">
        <f>VLOOKUP($A33,Population!$B$7:$F$40,4,FALSE)</f>
        <v>0</v>
      </c>
      <c r="E33" s="93">
        <f>VLOOKUP($A33,Burden!$B$6:$H$40,6,FALSE)</f>
        <v>48680.502147882144</v>
      </c>
      <c r="F33" s="93">
        <f>VLOOKUP($A33,'Health Status'!$B$6:$H$40,6,FALSE)</f>
        <v>35321.759315834715</v>
      </c>
      <c r="G33" s="93">
        <f>VLOOKUP($A33,Ethnicity!$B$6:$H$40,6,FALSE)</f>
        <v>18691.259791634184</v>
      </c>
      <c r="H33" s="93">
        <f>VLOOKUP($A33,Poverty!$B$6:$H$40,6,FALSE)</f>
        <v>20021.321064057</v>
      </c>
      <c r="I33" s="93">
        <f>VLOOKUP($A33,'Income Inequality'!$B$6:$H$40,6,FALSE)</f>
        <v>0</v>
      </c>
      <c r="J33" s="93">
        <f>VLOOKUP($A33,Education!$B$6:$H$40,6,FALSE)</f>
        <v>18278.88644851045</v>
      </c>
      <c r="K33" s="93">
        <f>VLOOKUP($A33,Language!$B$6:$H$40,6,FALSE)</f>
        <v>6366.1693881167157</v>
      </c>
      <c r="L33" s="93">
        <f>VLOOKUP($A33,Matching!$B$7:$H$40,6,FALSE)</f>
        <v>0</v>
      </c>
      <c r="M33" s="93">
        <f>VLOOKUP($A33,Incentives!$B$7:$H$40,6,FALSE)</f>
        <v>0</v>
      </c>
      <c r="N33" s="94">
        <f t="shared" si="2"/>
        <v>207359.89815603523</v>
      </c>
      <c r="O33" s="95">
        <f t="shared" si="0"/>
        <v>2.0735989815603522E-2</v>
      </c>
      <c r="P33" s="95">
        <f t="shared" si="1"/>
        <v>2.0857805919261955E-2</v>
      </c>
      <c r="Q33" s="96">
        <f t="shared" si="3"/>
        <v>2.4768263038226856</v>
      </c>
      <c r="T33" s="90"/>
    </row>
    <row r="34" spans="1:20" x14ac:dyDescent="0.25">
      <c r="A34" s="91" t="s">
        <v>32</v>
      </c>
      <c r="B34" s="92">
        <f>VLOOKUP($A34,'County Data'!$B$11:$D$44,3,FALSE)</f>
        <v>90005</v>
      </c>
      <c r="C34" s="93">
        <f>VLOOKUP($A34,'County Data'!$B$11:$M$44,2,FALSE)</f>
        <v>60000</v>
      </c>
      <c r="D34" s="93">
        <f>VLOOKUP($A34,Population!$B$7:$F$40,4,FALSE)</f>
        <v>0</v>
      </c>
      <c r="E34" s="93">
        <f>VLOOKUP($A34,Burden!$B$6:$H$40,6,FALSE)</f>
        <v>24940.14734306213</v>
      </c>
      <c r="F34" s="93">
        <f>VLOOKUP($A34,'Health Status'!$B$6:$H$40,6,FALSE)</f>
        <v>32735.709211551875</v>
      </c>
      <c r="G34" s="93">
        <f>VLOOKUP($A34,Ethnicity!$B$6:$H$40,6,FALSE)</f>
        <v>20225.889634497667</v>
      </c>
      <c r="H34" s="93">
        <f>VLOOKUP($A34,Poverty!$B$6:$H$40,6,FALSE)</f>
        <v>24789.267966503368</v>
      </c>
      <c r="I34" s="93">
        <f>VLOOKUP($A34,'Income Inequality'!$B$6:$H$40,6,FALSE)</f>
        <v>0</v>
      </c>
      <c r="J34" s="93">
        <f>VLOOKUP($A34,Education!$B$6:$H$40,6,FALSE)</f>
        <v>9388.1520896646907</v>
      </c>
      <c r="K34" s="93">
        <f>VLOOKUP($A34,Language!$B$6:$H$40,6,FALSE)</f>
        <v>19427.57525835354</v>
      </c>
      <c r="L34" s="93">
        <f>VLOOKUP($A34,Matching!$B$7:$H$40,6,FALSE)</f>
        <v>0</v>
      </c>
      <c r="M34" s="93">
        <f>VLOOKUP($A34,Incentives!$B$7:$H$40,6,FALSE)</f>
        <v>0</v>
      </c>
      <c r="N34" s="94">
        <f t="shared" si="2"/>
        <v>191506.74150363327</v>
      </c>
      <c r="O34" s="95">
        <f t="shared" si="0"/>
        <v>1.9150674150363325E-2</v>
      </c>
      <c r="P34" s="95">
        <f t="shared" si="1"/>
        <v>2.2423636189239992E-2</v>
      </c>
      <c r="Q34" s="96">
        <f t="shared" si="3"/>
        <v>2.1277344759028196</v>
      </c>
      <c r="T34" s="90"/>
    </row>
    <row r="35" spans="1:20" x14ac:dyDescent="0.25">
      <c r="A35" s="91" t="s">
        <v>64</v>
      </c>
      <c r="B35" s="92">
        <f>VLOOKUP($A35,'County Data'!$B$11:$D$44,3,FALSE)</f>
        <v>103630</v>
      </c>
      <c r="C35" s="93">
        <f>VLOOKUP($A35,'County Data'!$B$11:$M$44,2,FALSE)</f>
        <v>60000</v>
      </c>
      <c r="D35" s="93">
        <f>VLOOKUP($A35,Population!$B$7:$F$40,4,FALSE)</f>
        <v>0</v>
      </c>
      <c r="E35" s="93">
        <f>VLOOKUP($A35,Burden!$B$6:$H$40,6,FALSE)</f>
        <v>38753.857074490516</v>
      </c>
      <c r="F35" s="93">
        <f>VLOOKUP($A35,'Health Status'!$B$6:$H$40,6,FALSE)</f>
        <v>36686.156373282618</v>
      </c>
      <c r="G35" s="93">
        <f>VLOOKUP($A35,Ethnicity!$B$6:$H$40,6,FALSE)</f>
        <v>52653.588132615376</v>
      </c>
      <c r="H35" s="93">
        <f>VLOOKUP($A35,Poverty!$B$6:$H$40,6,FALSE)</f>
        <v>21039.90573244125</v>
      </c>
      <c r="I35" s="93">
        <f>VLOOKUP($A35,'Income Inequality'!$B$6:$H$40,6,FALSE)</f>
        <v>0</v>
      </c>
      <c r="J35" s="93">
        <f>VLOOKUP($A35,Education!$B$6:$H$40,6,FALSE)</f>
        <v>26496.237352535314</v>
      </c>
      <c r="K35" s="93">
        <f>VLOOKUP($A35,Language!$B$6:$H$40,6,FALSE)</f>
        <v>44177.711898660913</v>
      </c>
      <c r="L35" s="93">
        <f>VLOOKUP($A35,Matching!$B$7:$H$40,6,FALSE)</f>
        <v>0</v>
      </c>
      <c r="M35" s="93">
        <f>VLOOKUP($A35,Incentives!$B$7:$H$40,6,FALSE)</f>
        <v>0</v>
      </c>
      <c r="N35" s="94">
        <f t="shared" si="2"/>
        <v>279807.45656402595</v>
      </c>
      <c r="O35" s="95">
        <f t="shared" si="0"/>
        <v>2.7980745656402597E-2</v>
      </c>
      <c r="P35" s="95">
        <f t="shared" si="1"/>
        <v>2.5818136973400817E-2</v>
      </c>
      <c r="Q35" s="96">
        <f t="shared" si="3"/>
        <v>2.7000623040048821</v>
      </c>
      <c r="T35" s="90"/>
    </row>
    <row r="36" spans="1:20" x14ac:dyDescent="0.25">
      <c r="A36" s="91" t="s">
        <v>40</v>
      </c>
      <c r="B36" s="92">
        <f>VLOOKUP($A36,'County Data'!$B$11:$D$44,3,FALSE)</f>
        <v>109910</v>
      </c>
      <c r="C36" s="93">
        <f>VLOOKUP($A36,'County Data'!$B$11:$M$44,2,FALSE)</f>
        <v>60000</v>
      </c>
      <c r="D36" s="93">
        <f>VLOOKUP($A36,Population!$B$7:$F$40,4,FALSE)</f>
        <v>0</v>
      </c>
      <c r="E36" s="93">
        <f>VLOOKUP($A36,Burden!$B$6:$H$40,6,FALSE)</f>
        <v>63923.6575107592</v>
      </c>
      <c r="F36" s="93">
        <f>VLOOKUP($A36,'Health Status'!$B$6:$H$40,6,FALSE)</f>
        <v>64760.074608027324</v>
      </c>
      <c r="G36" s="93">
        <f>VLOOKUP($A36,Ethnicity!$B$6:$H$40,6,FALSE)</f>
        <v>18240.693699497377</v>
      </c>
      <c r="H36" s="93">
        <f>VLOOKUP($A36,Poverty!$B$6:$H$40,6,FALSE)</f>
        <v>26278.203796199439</v>
      </c>
      <c r="I36" s="93">
        <f>VLOOKUP($A36,'Income Inequality'!$B$6:$H$40,6,FALSE)</f>
        <v>0</v>
      </c>
      <c r="J36" s="93">
        <f>VLOOKUP($A36,Education!$B$6:$H$40,6,FALSE)</f>
        <v>25152.606555372</v>
      </c>
      <c r="K36" s="93">
        <f>VLOOKUP($A36,Language!$B$6:$H$40,6,FALSE)</f>
        <v>7203.0139825830038</v>
      </c>
      <c r="L36" s="93">
        <f>VLOOKUP($A36,Matching!$B$7:$H$40,6,FALSE)</f>
        <v>0</v>
      </c>
      <c r="M36" s="93">
        <f>VLOOKUP($A36,Incentives!$B$7:$H$40,6,FALSE)</f>
        <v>0</v>
      </c>
      <c r="N36" s="94">
        <f t="shared" si="2"/>
        <v>265558.25015243836</v>
      </c>
      <c r="O36" s="95">
        <f t="shared" si="0"/>
        <v>2.6555825015243836E-2</v>
      </c>
      <c r="P36" s="95">
        <f t="shared" si="1"/>
        <v>2.7382721555017694E-2</v>
      </c>
      <c r="Q36" s="96">
        <f t="shared" si="3"/>
        <v>2.4161427545486158</v>
      </c>
      <c r="T36" s="90"/>
    </row>
    <row r="37" spans="1:20" x14ac:dyDescent="0.25">
      <c r="A37" s="91" t="s">
        <v>51</v>
      </c>
      <c r="B37" s="92">
        <f>VLOOKUP($A37,'County Data'!$B$11:$D$44,3,FALSE)</f>
        <v>120860</v>
      </c>
      <c r="C37" s="93">
        <f>VLOOKUP($A37,'County Data'!$B$11:$M$44,2,FALSE)</f>
        <v>60000</v>
      </c>
      <c r="D37" s="93">
        <f>VLOOKUP($A37,Population!$B$7:$F$40,4,FALSE)</f>
        <v>0</v>
      </c>
      <c r="E37" s="93">
        <f>VLOOKUP($A37,Burden!$B$6:$H$40,6,FALSE)</f>
        <v>53922.353567339735</v>
      </c>
      <c r="F37" s="93">
        <f>VLOOKUP($A37,'Health Status'!$B$6:$H$40,6,FALSE)</f>
        <v>54800.945981714052</v>
      </c>
      <c r="G37" s="93">
        <f>VLOOKUP($A37,Ethnicity!$B$6:$H$40,6,FALSE)</f>
        <v>32734.762160513743</v>
      </c>
      <c r="H37" s="93">
        <f>VLOOKUP($A37,Poverty!$B$6:$H$40,6,FALSE)</f>
        <v>28631.157459182519</v>
      </c>
      <c r="I37" s="93">
        <f>VLOOKUP($A37,'Income Inequality'!$B$6:$H$40,6,FALSE)</f>
        <v>0</v>
      </c>
      <c r="J37" s="93">
        <f>VLOOKUP($A37,Education!$B$6:$H$40,6,FALSE)</f>
        <v>24334.839898204209</v>
      </c>
      <c r="K37" s="93">
        <f>VLOOKUP($A37,Language!$B$6:$H$40,6,FALSE)</f>
        <v>19676.82582658347</v>
      </c>
      <c r="L37" s="93">
        <f>VLOOKUP($A37,Matching!$B$7:$H$40,6,FALSE)</f>
        <v>0</v>
      </c>
      <c r="M37" s="93">
        <f>VLOOKUP($A37,Incentives!$B$7:$H$40,6,FALSE)</f>
        <v>0</v>
      </c>
      <c r="N37" s="94">
        <f t="shared" si="2"/>
        <v>274100.88489353773</v>
      </c>
      <c r="O37" s="95">
        <f t="shared" si="0"/>
        <v>2.7410088489353772E-2</v>
      </c>
      <c r="P37" s="95">
        <f t="shared" si="1"/>
        <v>3.0110779065957952E-2</v>
      </c>
      <c r="Q37" s="96">
        <f t="shared" si="3"/>
        <v>2.2679206097429896</v>
      </c>
      <c r="R37" s="96">
        <f>SUM(N31:N37)/SUM(B31:B37)</f>
        <v>2.5665357119832599</v>
      </c>
      <c r="T37" s="90"/>
    </row>
    <row r="38" spans="1:20" x14ac:dyDescent="0.25">
      <c r="A38" s="42" t="s">
        <v>39</v>
      </c>
      <c r="B38" s="43">
        <f>VLOOKUP($A38,'County Data'!$B$11:$D$44,3,FALSE)</f>
        <v>170740</v>
      </c>
      <c r="C38" s="44">
        <f>VLOOKUP($A38,'County Data'!$B$11:$M$44,2,FALSE)</f>
        <v>75000</v>
      </c>
      <c r="D38" s="44">
        <f>VLOOKUP($A38,Population!$B$7:$F$40,4,FALSE)</f>
        <v>0</v>
      </c>
      <c r="E38" s="44">
        <f>VLOOKUP($A38,Burden!$B$6:$H$40,6,FALSE)</f>
        <v>61850.538754583715</v>
      </c>
      <c r="F38" s="44">
        <f>VLOOKUP($A38,'Health Status'!$B$6:$H$40,6,FALSE)</f>
        <v>40571.887420808162</v>
      </c>
      <c r="G38" s="44">
        <f>VLOOKUP($A38,Ethnicity!$B$6:$H$40,6,FALSE)</f>
        <v>43408.165047985611</v>
      </c>
      <c r="H38" s="44">
        <f>VLOOKUP($A38,Poverty!$B$6:$H$40,6,FALSE)</f>
        <v>31154.998629745485</v>
      </c>
      <c r="I38" s="44">
        <f>VLOOKUP($A38,'Income Inequality'!$B$6:$H$40,6,FALSE)</f>
        <v>0</v>
      </c>
      <c r="J38" s="44">
        <f>VLOOKUP($A38,Education!$B$6:$H$40,6,FALSE)</f>
        <v>23423.72480657867</v>
      </c>
      <c r="K38" s="44">
        <f>VLOOKUP($A38,Language!$B$6:$H$40,6,FALSE)</f>
        <v>29362.123661007827</v>
      </c>
      <c r="L38" s="44">
        <f>VLOOKUP($A38,Matching!$B$7:$H$40,6,FALSE)</f>
        <v>0</v>
      </c>
      <c r="M38" s="44">
        <f>VLOOKUP($A38,Incentives!$B$7:$H$40,6,FALSE)</f>
        <v>0</v>
      </c>
      <c r="N38" s="52">
        <f t="shared" si="2"/>
        <v>304771.43832070951</v>
      </c>
      <c r="O38" s="53">
        <f t="shared" si="0"/>
        <v>3.0477143832070952E-2</v>
      </c>
      <c r="P38" s="53">
        <f t="shared" si="1"/>
        <v>4.2537766156889464E-2</v>
      </c>
      <c r="Q38" s="54">
        <f t="shared" si="3"/>
        <v>1.7850031528681591</v>
      </c>
      <c r="T38" s="90"/>
    </row>
    <row r="39" spans="1:20" x14ac:dyDescent="0.25">
      <c r="A39" s="42" t="s">
        <v>44</v>
      </c>
      <c r="B39" s="43">
        <f>VLOOKUP($A39,'County Data'!$B$11:$D$44,3,FALSE)</f>
        <v>210975</v>
      </c>
      <c r="C39" s="44">
        <f>VLOOKUP($A39,'County Data'!$B$11:$M$44,2,FALSE)</f>
        <v>75000</v>
      </c>
      <c r="D39" s="44">
        <f>VLOOKUP($A39,Population!$B$7:$F$40,4,FALSE)</f>
        <v>0</v>
      </c>
      <c r="E39" s="44">
        <f>VLOOKUP($A39,Burden!$B$6:$H$40,6,FALSE)</f>
        <v>96356.528848120026</v>
      </c>
      <c r="F39" s="44">
        <f>VLOOKUP($A39,'Health Status'!$B$6:$H$40,6,FALSE)</f>
        <v>96172.898184956022</v>
      </c>
      <c r="G39" s="44">
        <f>VLOOKUP($A39,Ethnicity!$B$6:$H$40,6,FALSE)</f>
        <v>80526.979235445891</v>
      </c>
      <c r="H39" s="44">
        <f>VLOOKUP($A39,Poverty!$B$6:$H$40,6,FALSE)</f>
        <v>45631.094380978262</v>
      </c>
      <c r="I39" s="44">
        <f>VLOOKUP($A39,'Income Inequality'!$B$6:$H$40,6,FALSE)</f>
        <v>0</v>
      </c>
      <c r="J39" s="44">
        <f>VLOOKUP($A39,Education!$B$6:$H$40,6,FALSE)</f>
        <v>45562.146130846115</v>
      </c>
      <c r="K39" s="44">
        <f>VLOOKUP($A39,Language!$B$6:$H$40,6,FALSE)</f>
        <v>50294.763402102035</v>
      </c>
      <c r="L39" s="44">
        <f>VLOOKUP($A39,Matching!$B$7:$H$40,6,FALSE)</f>
        <v>0</v>
      </c>
      <c r="M39" s="44">
        <f>VLOOKUP($A39,Incentives!$B$7:$H$40,6,FALSE)</f>
        <v>0</v>
      </c>
      <c r="N39" s="52">
        <f t="shared" si="2"/>
        <v>489544.4101824484</v>
      </c>
      <c r="O39" s="53">
        <f t="shared" si="0"/>
        <v>4.8954441018244838E-2</v>
      </c>
      <c r="P39" s="53">
        <f t="shared" si="1"/>
        <v>5.2561820399143463E-2</v>
      </c>
      <c r="Q39" s="54">
        <f t="shared" si="3"/>
        <v>2.3203906158665641</v>
      </c>
      <c r="T39" s="90"/>
    </row>
    <row r="40" spans="1:20" x14ac:dyDescent="0.25">
      <c r="A40" s="42" t="s">
        <v>53</v>
      </c>
      <c r="B40" s="43">
        <f>VLOOKUP($A40,'County Data'!$B$11:$D$44,3,FALSE)</f>
        <v>329770</v>
      </c>
      <c r="C40" s="44">
        <f>VLOOKUP($A40,'County Data'!$B$11:$M$44,2,FALSE)</f>
        <v>75000</v>
      </c>
      <c r="D40" s="44">
        <f>VLOOKUP($A40,Population!$B$7:$F$40,4,FALSE)</f>
        <v>0</v>
      </c>
      <c r="E40" s="44">
        <f>VLOOKUP($A40,Burden!$B$6:$H$40,6,FALSE)</f>
        <v>132122.46414300258</v>
      </c>
      <c r="F40" s="44">
        <f>VLOOKUP($A40,'Health Status'!$B$6:$H$40,6,FALSE)</f>
        <v>170315.6697284008</v>
      </c>
      <c r="G40" s="44">
        <f>VLOOKUP($A40,Ethnicity!$B$6:$H$40,6,FALSE)</f>
        <v>275697.09928437747</v>
      </c>
      <c r="H40" s="44">
        <f>VLOOKUP($A40,Poverty!$B$6:$H$40,6,FALSE)</f>
        <v>76426.991755573734</v>
      </c>
      <c r="I40" s="44">
        <f>VLOOKUP($A40,'Income Inequality'!$B$6:$H$40,6,FALSE)</f>
        <v>0</v>
      </c>
      <c r="J40" s="44">
        <f>VLOOKUP($A40,Education!$B$6:$H$40,6,FALSE)</f>
        <v>104448.70114069112</v>
      </c>
      <c r="K40" s="44">
        <f>VLOOKUP($A40,Language!$B$6:$H$40,6,FALSE)</f>
        <v>238019.86433258522</v>
      </c>
      <c r="L40" s="44">
        <f>VLOOKUP($A40,Matching!$B$7:$H$40,6,FALSE)</f>
        <v>0</v>
      </c>
      <c r="M40" s="44">
        <f>VLOOKUP($A40,Incentives!$B$7:$H$40,6,FALSE)</f>
        <v>0</v>
      </c>
      <c r="N40" s="52">
        <f t="shared" si="2"/>
        <v>1072030.7903846309</v>
      </c>
      <c r="O40" s="53">
        <f t="shared" si="0"/>
        <v>0.10720307903846309</v>
      </c>
      <c r="P40" s="53">
        <f t="shared" si="1"/>
        <v>8.2158130171942359E-2</v>
      </c>
      <c r="Q40" s="54">
        <f t="shared" si="3"/>
        <v>3.2508438923632559</v>
      </c>
      <c r="T40" s="90"/>
    </row>
    <row r="41" spans="1:20" x14ac:dyDescent="0.25">
      <c r="A41" s="42" t="s">
        <v>49</v>
      </c>
      <c r="B41" s="43">
        <f>VLOOKUP($A41,'County Data'!$B$11:$D$44,3,FALSE)</f>
        <v>362150</v>
      </c>
      <c r="C41" s="44">
        <f>VLOOKUP($A41,'County Data'!$B$11:$M$44,2,FALSE)</f>
        <v>75000</v>
      </c>
      <c r="D41" s="44">
        <f>VLOOKUP($A41,Population!$B$7:$F$40,4,FALSE)</f>
        <v>0</v>
      </c>
      <c r="E41" s="44">
        <f>VLOOKUP($A41,Burden!$B$6:$H$40,6,FALSE)</f>
        <v>153749.85524057053</v>
      </c>
      <c r="F41" s="44">
        <f>VLOOKUP($A41,'Health Status'!$B$6:$H$40,6,FALSE)</f>
        <v>144889.29281773083</v>
      </c>
      <c r="G41" s="44">
        <f>VLOOKUP($A41,Ethnicity!$B$6:$H$40,6,FALSE)</f>
        <v>95062.389812255555</v>
      </c>
      <c r="H41" s="44">
        <f>VLOOKUP($A41,Poverty!$B$6:$H$40,6,FALSE)</f>
        <v>89647.461892983512</v>
      </c>
      <c r="I41" s="44">
        <f>VLOOKUP($A41,'Income Inequality'!$B$6:$H$40,6,FALSE)</f>
        <v>0</v>
      </c>
      <c r="J41" s="44">
        <f>VLOOKUP($A41,Education!$B$6:$H$40,6,FALSE)</f>
        <v>62298.106137912524</v>
      </c>
      <c r="K41" s="44">
        <f>VLOOKUP($A41,Language!$B$6:$H$40,6,FALSE)</f>
        <v>71543.723833227312</v>
      </c>
      <c r="L41" s="44">
        <f>VLOOKUP($A41,Matching!$B$7:$H$40,6,FALSE)</f>
        <v>0</v>
      </c>
      <c r="M41" s="44">
        <f>VLOOKUP($A41,Incentives!$B$7:$H$40,6,FALSE)</f>
        <v>0</v>
      </c>
      <c r="N41" s="52">
        <f t="shared" si="2"/>
        <v>692190.82973468024</v>
      </c>
      <c r="O41" s="53">
        <f t="shared" si="0"/>
        <v>6.921908297346803E-2</v>
      </c>
      <c r="P41" s="53">
        <f t="shared" si="1"/>
        <v>9.0225207998814103E-2</v>
      </c>
      <c r="Q41" s="54">
        <f t="shared" si="3"/>
        <v>1.9113373732836676</v>
      </c>
      <c r="R41" s="54">
        <f>SUM(N38:N41)/SUM(B38:B41)</f>
        <v>2.3830607875325129</v>
      </c>
      <c r="T41" s="90"/>
    </row>
    <row r="42" spans="1:20" x14ac:dyDescent="0.25">
      <c r="A42" s="39" t="s">
        <v>33</v>
      </c>
      <c r="B42" s="40">
        <f>VLOOKUP($A42,'County Data'!$B$11:$D$44,3,FALSE)</f>
        <v>397385</v>
      </c>
      <c r="C42" s="41">
        <f>VLOOKUP($A42,'County Data'!$B$11:$M$44,2,FALSE)</f>
        <v>90000</v>
      </c>
      <c r="D42" s="41">
        <f>VLOOKUP($A42,Population!$B$7:$F$40,4,FALSE)</f>
        <v>0</v>
      </c>
      <c r="E42" s="41">
        <f>VLOOKUP($A42,Burden!$B$6:$H$40,6,FALSE)</f>
        <v>137902.5984969066</v>
      </c>
      <c r="F42" s="41">
        <f>VLOOKUP($A42,'Health Status'!$B$6:$H$40,6,FALSE)</f>
        <v>139715.09521543013</v>
      </c>
      <c r="G42" s="41">
        <f>VLOOKUP($A42,Ethnicity!$B$6:$H$40,6,FALSE)</f>
        <v>106736.10267631421</v>
      </c>
      <c r="H42" s="41">
        <f>VLOOKUP($A42,Poverty!$B$6:$H$40,6,FALSE)</f>
        <v>47082.88089880121</v>
      </c>
      <c r="I42" s="41">
        <f>VLOOKUP($A42,'Income Inequality'!$B$6:$H$40,6,FALSE)</f>
        <v>0</v>
      </c>
      <c r="J42" s="41">
        <f>VLOOKUP($A42,Education!$B$6:$H$40,6,FALSE)</f>
        <v>54888.897691765538</v>
      </c>
      <c r="K42" s="41">
        <f>VLOOKUP($A42,Language!$B$6:$H$40,6,FALSE)</f>
        <v>116184.92353109355</v>
      </c>
      <c r="L42" s="41">
        <f>VLOOKUP($A42,Matching!$B$7:$H$40,6,FALSE)</f>
        <v>0</v>
      </c>
      <c r="M42" s="41">
        <f>VLOOKUP($A42,Incentives!$B$7:$H$40,6,FALSE)</f>
        <v>0</v>
      </c>
      <c r="N42" s="61">
        <f t="shared" si="2"/>
        <v>692510.49851031112</v>
      </c>
      <c r="O42" s="62">
        <f t="shared" si="0"/>
        <v>6.9251049851031116E-2</v>
      </c>
      <c r="P42" s="62">
        <f t="shared" si="1"/>
        <v>9.9003573879908172E-2</v>
      </c>
      <c r="Q42" s="63">
        <f t="shared" si="3"/>
        <v>1.7426689445004495</v>
      </c>
      <c r="T42" s="90"/>
    </row>
    <row r="43" spans="1:20" x14ac:dyDescent="0.25">
      <c r="A43" s="39" t="s">
        <v>62</v>
      </c>
      <c r="B43" s="40">
        <f>VLOOKUP($A43,'County Data'!$B$11:$D$44,3,FALSE)</f>
        <v>570510</v>
      </c>
      <c r="C43" s="41">
        <f>VLOOKUP($A43,'County Data'!$B$11:$M$44,2,FALSE)</f>
        <v>90000</v>
      </c>
      <c r="D43" s="41">
        <f>VLOOKUP($A43,Population!$B$7:$F$40,4,FALSE)</f>
        <v>0</v>
      </c>
      <c r="E43" s="41">
        <f>VLOOKUP($A43,Burden!$B$6:$H$40,6,FALSE)</f>
        <v>161259.80505753792</v>
      </c>
      <c r="F43" s="41">
        <f>VLOOKUP($A43,'Health Status'!$B$6:$H$40,6,FALSE)</f>
        <v>182600.11695804197</v>
      </c>
      <c r="G43" s="41">
        <f>VLOOKUP($A43,Ethnicity!$B$6:$H$40,6,FALSE)</f>
        <v>305107.24316214002</v>
      </c>
      <c r="H43" s="41">
        <f>VLOOKUP($A43,Poverty!$B$6:$H$40,6,FALSE)</f>
        <v>81986.765852577053</v>
      </c>
      <c r="I43" s="41">
        <f>VLOOKUP($A43,'Income Inequality'!$B$6:$H$40,6,FALSE)</f>
        <v>0</v>
      </c>
      <c r="J43" s="41">
        <f>VLOOKUP($A43,Education!$B$6:$H$40,6,FALSE)</f>
        <v>103794.8041873178</v>
      </c>
      <c r="K43" s="41">
        <f>VLOOKUP($A43,Language!$B$6:$H$40,6,FALSE)</f>
        <v>357129.69019543921</v>
      </c>
      <c r="L43" s="41">
        <f>VLOOKUP($A43,Matching!$B$7:$H$40,6,FALSE)</f>
        <v>0</v>
      </c>
      <c r="M43" s="41">
        <f>VLOOKUP($A43,Incentives!$B$7:$H$40,6,FALSE)</f>
        <v>0</v>
      </c>
      <c r="N43" s="61">
        <f t="shared" si="2"/>
        <v>1281878.4254130539</v>
      </c>
      <c r="O43" s="62">
        <f t="shared" si="0"/>
        <v>0.12818784254130539</v>
      </c>
      <c r="P43" s="62">
        <f t="shared" si="1"/>
        <v>0.14213553338507093</v>
      </c>
      <c r="Q43" s="63">
        <f t="shared" si="3"/>
        <v>2.2468991348320868</v>
      </c>
      <c r="T43" s="90"/>
    </row>
    <row r="44" spans="1:20" x14ac:dyDescent="0.25">
      <c r="A44" s="39" t="s">
        <v>55</v>
      </c>
      <c r="B44" s="40">
        <f>VLOOKUP($A44,'County Data'!$B$11:$D$44,3,FALSE)</f>
        <v>777490</v>
      </c>
      <c r="C44" s="41">
        <f>VLOOKUP($A44,'County Data'!$B$11:$M$44,2,FALSE)</f>
        <v>90000</v>
      </c>
      <c r="D44" s="41">
        <f>VLOOKUP($A44,Population!$B$7:$F$40,4,FALSE)</f>
        <v>0</v>
      </c>
      <c r="E44" s="41">
        <f>VLOOKUP($A44,Burden!$B$6:$H$40,6,FALSE)</f>
        <v>315095.41646542493</v>
      </c>
      <c r="F44" s="41">
        <f>VLOOKUP($A44,'Health Status'!$B$6:$H$40,6,FALSE)</f>
        <v>309173.68257332913</v>
      </c>
      <c r="G44" s="41">
        <f>VLOOKUP($A44,Ethnicity!$B$6:$H$40,6,FALSE)</f>
        <v>286202.30514035176</v>
      </c>
      <c r="H44" s="41">
        <f>VLOOKUP($A44,Poverty!$B$6:$H$40,6,FALSE)</f>
        <v>174859.00269550862</v>
      </c>
      <c r="I44" s="41">
        <f>VLOOKUP($A44,'Income Inequality'!$B$6:$H$40,6,FALSE)</f>
        <v>0</v>
      </c>
      <c r="J44" s="41">
        <f>VLOOKUP($A44,Education!$B$6:$H$40,6,FALSE)</f>
        <v>149477.79702447768</v>
      </c>
      <c r="K44" s="41">
        <f>VLOOKUP($A44,Language!$B$6:$H$40,6,FALSE)</f>
        <v>465884.59625467868</v>
      </c>
      <c r="L44" s="41">
        <f>VLOOKUP($A44,Matching!$B$7:$H$40,6,FALSE)</f>
        <v>0</v>
      </c>
      <c r="M44" s="41">
        <f>VLOOKUP($A44,Incentives!$B$7:$H$40,6,FALSE)</f>
        <v>0</v>
      </c>
      <c r="N44" s="61">
        <f t="shared" si="2"/>
        <v>1790692.8001537709</v>
      </c>
      <c r="O44" s="62">
        <f t="shared" si="0"/>
        <v>0.17906928001537709</v>
      </c>
      <c r="P44" s="62">
        <f t="shared" si="1"/>
        <v>0.19370204878364761</v>
      </c>
      <c r="Q44" s="63">
        <f t="shared" si="3"/>
        <v>2.3031714879339553</v>
      </c>
      <c r="R44" s="63">
        <f>SUM(N42:N44)/SUM(B42:B44)</f>
        <v>2.1571640205898048</v>
      </c>
      <c r="T44" s="90"/>
    </row>
    <row r="45" spans="1:20" x14ac:dyDescent="0.25">
      <c r="A45" s="5" t="s">
        <v>3</v>
      </c>
      <c r="B45" s="38">
        <f>SUM(B11:B44)</f>
        <v>4013845</v>
      </c>
      <c r="C45" s="8">
        <f>SUM(C11:C44)</f>
        <v>1845000</v>
      </c>
      <c r="D45" s="8">
        <f t="shared" ref="D45:N45" si="4">SUM(D11:D44)</f>
        <v>0</v>
      </c>
      <c r="E45" s="8">
        <f t="shared" si="4"/>
        <v>1631000.0000000002</v>
      </c>
      <c r="F45" s="8">
        <f t="shared" si="4"/>
        <v>1631000.0000000002</v>
      </c>
      <c r="G45" s="8">
        <f t="shared" si="4"/>
        <v>1631000</v>
      </c>
      <c r="H45" s="8">
        <f t="shared" si="4"/>
        <v>815500</v>
      </c>
      <c r="I45" s="8">
        <f t="shared" ref="I45:J45" si="5">SUM(I11:I44)</f>
        <v>0</v>
      </c>
      <c r="J45" s="8">
        <f t="shared" si="5"/>
        <v>815500</v>
      </c>
      <c r="K45" s="8">
        <f t="shared" si="4"/>
        <v>1631000.0000000002</v>
      </c>
      <c r="L45" s="8">
        <f t="shared" si="4"/>
        <v>0</v>
      </c>
      <c r="M45" s="8">
        <f t="shared" si="4"/>
        <v>0</v>
      </c>
      <c r="N45" s="8">
        <f t="shared" si="4"/>
        <v>10000000</v>
      </c>
      <c r="O45" s="33">
        <f>SUM(O11:O44)</f>
        <v>0.99999999999999978</v>
      </c>
      <c r="P45" s="33">
        <f>SUM(P11:P44)</f>
        <v>1</v>
      </c>
      <c r="Q45" s="32">
        <f>N45/B45</f>
        <v>2.4913767223198704</v>
      </c>
      <c r="R45" s="32">
        <f>N45/B45</f>
        <v>2.4913767223198704</v>
      </c>
    </row>
    <row r="46" spans="1:20" x14ac:dyDescent="0.25">
      <c r="N46" s="90"/>
    </row>
    <row r="47" spans="1:20" ht="17.25" x14ac:dyDescent="0.25">
      <c r="A47" s="37" t="s">
        <v>25</v>
      </c>
      <c r="B47" s="37"/>
    </row>
    <row r="48" spans="1:20" ht="17.25" x14ac:dyDescent="0.25">
      <c r="A48" s="37" t="s">
        <v>27</v>
      </c>
      <c r="B48" s="37"/>
    </row>
    <row r="49" spans="1:16" ht="17.25" x14ac:dyDescent="0.25">
      <c r="A49" s="37" t="s">
        <v>26</v>
      </c>
      <c r="B49" s="37"/>
    </row>
    <row r="50" spans="1:16" ht="17.25" x14ac:dyDescent="0.25">
      <c r="A50" s="65" t="s">
        <v>92</v>
      </c>
      <c r="B50" s="65"/>
      <c r="C50" s="65"/>
      <c r="D50" s="65"/>
      <c r="E50" s="65"/>
      <c r="F50" s="65"/>
      <c r="G50" s="65"/>
      <c r="H50" s="65"/>
      <c r="I50" s="65"/>
      <c r="J50" s="65"/>
      <c r="K50" s="65"/>
      <c r="L50" s="65"/>
      <c r="M50" s="65"/>
      <c r="N50" s="65"/>
      <c r="O50" s="65"/>
      <c r="P50" s="65"/>
    </row>
    <row r="51" spans="1:16" ht="48.75" customHeight="1" x14ac:dyDescent="0.25">
      <c r="A51" s="103" t="s">
        <v>95</v>
      </c>
      <c r="B51" s="103"/>
      <c r="C51" s="103"/>
      <c r="D51" s="103"/>
      <c r="E51" s="103"/>
      <c r="F51" s="103"/>
      <c r="G51" s="103"/>
      <c r="H51" s="103"/>
      <c r="I51" s="103"/>
      <c r="J51" s="103"/>
      <c r="K51" s="103"/>
      <c r="L51" s="103"/>
      <c r="M51" s="103"/>
      <c r="N51" s="103"/>
      <c r="O51" s="103"/>
      <c r="P51" s="103"/>
    </row>
    <row r="52" spans="1:16" ht="17.25" x14ac:dyDescent="0.25">
      <c r="A52" s="104" t="s">
        <v>96</v>
      </c>
      <c r="B52" s="104"/>
      <c r="C52" s="104"/>
      <c r="D52" s="104"/>
      <c r="E52" s="104"/>
      <c r="F52" s="104"/>
      <c r="G52" s="104"/>
      <c r="H52" s="104"/>
      <c r="I52" s="104"/>
      <c r="J52" s="104"/>
      <c r="K52" s="104"/>
      <c r="L52" s="104"/>
      <c r="M52" s="104"/>
      <c r="N52" s="104"/>
      <c r="O52" s="104"/>
      <c r="P52" s="104"/>
    </row>
    <row r="53" spans="1:16" ht="17.25" x14ac:dyDescent="0.25">
      <c r="A53" s="104" t="s">
        <v>100</v>
      </c>
      <c r="B53" s="104"/>
      <c r="C53" s="104"/>
      <c r="D53" s="104"/>
      <c r="E53" s="104"/>
      <c r="F53" s="104"/>
      <c r="G53" s="104"/>
      <c r="H53" s="104"/>
      <c r="I53" s="104"/>
      <c r="J53" s="104"/>
      <c r="K53" s="104"/>
      <c r="L53" s="104"/>
      <c r="M53" s="104"/>
      <c r="N53" s="104"/>
      <c r="O53" s="104"/>
      <c r="P53" s="104"/>
    </row>
  </sheetData>
  <sortState ref="T11:U44">
    <sortCondition ref="U11:U44"/>
  </sortState>
  <mergeCells count="4">
    <mergeCell ref="A51:P51"/>
    <mergeCell ref="A52:P52"/>
    <mergeCell ref="A53:P53"/>
    <mergeCell ref="A9:R9"/>
  </mergeCells>
  <pageMargins left="0.7" right="0.7" top="0.75" bottom="0.75" header="0.3" footer="0.3"/>
  <pageSetup paperSize="5"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6"/>
  <sheetViews>
    <sheetView zoomScaleNormal="100" workbookViewId="0"/>
  </sheetViews>
  <sheetFormatPr defaultRowHeight="15" x14ac:dyDescent="0.25"/>
  <cols>
    <col min="2" max="2" width="17.42578125" bestFit="1" customWidth="1"/>
    <col min="3" max="3" width="15.5703125" bestFit="1" customWidth="1"/>
    <col min="4" max="4" width="14.85546875" bestFit="1" customWidth="1"/>
    <col min="5" max="5" width="12.5703125" bestFit="1" customWidth="1"/>
    <col min="6" max="6" width="11.140625" bestFit="1" customWidth="1"/>
    <col min="7" max="7" width="13.5703125" bestFit="1" customWidth="1"/>
    <col min="8" max="8" width="16.85546875" bestFit="1" customWidth="1"/>
    <col min="9" max="9" width="10" hidden="1" customWidth="1"/>
    <col min="10" max="10" width="11.28515625" bestFit="1" customWidth="1"/>
    <col min="11" max="11" width="14.5703125" bestFit="1" customWidth="1"/>
    <col min="12" max="12" width="14.5703125" hidden="1" customWidth="1"/>
    <col min="13" max="13" width="14.28515625" hidden="1" customWidth="1"/>
    <col min="15" max="15" width="9" customWidth="1"/>
  </cols>
  <sheetData>
    <row r="1" spans="2:14" ht="18.75" x14ac:dyDescent="0.3">
      <c r="B1" s="36" t="s">
        <v>103</v>
      </c>
    </row>
    <row r="2" spans="2:14" ht="15.75" x14ac:dyDescent="0.25">
      <c r="B2" s="35" t="s">
        <v>104</v>
      </c>
    </row>
    <row r="3" spans="2:14" ht="15.75" x14ac:dyDescent="0.25">
      <c r="B3" s="35"/>
    </row>
    <row r="4" spans="2:14" ht="15.75" x14ac:dyDescent="0.25">
      <c r="B4" s="35"/>
    </row>
    <row r="5" spans="2:14" ht="15" customHeight="1" x14ac:dyDescent="0.25"/>
    <row r="6" spans="2:14" x14ac:dyDescent="0.25">
      <c r="B6" t="s">
        <v>66</v>
      </c>
      <c r="C6" s="11">
        <f>Input!C5</f>
        <v>10000000</v>
      </c>
    </row>
    <row r="7" spans="2:14" x14ac:dyDescent="0.25">
      <c r="E7" s="69"/>
      <c r="F7" s="69"/>
      <c r="G7" s="69"/>
      <c r="H7" s="69"/>
      <c r="I7" s="69"/>
      <c r="J7" s="69"/>
      <c r="K7" s="69"/>
      <c r="L7" s="69"/>
      <c r="M7" s="69"/>
    </row>
    <row r="8" spans="2:14" s="2" customFormat="1" ht="30" x14ac:dyDescent="0.25">
      <c r="B8" s="15" t="s">
        <v>8</v>
      </c>
      <c r="C8" s="15" t="s">
        <v>65</v>
      </c>
      <c r="D8" s="15" t="s">
        <v>1</v>
      </c>
      <c r="E8" s="15" t="s">
        <v>9</v>
      </c>
      <c r="F8" s="15" t="s">
        <v>10</v>
      </c>
      <c r="G8" s="15" t="s">
        <v>28</v>
      </c>
      <c r="H8" s="15" t="s">
        <v>29</v>
      </c>
      <c r="I8" s="15" t="s">
        <v>87</v>
      </c>
      <c r="J8" s="15" t="s">
        <v>101</v>
      </c>
      <c r="K8" s="15" t="s">
        <v>30</v>
      </c>
      <c r="L8" s="15" t="s">
        <v>11</v>
      </c>
      <c r="M8" s="15" t="s">
        <v>12</v>
      </c>
    </row>
    <row r="9" spans="2:14" x14ac:dyDescent="0.25">
      <c r="B9" s="19" t="s">
        <v>13</v>
      </c>
      <c r="C9" s="19"/>
      <c r="D9" s="78">
        <f>Input!C13</f>
        <v>0</v>
      </c>
      <c r="E9" s="78">
        <f>Input!C14</f>
        <v>0.2</v>
      </c>
      <c r="F9" s="78">
        <f>Input!C15</f>
        <v>0.2</v>
      </c>
      <c r="G9" s="78">
        <f>Input!C16</f>
        <v>0.2</v>
      </c>
      <c r="H9" s="78">
        <f>Input!C17</f>
        <v>0.1</v>
      </c>
      <c r="I9" s="78">
        <f>Input!C18</f>
        <v>0</v>
      </c>
      <c r="J9" s="78">
        <f>Input!C19</f>
        <v>0.1</v>
      </c>
      <c r="K9" s="78">
        <f>Input!C20</f>
        <v>0.2</v>
      </c>
      <c r="L9" s="78">
        <f>Input!C21</f>
        <v>0</v>
      </c>
      <c r="M9" s="78">
        <f>Input!C22</f>
        <v>0</v>
      </c>
      <c r="N9" s="34">
        <f>1-SUM(D9:M9)</f>
        <v>0</v>
      </c>
    </row>
    <row r="10" spans="2:14" x14ac:dyDescent="0.25">
      <c r="B10" s="19" t="s">
        <v>14</v>
      </c>
      <c r="C10" s="19"/>
      <c r="D10" s="16">
        <f>($C$6-$C$45)*D9</f>
        <v>0</v>
      </c>
      <c r="E10" s="16">
        <f>($C$6-$C$45)*E9</f>
        <v>1631000</v>
      </c>
      <c r="F10" s="16">
        <f>($C$6-$C$45)*F9</f>
        <v>1631000</v>
      </c>
      <c r="G10" s="16">
        <f t="shared" ref="G10:K10" si="0">($C$6-$C$45)*G9</f>
        <v>1631000</v>
      </c>
      <c r="H10" s="16">
        <f t="shared" si="0"/>
        <v>815500</v>
      </c>
      <c r="I10" s="16">
        <f t="shared" ref="I10:J10" si="1">($C$6-$C$45)*I9</f>
        <v>0</v>
      </c>
      <c r="J10" s="16">
        <f t="shared" si="1"/>
        <v>815500</v>
      </c>
      <c r="K10" s="16">
        <f t="shared" si="0"/>
        <v>1631000</v>
      </c>
      <c r="L10" s="16">
        <f t="shared" ref="L10" si="2">($C$6-$C$45)*L9</f>
        <v>0</v>
      </c>
      <c r="M10" s="16">
        <f t="shared" ref="M10" si="3">($C$6-$C$45)*M9</f>
        <v>0</v>
      </c>
    </row>
    <row r="11" spans="2:14" x14ac:dyDescent="0.25">
      <c r="B11" s="28" t="s">
        <v>31</v>
      </c>
      <c r="C11" s="70">
        <f>Input!$C$6</f>
        <v>30000</v>
      </c>
      <c r="D11" s="84">
        <v>16425</v>
      </c>
      <c r="E11" s="85">
        <v>8.2643250000000001E-2</v>
      </c>
      <c r="F11" s="85">
        <v>0.83900000000000008</v>
      </c>
      <c r="G11" s="85">
        <v>3.6575487569318964E-2</v>
      </c>
      <c r="H11" s="85">
        <v>0.18330974134603012</v>
      </c>
      <c r="I11" s="85">
        <v>0.45739999999999997</v>
      </c>
      <c r="J11" s="85">
        <v>0.10209778379292844</v>
      </c>
      <c r="K11" s="85">
        <v>9.8090504839131575E-3</v>
      </c>
      <c r="L11" s="21" t="s">
        <v>5</v>
      </c>
      <c r="M11" s="22" t="s">
        <v>5</v>
      </c>
      <c r="N11" s="9"/>
    </row>
    <row r="12" spans="2:14" x14ac:dyDescent="0.25">
      <c r="B12" s="29" t="s">
        <v>32</v>
      </c>
      <c r="C12" s="72">
        <f>Input!$C$8</f>
        <v>60000</v>
      </c>
      <c r="D12" s="86">
        <v>90005</v>
      </c>
      <c r="E12" s="87">
        <v>4.3370079999999998E-2</v>
      </c>
      <c r="F12" s="87">
        <v>0.85</v>
      </c>
      <c r="G12" s="87">
        <v>6.7275728200478876E-2</v>
      </c>
      <c r="H12" s="87">
        <v>0.2266198138215893</v>
      </c>
      <c r="I12" s="87">
        <v>0.48480000000000001</v>
      </c>
      <c r="J12" s="87">
        <v>5.4121808076489565E-2</v>
      </c>
      <c r="K12" s="87">
        <v>3.3516133770748663E-2</v>
      </c>
      <c r="L12" s="23" t="s">
        <v>5</v>
      </c>
      <c r="M12" s="24" t="s">
        <v>5</v>
      </c>
      <c r="N12" s="9"/>
    </row>
    <row r="13" spans="2:14" x14ac:dyDescent="0.25">
      <c r="B13" s="29" t="s">
        <v>33</v>
      </c>
      <c r="C13" s="72">
        <f>Input!$C$10</f>
        <v>90000</v>
      </c>
      <c r="D13" s="86">
        <v>397385</v>
      </c>
      <c r="E13" s="87">
        <v>5.4314880000000003E-2</v>
      </c>
      <c r="F13" s="87">
        <v>0.85499999999999998</v>
      </c>
      <c r="G13" s="87">
        <v>8.0411336714349219E-2</v>
      </c>
      <c r="H13" s="87">
        <v>9.748827170356944E-2</v>
      </c>
      <c r="I13" s="87">
        <v>0.44109999999999999</v>
      </c>
      <c r="J13" s="87">
        <v>7.1669084322317347E-2</v>
      </c>
      <c r="K13" s="87">
        <v>4.5398369781982216E-2</v>
      </c>
      <c r="L13" s="23" t="s">
        <v>5</v>
      </c>
      <c r="M13" s="24" t="s">
        <v>5</v>
      </c>
      <c r="N13" s="9"/>
    </row>
    <row r="14" spans="2:14" x14ac:dyDescent="0.25">
      <c r="B14" s="29" t="s">
        <v>34</v>
      </c>
      <c r="C14" s="72">
        <f>Input!$C$7</f>
        <v>45000</v>
      </c>
      <c r="D14" s="86">
        <v>37750</v>
      </c>
      <c r="E14" s="87">
        <v>8.4737309999999996E-2</v>
      </c>
      <c r="F14" s="87">
        <v>0.82599999999999996</v>
      </c>
      <c r="G14" s="87">
        <v>7.9116983564292614E-2</v>
      </c>
      <c r="H14" s="87">
        <v>0.15771425436190059</v>
      </c>
      <c r="I14" s="87">
        <v>0.43290000000000001</v>
      </c>
      <c r="J14" s="87">
        <v>9.1089702740188183E-2</v>
      </c>
      <c r="K14" s="87">
        <v>3.0486936205373679E-2</v>
      </c>
      <c r="L14" s="23" t="s">
        <v>5</v>
      </c>
      <c r="M14" s="24" t="s">
        <v>5</v>
      </c>
      <c r="N14" s="9"/>
    </row>
    <row r="15" spans="2:14" x14ac:dyDescent="0.25">
      <c r="B15" s="29" t="s">
        <v>35</v>
      </c>
      <c r="C15" s="72">
        <f>Input!$C$7</f>
        <v>45000</v>
      </c>
      <c r="D15" s="86">
        <v>50390</v>
      </c>
      <c r="E15" s="87">
        <v>7.2537920000000006E-2</v>
      </c>
      <c r="F15" s="87">
        <v>0.79</v>
      </c>
      <c r="G15" s="87">
        <v>4.3993917891535735E-2</v>
      </c>
      <c r="H15" s="87">
        <v>0.13149207520862807</v>
      </c>
      <c r="I15" s="87">
        <v>0.4219</v>
      </c>
      <c r="J15" s="87">
        <v>0.10356664921161343</v>
      </c>
      <c r="K15" s="87">
        <v>1.1346542313147375E-2</v>
      </c>
      <c r="L15" s="23" t="s">
        <v>5</v>
      </c>
      <c r="M15" s="24" t="s">
        <v>5</v>
      </c>
      <c r="N15" s="9"/>
    </row>
    <row r="16" spans="2:14" x14ac:dyDescent="0.25">
      <c r="B16" s="29" t="s">
        <v>36</v>
      </c>
      <c r="C16" s="72">
        <f>Input!$C$7</f>
        <v>45000</v>
      </c>
      <c r="D16" s="86">
        <v>62990</v>
      </c>
      <c r="E16" s="87">
        <v>9.5274810000000001E-2</v>
      </c>
      <c r="F16" s="87">
        <v>0.82</v>
      </c>
      <c r="G16" s="87">
        <v>5.7213057213057215E-2</v>
      </c>
      <c r="H16" s="87">
        <v>0.18003089682087975</v>
      </c>
      <c r="I16" s="87">
        <v>0.4662</v>
      </c>
      <c r="J16" s="87">
        <v>0.11379422265498215</v>
      </c>
      <c r="K16" s="87">
        <v>1.33518496829354E-2</v>
      </c>
      <c r="L16" s="23" t="s">
        <v>5</v>
      </c>
      <c r="M16" s="24" t="s">
        <v>5</v>
      </c>
      <c r="N16" s="9"/>
    </row>
    <row r="17" spans="2:14" x14ac:dyDescent="0.25">
      <c r="B17" s="29" t="s">
        <v>37</v>
      </c>
      <c r="C17" s="72">
        <f>Input!$C$7</f>
        <v>45000</v>
      </c>
      <c r="D17" s="86">
        <v>21085</v>
      </c>
      <c r="E17" s="87">
        <v>7.2055850000000005E-2</v>
      </c>
      <c r="F17" s="87">
        <v>0.84599999999999997</v>
      </c>
      <c r="G17" s="87">
        <v>7.2747379555726507E-2</v>
      </c>
      <c r="H17" s="87">
        <v>0.20790735985270603</v>
      </c>
      <c r="I17" s="87">
        <v>0.42049999999999998</v>
      </c>
      <c r="J17" s="87">
        <v>0.15239770654156892</v>
      </c>
      <c r="K17" s="87">
        <v>1.997702641961744E-2</v>
      </c>
      <c r="L17" s="23" t="s">
        <v>5</v>
      </c>
      <c r="M17" s="24" t="s">
        <v>5</v>
      </c>
      <c r="N17" s="9"/>
    </row>
    <row r="18" spans="2:14" x14ac:dyDescent="0.25">
      <c r="B18" s="29" t="s">
        <v>38</v>
      </c>
      <c r="C18" s="72">
        <f>Input!$C$7</f>
        <v>45000</v>
      </c>
      <c r="D18" s="86">
        <v>22470</v>
      </c>
      <c r="E18" s="87">
        <v>0.10643657999999999</v>
      </c>
      <c r="F18" s="87">
        <v>0.747</v>
      </c>
      <c r="G18" s="87">
        <v>6.0203213822120766E-2</v>
      </c>
      <c r="H18" s="87">
        <v>0.15369342538694103</v>
      </c>
      <c r="I18" s="87">
        <v>0.41810000000000003</v>
      </c>
      <c r="J18" s="87">
        <v>9.2041640593890431E-2</v>
      </c>
      <c r="K18" s="87">
        <v>1.0719112643892435E-2</v>
      </c>
      <c r="L18" s="23" t="s">
        <v>5</v>
      </c>
      <c r="M18" s="24" t="s">
        <v>5</v>
      </c>
      <c r="N18" s="9"/>
    </row>
    <row r="19" spans="2:14" x14ac:dyDescent="0.25">
      <c r="B19" s="29" t="s">
        <v>39</v>
      </c>
      <c r="C19" s="72">
        <f>Input!$C$9</f>
        <v>75000</v>
      </c>
      <c r="D19" s="86">
        <v>170740</v>
      </c>
      <c r="E19" s="87">
        <v>5.6697780000000003E-2</v>
      </c>
      <c r="F19" s="87">
        <v>0.90200000000000002</v>
      </c>
      <c r="G19" s="87">
        <v>7.611207483097443E-2</v>
      </c>
      <c r="H19" s="87">
        <v>0.15013891461381737</v>
      </c>
      <c r="I19" s="87">
        <v>0.46510000000000001</v>
      </c>
      <c r="J19" s="87">
        <v>7.1183525999009886E-2</v>
      </c>
      <c r="K19" s="87">
        <v>2.670263612386703E-2</v>
      </c>
      <c r="L19" s="23" t="s">
        <v>5</v>
      </c>
      <c r="M19" s="24" t="s">
        <v>5</v>
      </c>
      <c r="N19" s="9"/>
    </row>
    <row r="20" spans="2:14" x14ac:dyDescent="0.25">
      <c r="B20" s="29" t="s">
        <v>40</v>
      </c>
      <c r="C20" s="72">
        <f>Input!$C$8</f>
        <v>60000</v>
      </c>
      <c r="D20" s="86">
        <v>109910</v>
      </c>
      <c r="E20" s="87">
        <v>9.1029519999999989E-2</v>
      </c>
      <c r="F20" s="87">
        <v>0.75700000000000001</v>
      </c>
      <c r="G20" s="87">
        <v>4.96845720258315E-2</v>
      </c>
      <c r="H20" s="87">
        <v>0.19672487637921091</v>
      </c>
      <c r="I20" s="87">
        <v>0.42309999999999998</v>
      </c>
      <c r="J20" s="87">
        <v>0.11874206740939219</v>
      </c>
      <c r="K20" s="87">
        <v>1.0176044590112456E-2</v>
      </c>
      <c r="L20" s="23" t="s">
        <v>5</v>
      </c>
      <c r="M20" s="24" t="s">
        <v>5</v>
      </c>
      <c r="N20" s="9"/>
    </row>
    <row r="21" spans="2:14" x14ac:dyDescent="0.25">
      <c r="B21" s="29" t="s">
        <v>41</v>
      </c>
      <c r="C21" s="72">
        <f>Input!$C$6</f>
        <v>30000</v>
      </c>
      <c r="D21" s="86">
        <v>7430</v>
      </c>
      <c r="E21" s="87">
        <v>5.8698729999999998E-2</v>
      </c>
      <c r="F21" s="87">
        <v>0.90799999999999992</v>
      </c>
      <c r="G21" s="87">
        <v>3.2491467576791812E-2</v>
      </c>
      <c r="H21" s="87">
        <v>0.15435776638492449</v>
      </c>
      <c r="I21" s="87">
        <v>0.43909999999999999</v>
      </c>
      <c r="J21" s="87">
        <v>0.12086122670526506</v>
      </c>
      <c r="K21" s="87">
        <v>5.9743954480796588E-3</v>
      </c>
      <c r="L21" s="23" t="s">
        <v>5</v>
      </c>
      <c r="M21" s="24" t="s">
        <v>5</v>
      </c>
      <c r="N21" s="9"/>
    </row>
    <row r="22" spans="2:14" x14ac:dyDescent="0.25">
      <c r="B22" s="29" t="s">
        <v>42</v>
      </c>
      <c r="C22" s="72">
        <f>Input!$C$6</f>
        <v>30000</v>
      </c>
      <c r="D22" s="86">
        <v>7295</v>
      </c>
      <c r="E22" s="87">
        <v>9.9806790000000006E-2</v>
      </c>
      <c r="F22" s="87">
        <v>0.75</v>
      </c>
      <c r="G22" s="87">
        <v>4.4257548600579073E-2</v>
      </c>
      <c r="H22" s="87">
        <v>0.21111577768444631</v>
      </c>
      <c r="I22" s="87">
        <v>0.42320000000000002</v>
      </c>
      <c r="J22" s="87">
        <v>0.12339282287468815</v>
      </c>
      <c r="K22" s="87">
        <v>5.7430007178750899E-3</v>
      </c>
      <c r="L22" s="23" t="s">
        <v>5</v>
      </c>
      <c r="M22" s="24" t="s">
        <v>5</v>
      </c>
      <c r="N22" s="9"/>
    </row>
    <row r="23" spans="2:14" x14ac:dyDescent="0.25">
      <c r="B23" s="29" t="s">
        <v>43</v>
      </c>
      <c r="C23" s="72">
        <f>Input!$C$7</f>
        <v>45000</v>
      </c>
      <c r="D23" s="86">
        <v>24245</v>
      </c>
      <c r="E23" s="87">
        <v>4.9436440000000005E-2</v>
      </c>
      <c r="F23" s="87">
        <v>0.85599999999999998</v>
      </c>
      <c r="G23" s="87">
        <v>0.30265251989389919</v>
      </c>
      <c r="H23" s="87">
        <v>0.15661570192350804</v>
      </c>
      <c r="I23" s="87">
        <v>0.40910000000000002</v>
      </c>
      <c r="J23" s="87">
        <v>0.17770704860420397</v>
      </c>
      <c r="K23" s="87">
        <v>0.1747820642489043</v>
      </c>
      <c r="L23" s="23" t="s">
        <v>5</v>
      </c>
      <c r="M23" s="24" t="s">
        <v>5</v>
      </c>
      <c r="N23" s="9"/>
    </row>
    <row r="24" spans="2:14" x14ac:dyDescent="0.25">
      <c r="B24" s="29" t="s">
        <v>44</v>
      </c>
      <c r="C24" s="72">
        <f>Input!$C$9</f>
        <v>75000</v>
      </c>
      <c r="D24" s="86">
        <v>210975</v>
      </c>
      <c r="E24" s="87">
        <v>7.148386000000001E-2</v>
      </c>
      <c r="F24" s="87">
        <v>0.81200000000000006</v>
      </c>
      <c r="G24" s="87">
        <v>0.11426884109534667</v>
      </c>
      <c r="H24" s="87">
        <v>0.17796340298361218</v>
      </c>
      <c r="I24" s="87">
        <v>0.4511</v>
      </c>
      <c r="J24" s="87">
        <v>0.11205519444750468</v>
      </c>
      <c r="K24" s="87">
        <v>3.7016361283859926E-2</v>
      </c>
      <c r="L24" s="23" t="s">
        <v>5</v>
      </c>
      <c r="M24" s="24" t="s">
        <v>5</v>
      </c>
      <c r="N24" s="9"/>
    </row>
    <row r="25" spans="2:14" x14ac:dyDescent="0.25">
      <c r="B25" s="29" t="s">
        <v>45</v>
      </c>
      <c r="C25" s="72">
        <f>Input!$C$7</f>
        <v>45000</v>
      </c>
      <c r="D25" s="86">
        <v>22445</v>
      </c>
      <c r="E25" s="87">
        <v>9.6666370000000001E-2</v>
      </c>
      <c r="F25" s="87">
        <v>0.79299999999999993</v>
      </c>
      <c r="G25" s="87">
        <v>0.19468621163536418</v>
      </c>
      <c r="H25" s="87">
        <v>0.20853554096488724</v>
      </c>
      <c r="I25" s="87">
        <v>0.4234</v>
      </c>
      <c r="J25" s="87">
        <v>0.15649301493359025</v>
      </c>
      <c r="K25" s="87">
        <v>6.6293415250458301E-2</v>
      </c>
      <c r="L25" s="23" t="s">
        <v>5</v>
      </c>
      <c r="M25" s="24" t="s">
        <v>5</v>
      </c>
      <c r="N25" s="9"/>
    </row>
    <row r="26" spans="2:14" x14ac:dyDescent="0.25">
      <c r="B26" s="29" t="s">
        <v>46</v>
      </c>
      <c r="C26" s="72">
        <f>Input!$C$8</f>
        <v>60000</v>
      </c>
      <c r="D26" s="86">
        <v>83720</v>
      </c>
      <c r="E26" s="87">
        <v>9.1008860000000011E-2</v>
      </c>
      <c r="F26" s="87">
        <v>0.82599999999999996</v>
      </c>
      <c r="G26" s="87">
        <v>6.6838510738246953E-2</v>
      </c>
      <c r="H26" s="87">
        <v>0.19677246355614061</v>
      </c>
      <c r="I26" s="87">
        <v>0.47549999999999998</v>
      </c>
      <c r="J26" s="87">
        <v>0.1132868058082228</v>
      </c>
      <c r="K26" s="87">
        <v>1.1807308800652845E-2</v>
      </c>
      <c r="L26" s="23" t="s">
        <v>5</v>
      </c>
      <c r="M26" s="24" t="s">
        <v>5</v>
      </c>
      <c r="N26" s="9"/>
    </row>
    <row r="27" spans="2:14" x14ac:dyDescent="0.25">
      <c r="B27" s="29" t="s">
        <v>47</v>
      </c>
      <c r="C27" s="72">
        <f>Input!$C$7</f>
        <v>45000</v>
      </c>
      <c r="D27" s="86">
        <v>67110</v>
      </c>
      <c r="E27" s="87">
        <v>9.1346029999999995E-2</v>
      </c>
      <c r="F27" s="87">
        <v>0.7659999999999999</v>
      </c>
      <c r="G27" s="87">
        <v>0.11207092521027506</v>
      </c>
      <c r="H27" s="87">
        <v>0.18588746322453442</v>
      </c>
      <c r="I27" s="87">
        <v>0.436</v>
      </c>
      <c r="J27" s="87">
        <v>0.12604175804895165</v>
      </c>
      <c r="K27" s="87">
        <v>3.5354020559131519E-2</v>
      </c>
      <c r="L27" s="23" t="s">
        <v>5</v>
      </c>
      <c r="M27" s="24" t="s">
        <v>5</v>
      </c>
      <c r="N27" s="9"/>
    </row>
    <row r="28" spans="2:14" x14ac:dyDescent="0.25">
      <c r="B28" s="29" t="s">
        <v>48</v>
      </c>
      <c r="C28" s="72">
        <f>Input!$C$6</f>
        <v>30000</v>
      </c>
      <c r="D28" s="86">
        <v>8010</v>
      </c>
      <c r="E28" s="87">
        <v>7.801319000000001E-2</v>
      </c>
      <c r="F28" s="87">
        <v>0.89500000000000002</v>
      </c>
      <c r="G28" s="87">
        <v>7.4484339190221543E-2</v>
      </c>
      <c r="H28" s="87">
        <v>0.17800622210198835</v>
      </c>
      <c r="I28" s="87">
        <v>0.4617</v>
      </c>
      <c r="J28" s="87">
        <v>0.14508210597596072</v>
      </c>
      <c r="K28" s="87">
        <v>2.0015801948907033E-2</v>
      </c>
      <c r="L28" s="23" t="s">
        <v>5</v>
      </c>
      <c r="M28" s="24" t="s">
        <v>5</v>
      </c>
      <c r="N28" s="9"/>
    </row>
    <row r="29" spans="2:14" x14ac:dyDescent="0.25">
      <c r="B29" s="29" t="s">
        <v>49</v>
      </c>
      <c r="C29" s="72">
        <f>Input!$C$9</f>
        <v>75000</v>
      </c>
      <c r="D29" s="86">
        <v>362150</v>
      </c>
      <c r="E29" s="87">
        <v>6.644833E-2</v>
      </c>
      <c r="F29" s="87">
        <v>0.83499999999999996</v>
      </c>
      <c r="G29" s="87">
        <v>7.8584636547113007E-2</v>
      </c>
      <c r="H29" s="87">
        <v>0.20368090748548978</v>
      </c>
      <c r="I29" s="87">
        <v>0.4667</v>
      </c>
      <c r="J29" s="87">
        <v>8.9257593035835872E-2</v>
      </c>
      <c r="K29" s="87">
        <v>3.0675030495206184E-2</v>
      </c>
      <c r="L29" s="23" t="s">
        <v>5</v>
      </c>
      <c r="M29" s="24" t="s">
        <v>5</v>
      </c>
      <c r="N29" s="9"/>
    </row>
    <row r="30" spans="2:14" x14ac:dyDescent="0.25">
      <c r="B30" s="29" t="s">
        <v>50</v>
      </c>
      <c r="C30" s="72">
        <f>Input!$C$7</f>
        <v>45000</v>
      </c>
      <c r="D30" s="86">
        <v>47225</v>
      </c>
      <c r="E30" s="87">
        <v>9.5811949999999993E-2</v>
      </c>
      <c r="F30" s="87">
        <v>0.80900000000000005</v>
      </c>
      <c r="G30" s="87">
        <v>8.2535003684598374E-2</v>
      </c>
      <c r="H30" s="87">
        <v>0.17109332163614432</v>
      </c>
      <c r="I30" s="87">
        <v>0.43269999999999997</v>
      </c>
      <c r="J30" s="87">
        <v>0.11595523535609534</v>
      </c>
      <c r="K30" s="87">
        <v>3.1207846544273988E-2</v>
      </c>
      <c r="L30" s="23" t="s">
        <v>5</v>
      </c>
      <c r="M30" s="24" t="s">
        <v>5</v>
      </c>
      <c r="N30" s="9"/>
    </row>
    <row r="31" spans="2:14" x14ac:dyDescent="0.25">
      <c r="B31" s="29" t="s">
        <v>51</v>
      </c>
      <c r="C31" s="72">
        <f>Input!$C$8</f>
        <v>60000</v>
      </c>
      <c r="D31" s="86">
        <v>120860</v>
      </c>
      <c r="E31" s="87">
        <v>6.983033000000001E-2</v>
      </c>
      <c r="F31" s="87">
        <v>0.81299999999999994</v>
      </c>
      <c r="G31" s="87">
        <v>8.1085651475437559E-2</v>
      </c>
      <c r="H31" s="87">
        <v>0.19492032553686225</v>
      </c>
      <c r="I31" s="87">
        <v>0.40699999999999997</v>
      </c>
      <c r="J31" s="87">
        <v>0.1044731573253081</v>
      </c>
      <c r="K31" s="87">
        <v>2.527984476967151E-2</v>
      </c>
      <c r="L31" s="23" t="s">
        <v>5</v>
      </c>
      <c r="M31" s="24" t="s">
        <v>5</v>
      </c>
      <c r="N31" s="9"/>
    </row>
    <row r="32" spans="2:14" x14ac:dyDescent="0.25">
      <c r="B32" s="29" t="s">
        <v>52</v>
      </c>
      <c r="C32" s="72">
        <f>Input!$C$7</f>
        <v>45000</v>
      </c>
      <c r="D32" s="86">
        <v>31480</v>
      </c>
      <c r="E32" s="87">
        <v>6.8830420000000003E-2</v>
      </c>
      <c r="F32" s="87">
        <v>0.73499999999999999</v>
      </c>
      <c r="G32" s="87">
        <v>0.32433311646063762</v>
      </c>
      <c r="H32" s="87">
        <v>0.28389830508474578</v>
      </c>
      <c r="I32" s="87">
        <v>0.46029999999999999</v>
      </c>
      <c r="J32" s="87">
        <v>0.19867152774309543</v>
      </c>
      <c r="K32" s="87">
        <v>0.10456768286338571</v>
      </c>
      <c r="L32" s="23" t="s">
        <v>5</v>
      </c>
      <c r="M32" s="24" t="s">
        <v>5</v>
      </c>
      <c r="N32" s="9"/>
    </row>
    <row r="33" spans="2:14" x14ac:dyDescent="0.25">
      <c r="B33" s="29" t="s">
        <v>53</v>
      </c>
      <c r="C33" s="72">
        <f>Input!$C$9</f>
        <v>75000</v>
      </c>
      <c r="D33" s="86">
        <v>329770</v>
      </c>
      <c r="E33" s="87">
        <v>6.2708059999999996E-2</v>
      </c>
      <c r="F33" s="87">
        <v>0.78700000000000003</v>
      </c>
      <c r="G33" s="87">
        <v>0.25028709806271221</v>
      </c>
      <c r="H33" s="87">
        <v>0.1906937388803274</v>
      </c>
      <c r="I33" s="87">
        <v>0.42799999999999999</v>
      </c>
      <c r="J33" s="87">
        <v>0.16434281284821473</v>
      </c>
      <c r="K33" s="87">
        <v>0.11207377753730143</v>
      </c>
      <c r="L33" s="23" t="s">
        <v>5</v>
      </c>
      <c r="M33" s="24" t="s">
        <v>5</v>
      </c>
      <c r="N33" s="9"/>
    </row>
    <row r="34" spans="2:14" x14ac:dyDescent="0.25">
      <c r="B34" s="29" t="s">
        <v>54</v>
      </c>
      <c r="C34" s="72">
        <f>Input!$C$6</f>
        <v>30000</v>
      </c>
      <c r="D34" s="86">
        <v>11630</v>
      </c>
      <c r="E34" s="87">
        <v>6.1088580000000003E-2</v>
      </c>
      <c r="F34" s="87">
        <v>0.72900000000000009</v>
      </c>
      <c r="G34" s="87">
        <v>0.33181777658910583</v>
      </c>
      <c r="H34" s="87">
        <v>0.19308924894816937</v>
      </c>
      <c r="I34" s="87">
        <v>0.4007</v>
      </c>
      <c r="J34" s="87">
        <v>0.23655308363841171</v>
      </c>
      <c r="K34" s="87">
        <v>0.13739130434782609</v>
      </c>
      <c r="L34" s="23" t="s">
        <v>5</v>
      </c>
      <c r="M34" s="24" t="s">
        <v>5</v>
      </c>
      <c r="N34" s="9"/>
    </row>
    <row r="35" spans="2:14" x14ac:dyDescent="0.25">
      <c r="B35" s="29" t="s">
        <v>55</v>
      </c>
      <c r="C35" s="72">
        <f>Input!$C$10</f>
        <v>90000</v>
      </c>
      <c r="D35" s="86">
        <v>777490</v>
      </c>
      <c r="E35" s="87">
        <v>6.3431520000000005E-2</v>
      </c>
      <c r="F35" s="87">
        <v>0.83599999999999997</v>
      </c>
      <c r="G35" s="87">
        <v>0.11020358582517682</v>
      </c>
      <c r="H35" s="87">
        <v>0.18505209140070983</v>
      </c>
      <c r="I35" s="87">
        <v>0.48349999999999999</v>
      </c>
      <c r="J35" s="87">
        <v>9.9756382843988176E-2</v>
      </c>
      <c r="K35" s="87">
        <v>9.3043382616850565E-2</v>
      </c>
      <c r="L35" s="23" t="s">
        <v>5</v>
      </c>
      <c r="M35" s="24" t="s">
        <v>5</v>
      </c>
      <c r="N35" s="9"/>
    </row>
    <row r="36" spans="2:14" x14ac:dyDescent="0.25">
      <c r="B36" s="66" t="s">
        <v>56</v>
      </c>
      <c r="C36" s="71">
        <f>Input!$C$6*2+Input!C7</f>
        <v>105000</v>
      </c>
      <c r="D36" s="86">
        <v>30135</v>
      </c>
      <c r="E36" s="87">
        <v>8.0446829999999997E-2</v>
      </c>
      <c r="F36" s="87">
        <v>0.78</v>
      </c>
      <c r="G36" s="87">
        <v>0.14812905885991134</v>
      </c>
      <c r="H36" s="87">
        <v>0.16419843853936911</v>
      </c>
      <c r="I36" s="87">
        <v>0.4239</v>
      </c>
      <c r="J36" s="87">
        <v>0.13940346911699672</v>
      </c>
      <c r="K36" s="87">
        <v>7.6551317051575293E-2</v>
      </c>
      <c r="L36" s="67" t="s">
        <v>5</v>
      </c>
      <c r="M36" s="68" t="s">
        <v>5</v>
      </c>
      <c r="N36" s="9"/>
    </row>
    <row r="37" spans="2:14" x14ac:dyDescent="0.25">
      <c r="B37" s="29" t="s">
        <v>57</v>
      </c>
      <c r="C37" s="72">
        <f>Input!$C$8</f>
        <v>60000</v>
      </c>
      <c r="D37" s="86">
        <v>78570</v>
      </c>
      <c r="E37" s="87">
        <v>5.6316130000000006E-2</v>
      </c>
      <c r="F37" s="87">
        <v>0.84699999999999998</v>
      </c>
      <c r="G37" s="87">
        <v>0.12602008788449467</v>
      </c>
      <c r="H37" s="87">
        <v>0.17035658831718156</v>
      </c>
      <c r="I37" s="87">
        <v>0.41980000000000001</v>
      </c>
      <c r="J37" s="87">
        <v>9.5128856924380514E-2</v>
      </c>
      <c r="K37" s="87">
        <v>4.5450691087933523E-2</v>
      </c>
      <c r="L37" s="23" t="s">
        <v>5</v>
      </c>
      <c r="M37" s="24" t="s">
        <v>5</v>
      </c>
      <c r="N37" s="9"/>
    </row>
    <row r="38" spans="2:14" x14ac:dyDescent="0.25">
      <c r="B38" s="29" t="s">
        <v>58</v>
      </c>
      <c r="C38" s="72">
        <f>Input!$C$7</f>
        <v>45000</v>
      </c>
      <c r="D38" s="86">
        <v>25690</v>
      </c>
      <c r="E38" s="87">
        <v>7.7122700000000002E-2</v>
      </c>
      <c r="F38" s="87">
        <v>0.81799999999999995</v>
      </c>
      <c r="G38" s="87">
        <v>9.6431672850714453E-2</v>
      </c>
      <c r="H38" s="87">
        <v>0.17629563233376794</v>
      </c>
      <c r="I38" s="87">
        <v>0.41760000000000003</v>
      </c>
      <c r="J38" s="87">
        <v>0.10494712790265158</v>
      </c>
      <c r="K38" s="87">
        <v>3.4153062502609494E-2</v>
      </c>
      <c r="L38" s="23" t="s">
        <v>5</v>
      </c>
      <c r="M38" s="24" t="s">
        <v>5</v>
      </c>
      <c r="N38" s="9"/>
    </row>
    <row r="39" spans="2:14" x14ac:dyDescent="0.25">
      <c r="B39" s="29" t="s">
        <v>59</v>
      </c>
      <c r="C39" s="72">
        <f>Input!$C$8</f>
        <v>60000</v>
      </c>
      <c r="D39" s="86">
        <v>79155</v>
      </c>
      <c r="E39" s="87">
        <v>6.9904530000000006E-2</v>
      </c>
      <c r="F39" s="87">
        <v>0.78099999999999992</v>
      </c>
      <c r="G39" s="87">
        <v>0.24865288016178486</v>
      </c>
      <c r="H39" s="87">
        <v>0.17082896407086484</v>
      </c>
      <c r="I39" s="87">
        <v>0.41739999999999999</v>
      </c>
      <c r="J39" s="87">
        <v>0.16659249969658968</v>
      </c>
      <c r="K39" s="87">
        <v>8.1320244700526387E-2</v>
      </c>
      <c r="L39" s="23" t="s">
        <v>5</v>
      </c>
      <c r="M39" s="24" t="s">
        <v>5</v>
      </c>
      <c r="N39" s="9"/>
    </row>
    <row r="40" spans="2:14" x14ac:dyDescent="0.25">
      <c r="B40" s="29" t="s">
        <v>60</v>
      </c>
      <c r="C40" s="72">
        <f>Input!$C$7</f>
        <v>45000</v>
      </c>
      <c r="D40" s="86">
        <v>26625</v>
      </c>
      <c r="E40" s="87">
        <v>6.7867610000000009E-2</v>
      </c>
      <c r="F40" s="87">
        <v>0.83299999999999996</v>
      </c>
      <c r="G40" s="87">
        <v>4.2275411874417156E-2</v>
      </c>
      <c r="H40" s="87">
        <v>0.18805265474332813</v>
      </c>
      <c r="I40" s="87">
        <v>0.46639999999999998</v>
      </c>
      <c r="J40" s="87">
        <v>9.1638835179000414E-2</v>
      </c>
      <c r="K40" s="87">
        <v>2.2922636103151862E-2</v>
      </c>
      <c r="L40" s="23" t="s">
        <v>5</v>
      </c>
      <c r="M40" s="24" t="s">
        <v>5</v>
      </c>
      <c r="N40" s="9"/>
    </row>
    <row r="41" spans="2:14" x14ac:dyDescent="0.25">
      <c r="B41" s="29" t="s">
        <v>61</v>
      </c>
      <c r="C41" s="72">
        <f>Input!$C$6</f>
        <v>30000</v>
      </c>
      <c r="D41" s="86">
        <v>7100</v>
      </c>
      <c r="E41" s="87">
        <v>7.3908500000000002E-2</v>
      </c>
      <c r="F41" s="87">
        <v>0.93799999999999994</v>
      </c>
      <c r="G41" s="87">
        <v>2.4952850718119833E-2</v>
      </c>
      <c r="H41" s="87">
        <v>0.13868076979579844</v>
      </c>
      <c r="I41" s="87">
        <v>0.42259999999999998</v>
      </c>
      <c r="J41" s="87">
        <v>6.9024529378208785E-2</v>
      </c>
      <c r="K41" s="87">
        <v>5.145278450363196E-3</v>
      </c>
      <c r="L41" s="23" t="s">
        <v>5</v>
      </c>
      <c r="M41" s="24" t="s">
        <v>5</v>
      </c>
      <c r="N41" s="9"/>
    </row>
    <row r="42" spans="2:14" x14ac:dyDescent="0.25">
      <c r="B42" s="29" t="s">
        <v>62</v>
      </c>
      <c r="C42" s="72">
        <f>Input!$C$10</f>
        <v>90000</v>
      </c>
      <c r="D42" s="86">
        <v>570510</v>
      </c>
      <c r="E42" s="87">
        <v>4.424057E-2</v>
      </c>
      <c r="F42" s="87">
        <v>0.86799999999999999</v>
      </c>
      <c r="G42" s="87">
        <v>0.1601056532913448</v>
      </c>
      <c r="H42" s="87">
        <v>0.11824459724769457</v>
      </c>
      <c r="I42" s="87">
        <v>0.42809999999999998</v>
      </c>
      <c r="J42" s="87">
        <v>9.4399820654283789E-2</v>
      </c>
      <c r="K42" s="87">
        <v>9.7199637931348712E-2</v>
      </c>
      <c r="L42" s="23" t="s">
        <v>5</v>
      </c>
      <c r="M42" s="24" t="s">
        <v>5</v>
      </c>
      <c r="N42" s="9"/>
    </row>
    <row r="43" spans="2:14" x14ac:dyDescent="0.25">
      <c r="B43" s="29" t="s">
        <v>63</v>
      </c>
      <c r="C43" s="72">
        <f>Input!$C$6</f>
        <v>30000</v>
      </c>
      <c r="D43" s="86">
        <v>1445</v>
      </c>
      <c r="E43" s="87">
        <v>6.1573549999999998E-2</v>
      </c>
      <c r="F43" s="87">
        <v>0</v>
      </c>
      <c r="G43" s="87">
        <v>3.5372144436256449E-2</v>
      </c>
      <c r="H43" s="87">
        <v>0.18298192771084337</v>
      </c>
      <c r="I43" s="87">
        <v>0.45600000000000002</v>
      </c>
      <c r="J43" s="87">
        <v>0.10667903525046382</v>
      </c>
      <c r="K43" s="87">
        <v>7.2405470635559131E-3</v>
      </c>
      <c r="L43" s="23" t="s">
        <v>5</v>
      </c>
      <c r="M43" s="24" t="s">
        <v>5</v>
      </c>
      <c r="N43" s="9"/>
    </row>
    <row r="44" spans="2:14" x14ac:dyDescent="0.25">
      <c r="B44" s="30" t="s">
        <v>64</v>
      </c>
      <c r="C44" s="73">
        <f>Input!$C$8</f>
        <v>60000</v>
      </c>
      <c r="D44" s="88">
        <v>103630</v>
      </c>
      <c r="E44" s="89">
        <v>5.8531180000000002E-2</v>
      </c>
      <c r="F44" s="89">
        <v>0.85400000000000009</v>
      </c>
      <c r="G44" s="89">
        <v>0.15211074179487691</v>
      </c>
      <c r="H44" s="89">
        <v>0.16705485587816832</v>
      </c>
      <c r="I44" s="89">
        <v>0.42109999999999997</v>
      </c>
      <c r="J44" s="89">
        <v>0.13266535511125346</v>
      </c>
      <c r="K44" s="89">
        <v>6.6194159465786384E-2</v>
      </c>
      <c r="L44" s="25" t="s">
        <v>5</v>
      </c>
      <c r="M44" s="26" t="s">
        <v>5</v>
      </c>
      <c r="N44" s="9"/>
    </row>
    <row r="45" spans="2:14" ht="15.75" thickBot="1" x14ac:dyDescent="0.3">
      <c r="C45" s="79">
        <f>SUM(C11:C44)</f>
        <v>1845000</v>
      </c>
      <c r="D45" s="27">
        <f>SUM(D11:D44)</f>
        <v>4013845</v>
      </c>
    </row>
    <row r="46" spans="2:14" ht="15.75" thickTop="1" x14ac:dyDescent="0.25"/>
  </sheetData>
  <pageMargins left="0.7" right="0.7" top="0.75" bottom="0.75" header="0.3" footer="0.3"/>
  <pageSetup scale="73" orientation="landscape" r:id="rId1"/>
  <ignoredErrors>
    <ignoredError sqref="C24:C27 C29:C33 C37:C40 C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1"/>
  <sheetViews>
    <sheetView workbookViewId="0"/>
  </sheetViews>
  <sheetFormatPr defaultRowHeight="15" x14ac:dyDescent="0.25"/>
  <cols>
    <col min="2" max="2" width="17.42578125" bestFit="1" customWidth="1"/>
    <col min="3" max="3" width="11.85546875" bestFit="1" customWidth="1"/>
    <col min="4" max="4" width="7.140625" customWidth="1"/>
    <col min="5" max="5" width="14.140625" customWidth="1"/>
    <col min="6" max="6" width="10" bestFit="1" customWidth="1"/>
    <col min="7" max="7" width="13.5703125" bestFit="1" customWidth="1"/>
  </cols>
  <sheetData>
    <row r="3" spans="2:6" x14ac:dyDescent="0.25">
      <c r="B3" t="s">
        <v>0</v>
      </c>
      <c r="C3" s="1">
        <f>'County Data'!C6</f>
        <v>10000000</v>
      </c>
    </row>
    <row r="4" spans="2:6" x14ac:dyDescent="0.25">
      <c r="B4" t="s">
        <v>102</v>
      </c>
      <c r="C4" s="18">
        <f>'County Data'!D10</f>
        <v>0</v>
      </c>
    </row>
    <row r="6" spans="2:6" s="2" customFormat="1" ht="30" x14ac:dyDescent="0.25">
      <c r="B6" s="3" t="s">
        <v>8</v>
      </c>
      <c r="C6" s="3" t="s">
        <v>1</v>
      </c>
      <c r="D6" s="3" t="s">
        <v>4</v>
      </c>
      <c r="E6" s="17" t="s">
        <v>18</v>
      </c>
      <c r="F6" s="3" t="s">
        <v>7</v>
      </c>
    </row>
    <row r="7" spans="2:6" x14ac:dyDescent="0.25">
      <c r="B7" s="31" t="str">
        <f>+'County Data'!$B$11</f>
        <v>County 1</v>
      </c>
      <c r="C7" s="20">
        <f>VLOOKUP($B7,'County Data'!$B$11:$M$44,3,FALSE)</f>
        <v>16425</v>
      </c>
      <c r="D7" s="7">
        <f t="shared" ref="D7:D40" si="0">C7/$C$41</f>
        <v>4.0920862664103868E-3</v>
      </c>
      <c r="E7" s="18">
        <f t="shared" ref="E7:E40" si="1">$C$4*D7</f>
        <v>0</v>
      </c>
      <c r="F7" s="12">
        <f t="shared" ref="F7:F40" si="2">E7/C7</f>
        <v>0</v>
      </c>
    </row>
    <row r="8" spans="2:6" x14ac:dyDescent="0.25">
      <c r="B8" s="31" t="str">
        <f>+'County Data'!$B$20</f>
        <v>County 10</v>
      </c>
      <c r="C8" s="20">
        <f>VLOOKUP($B8,'County Data'!$B$11:$M$44,3,FALSE)</f>
        <v>109910</v>
      </c>
      <c r="D8" s="7">
        <f t="shared" si="0"/>
        <v>2.7382721555017694E-2</v>
      </c>
      <c r="E8" s="18">
        <f t="shared" si="1"/>
        <v>0</v>
      </c>
      <c r="F8" s="12">
        <f t="shared" si="2"/>
        <v>0</v>
      </c>
    </row>
    <row r="9" spans="2:6" x14ac:dyDescent="0.25">
      <c r="B9" s="31" t="str">
        <f>+'County Data'!$B$23</f>
        <v>County 13</v>
      </c>
      <c r="C9" s="20">
        <f>VLOOKUP($B9,'County Data'!$B$11:$M$44,3,FALSE)</f>
        <v>24245</v>
      </c>
      <c r="D9" s="7">
        <f t="shared" si="0"/>
        <v>6.0403428632645256E-3</v>
      </c>
      <c r="E9" s="18">
        <f t="shared" si="1"/>
        <v>0</v>
      </c>
      <c r="F9" s="12">
        <f t="shared" si="2"/>
        <v>0</v>
      </c>
    </row>
    <row r="10" spans="2:6" x14ac:dyDescent="0.25">
      <c r="B10" s="31" t="str">
        <f>+'County Data'!$B$24</f>
        <v>County 14</v>
      </c>
      <c r="C10" s="20">
        <f>VLOOKUP($B10,'County Data'!$B$11:$M$44,3,FALSE)</f>
        <v>210975</v>
      </c>
      <c r="D10" s="7">
        <f t="shared" si="0"/>
        <v>5.2561820399143463E-2</v>
      </c>
      <c r="E10" s="18">
        <f t="shared" si="1"/>
        <v>0</v>
      </c>
      <c r="F10" s="12">
        <f t="shared" si="2"/>
        <v>0</v>
      </c>
    </row>
    <row r="11" spans="2:6" x14ac:dyDescent="0.25">
      <c r="B11" s="31" t="str">
        <f>+'County Data'!$B$25</f>
        <v>County 15</v>
      </c>
      <c r="C11" s="20">
        <f>VLOOKUP($B11,'County Data'!$B$11:$M$44,3,FALSE)</f>
        <v>22445</v>
      </c>
      <c r="D11" s="7">
        <f t="shared" si="0"/>
        <v>5.5918950532469489E-3</v>
      </c>
      <c r="E11" s="18">
        <f t="shared" si="1"/>
        <v>0</v>
      </c>
      <c r="F11" s="12">
        <f t="shared" si="2"/>
        <v>0</v>
      </c>
    </row>
    <row r="12" spans="2:6" x14ac:dyDescent="0.25">
      <c r="B12" s="31" t="str">
        <f>+'County Data'!$B$26</f>
        <v>County 16</v>
      </c>
      <c r="C12" s="20">
        <f>VLOOKUP($B12,'County Data'!$B$11:$M$44,3,FALSE)</f>
        <v>83720</v>
      </c>
      <c r="D12" s="7">
        <f t="shared" si="0"/>
        <v>2.0857805919261955E-2</v>
      </c>
      <c r="E12" s="18">
        <f t="shared" si="1"/>
        <v>0</v>
      </c>
      <c r="F12" s="12">
        <f t="shared" si="2"/>
        <v>0</v>
      </c>
    </row>
    <row r="13" spans="2:6" x14ac:dyDescent="0.25">
      <c r="B13" s="31" t="str">
        <f>+'County Data'!$B$27</f>
        <v>County 17</v>
      </c>
      <c r="C13" s="20">
        <f>VLOOKUP($B13,'County Data'!$B$11:$M$44,3,FALSE)</f>
        <v>67110</v>
      </c>
      <c r="D13" s="7">
        <f t="shared" si="0"/>
        <v>1.6719629183488651E-2</v>
      </c>
      <c r="E13" s="18">
        <f t="shared" si="1"/>
        <v>0</v>
      </c>
      <c r="F13" s="12">
        <f t="shared" si="2"/>
        <v>0</v>
      </c>
    </row>
    <row r="14" spans="2:6" x14ac:dyDescent="0.25">
      <c r="B14" s="31" t="str">
        <f>+'County Data'!$B$29</f>
        <v>County 19</v>
      </c>
      <c r="C14" s="20">
        <f>VLOOKUP($B14,'County Data'!$B$11:$M$44,3,FALSE)</f>
        <v>362150</v>
      </c>
      <c r="D14" s="7">
        <f t="shared" si="0"/>
        <v>9.0225207998814103E-2</v>
      </c>
      <c r="E14" s="18">
        <f t="shared" si="1"/>
        <v>0</v>
      </c>
      <c r="F14" s="12">
        <f t="shared" si="2"/>
        <v>0</v>
      </c>
    </row>
    <row r="15" spans="2:6" x14ac:dyDescent="0.25">
      <c r="B15" s="31" t="str">
        <f>+'County Data'!$B$12</f>
        <v>County 2</v>
      </c>
      <c r="C15" s="20">
        <f>VLOOKUP($B15,'County Data'!$B$11:$M$44,3,FALSE)</f>
        <v>90005</v>
      </c>
      <c r="D15" s="7">
        <f t="shared" si="0"/>
        <v>2.2423636189239992E-2</v>
      </c>
      <c r="E15" s="18">
        <f t="shared" si="1"/>
        <v>0</v>
      </c>
      <c r="F15" s="12">
        <f t="shared" si="2"/>
        <v>0</v>
      </c>
    </row>
    <row r="16" spans="2:6" x14ac:dyDescent="0.25">
      <c r="B16" s="31" t="str">
        <f>+'County Data'!$B$30</f>
        <v>County 20</v>
      </c>
      <c r="C16" s="20">
        <f>VLOOKUP($B16,'County Data'!$B$11:$M$44,3,FALSE)</f>
        <v>47225</v>
      </c>
      <c r="D16" s="7">
        <f t="shared" si="0"/>
        <v>1.1765526571155588E-2</v>
      </c>
      <c r="E16" s="18">
        <f t="shared" si="1"/>
        <v>0</v>
      </c>
      <c r="F16" s="12">
        <f t="shared" si="2"/>
        <v>0</v>
      </c>
    </row>
    <row r="17" spans="2:6" x14ac:dyDescent="0.25">
      <c r="B17" s="31" t="str">
        <f>+'County Data'!$B$31</f>
        <v>County 21</v>
      </c>
      <c r="C17" s="20">
        <f>VLOOKUP($B17,'County Data'!$B$11:$M$44,3,FALSE)</f>
        <v>120860</v>
      </c>
      <c r="D17" s="7">
        <f t="shared" si="0"/>
        <v>3.0110779065957952E-2</v>
      </c>
      <c r="E17" s="18">
        <f t="shared" si="1"/>
        <v>0</v>
      </c>
      <c r="F17" s="12">
        <f t="shared" si="2"/>
        <v>0</v>
      </c>
    </row>
    <row r="18" spans="2:6" x14ac:dyDescent="0.25">
      <c r="B18" s="31" t="str">
        <f>+'County Data'!$B$32</f>
        <v>County 22</v>
      </c>
      <c r="C18" s="20">
        <f>VLOOKUP($B18,'County Data'!$B$11:$M$44,3,FALSE)</f>
        <v>31480</v>
      </c>
      <c r="D18" s="7">
        <f t="shared" si="0"/>
        <v>7.8428539218629526E-3</v>
      </c>
      <c r="E18" s="18">
        <f t="shared" si="1"/>
        <v>0</v>
      </c>
      <c r="F18" s="12">
        <f t="shared" si="2"/>
        <v>0</v>
      </c>
    </row>
    <row r="19" spans="2:6" x14ac:dyDescent="0.25">
      <c r="B19" s="31" t="str">
        <f>+'County Data'!$B$33</f>
        <v>County 23</v>
      </c>
      <c r="C19" s="20">
        <f>VLOOKUP($B19,'County Data'!$B$11:$M$44,3,FALSE)</f>
        <v>329770</v>
      </c>
      <c r="D19" s="7">
        <f t="shared" si="0"/>
        <v>8.2158130171942359E-2</v>
      </c>
      <c r="E19" s="18">
        <f t="shared" si="1"/>
        <v>0</v>
      </c>
      <c r="F19" s="12">
        <f t="shared" si="2"/>
        <v>0</v>
      </c>
    </row>
    <row r="20" spans="2:6" x14ac:dyDescent="0.25">
      <c r="B20" s="31" t="str">
        <f>+'County Data'!$B$34</f>
        <v>County 24</v>
      </c>
      <c r="C20" s="20">
        <f>VLOOKUP($B20,'County Data'!$B$11:$M$44,3,FALSE)</f>
        <v>11630</v>
      </c>
      <c r="D20" s="7">
        <f t="shared" si="0"/>
        <v>2.8974711280580091E-3</v>
      </c>
      <c r="E20" s="18">
        <f t="shared" si="1"/>
        <v>0</v>
      </c>
      <c r="F20" s="12">
        <f t="shared" si="2"/>
        <v>0</v>
      </c>
    </row>
    <row r="21" spans="2:6" x14ac:dyDescent="0.25">
      <c r="B21" s="31" t="str">
        <f>+'County Data'!$B$35</f>
        <v>County 25</v>
      </c>
      <c r="C21" s="20">
        <f>VLOOKUP($B21,'County Data'!$B$11:$M$44,3,FALSE)</f>
        <v>777490</v>
      </c>
      <c r="D21" s="7">
        <f t="shared" si="0"/>
        <v>0.19370204878364761</v>
      </c>
      <c r="E21" s="18">
        <f t="shared" si="1"/>
        <v>0</v>
      </c>
      <c r="F21" s="12">
        <f t="shared" si="2"/>
        <v>0</v>
      </c>
    </row>
    <row r="22" spans="2:6" x14ac:dyDescent="0.25">
      <c r="B22" s="31" t="str">
        <f>+'County Data'!$B$36</f>
        <v>County 26</v>
      </c>
      <c r="C22" s="20">
        <f>VLOOKUP($B22,'County Data'!$B$11:$M$44,3,FALSE)</f>
        <v>30135</v>
      </c>
      <c r="D22" s="7">
        <f t="shared" si="0"/>
        <v>7.5077637527109289E-3</v>
      </c>
      <c r="E22" s="18">
        <f t="shared" si="1"/>
        <v>0</v>
      </c>
      <c r="F22" s="12">
        <f t="shared" si="2"/>
        <v>0</v>
      </c>
    </row>
    <row r="23" spans="2:6" x14ac:dyDescent="0.25">
      <c r="B23" s="31" t="str">
        <f>+'County Data'!$B$37</f>
        <v>County 27</v>
      </c>
      <c r="C23" s="20">
        <f>VLOOKUP($B23,'County Data'!$B$11:$M$44,3,FALSE)</f>
        <v>78570</v>
      </c>
      <c r="D23" s="7">
        <f t="shared" si="0"/>
        <v>1.957474690726722E-2</v>
      </c>
      <c r="E23" s="18">
        <f t="shared" si="1"/>
        <v>0</v>
      </c>
      <c r="F23" s="12">
        <f t="shared" si="2"/>
        <v>0</v>
      </c>
    </row>
    <row r="24" spans="2:6" x14ac:dyDescent="0.25">
      <c r="B24" s="31" t="str">
        <f>+'County Data'!$B$38</f>
        <v>County 28</v>
      </c>
      <c r="C24" s="20">
        <f>VLOOKUP($B24,'County Data'!$B$11:$M$44,3,FALSE)</f>
        <v>25690</v>
      </c>
      <c r="D24" s="7">
        <f t="shared" si="0"/>
        <v>6.4003467996397471E-3</v>
      </c>
      <c r="E24" s="18">
        <f t="shared" si="1"/>
        <v>0</v>
      </c>
      <c r="F24" s="12">
        <f t="shared" si="2"/>
        <v>0</v>
      </c>
    </row>
    <row r="25" spans="2:6" x14ac:dyDescent="0.25">
      <c r="B25" s="31" t="str">
        <f>+'County Data'!$B$39</f>
        <v>County 29</v>
      </c>
      <c r="C25" s="20">
        <f>VLOOKUP($B25,'County Data'!$B$11:$M$44,3,FALSE)</f>
        <v>79155</v>
      </c>
      <c r="D25" s="7">
        <f t="shared" si="0"/>
        <v>1.9720492445522934E-2</v>
      </c>
      <c r="E25" s="18">
        <f t="shared" si="1"/>
        <v>0</v>
      </c>
      <c r="F25" s="12">
        <f t="shared" si="2"/>
        <v>0</v>
      </c>
    </row>
    <row r="26" spans="2:6" x14ac:dyDescent="0.25">
      <c r="B26" s="31" t="str">
        <f>+'County Data'!$B$13</f>
        <v>County 3</v>
      </c>
      <c r="C26" s="20">
        <f>VLOOKUP($B26,'County Data'!$B$11:$M$44,3,FALSE)</f>
        <v>397385</v>
      </c>
      <c r="D26" s="7">
        <f t="shared" si="0"/>
        <v>9.9003573879908172E-2</v>
      </c>
      <c r="E26" s="18">
        <f t="shared" si="1"/>
        <v>0</v>
      </c>
      <c r="F26" s="12">
        <f t="shared" si="2"/>
        <v>0</v>
      </c>
    </row>
    <row r="27" spans="2:6" x14ac:dyDescent="0.25">
      <c r="B27" s="31" t="str">
        <f>+'County Data'!$B$40</f>
        <v>County 30</v>
      </c>
      <c r="C27" s="20">
        <f>VLOOKUP($B27,'County Data'!$B$11:$M$44,3,FALSE)</f>
        <v>26625</v>
      </c>
      <c r="D27" s="7">
        <f t="shared" si="0"/>
        <v>6.6332905231766548E-3</v>
      </c>
      <c r="E27" s="18">
        <f t="shared" si="1"/>
        <v>0</v>
      </c>
      <c r="F27" s="12">
        <f t="shared" si="2"/>
        <v>0</v>
      </c>
    </row>
    <row r="28" spans="2:6" x14ac:dyDescent="0.25">
      <c r="B28" s="31" t="str">
        <f>+'County Data'!$B$42</f>
        <v>County 32</v>
      </c>
      <c r="C28" s="20">
        <f>VLOOKUP($B28,'County Data'!$B$11:$M$44,3,FALSE)</f>
        <v>570510</v>
      </c>
      <c r="D28" s="7">
        <f t="shared" si="0"/>
        <v>0.14213553338507093</v>
      </c>
      <c r="E28" s="18">
        <f t="shared" si="1"/>
        <v>0</v>
      </c>
      <c r="F28" s="12">
        <f t="shared" si="2"/>
        <v>0</v>
      </c>
    </row>
    <row r="29" spans="2:6" x14ac:dyDescent="0.25">
      <c r="B29" s="31" t="str">
        <f>+'County Data'!$B$44</f>
        <v>County 34</v>
      </c>
      <c r="C29" s="20">
        <f>VLOOKUP($B29,'County Data'!$B$11:$M$44,3,FALSE)</f>
        <v>103630</v>
      </c>
      <c r="D29" s="7">
        <f t="shared" si="0"/>
        <v>2.5818136973400817E-2</v>
      </c>
      <c r="E29" s="18">
        <f t="shared" si="1"/>
        <v>0</v>
      </c>
      <c r="F29" s="12">
        <f t="shared" si="2"/>
        <v>0</v>
      </c>
    </row>
    <row r="30" spans="2:6" x14ac:dyDescent="0.25">
      <c r="B30" s="31" t="str">
        <f>+'County Data'!$B$14</f>
        <v>County 4</v>
      </c>
      <c r="C30" s="20">
        <f>VLOOKUP($B30,'County Data'!$B$11:$M$44,3,FALSE)</f>
        <v>37750</v>
      </c>
      <c r="D30" s="7">
        <f t="shared" si="0"/>
        <v>9.404947126757511E-3</v>
      </c>
      <c r="E30" s="18">
        <f t="shared" si="1"/>
        <v>0</v>
      </c>
      <c r="F30" s="12">
        <f t="shared" si="2"/>
        <v>0</v>
      </c>
    </row>
    <row r="31" spans="2:6" x14ac:dyDescent="0.25">
      <c r="B31" s="31" t="str">
        <f>+'County Data'!$B$15</f>
        <v>County 5</v>
      </c>
      <c r="C31" s="20">
        <f>VLOOKUP($B31,'County Data'!$B$11:$M$44,3,FALSE)</f>
        <v>50390</v>
      </c>
      <c r="D31" s="7">
        <f t="shared" si="0"/>
        <v>1.2554047303769827E-2</v>
      </c>
      <c r="E31" s="18">
        <f t="shared" si="1"/>
        <v>0</v>
      </c>
      <c r="F31" s="12">
        <f t="shared" si="2"/>
        <v>0</v>
      </c>
    </row>
    <row r="32" spans="2:6" x14ac:dyDescent="0.25">
      <c r="B32" s="31" t="str">
        <f>+'County Data'!$B$16</f>
        <v>County 6</v>
      </c>
      <c r="C32" s="20">
        <f>VLOOKUP($B32,'County Data'!$B$11:$M$44,3,FALSE)</f>
        <v>62990</v>
      </c>
      <c r="D32" s="7">
        <f t="shared" si="0"/>
        <v>1.5693181973892863E-2</v>
      </c>
      <c r="E32" s="18">
        <f t="shared" si="1"/>
        <v>0</v>
      </c>
      <c r="F32" s="12">
        <f t="shared" si="2"/>
        <v>0</v>
      </c>
    </row>
    <row r="33" spans="2:6" x14ac:dyDescent="0.25">
      <c r="B33" s="31" t="str">
        <f>+'County Data'!$B$17</f>
        <v>County 7</v>
      </c>
      <c r="C33" s="20">
        <f>VLOOKUP($B33,'County Data'!$B$11:$M$44,3,FALSE)</f>
        <v>21085</v>
      </c>
      <c r="D33" s="7">
        <f t="shared" si="0"/>
        <v>5.2530678190114465E-3</v>
      </c>
      <c r="E33" s="18">
        <f t="shared" si="1"/>
        <v>0</v>
      </c>
      <c r="F33" s="12">
        <f t="shared" si="2"/>
        <v>0</v>
      </c>
    </row>
    <row r="34" spans="2:6" x14ac:dyDescent="0.25">
      <c r="B34" s="31" t="str">
        <f>+'County Data'!$B$18</f>
        <v>County 8</v>
      </c>
      <c r="C34" s="20">
        <f>VLOOKUP($B34,'County Data'!$B$11:$M$44,3,FALSE)</f>
        <v>22470</v>
      </c>
      <c r="D34" s="7">
        <f t="shared" si="0"/>
        <v>5.5981234950527488E-3</v>
      </c>
      <c r="E34" s="18">
        <f t="shared" si="1"/>
        <v>0</v>
      </c>
      <c r="F34" s="12">
        <f t="shared" si="2"/>
        <v>0</v>
      </c>
    </row>
    <row r="35" spans="2:6" x14ac:dyDescent="0.25">
      <c r="B35" s="31" t="str">
        <f>+'County Data'!$B$19</f>
        <v>County 9</v>
      </c>
      <c r="C35" s="20">
        <f>VLOOKUP($B35,'County Data'!$B$11:$M$44,3,FALSE)</f>
        <v>170740</v>
      </c>
      <c r="D35" s="7">
        <f t="shared" si="0"/>
        <v>4.2537766156889464E-2</v>
      </c>
      <c r="E35" s="18">
        <f t="shared" si="1"/>
        <v>0</v>
      </c>
      <c r="F35" s="12">
        <f t="shared" si="2"/>
        <v>0</v>
      </c>
    </row>
    <row r="36" spans="2:6" x14ac:dyDescent="0.25">
      <c r="B36" s="31" t="str">
        <f>+'County Data'!$B$21</f>
        <v>County 11</v>
      </c>
      <c r="C36" s="20">
        <f>VLOOKUP($B36,'County Data'!$B$11:$M$44,3,FALSE)</f>
        <v>7430</v>
      </c>
      <c r="D36" s="7">
        <f t="shared" si="0"/>
        <v>1.8510929046836636E-3</v>
      </c>
      <c r="E36" s="18">
        <f t="shared" si="1"/>
        <v>0</v>
      </c>
      <c r="F36" s="12">
        <f t="shared" si="2"/>
        <v>0</v>
      </c>
    </row>
    <row r="37" spans="2:6" x14ac:dyDescent="0.25">
      <c r="B37" s="31" t="str">
        <f>+'County Data'!$B$22</f>
        <v>County 12</v>
      </c>
      <c r="C37" s="20">
        <f>VLOOKUP($B37,'County Data'!$B$11:$M$44,3,FALSE)</f>
        <v>7295</v>
      </c>
      <c r="D37" s="7">
        <f t="shared" si="0"/>
        <v>1.8174593189323454E-3</v>
      </c>
      <c r="E37" s="18">
        <f t="shared" si="1"/>
        <v>0</v>
      </c>
      <c r="F37" s="12">
        <f t="shared" si="2"/>
        <v>0</v>
      </c>
    </row>
    <row r="38" spans="2:6" x14ac:dyDescent="0.25">
      <c r="B38" s="31" t="str">
        <f>+'County Data'!$B$28</f>
        <v>County 18</v>
      </c>
      <c r="C38" s="20">
        <f>VLOOKUP($B38,'County Data'!$B$11:$M$44,3,FALSE)</f>
        <v>8010</v>
      </c>
      <c r="D38" s="7">
        <f t="shared" si="0"/>
        <v>1.9955927545782163E-3</v>
      </c>
      <c r="E38" s="18">
        <f t="shared" si="1"/>
        <v>0</v>
      </c>
      <c r="F38" s="12">
        <f t="shared" si="2"/>
        <v>0</v>
      </c>
    </row>
    <row r="39" spans="2:6" x14ac:dyDescent="0.25">
      <c r="B39" s="31" t="str">
        <f>+'County Data'!$B$41</f>
        <v>County 31</v>
      </c>
      <c r="C39" s="20">
        <f>VLOOKUP($B39,'County Data'!$B$11:$M$44,3,FALSE)</f>
        <v>7100</v>
      </c>
      <c r="D39" s="7">
        <f t="shared" si="0"/>
        <v>1.7688774728471079E-3</v>
      </c>
      <c r="E39" s="18">
        <f t="shared" si="1"/>
        <v>0</v>
      </c>
      <c r="F39" s="12">
        <f t="shared" si="2"/>
        <v>0</v>
      </c>
    </row>
    <row r="40" spans="2:6" x14ac:dyDescent="0.25">
      <c r="B40" s="31" t="str">
        <f>'County Data'!$B$43</f>
        <v>County 33</v>
      </c>
      <c r="C40" s="20">
        <f>VLOOKUP($B40,'County Data'!$B$11:$M$44,3,FALSE)</f>
        <v>1445</v>
      </c>
      <c r="D40" s="7">
        <f t="shared" si="0"/>
        <v>3.6000393637522125E-4</v>
      </c>
      <c r="E40" s="18">
        <f t="shared" si="1"/>
        <v>0</v>
      </c>
      <c r="F40" s="12">
        <f t="shared" si="2"/>
        <v>0</v>
      </c>
    </row>
    <row r="41" spans="2:6" x14ac:dyDescent="0.25">
      <c r="B41" s="5" t="s">
        <v>3</v>
      </c>
      <c r="C41" s="6">
        <f t="shared" ref="C41:D41" si="3">SUM(C7:C40)</f>
        <v>4013845</v>
      </c>
      <c r="D41" s="10">
        <f t="shared" si="3"/>
        <v>1</v>
      </c>
      <c r="E41" s="13">
        <f>SUM(E7:E40)</f>
        <v>0</v>
      </c>
      <c r="F41" s="14">
        <f t="shared" ref="F41" si="4">E41/C41</f>
        <v>0</v>
      </c>
    </row>
  </sheetData>
  <sortState ref="B7:F40">
    <sortCondition ref="B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3:K41"/>
  <sheetViews>
    <sheetView zoomScaleNormal="100" workbookViewId="0">
      <selection activeCell="B4" sqref="B4"/>
    </sheetView>
  </sheetViews>
  <sheetFormatPr defaultRowHeight="15" x14ac:dyDescent="0.25"/>
  <cols>
    <col min="1" max="1" width="9.140625" customWidth="1"/>
    <col min="2" max="2" width="17.42578125" bestFit="1" customWidth="1"/>
    <col min="3" max="3" width="11.85546875" bestFit="1" customWidth="1"/>
    <col min="4" max="5" width="10.5703125" bestFit="1" customWidth="1"/>
    <col min="6" max="6" width="9.7109375" bestFit="1" customWidth="1"/>
    <col min="7" max="7" width="14.140625" customWidth="1"/>
    <col min="8" max="8" width="10" bestFit="1" customWidth="1"/>
    <col min="11" max="11" width="10.5703125" bestFit="1" customWidth="1"/>
  </cols>
  <sheetData>
    <row r="3" spans="2:11" x14ac:dyDescent="0.25">
      <c r="B3" t="s">
        <v>0</v>
      </c>
      <c r="C3" s="1">
        <f>'County Data'!C6</f>
        <v>10000000</v>
      </c>
    </row>
    <row r="4" spans="2:11" x14ac:dyDescent="0.25">
      <c r="B4" t="s">
        <v>102</v>
      </c>
      <c r="C4" s="18">
        <f>'County Data'!E10</f>
        <v>1631000</v>
      </c>
      <c r="D4" s="11"/>
    </row>
    <row r="5" spans="2:11" x14ac:dyDescent="0.25">
      <c r="B5" s="64"/>
      <c r="C5" s="64"/>
      <c r="D5" s="64"/>
      <c r="E5" s="64"/>
      <c r="F5" s="64"/>
      <c r="G5" s="64"/>
      <c r="H5" s="64"/>
    </row>
    <row r="6" spans="2:11" s="2" customFormat="1" ht="30" x14ac:dyDescent="0.25">
      <c r="B6" s="3" t="s">
        <v>8</v>
      </c>
      <c r="C6" s="3" t="s">
        <v>1</v>
      </c>
      <c r="D6" s="3" t="s">
        <v>19</v>
      </c>
      <c r="E6" s="3" t="s">
        <v>80</v>
      </c>
      <c r="F6" s="3" t="s">
        <v>81</v>
      </c>
      <c r="G6" s="17" t="s">
        <v>18</v>
      </c>
      <c r="H6" s="3" t="s">
        <v>7</v>
      </c>
    </row>
    <row r="7" spans="2:11" x14ac:dyDescent="0.25">
      <c r="B7" s="31" t="str">
        <f>'County Data'!$B$12</f>
        <v>County 2</v>
      </c>
      <c r="C7" s="20">
        <f>VLOOKUP($B7,'County Data'!$B$11:$L$44,3,FALSE)</f>
        <v>90005</v>
      </c>
      <c r="D7" s="83">
        <f>VLOOKUP(B7,'County Data'!$B$11:$L$44,4,FALSE)</f>
        <v>4.3370079999999998E-2</v>
      </c>
      <c r="E7" s="80">
        <f t="shared" ref="E7:E40" si="0">C7*D7</f>
        <v>3903.5240503999999</v>
      </c>
      <c r="F7" s="7">
        <f t="shared" ref="F7:F40" si="1">E7/$E$41</f>
        <v>1.5291322711871325E-2</v>
      </c>
      <c r="G7" s="18">
        <f t="shared" ref="G7:G40" si="2">$C$4*F7</f>
        <v>24940.14734306213</v>
      </c>
      <c r="H7" s="12">
        <f t="shared" ref="H7:H40" si="3">G7/C7</f>
        <v>0.27709735395880375</v>
      </c>
      <c r="I7" s="34"/>
      <c r="K7" s="81"/>
    </row>
    <row r="8" spans="2:11" x14ac:dyDescent="0.25">
      <c r="B8" s="31" t="str">
        <f>'County Data'!$B$42</f>
        <v>County 32</v>
      </c>
      <c r="C8" s="20">
        <f>VLOOKUP($B8,'County Data'!$B$11:$L$44,3,FALSE)</f>
        <v>570510</v>
      </c>
      <c r="D8" s="83">
        <f>VLOOKUP(B8,'County Data'!$B$11:$L$44,4,FALSE)</f>
        <v>4.424057E-2</v>
      </c>
      <c r="E8" s="80">
        <f t="shared" si="0"/>
        <v>25239.687590699999</v>
      </c>
      <c r="F8" s="7">
        <f t="shared" si="1"/>
        <v>9.8871738232702594E-2</v>
      </c>
      <c r="G8" s="18">
        <f t="shared" si="2"/>
        <v>161259.80505753792</v>
      </c>
      <c r="H8" s="12">
        <f t="shared" si="3"/>
        <v>0.28265903324663533</v>
      </c>
      <c r="I8" s="34"/>
    </row>
    <row r="9" spans="2:11" x14ac:dyDescent="0.25">
      <c r="B9" s="31" t="str">
        <f>'County Data'!$B$23</f>
        <v>County 13</v>
      </c>
      <c r="C9" s="20">
        <f>VLOOKUP($B9,'County Data'!$B$11:$L$44,3,FALSE)</f>
        <v>24245</v>
      </c>
      <c r="D9" s="83">
        <f>VLOOKUP(B9,'County Data'!$B$11:$L$44,4,FALSE)</f>
        <v>4.9436440000000005E-2</v>
      </c>
      <c r="E9" s="80">
        <f t="shared" si="0"/>
        <v>1198.5864878000002</v>
      </c>
      <c r="F9" s="7">
        <f t="shared" si="1"/>
        <v>4.6952375715887118E-3</v>
      </c>
      <c r="G9" s="18">
        <f t="shared" si="2"/>
        <v>7657.9324792611887</v>
      </c>
      <c r="H9" s="12">
        <f t="shared" si="3"/>
        <v>0.31585615505304965</v>
      </c>
      <c r="I9" s="34"/>
    </row>
    <row r="10" spans="2:11" x14ac:dyDescent="0.25">
      <c r="B10" s="31" t="str">
        <f>'County Data'!$B$13</f>
        <v>County 3</v>
      </c>
      <c r="C10" s="20">
        <f>VLOOKUP($B10,'County Data'!$B$11:$L$44,3,FALSE)</f>
        <v>397385</v>
      </c>
      <c r="D10" s="83">
        <f>VLOOKUP(B10,'County Data'!$B$11:$L$44,4,FALSE)</f>
        <v>5.4314880000000003E-2</v>
      </c>
      <c r="E10" s="80">
        <f t="shared" si="0"/>
        <v>21583.918588800003</v>
      </c>
      <c r="F10" s="7">
        <f t="shared" si="1"/>
        <v>8.4550949415638621E-2</v>
      </c>
      <c r="G10" s="18">
        <f t="shared" si="2"/>
        <v>137902.5984969066</v>
      </c>
      <c r="H10" s="12">
        <f t="shared" si="3"/>
        <v>0.34702517331279892</v>
      </c>
      <c r="I10" s="34"/>
    </row>
    <row r="11" spans="2:11" x14ac:dyDescent="0.25">
      <c r="B11" s="31" t="str">
        <f>'County Data'!$B$37</f>
        <v>County 27</v>
      </c>
      <c r="C11" s="20">
        <f>VLOOKUP($B11,'County Data'!$B$11:$L$44,3,FALSE)</f>
        <v>78570</v>
      </c>
      <c r="D11" s="83">
        <f>VLOOKUP(B11,'County Data'!$B$11:$L$44,4,FALSE)</f>
        <v>5.6316130000000006E-2</v>
      </c>
      <c r="E11" s="80">
        <f t="shared" si="0"/>
        <v>4424.7583341000009</v>
      </c>
      <c r="F11" s="7">
        <f t="shared" si="1"/>
        <v>1.7333160174030953E-2</v>
      </c>
      <c r="G11" s="18">
        <f t="shared" si="2"/>
        <v>28270.384243844484</v>
      </c>
      <c r="H11" s="12">
        <f t="shared" si="3"/>
        <v>0.35981143240224622</v>
      </c>
      <c r="I11" s="34"/>
    </row>
    <row r="12" spans="2:11" x14ac:dyDescent="0.25">
      <c r="B12" s="31" t="str">
        <f>'County Data'!$B$19</f>
        <v>County 9</v>
      </c>
      <c r="C12" s="20">
        <f>VLOOKUP($B12,'County Data'!$B$11:$L$44,3,FALSE)</f>
        <v>170740</v>
      </c>
      <c r="D12" s="83">
        <f>VLOOKUP(B12,'County Data'!$B$11:$L$44,4,FALSE)</f>
        <v>5.6697780000000003E-2</v>
      </c>
      <c r="E12" s="80">
        <f t="shared" si="0"/>
        <v>9680.5789572000012</v>
      </c>
      <c r="F12" s="7">
        <f t="shared" si="1"/>
        <v>3.7921850861179468E-2</v>
      </c>
      <c r="G12" s="18">
        <f t="shared" si="2"/>
        <v>61850.538754583715</v>
      </c>
      <c r="H12" s="12">
        <f t="shared" si="3"/>
        <v>0.36224984628431367</v>
      </c>
      <c r="I12" s="34"/>
    </row>
    <row r="13" spans="2:11" x14ac:dyDescent="0.25">
      <c r="B13" s="31" t="str">
        <f>'County Data'!$B$44</f>
        <v>County 34</v>
      </c>
      <c r="C13" s="20">
        <f>VLOOKUP($B13,'County Data'!$B$11:$L$44,3,FALSE)</f>
        <v>103630</v>
      </c>
      <c r="D13" s="83">
        <f>VLOOKUP(B13,'County Data'!$B$11:$L$44,4,FALSE)</f>
        <v>5.8531180000000002E-2</v>
      </c>
      <c r="E13" s="80">
        <f t="shared" si="0"/>
        <v>6065.5861834000007</v>
      </c>
      <c r="F13" s="7">
        <f t="shared" si="1"/>
        <v>2.3760795263329561E-2</v>
      </c>
      <c r="G13" s="18">
        <f t="shared" si="2"/>
        <v>38753.857074490516</v>
      </c>
      <c r="H13" s="12">
        <f t="shared" si="3"/>
        <v>0.37396368884001269</v>
      </c>
      <c r="I13" s="34"/>
    </row>
    <row r="14" spans="2:11" x14ac:dyDescent="0.25">
      <c r="B14" s="31" t="str">
        <f>'County Data'!$B$21</f>
        <v>County 11</v>
      </c>
      <c r="C14" s="20">
        <f>VLOOKUP($B14,'County Data'!$B$11:$L$44,3,FALSE)</f>
        <v>7430</v>
      </c>
      <c r="D14" s="83">
        <f>VLOOKUP(B14,'County Data'!$B$11:$L$44,4,FALSE)</f>
        <v>5.8698729999999998E-2</v>
      </c>
      <c r="E14" s="80">
        <f t="shared" si="0"/>
        <v>436.1315639</v>
      </c>
      <c r="F14" s="7">
        <f t="shared" si="1"/>
        <v>1.7084635325212471E-3</v>
      </c>
      <c r="G14" s="18">
        <f t="shared" si="2"/>
        <v>2786.5040215421541</v>
      </c>
      <c r="H14" s="12">
        <f t="shared" si="3"/>
        <v>0.37503418863286059</v>
      </c>
      <c r="I14" s="34"/>
    </row>
    <row r="15" spans="2:11" x14ac:dyDescent="0.25">
      <c r="B15" s="31" t="str">
        <f>'County Data'!$B$34</f>
        <v>County 24</v>
      </c>
      <c r="C15" s="20">
        <f>VLOOKUP($B15,'County Data'!$B$11:$L$44,3,FALSE)</f>
        <v>11630</v>
      </c>
      <c r="D15" s="83">
        <f>VLOOKUP(B15,'County Data'!$B$11:$L$44,4,FALSE)</f>
        <v>6.1088580000000003E-2</v>
      </c>
      <c r="E15" s="80">
        <f t="shared" si="0"/>
        <v>710.4601854</v>
      </c>
      <c r="F15" s="7">
        <f t="shared" si="1"/>
        <v>2.7830944112600241E-3</v>
      </c>
      <c r="G15" s="18">
        <f t="shared" si="2"/>
        <v>4539.2269847650996</v>
      </c>
      <c r="H15" s="12">
        <f t="shared" si="3"/>
        <v>0.39030326610190025</v>
      </c>
      <c r="I15" s="34"/>
    </row>
    <row r="16" spans="2:11" x14ac:dyDescent="0.25">
      <c r="B16" s="31" t="str">
        <f>'County Data'!$B$43</f>
        <v>County 33</v>
      </c>
      <c r="C16" s="20">
        <f>VLOOKUP($B16,'County Data'!$B$11:$L$44,3,FALSE)</f>
        <v>1445</v>
      </c>
      <c r="D16" s="83">
        <f>VLOOKUP(B16,'County Data'!$B$11:$L$44,4,FALSE)</f>
        <v>6.1573549999999998E-2</v>
      </c>
      <c r="E16" s="80">
        <f t="shared" si="0"/>
        <v>88.973779749999991</v>
      </c>
      <c r="F16" s="7">
        <f t="shared" si="1"/>
        <v>3.4853808033097599E-4</v>
      </c>
      <c r="G16" s="18">
        <f t="shared" si="2"/>
        <v>568.46560901982184</v>
      </c>
      <c r="H16" s="12">
        <f t="shared" si="3"/>
        <v>0.39340180555004972</v>
      </c>
      <c r="I16" s="34"/>
    </row>
    <row r="17" spans="2:9" x14ac:dyDescent="0.25">
      <c r="B17" s="31" t="str">
        <f>'County Data'!$B$33</f>
        <v>County 23</v>
      </c>
      <c r="C17" s="20">
        <f>VLOOKUP($B17,'County Data'!$B$11:$L$44,3,FALSE)</f>
        <v>329770</v>
      </c>
      <c r="D17" s="83">
        <f>VLOOKUP(B17,'County Data'!$B$11:$L$44,4,FALSE)</f>
        <v>6.2708059999999996E-2</v>
      </c>
      <c r="E17" s="80">
        <f t="shared" si="0"/>
        <v>20679.236946199999</v>
      </c>
      <c r="F17" s="7">
        <f t="shared" si="1"/>
        <v>8.1007028904354739E-2</v>
      </c>
      <c r="G17" s="18">
        <f t="shared" si="2"/>
        <v>132122.46414300258</v>
      </c>
      <c r="H17" s="12">
        <f t="shared" si="3"/>
        <v>0.40065034461291987</v>
      </c>
      <c r="I17" s="34"/>
    </row>
    <row r="18" spans="2:9" x14ac:dyDescent="0.25">
      <c r="B18" s="31" t="str">
        <f>'County Data'!$B$35</f>
        <v>County 25</v>
      </c>
      <c r="C18" s="20">
        <f>VLOOKUP($B18,'County Data'!$B$11:$L$44,3,FALSE)</f>
        <v>777490</v>
      </c>
      <c r="D18" s="83">
        <f>VLOOKUP(B18,'County Data'!$B$11:$L$44,4,FALSE)</f>
        <v>6.3431520000000005E-2</v>
      </c>
      <c r="E18" s="80">
        <f t="shared" si="0"/>
        <v>49317.372484800006</v>
      </c>
      <c r="F18" s="7">
        <f t="shared" si="1"/>
        <v>0.19319154902846408</v>
      </c>
      <c r="G18" s="18">
        <f t="shared" si="2"/>
        <v>315095.41646542493</v>
      </c>
      <c r="H18" s="12">
        <f t="shared" si="3"/>
        <v>0.40527262918548784</v>
      </c>
      <c r="I18" s="34"/>
    </row>
    <row r="19" spans="2:9" x14ac:dyDescent="0.25">
      <c r="B19" s="31" t="str">
        <f>'County Data'!$B$29</f>
        <v>County 19</v>
      </c>
      <c r="C19" s="20">
        <f>VLOOKUP($B19,'County Data'!$B$11:$L$44,3,FALSE)</f>
        <v>362150</v>
      </c>
      <c r="D19" s="83">
        <f>VLOOKUP(B19,'County Data'!$B$11:$L$44,4,FALSE)</f>
        <v>6.644833E-2</v>
      </c>
      <c r="E19" s="80">
        <f t="shared" si="0"/>
        <v>24064.262709499999</v>
      </c>
      <c r="F19" s="7">
        <f t="shared" si="1"/>
        <v>9.4267231907155441E-2</v>
      </c>
      <c r="G19" s="18">
        <f t="shared" si="2"/>
        <v>153749.85524057053</v>
      </c>
      <c r="H19" s="12">
        <f t="shared" si="3"/>
        <v>0.42454743957081464</v>
      </c>
      <c r="I19" s="34"/>
    </row>
    <row r="20" spans="2:9" x14ac:dyDescent="0.25">
      <c r="B20" s="31" t="str">
        <f>'County Data'!$B$40</f>
        <v>County 30</v>
      </c>
      <c r="C20" s="20">
        <f>VLOOKUP($B20,'County Data'!$B$11:$L$44,3,FALSE)</f>
        <v>26625</v>
      </c>
      <c r="D20" s="83">
        <f>VLOOKUP(B20,'County Data'!$B$11:$L$44,4,FALSE)</f>
        <v>6.7867610000000009E-2</v>
      </c>
      <c r="E20" s="80">
        <f t="shared" si="0"/>
        <v>1806.9751162500002</v>
      </c>
      <c r="F20" s="7">
        <f t="shared" si="1"/>
        <v>7.0784858190046408E-3</v>
      </c>
      <c r="G20" s="18">
        <f t="shared" si="2"/>
        <v>11545.01037079657</v>
      </c>
      <c r="H20" s="12">
        <f t="shared" si="3"/>
        <v>0.43361541298766459</v>
      </c>
      <c r="I20" s="34"/>
    </row>
    <row r="21" spans="2:9" x14ac:dyDescent="0.25">
      <c r="B21" s="31" t="str">
        <f>'County Data'!$B$32</f>
        <v>County 22</v>
      </c>
      <c r="C21" s="20">
        <f>VLOOKUP($B21,'County Data'!$B$11:$L$44,3,FALSE)</f>
        <v>31480</v>
      </c>
      <c r="D21" s="83">
        <f>VLOOKUP(B21,'County Data'!$B$11:$L$44,4,FALSE)</f>
        <v>6.8830420000000003E-2</v>
      </c>
      <c r="E21" s="80">
        <f t="shared" si="0"/>
        <v>2166.7816216000001</v>
      </c>
      <c r="F21" s="7">
        <f t="shared" si="1"/>
        <v>8.4879602621232165E-3</v>
      </c>
      <c r="G21" s="18">
        <f t="shared" si="2"/>
        <v>13843.863187522966</v>
      </c>
      <c r="H21" s="12">
        <f t="shared" si="3"/>
        <v>0.43976693734189853</v>
      </c>
      <c r="I21" s="34"/>
    </row>
    <row r="22" spans="2:9" x14ac:dyDescent="0.25">
      <c r="B22" s="31" t="str">
        <f>'County Data'!$B$31</f>
        <v>County 21</v>
      </c>
      <c r="C22" s="20">
        <f>VLOOKUP($B22,'County Data'!$B$11:$L$44,3,FALSE)</f>
        <v>120860</v>
      </c>
      <c r="D22" s="83">
        <f>VLOOKUP(B22,'County Data'!$B$11:$L$44,4,FALSE)</f>
        <v>6.983033000000001E-2</v>
      </c>
      <c r="E22" s="80">
        <f t="shared" si="0"/>
        <v>8439.693683800002</v>
      </c>
      <c r="F22" s="7">
        <f t="shared" si="1"/>
        <v>3.306091573717948E-2</v>
      </c>
      <c r="G22" s="18">
        <f t="shared" si="2"/>
        <v>53922.353567339735</v>
      </c>
      <c r="H22" s="12">
        <f t="shared" si="3"/>
        <v>0.44615549865414311</v>
      </c>
      <c r="I22" s="34"/>
    </row>
    <row r="23" spans="2:9" x14ac:dyDescent="0.25">
      <c r="B23" s="31" t="str">
        <f>'County Data'!$B$39</f>
        <v>County 29</v>
      </c>
      <c r="C23" s="20">
        <f>VLOOKUP($B23,'County Data'!$B$11:$L$44,3,FALSE)</f>
        <v>79155</v>
      </c>
      <c r="D23" s="83">
        <f>VLOOKUP(B23,'County Data'!$B$11:$L$44,4,FALSE)</f>
        <v>6.9904530000000006E-2</v>
      </c>
      <c r="E23" s="80">
        <f t="shared" si="0"/>
        <v>5533.2930721500006</v>
      </c>
      <c r="F23" s="7">
        <f t="shared" si="1"/>
        <v>2.1675636920166358E-2</v>
      </c>
      <c r="G23" s="18">
        <f t="shared" si="2"/>
        <v>35352.963816791329</v>
      </c>
      <c r="H23" s="12">
        <f t="shared" si="3"/>
        <v>0.44662957257016395</v>
      </c>
      <c r="I23" s="34"/>
    </row>
    <row r="24" spans="2:9" x14ac:dyDescent="0.25">
      <c r="B24" s="31" t="str">
        <f>'County Data'!$B$24</f>
        <v>County 14</v>
      </c>
      <c r="C24" s="20">
        <f>VLOOKUP($B24,'County Data'!$B$11:$L$44,3,FALSE)</f>
        <v>210975</v>
      </c>
      <c r="D24" s="83">
        <f>VLOOKUP(B24,'County Data'!$B$11:$L$44,4,FALSE)</f>
        <v>7.148386000000001E-2</v>
      </c>
      <c r="E24" s="80">
        <f t="shared" si="0"/>
        <v>15081.307363500002</v>
      </c>
      <c r="F24" s="7">
        <f t="shared" si="1"/>
        <v>5.9078190587443305E-2</v>
      </c>
      <c r="G24" s="18">
        <f t="shared" si="2"/>
        <v>96356.528848120026</v>
      </c>
      <c r="H24" s="12">
        <f t="shared" si="3"/>
        <v>0.45672012725735289</v>
      </c>
      <c r="I24" s="34"/>
    </row>
    <row r="25" spans="2:9" x14ac:dyDescent="0.25">
      <c r="B25" s="31" t="str">
        <f>'County Data'!$B$17</f>
        <v>County 7</v>
      </c>
      <c r="C25" s="20">
        <f>VLOOKUP($B25,'County Data'!$B$11:$L$44,3,FALSE)</f>
        <v>21085</v>
      </c>
      <c r="D25" s="83">
        <f>VLOOKUP(B25,'County Data'!$B$11:$L$44,4,FALSE)</f>
        <v>7.2055850000000005E-2</v>
      </c>
      <c r="E25" s="80">
        <f t="shared" si="0"/>
        <v>1519.2975972500001</v>
      </c>
      <c r="F25" s="7">
        <f t="shared" si="1"/>
        <v>5.951563140116899E-3</v>
      </c>
      <c r="G25" s="18">
        <f t="shared" si="2"/>
        <v>9706.9994815306618</v>
      </c>
      <c r="H25" s="12">
        <f t="shared" si="3"/>
        <v>0.46037464934933181</v>
      </c>
      <c r="I25" s="34"/>
    </row>
    <row r="26" spans="2:9" x14ac:dyDescent="0.25">
      <c r="B26" s="31" t="str">
        <f>'County Data'!$B$15</f>
        <v>County 5</v>
      </c>
      <c r="C26" s="20">
        <f>VLOOKUP($B26,'County Data'!$B$11:$L$44,3,FALSE)</f>
        <v>50390</v>
      </c>
      <c r="D26" s="83">
        <f>VLOOKUP(B26,'County Data'!$B$11:$L$44,4,FALSE)</f>
        <v>7.2537920000000006E-2</v>
      </c>
      <c r="E26" s="80">
        <f t="shared" si="0"/>
        <v>3655.1857888000004</v>
      </c>
      <c r="F26" s="7">
        <f t="shared" si="1"/>
        <v>1.4318504189223416E-2</v>
      </c>
      <c r="G26" s="18">
        <f t="shared" si="2"/>
        <v>23353.480332623392</v>
      </c>
      <c r="H26" s="12">
        <f t="shared" si="3"/>
        <v>0.46345466030211135</v>
      </c>
      <c r="I26" s="34"/>
    </row>
    <row r="27" spans="2:9" x14ac:dyDescent="0.25">
      <c r="B27" s="31" t="str">
        <f>'County Data'!$B$41</f>
        <v>County 31</v>
      </c>
      <c r="C27" s="20">
        <f>VLOOKUP($B27,'County Data'!$B$11:$L$44,3,FALSE)</f>
        <v>7100</v>
      </c>
      <c r="D27" s="83">
        <f>VLOOKUP(B27,'County Data'!$B$11:$L$44,4,FALSE)</f>
        <v>7.3908500000000002E-2</v>
      </c>
      <c r="E27" s="80">
        <f t="shared" si="0"/>
        <v>524.75035000000003</v>
      </c>
      <c r="F27" s="7">
        <f t="shared" si="1"/>
        <v>2.0556109918664863E-3</v>
      </c>
      <c r="G27" s="18">
        <f t="shared" si="2"/>
        <v>3352.7015277342393</v>
      </c>
      <c r="H27" s="12">
        <f t="shared" si="3"/>
        <v>0.47221148277947034</v>
      </c>
      <c r="I27" s="34"/>
    </row>
    <row r="28" spans="2:9" x14ac:dyDescent="0.25">
      <c r="B28" s="31" t="str">
        <f>'County Data'!$B$38</f>
        <v>County 28</v>
      </c>
      <c r="C28" s="20">
        <f>VLOOKUP($B28,'County Data'!$B$11:$L$44,3,FALSE)</f>
        <v>25690</v>
      </c>
      <c r="D28" s="83">
        <f>VLOOKUP(B28,'County Data'!$B$11:$L$44,4,FALSE)</f>
        <v>7.7122700000000002E-2</v>
      </c>
      <c r="E28" s="80">
        <f t="shared" si="0"/>
        <v>1981.2821630000001</v>
      </c>
      <c r="F28" s="7">
        <f t="shared" si="1"/>
        <v>7.7613009543524977E-3</v>
      </c>
      <c r="G28" s="18">
        <f t="shared" si="2"/>
        <v>12658.681856548923</v>
      </c>
      <c r="H28" s="12">
        <f t="shared" si="3"/>
        <v>0.49274744478586696</v>
      </c>
      <c r="I28" s="34"/>
    </row>
    <row r="29" spans="2:9" x14ac:dyDescent="0.25">
      <c r="B29" s="31" t="str">
        <f>'County Data'!$B$28</f>
        <v>County 18</v>
      </c>
      <c r="C29" s="20">
        <f>VLOOKUP($B29,'County Data'!$B$11:$L$44,3,FALSE)</f>
        <v>8010</v>
      </c>
      <c r="D29" s="83">
        <f>VLOOKUP(B29,'County Data'!$B$11:$L$44,4,FALSE)</f>
        <v>7.801319000000001E-2</v>
      </c>
      <c r="E29" s="80">
        <f t="shared" si="0"/>
        <v>624.88565190000008</v>
      </c>
      <c r="F29" s="7">
        <f t="shared" si="1"/>
        <v>2.4478722400190778E-3</v>
      </c>
      <c r="G29" s="18">
        <f t="shared" si="2"/>
        <v>3992.4796234711157</v>
      </c>
      <c r="H29" s="12">
        <f t="shared" si="3"/>
        <v>0.49843690680038899</v>
      </c>
      <c r="I29" s="34"/>
    </row>
    <row r="30" spans="2:9" x14ac:dyDescent="0.25">
      <c r="B30" s="31" t="str">
        <f>'County Data'!$B$36</f>
        <v>County 26</v>
      </c>
      <c r="C30" s="20">
        <f>VLOOKUP($B30,'County Data'!$B$11:$L$44,3,FALSE)</f>
        <v>30135</v>
      </c>
      <c r="D30" s="83">
        <f>VLOOKUP(B30,'County Data'!$B$11:$L$44,4,FALSE)</f>
        <v>8.0446829999999997E-2</v>
      </c>
      <c r="E30" s="80">
        <f t="shared" si="0"/>
        <v>2424.2652220499999</v>
      </c>
      <c r="F30" s="7">
        <f t="shared" si="1"/>
        <v>9.4966039329857088E-3</v>
      </c>
      <c r="G30" s="18">
        <f t="shared" si="2"/>
        <v>15488.961014699691</v>
      </c>
      <c r="H30" s="12">
        <f t="shared" si="3"/>
        <v>0.51398576454951683</v>
      </c>
      <c r="I30" s="34"/>
    </row>
    <row r="31" spans="2:9" x14ac:dyDescent="0.25">
      <c r="B31" s="31" t="str">
        <f>'County Data'!$B$11</f>
        <v>County 1</v>
      </c>
      <c r="C31" s="20">
        <f>VLOOKUP($B31,'County Data'!$B$11:$L$44,3,FALSE)</f>
        <v>16425</v>
      </c>
      <c r="D31" s="83">
        <f>VLOOKUP(B31,'County Data'!$B$11:$L$44,4,FALSE)</f>
        <v>8.2643250000000001E-2</v>
      </c>
      <c r="E31" s="80">
        <f t="shared" si="0"/>
        <v>1357.4153812500001</v>
      </c>
      <c r="F31" s="7">
        <f t="shared" si="1"/>
        <v>5.3174199468873857E-3</v>
      </c>
      <c r="G31" s="18">
        <f t="shared" si="2"/>
        <v>8672.7119333733262</v>
      </c>
      <c r="H31" s="12">
        <f t="shared" si="3"/>
        <v>0.52801899137737152</v>
      </c>
      <c r="I31" s="34"/>
    </row>
    <row r="32" spans="2:9" x14ac:dyDescent="0.25">
      <c r="B32" s="31" t="str">
        <f>'County Data'!$B$14</f>
        <v>County 4</v>
      </c>
      <c r="C32" s="20">
        <f>VLOOKUP($B32,'County Data'!$B$11:$L$44,3,FALSE)</f>
        <v>37750</v>
      </c>
      <c r="D32" s="83">
        <f>VLOOKUP(B32,'County Data'!$B$11:$L$44,4,FALSE)</f>
        <v>8.4737309999999996E-2</v>
      </c>
      <c r="E32" s="80">
        <f t="shared" si="0"/>
        <v>3198.8334525</v>
      </c>
      <c r="F32" s="7">
        <f t="shared" si="1"/>
        <v>1.2530829576596226E-2</v>
      </c>
      <c r="G32" s="18">
        <f t="shared" si="2"/>
        <v>20437.783039428443</v>
      </c>
      <c r="H32" s="12">
        <f t="shared" si="3"/>
        <v>0.54139822621002498</v>
      </c>
      <c r="I32" s="34"/>
    </row>
    <row r="33" spans="2:9" x14ac:dyDescent="0.25">
      <c r="B33" s="31" t="str">
        <f>'County Data'!$B$26</f>
        <v>County 16</v>
      </c>
      <c r="C33" s="20">
        <f>VLOOKUP($B33,'County Data'!$B$11:$L$44,3,FALSE)</f>
        <v>83720</v>
      </c>
      <c r="D33" s="83">
        <f>VLOOKUP(B33,'County Data'!$B$11:$L$44,4,FALSE)</f>
        <v>9.1008860000000011E-2</v>
      </c>
      <c r="E33" s="80">
        <f t="shared" si="0"/>
        <v>7619.2617592000006</v>
      </c>
      <c r="F33" s="7">
        <f t="shared" si="1"/>
        <v>2.9847027681104931E-2</v>
      </c>
      <c r="G33" s="18">
        <f t="shared" si="2"/>
        <v>48680.502147882144</v>
      </c>
      <c r="H33" s="12">
        <f t="shared" si="3"/>
        <v>0.58146801418874994</v>
      </c>
      <c r="I33" s="34"/>
    </row>
    <row r="34" spans="2:9" x14ac:dyDescent="0.25">
      <c r="B34" s="31" t="str">
        <f>'County Data'!$B$20</f>
        <v>County 10</v>
      </c>
      <c r="C34" s="20">
        <f>VLOOKUP($B34,'County Data'!$B$11:$L$44,3,FALSE)</f>
        <v>109910</v>
      </c>
      <c r="D34" s="83">
        <f>VLOOKUP(B34,'County Data'!$B$11:$L$44,4,FALSE)</f>
        <v>9.1029519999999989E-2</v>
      </c>
      <c r="E34" s="80">
        <f t="shared" si="0"/>
        <v>10005.054543199998</v>
      </c>
      <c r="F34" s="7">
        <f t="shared" si="1"/>
        <v>3.9192923059938198E-2</v>
      </c>
      <c r="G34" s="18">
        <f t="shared" si="2"/>
        <v>63923.6575107592</v>
      </c>
      <c r="H34" s="12">
        <f t="shared" si="3"/>
        <v>0.58160001374542081</v>
      </c>
      <c r="I34" s="34"/>
    </row>
    <row r="35" spans="2:9" x14ac:dyDescent="0.25">
      <c r="B35" s="31" t="str">
        <f>'County Data'!$B$27</f>
        <v>County 17</v>
      </c>
      <c r="C35" s="20">
        <f>VLOOKUP($B35,'County Data'!$B$11:$L$44,3,FALSE)</f>
        <v>67110</v>
      </c>
      <c r="D35" s="83">
        <f>VLOOKUP(B35,'County Data'!$B$11:$L$44,4,FALSE)</f>
        <v>9.1346029999999995E-2</v>
      </c>
      <c r="E35" s="80">
        <f t="shared" si="0"/>
        <v>6130.2320732999997</v>
      </c>
      <c r="F35" s="7">
        <f t="shared" si="1"/>
        <v>2.4014033401917614E-2</v>
      </c>
      <c r="G35" s="18">
        <f t="shared" si="2"/>
        <v>39166.888478527631</v>
      </c>
      <c r="H35" s="12">
        <f t="shared" si="3"/>
        <v>0.58362223928665824</v>
      </c>
      <c r="I35" s="34"/>
    </row>
    <row r="36" spans="2:9" x14ac:dyDescent="0.25">
      <c r="B36" s="31" t="str">
        <f>'County Data'!$B$16</f>
        <v>County 6</v>
      </c>
      <c r="C36" s="20">
        <f>VLOOKUP($B36,'County Data'!$B$11:$L$44,3,FALSE)</f>
        <v>62990</v>
      </c>
      <c r="D36" s="83">
        <f>VLOOKUP(B36,'County Data'!$B$11:$L$44,4,FALSE)</f>
        <v>9.5274810000000001E-2</v>
      </c>
      <c r="E36" s="80">
        <f t="shared" si="0"/>
        <v>6001.3602818999998</v>
      </c>
      <c r="F36" s="7">
        <f t="shared" si="1"/>
        <v>2.3509202350459783E-2</v>
      </c>
      <c r="G36" s="18">
        <f t="shared" si="2"/>
        <v>38343.509033599905</v>
      </c>
      <c r="H36" s="12">
        <f t="shared" si="3"/>
        <v>0.60872375033497228</v>
      </c>
      <c r="I36" s="34"/>
    </row>
    <row r="37" spans="2:9" x14ac:dyDescent="0.25">
      <c r="B37" s="31" t="str">
        <f>'County Data'!$B$30</f>
        <v>County 20</v>
      </c>
      <c r="C37" s="20">
        <f>VLOOKUP($B37,'County Data'!$B$11:$L$44,3,FALSE)</f>
        <v>47225</v>
      </c>
      <c r="D37" s="83">
        <f>VLOOKUP(B37,'County Data'!$B$11:$L$44,4,FALSE)</f>
        <v>9.5811949999999993E-2</v>
      </c>
      <c r="E37" s="80">
        <f t="shared" si="0"/>
        <v>4524.7193387499992</v>
      </c>
      <c r="F37" s="7">
        <f t="shared" si="1"/>
        <v>1.772473864542512E-2</v>
      </c>
      <c r="G37" s="18">
        <f t="shared" si="2"/>
        <v>28909.04873068837</v>
      </c>
      <c r="H37" s="12">
        <f t="shared" si="3"/>
        <v>0.61215561102569338</v>
      </c>
      <c r="I37" s="34"/>
    </row>
    <row r="38" spans="2:9" x14ac:dyDescent="0.25">
      <c r="B38" s="31" t="str">
        <f>'County Data'!$B$25</f>
        <v>County 15</v>
      </c>
      <c r="C38" s="20">
        <f>VLOOKUP($B38,'County Data'!$B$11:$L$44,3,FALSE)</f>
        <v>22445</v>
      </c>
      <c r="D38" s="83">
        <f>VLOOKUP(B38,'County Data'!$B$11:$L$44,4,FALSE)</f>
        <v>9.6666370000000001E-2</v>
      </c>
      <c r="E38" s="80">
        <f t="shared" si="0"/>
        <v>2169.6766746500002</v>
      </c>
      <c r="F38" s="7">
        <f t="shared" si="1"/>
        <v>8.4993010889975896E-3</v>
      </c>
      <c r="G38" s="18">
        <f t="shared" si="2"/>
        <v>13862.360076155068</v>
      </c>
      <c r="H38" s="12">
        <f t="shared" si="3"/>
        <v>0.61761461689262942</v>
      </c>
      <c r="I38" s="34"/>
    </row>
    <row r="39" spans="2:9" x14ac:dyDescent="0.25">
      <c r="B39" s="31" t="str">
        <f>'County Data'!$B$22</f>
        <v>County 12</v>
      </c>
      <c r="C39" s="20">
        <f>VLOOKUP($B39,'County Data'!$B$11:$L$44,3,FALSE)</f>
        <v>7295</v>
      </c>
      <c r="D39" s="83">
        <f>VLOOKUP(B39,'County Data'!$B$11:$L$44,4,FALSE)</f>
        <v>9.9806790000000006E-2</v>
      </c>
      <c r="E39" s="80">
        <f t="shared" si="0"/>
        <v>728.09053305000009</v>
      </c>
      <c r="F39" s="7">
        <f t="shared" si="1"/>
        <v>2.8521579886731075E-3</v>
      </c>
      <c r="G39" s="18">
        <f t="shared" si="2"/>
        <v>4651.8696795258384</v>
      </c>
      <c r="H39" s="12">
        <f t="shared" si="3"/>
        <v>0.63767918842026572</v>
      </c>
      <c r="I39" s="34"/>
    </row>
    <row r="40" spans="2:9" x14ac:dyDescent="0.25">
      <c r="B40" s="31" t="str">
        <f>'County Data'!$B$18</f>
        <v>County 8</v>
      </c>
      <c r="C40" s="20">
        <f>VLOOKUP($B40,'County Data'!$B$11:$L$44,3,FALSE)</f>
        <v>22470</v>
      </c>
      <c r="D40" s="83">
        <f>VLOOKUP(B40,'County Data'!$B$11:$L$44,4,FALSE)</f>
        <v>0.10643657999999999</v>
      </c>
      <c r="E40" s="80">
        <f t="shared" si="0"/>
        <v>2391.6299525999998</v>
      </c>
      <c r="F40" s="7">
        <f t="shared" si="1"/>
        <v>9.3687613910913691E-3</v>
      </c>
      <c r="G40" s="18">
        <f t="shared" si="2"/>
        <v>15280.449828870023</v>
      </c>
      <c r="H40" s="12">
        <f t="shared" si="3"/>
        <v>0.68003782059946705</v>
      </c>
      <c r="I40" s="34"/>
    </row>
    <row r="41" spans="2:9" x14ac:dyDescent="0.25">
      <c r="B41" s="5" t="s">
        <v>3</v>
      </c>
      <c r="C41" s="6">
        <f>SUM(C6:C40)</f>
        <v>4013845</v>
      </c>
      <c r="D41" s="6">
        <f>SUM(D6:D40)</f>
        <v>2.47361904</v>
      </c>
      <c r="E41" s="6">
        <f>SUM(E6:E40)</f>
        <v>255277.06948264997</v>
      </c>
      <c r="F41" s="10">
        <f>SUM(F6:F40)</f>
        <v>1.0000000000000002</v>
      </c>
      <c r="G41" s="13">
        <f>SUM(G6:G40)</f>
        <v>1631000.0000000002</v>
      </c>
      <c r="H41" s="14">
        <f t="shared" ref="H41" si="4">G41/C41</f>
        <v>0.40634354341037093</v>
      </c>
    </row>
  </sheetData>
  <sortState ref="B7:H40">
    <sortCondition ref="D7:D40"/>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B4" sqref="B4"/>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102</v>
      </c>
      <c r="C4" s="18">
        <f>'County Data'!F10</f>
        <v>1631000</v>
      </c>
      <c r="D4" s="11"/>
    </row>
    <row r="6" spans="2:8" s="2" customFormat="1" ht="30" x14ac:dyDescent="0.25">
      <c r="B6" s="3" t="s">
        <v>8</v>
      </c>
      <c r="C6" s="3" t="s">
        <v>1</v>
      </c>
      <c r="D6" s="3" t="s">
        <v>19</v>
      </c>
      <c r="E6" s="3" t="s">
        <v>80</v>
      </c>
      <c r="F6" s="3" t="s">
        <v>81</v>
      </c>
      <c r="G6" s="17" t="s">
        <v>18</v>
      </c>
      <c r="H6" s="3" t="s">
        <v>7</v>
      </c>
    </row>
    <row r="7" spans="2:8" x14ac:dyDescent="0.25">
      <c r="B7" s="31" t="str">
        <f>'County Data'!$B$43</f>
        <v>County 33</v>
      </c>
      <c r="C7" s="20">
        <f>VLOOKUP($B7,'County Data'!$B$11:$L$44,3,FALSE)</f>
        <v>1445</v>
      </c>
      <c r="D7" s="74">
        <f>VLOOKUP($B7,'County Data'!$B$11:$L$44,5,FALSE)</f>
        <v>0</v>
      </c>
      <c r="E7" s="80">
        <f t="shared" ref="E7:E40" si="0">C7*D7</f>
        <v>0</v>
      </c>
      <c r="F7" s="7">
        <f t="shared" ref="F7:F40" si="1">E7/$E$41</f>
        <v>0</v>
      </c>
      <c r="G7" s="18">
        <f t="shared" ref="G7:G40" si="2">$C$4*F7</f>
        <v>0</v>
      </c>
      <c r="H7" s="12">
        <f t="shared" ref="H7:H40" si="3">G7/C7</f>
        <v>0</v>
      </c>
    </row>
    <row r="8" spans="2:8" x14ac:dyDescent="0.25">
      <c r="B8" s="31" t="str">
        <f>+'County Data'!$B$41</f>
        <v>County 31</v>
      </c>
      <c r="C8" s="20">
        <f>VLOOKUP($B8,'County Data'!$B$11:$L$44,3,FALSE)</f>
        <v>7100</v>
      </c>
      <c r="D8" s="74">
        <f>1-VLOOKUP($B8,'County Data'!$B$11:$L$44,5,FALSE)</f>
        <v>6.2000000000000055E-2</v>
      </c>
      <c r="E8" s="80">
        <f t="shared" si="0"/>
        <v>440.20000000000039</v>
      </c>
      <c r="F8" s="7">
        <f t="shared" si="1"/>
        <v>6.5442508206478697E-4</v>
      </c>
      <c r="G8" s="18">
        <f t="shared" si="2"/>
        <v>1067.3673088476676</v>
      </c>
      <c r="H8" s="12">
        <f t="shared" si="3"/>
        <v>0.15033342378136164</v>
      </c>
    </row>
    <row r="9" spans="2:8" x14ac:dyDescent="0.25">
      <c r="B9" s="31" t="str">
        <f>+'County Data'!$B$21</f>
        <v>County 11</v>
      </c>
      <c r="C9" s="20">
        <f>VLOOKUP($B9,'County Data'!$B$11:$L$44,3,FALSE)</f>
        <v>7430</v>
      </c>
      <c r="D9" s="74">
        <f>1-VLOOKUP($B9,'County Data'!$B$11:$L$44,5,FALSE)</f>
        <v>9.2000000000000082E-2</v>
      </c>
      <c r="E9" s="80">
        <f t="shared" si="0"/>
        <v>683.56000000000063</v>
      </c>
      <c r="F9" s="7">
        <f t="shared" si="1"/>
        <v>1.0162171946756151E-3</v>
      </c>
      <c r="G9" s="18">
        <f t="shared" si="2"/>
        <v>1657.4502445159283</v>
      </c>
      <c r="H9" s="12">
        <f t="shared" si="3"/>
        <v>0.22307540303040757</v>
      </c>
    </row>
    <row r="10" spans="2:8" x14ac:dyDescent="0.25">
      <c r="B10" s="31" t="str">
        <f>+'County Data'!$B$19</f>
        <v>County 9</v>
      </c>
      <c r="C10" s="20">
        <f>VLOOKUP($B10,'County Data'!$B$11:$L$44,3,FALSE)</f>
        <v>170740</v>
      </c>
      <c r="D10" s="74">
        <f>1-VLOOKUP($B10,'County Data'!$B$11:$L$44,5,FALSE)</f>
        <v>9.7999999999999976E-2</v>
      </c>
      <c r="E10" s="80">
        <f t="shared" si="0"/>
        <v>16732.519999999997</v>
      </c>
      <c r="F10" s="7">
        <f t="shared" si="1"/>
        <v>2.4875467456044246E-2</v>
      </c>
      <c r="G10" s="18">
        <f t="shared" si="2"/>
        <v>40571.887420808162</v>
      </c>
      <c r="H10" s="12">
        <f t="shared" si="3"/>
        <v>0.23762379888021648</v>
      </c>
    </row>
    <row r="11" spans="2:8" x14ac:dyDescent="0.25">
      <c r="B11" s="31" t="str">
        <f>+'County Data'!$B$28</f>
        <v>County 18</v>
      </c>
      <c r="C11" s="20">
        <f>VLOOKUP($B11,'County Data'!$B$11:$L$44,3,FALSE)</f>
        <v>8010</v>
      </c>
      <c r="D11" s="74">
        <f>1-VLOOKUP($B11,'County Data'!$B$11:$L$44,5,FALSE)</f>
        <v>0.10499999999999998</v>
      </c>
      <c r="E11" s="80">
        <f t="shared" si="0"/>
        <v>841.04999999999984</v>
      </c>
      <c r="F11" s="7">
        <f t="shared" si="1"/>
        <v>1.2503503300104236E-3</v>
      </c>
      <c r="G11" s="18">
        <f t="shared" si="2"/>
        <v>2039.3213882470009</v>
      </c>
      <c r="H11" s="12">
        <f t="shared" si="3"/>
        <v>0.25459692737166051</v>
      </c>
    </row>
    <row r="12" spans="2:8" x14ac:dyDescent="0.25">
      <c r="B12" s="31" t="str">
        <f>+'County Data'!$B$42</f>
        <v>County 32</v>
      </c>
      <c r="C12" s="20">
        <f>VLOOKUP($B12,'County Data'!$B$11:$L$44,3,FALSE)</f>
        <v>570510</v>
      </c>
      <c r="D12" s="74">
        <f>1-VLOOKUP($B12,'County Data'!$B$11:$L$44,5,FALSE)</f>
        <v>0.13200000000000001</v>
      </c>
      <c r="E12" s="80">
        <f t="shared" si="0"/>
        <v>75307.320000000007</v>
      </c>
      <c r="F12" s="7">
        <f t="shared" si="1"/>
        <v>0.11195592701290126</v>
      </c>
      <c r="G12" s="18">
        <f t="shared" si="2"/>
        <v>182600.11695804197</v>
      </c>
      <c r="H12" s="12">
        <f t="shared" si="3"/>
        <v>0.32006470869580195</v>
      </c>
    </row>
    <row r="13" spans="2:8" x14ac:dyDescent="0.25">
      <c r="B13" s="31" t="str">
        <f>+'County Data'!$B$23</f>
        <v>County 13</v>
      </c>
      <c r="C13" s="20">
        <f>VLOOKUP($B13,'County Data'!$B$11:$L$44,3,FALSE)</f>
        <v>24245</v>
      </c>
      <c r="D13" s="74">
        <f>1-VLOOKUP($B13,'County Data'!$B$11:$L$44,5,FALSE)</f>
        <v>0.14400000000000002</v>
      </c>
      <c r="E13" s="80">
        <f t="shared" si="0"/>
        <v>3491.28</v>
      </c>
      <c r="F13" s="7">
        <f t="shared" si="1"/>
        <v>5.1903253078399532E-3</v>
      </c>
      <c r="G13" s="18">
        <f t="shared" si="2"/>
        <v>8465.420577086963</v>
      </c>
      <c r="H13" s="12">
        <f t="shared" si="3"/>
        <v>0.34916150039542021</v>
      </c>
    </row>
    <row r="14" spans="2:8" x14ac:dyDescent="0.25">
      <c r="B14" s="31" t="str">
        <f>+'County Data'!$B$13</f>
        <v>County 3</v>
      </c>
      <c r="C14" s="20">
        <f>VLOOKUP($B14,'County Data'!$B$11:$L$44,3,FALSE)</f>
        <v>397385</v>
      </c>
      <c r="D14" s="74">
        <f>1-VLOOKUP($B14,'County Data'!$B$11:$L$44,5,FALSE)</f>
        <v>0.14500000000000002</v>
      </c>
      <c r="E14" s="80">
        <f t="shared" si="0"/>
        <v>57620.825000000004</v>
      </c>
      <c r="F14" s="7">
        <f t="shared" si="1"/>
        <v>8.5662228826137429E-2</v>
      </c>
      <c r="G14" s="18">
        <f t="shared" si="2"/>
        <v>139715.09521543013</v>
      </c>
      <c r="H14" s="12">
        <f t="shared" si="3"/>
        <v>0.35158623303705511</v>
      </c>
    </row>
    <row r="15" spans="2:8" x14ac:dyDescent="0.25">
      <c r="B15" s="31" t="str">
        <f>+'County Data'!$B$44</f>
        <v>County 34</v>
      </c>
      <c r="C15" s="20">
        <f>VLOOKUP($B15,'County Data'!$B$11:$L$44,3,FALSE)</f>
        <v>103630</v>
      </c>
      <c r="D15" s="74">
        <f>1-VLOOKUP($B15,'County Data'!$B$11:$L$44,5,FALSE)</f>
        <v>0.14599999999999991</v>
      </c>
      <c r="E15" s="80">
        <f t="shared" si="0"/>
        <v>15129.97999999999</v>
      </c>
      <c r="F15" s="7">
        <f t="shared" si="1"/>
        <v>2.2493044986684623E-2</v>
      </c>
      <c r="G15" s="18">
        <f t="shared" si="2"/>
        <v>36686.156373282618</v>
      </c>
      <c r="H15" s="12">
        <f t="shared" si="3"/>
        <v>0.35401096567868973</v>
      </c>
    </row>
    <row r="16" spans="2:8" x14ac:dyDescent="0.25">
      <c r="B16" s="31" t="str">
        <f>+'County Data'!$B$12</f>
        <v>County 2</v>
      </c>
      <c r="C16" s="20">
        <f>VLOOKUP($B16,'County Data'!$B$11:$L$44,3,FALSE)</f>
        <v>90005</v>
      </c>
      <c r="D16" s="74">
        <f>1-VLOOKUP($B16,'County Data'!$B$11:$L$44,5,FALSE)</f>
        <v>0.15000000000000002</v>
      </c>
      <c r="E16" s="80">
        <f t="shared" si="0"/>
        <v>13500.750000000002</v>
      </c>
      <c r="F16" s="7">
        <f t="shared" si="1"/>
        <v>2.0070943722594652E-2</v>
      </c>
      <c r="G16" s="18">
        <f t="shared" si="2"/>
        <v>32735.709211551875</v>
      </c>
      <c r="H16" s="12">
        <f t="shared" si="3"/>
        <v>0.36370989624522942</v>
      </c>
    </row>
    <row r="17" spans="2:8" x14ac:dyDescent="0.25">
      <c r="B17" s="31" t="str">
        <f>+'County Data'!$B$37</f>
        <v>County 27</v>
      </c>
      <c r="C17" s="20">
        <f>VLOOKUP($B17,'County Data'!$B$11:$L$44,3,FALSE)</f>
        <v>78570</v>
      </c>
      <c r="D17" s="74">
        <f>1-VLOOKUP($B17,'County Data'!$B$11:$L$44,5,FALSE)</f>
        <v>0.15300000000000002</v>
      </c>
      <c r="E17" s="80">
        <f t="shared" si="0"/>
        <v>12021.210000000003</v>
      </c>
      <c r="F17" s="7">
        <f t="shared" si="1"/>
        <v>1.7871379692794259E-2</v>
      </c>
      <c r="G17" s="18">
        <f t="shared" si="2"/>
        <v>29148.220278947436</v>
      </c>
      <c r="H17" s="12">
        <f t="shared" si="3"/>
        <v>0.37098409417013412</v>
      </c>
    </row>
    <row r="18" spans="2:8" x14ac:dyDescent="0.25">
      <c r="B18" s="31" t="str">
        <f>+'County Data'!$B$17</f>
        <v>County 7</v>
      </c>
      <c r="C18" s="20">
        <f>VLOOKUP($B18,'County Data'!$B$11:$L$44,3,FALSE)</f>
        <v>21085</v>
      </c>
      <c r="D18" s="74">
        <f>1-VLOOKUP($B18,'County Data'!$B$11:$L$44,5,FALSE)</f>
        <v>0.15400000000000003</v>
      </c>
      <c r="E18" s="80">
        <f t="shared" si="0"/>
        <v>3247.0900000000006</v>
      </c>
      <c r="F18" s="7">
        <f t="shared" si="1"/>
        <v>4.8272992724255961E-3</v>
      </c>
      <c r="G18" s="18">
        <f t="shared" si="2"/>
        <v>7873.3251133261474</v>
      </c>
      <c r="H18" s="12">
        <f t="shared" si="3"/>
        <v>0.3734088268117689</v>
      </c>
    </row>
    <row r="19" spans="2:8" x14ac:dyDescent="0.25">
      <c r="B19" s="31" t="str">
        <f>+'County Data'!$B$11</f>
        <v>County 1</v>
      </c>
      <c r="C19" s="20">
        <f>VLOOKUP($B19,'County Data'!$B$11:$L$44,3,FALSE)</f>
        <v>16425</v>
      </c>
      <c r="D19" s="74">
        <f>1-VLOOKUP($B19,'County Data'!$B$11:$L$44,5,FALSE)</f>
        <v>0.16099999999999992</v>
      </c>
      <c r="E19" s="80">
        <f t="shared" si="0"/>
        <v>2644.4249999999988</v>
      </c>
      <c r="F19" s="7">
        <f t="shared" si="1"/>
        <v>3.9313449514747209E-3</v>
      </c>
      <c r="G19" s="18">
        <f t="shared" si="2"/>
        <v>6412.0236158552698</v>
      </c>
      <c r="H19" s="12">
        <f t="shared" si="3"/>
        <v>0.39038195530321279</v>
      </c>
    </row>
    <row r="20" spans="2:8" x14ac:dyDescent="0.25">
      <c r="B20" s="31" t="str">
        <f>+'County Data'!$B$35</f>
        <v>County 25</v>
      </c>
      <c r="C20" s="20">
        <f>VLOOKUP($B20,'County Data'!$B$11:$L$44,3,FALSE)</f>
        <v>777490</v>
      </c>
      <c r="D20" s="74">
        <f>1-VLOOKUP($B20,'County Data'!$B$11:$L$44,5,FALSE)</f>
        <v>0.16400000000000003</v>
      </c>
      <c r="E20" s="80">
        <f t="shared" si="0"/>
        <v>127508.36000000003</v>
      </c>
      <c r="F20" s="7">
        <f t="shared" si="1"/>
        <v>0.18956081089719751</v>
      </c>
      <c r="G20" s="18">
        <f t="shared" si="2"/>
        <v>309173.68257332913</v>
      </c>
      <c r="H20" s="12">
        <f t="shared" si="3"/>
        <v>0.39765615322811759</v>
      </c>
    </row>
    <row r="21" spans="2:8" x14ac:dyDescent="0.25">
      <c r="B21" s="31" t="str">
        <f>+'County Data'!$B$29</f>
        <v>County 19</v>
      </c>
      <c r="C21" s="20">
        <f>VLOOKUP($B21,'County Data'!$B$11:$L$44,3,FALSE)</f>
        <v>362150</v>
      </c>
      <c r="D21" s="74">
        <f>1-VLOOKUP($B21,'County Data'!$B$11:$L$44,5,FALSE)</f>
        <v>0.16500000000000004</v>
      </c>
      <c r="E21" s="80">
        <f t="shared" si="0"/>
        <v>59754.750000000015</v>
      </c>
      <c r="F21" s="7">
        <f t="shared" si="1"/>
        <v>8.8834636920742394E-2</v>
      </c>
      <c r="G21" s="18">
        <f t="shared" si="2"/>
        <v>144889.29281773083</v>
      </c>
      <c r="H21" s="12">
        <f t="shared" si="3"/>
        <v>0.40008088586975243</v>
      </c>
    </row>
    <row r="22" spans="2:8" x14ac:dyDescent="0.25">
      <c r="B22" s="31" t="str">
        <f>+'County Data'!$B$40</f>
        <v>County 30</v>
      </c>
      <c r="C22" s="20">
        <f>VLOOKUP($B22,'County Data'!$B$11:$L$44,3,FALSE)</f>
        <v>26625</v>
      </c>
      <c r="D22" s="74">
        <f>1-VLOOKUP($B22,'County Data'!$B$11:$L$44,5,FALSE)</f>
        <v>0.16700000000000004</v>
      </c>
      <c r="E22" s="80">
        <f t="shared" si="0"/>
        <v>4446.3750000000009</v>
      </c>
      <c r="F22" s="7">
        <f t="shared" si="1"/>
        <v>6.6102210910172991E-3</v>
      </c>
      <c r="G22" s="18">
        <f t="shared" si="2"/>
        <v>10781.270599449215</v>
      </c>
      <c r="H22" s="12">
        <f t="shared" si="3"/>
        <v>0.40493035115302217</v>
      </c>
    </row>
    <row r="23" spans="2:8" x14ac:dyDescent="0.25">
      <c r="B23" s="31" t="str">
        <f>+'County Data'!$B$26</f>
        <v>County 16</v>
      </c>
      <c r="C23" s="20">
        <f>VLOOKUP($B23,'County Data'!$B$11:$L$44,3,FALSE)</f>
        <v>83720</v>
      </c>
      <c r="D23" s="74">
        <f>1-VLOOKUP($B23,'County Data'!$B$11:$L$44,5,FALSE)</f>
        <v>0.17400000000000004</v>
      </c>
      <c r="E23" s="80">
        <f t="shared" si="0"/>
        <v>14567.280000000004</v>
      </c>
      <c r="F23" s="7">
        <f t="shared" si="1"/>
        <v>2.1656504792050713E-2</v>
      </c>
      <c r="G23" s="18">
        <f t="shared" si="2"/>
        <v>35321.759315834715</v>
      </c>
      <c r="H23" s="12">
        <f t="shared" si="3"/>
        <v>0.42190347964446628</v>
      </c>
    </row>
    <row r="24" spans="2:8" x14ac:dyDescent="0.25">
      <c r="B24" s="31" t="str">
        <f>+'County Data'!$B$14</f>
        <v>County 4</v>
      </c>
      <c r="C24" s="20">
        <f>VLOOKUP($B24,'County Data'!$B$11:$L$44,3,FALSE)</f>
        <v>37750</v>
      </c>
      <c r="D24" s="74">
        <f>1-VLOOKUP($B24,'County Data'!$B$11:$L$44,5,FALSE)</f>
        <v>0.17400000000000004</v>
      </c>
      <c r="E24" s="80">
        <f t="shared" si="0"/>
        <v>6568.5000000000018</v>
      </c>
      <c r="F24" s="7">
        <f t="shared" si="1"/>
        <v>9.7650866686564072E-3</v>
      </c>
      <c r="G24" s="18">
        <f t="shared" si="2"/>
        <v>15926.856356578601</v>
      </c>
      <c r="H24" s="12">
        <f t="shared" si="3"/>
        <v>0.42190347964446623</v>
      </c>
    </row>
    <row r="25" spans="2:8" x14ac:dyDescent="0.25">
      <c r="B25" s="31" t="str">
        <f>+'County Data'!$B$16</f>
        <v>County 6</v>
      </c>
      <c r="C25" s="20">
        <f>VLOOKUP($B25,'County Data'!$B$11:$L$44,3,FALSE)</f>
        <v>62990</v>
      </c>
      <c r="D25" s="74">
        <f>1-VLOOKUP($B25,'County Data'!$B$11:$L$44,5,FALSE)</f>
        <v>0.18000000000000005</v>
      </c>
      <c r="E25" s="80">
        <f t="shared" si="0"/>
        <v>11338.200000000003</v>
      </c>
      <c r="F25" s="7">
        <f t="shared" si="1"/>
        <v>1.6855980157807728E-2</v>
      </c>
      <c r="G25" s="18">
        <f t="shared" si="2"/>
        <v>27492.103637384404</v>
      </c>
      <c r="H25" s="12">
        <f t="shared" si="3"/>
        <v>0.43645187549427533</v>
      </c>
    </row>
    <row r="26" spans="2:8" x14ac:dyDescent="0.25">
      <c r="B26" s="31" t="str">
        <f>+'County Data'!$B$38</f>
        <v>County 28</v>
      </c>
      <c r="C26" s="20">
        <f>VLOOKUP($B26,'County Data'!$B$11:$L$44,3,FALSE)</f>
        <v>25690</v>
      </c>
      <c r="D26" s="74">
        <f>1-VLOOKUP($B26,'County Data'!$B$11:$L$44,5,FALSE)</f>
        <v>0.18200000000000005</v>
      </c>
      <c r="E26" s="80">
        <f t="shared" si="0"/>
        <v>4675.5800000000017</v>
      </c>
      <c r="F26" s="7">
        <f t="shared" si="1"/>
        <v>6.9509696165390164E-3</v>
      </c>
      <c r="G26" s="18">
        <f t="shared" si="2"/>
        <v>11337.031444575136</v>
      </c>
      <c r="H26" s="12">
        <f t="shared" si="3"/>
        <v>0.44130134077754518</v>
      </c>
    </row>
    <row r="27" spans="2:8" x14ac:dyDescent="0.25">
      <c r="B27" s="31" t="str">
        <f>+'County Data'!$B$31</f>
        <v>County 21</v>
      </c>
      <c r="C27" s="20">
        <f>VLOOKUP($B27,'County Data'!$B$11:$L$44,3,FALSE)</f>
        <v>120860</v>
      </c>
      <c r="D27" s="74">
        <f>1-VLOOKUP($B27,'County Data'!$B$11:$L$44,5,FALSE)</f>
        <v>0.18700000000000006</v>
      </c>
      <c r="E27" s="80">
        <f t="shared" si="0"/>
        <v>22600.820000000007</v>
      </c>
      <c r="F27" s="7">
        <f t="shared" si="1"/>
        <v>3.3599599007795251E-2</v>
      </c>
      <c r="G27" s="18">
        <f t="shared" si="2"/>
        <v>54800.945981714052</v>
      </c>
      <c r="H27" s="12">
        <f t="shared" si="3"/>
        <v>0.45342500398571944</v>
      </c>
    </row>
    <row r="28" spans="2:8" x14ac:dyDescent="0.25">
      <c r="B28" s="31" t="str">
        <f>+'County Data'!$B$24</f>
        <v>County 14</v>
      </c>
      <c r="C28" s="20">
        <f>VLOOKUP($B28,'County Data'!$B$11:$L$44,3,FALSE)</f>
        <v>210975</v>
      </c>
      <c r="D28" s="74">
        <f>1-VLOOKUP($B28,'County Data'!$B$11:$L$44,5,FALSE)</f>
        <v>0.18799999999999994</v>
      </c>
      <c r="E28" s="80">
        <f t="shared" si="0"/>
        <v>39663.299999999988</v>
      </c>
      <c r="F28" s="7">
        <f t="shared" si="1"/>
        <v>5.8965602811131834E-2</v>
      </c>
      <c r="G28" s="18">
        <f t="shared" si="2"/>
        <v>96172.898184956022</v>
      </c>
      <c r="H28" s="12">
        <f t="shared" si="3"/>
        <v>0.45584973662735406</v>
      </c>
    </row>
    <row r="29" spans="2:8" x14ac:dyDescent="0.25">
      <c r="B29" s="31" t="str">
        <f>+'County Data'!$B$30</f>
        <v>County 20</v>
      </c>
      <c r="C29" s="20">
        <f>VLOOKUP($B29,'County Data'!$B$11:$L$44,3,FALSE)</f>
        <v>47225</v>
      </c>
      <c r="D29" s="74">
        <f>1-VLOOKUP($B29,'County Data'!$B$11:$L$44,5,FALSE)</f>
        <v>0.19099999999999995</v>
      </c>
      <c r="E29" s="80">
        <f t="shared" si="0"/>
        <v>9019.9749999999967</v>
      </c>
      <c r="F29" s="7">
        <f t="shared" si="1"/>
        <v>1.3409581734659972E-2</v>
      </c>
      <c r="G29" s="18">
        <f t="shared" si="2"/>
        <v>21871.027809230414</v>
      </c>
      <c r="H29" s="12">
        <f t="shared" si="3"/>
        <v>0.46312393455225864</v>
      </c>
    </row>
    <row r="30" spans="2:8" x14ac:dyDescent="0.25">
      <c r="B30" s="31" t="str">
        <f>+'County Data'!$B$25</f>
        <v>County 15</v>
      </c>
      <c r="C30" s="20">
        <f>VLOOKUP($B30,'County Data'!$B$11:$L$44,3,FALSE)</f>
        <v>22445</v>
      </c>
      <c r="D30" s="74">
        <f>1-VLOOKUP($B30,'County Data'!$B$11:$L$44,5,FALSE)</f>
        <v>0.20700000000000007</v>
      </c>
      <c r="E30" s="80">
        <f t="shared" si="0"/>
        <v>4646.1150000000016</v>
      </c>
      <c r="F30" s="7">
        <f t="shared" si="1"/>
        <v>6.9071653570137118E-3</v>
      </c>
      <c r="G30" s="18">
        <f t="shared" si="2"/>
        <v>11265.586697289364</v>
      </c>
      <c r="H30" s="12">
        <f t="shared" si="3"/>
        <v>0.50191965681841677</v>
      </c>
    </row>
    <row r="31" spans="2:8" x14ac:dyDescent="0.25">
      <c r="B31" s="31" t="str">
        <f>+'County Data'!$B$15</f>
        <v>County 5</v>
      </c>
      <c r="C31" s="20">
        <f>VLOOKUP($B31,'County Data'!$B$11:$L$44,3,FALSE)</f>
        <v>50390</v>
      </c>
      <c r="D31" s="74">
        <f>1-VLOOKUP($B31,'County Data'!$B$11:$L$44,5,FALSE)</f>
        <v>0.20999999999999996</v>
      </c>
      <c r="E31" s="80">
        <f t="shared" si="0"/>
        <v>10581.899999999998</v>
      </c>
      <c r="F31" s="7">
        <f t="shared" si="1"/>
        <v>1.5731623752615543E-2</v>
      </c>
      <c r="G31" s="18">
        <f t="shared" si="2"/>
        <v>25658.27834051595</v>
      </c>
      <c r="H31" s="12">
        <f t="shared" si="3"/>
        <v>0.50919385474332113</v>
      </c>
    </row>
    <row r="32" spans="2:8" x14ac:dyDescent="0.25">
      <c r="B32" s="31" t="str">
        <f>+'County Data'!$B$33</f>
        <v>County 23</v>
      </c>
      <c r="C32" s="20">
        <f>VLOOKUP($B32,'County Data'!$B$11:$L$44,3,FALSE)</f>
        <v>329770</v>
      </c>
      <c r="D32" s="74">
        <f>1-VLOOKUP($B32,'County Data'!$B$11:$L$44,5,FALSE)</f>
        <v>0.21299999999999997</v>
      </c>
      <c r="E32" s="80">
        <f t="shared" si="0"/>
        <v>70241.009999999995</v>
      </c>
      <c r="F32" s="7">
        <f t="shared" si="1"/>
        <v>0.10442407708669577</v>
      </c>
      <c r="G32" s="18">
        <f t="shared" si="2"/>
        <v>170315.6697284008</v>
      </c>
      <c r="H32" s="12">
        <f t="shared" si="3"/>
        <v>0.51646805266822571</v>
      </c>
    </row>
    <row r="33" spans="2:8" x14ac:dyDescent="0.25">
      <c r="B33" s="31" t="str">
        <f>+'County Data'!$B$39</f>
        <v>County 29</v>
      </c>
      <c r="C33" s="20">
        <f>VLOOKUP($B33,'County Data'!$B$11:$L$44,3,FALSE)</f>
        <v>79155</v>
      </c>
      <c r="D33" s="74">
        <f>1-VLOOKUP($B33,'County Data'!$B$11:$L$44,5,FALSE)</f>
        <v>0.21900000000000008</v>
      </c>
      <c r="E33" s="80">
        <f t="shared" si="0"/>
        <v>17334.945000000007</v>
      </c>
      <c r="F33" s="7">
        <f t="shared" si="1"/>
        <v>2.5771064980039896E-2</v>
      </c>
      <c r="G33" s="18">
        <f t="shared" si="2"/>
        <v>42032.606982445068</v>
      </c>
      <c r="H33" s="12">
        <f t="shared" si="3"/>
        <v>0.53101644851803509</v>
      </c>
    </row>
    <row r="34" spans="2:8" x14ac:dyDescent="0.25">
      <c r="B34" s="31" t="str">
        <f>+'County Data'!$B$36</f>
        <v>County 26</v>
      </c>
      <c r="C34" s="20">
        <f>VLOOKUP($B34,'County Data'!$B$11:$L$44,3,FALSE)</f>
        <v>30135</v>
      </c>
      <c r="D34" s="74">
        <f>1-VLOOKUP($B34,'County Data'!$B$11:$L$44,5,FALSE)</f>
        <v>0.21999999999999997</v>
      </c>
      <c r="E34" s="80">
        <f t="shared" si="0"/>
        <v>6629.6999999999989</v>
      </c>
      <c r="F34" s="7">
        <f t="shared" si="1"/>
        <v>9.8560698922419664E-3</v>
      </c>
      <c r="G34" s="18">
        <f t="shared" si="2"/>
        <v>16075.249994246647</v>
      </c>
      <c r="H34" s="12">
        <f t="shared" si="3"/>
        <v>0.53344118115966976</v>
      </c>
    </row>
    <row r="35" spans="2:8" x14ac:dyDescent="0.25">
      <c r="B35" s="31" t="str">
        <f>+'County Data'!$B$27</f>
        <v>County 17</v>
      </c>
      <c r="C35" s="20">
        <f>VLOOKUP($B35,'County Data'!$B$11:$L$44,3,FALSE)</f>
        <v>67110</v>
      </c>
      <c r="D35" s="74">
        <f>1-VLOOKUP($B35,'County Data'!$B$11:$L$44,5,FALSE)</f>
        <v>0.2340000000000001</v>
      </c>
      <c r="E35" s="80">
        <f t="shared" si="0"/>
        <v>15703.740000000007</v>
      </c>
      <c r="F35" s="7">
        <f t="shared" si="1"/>
        <v>2.3346027574339102E-2</v>
      </c>
      <c r="G35" s="18">
        <f t="shared" si="2"/>
        <v>38077.370973747078</v>
      </c>
      <c r="H35" s="12">
        <f t="shared" si="3"/>
        <v>0.56738743814255821</v>
      </c>
    </row>
    <row r="36" spans="2:8" x14ac:dyDescent="0.25">
      <c r="B36" s="31" t="str">
        <f>+'County Data'!$B$20</f>
        <v>County 10</v>
      </c>
      <c r="C36" s="20">
        <f>VLOOKUP($B36,'County Data'!$B$11:$L$44,3,FALSE)</f>
        <v>109910</v>
      </c>
      <c r="D36" s="74">
        <f>1-VLOOKUP($B36,'County Data'!$B$11:$L$44,5,FALSE)</f>
        <v>0.24299999999999999</v>
      </c>
      <c r="E36" s="80">
        <f t="shared" si="0"/>
        <v>26708.13</v>
      </c>
      <c r="F36" s="7">
        <f t="shared" si="1"/>
        <v>3.9705747767030855E-2</v>
      </c>
      <c r="G36" s="18">
        <f t="shared" si="2"/>
        <v>64760.074608027324</v>
      </c>
      <c r="H36" s="12">
        <f t="shared" si="3"/>
        <v>0.58921003191727161</v>
      </c>
    </row>
    <row r="37" spans="2:8" x14ac:dyDescent="0.25">
      <c r="B37" s="31" t="str">
        <f>+'County Data'!$B$22</f>
        <v>County 12</v>
      </c>
      <c r="C37" s="20">
        <f>VLOOKUP($B37,'County Data'!$B$11:$L$44,3,FALSE)</f>
        <v>7295</v>
      </c>
      <c r="D37" s="74">
        <f>1-VLOOKUP($B37,'County Data'!$B$11:$L$44,5,FALSE)</f>
        <v>0.25</v>
      </c>
      <c r="E37" s="80">
        <f t="shared" si="0"/>
        <v>1823.75</v>
      </c>
      <c r="F37" s="7">
        <f t="shared" si="1"/>
        <v>2.7112851963099821E-3</v>
      </c>
      <c r="G37" s="18">
        <f t="shared" si="2"/>
        <v>4422.106155181581</v>
      </c>
      <c r="H37" s="12">
        <f t="shared" si="3"/>
        <v>0.60618316040871567</v>
      </c>
    </row>
    <row r="38" spans="2:8" x14ac:dyDescent="0.25">
      <c r="B38" s="31" t="str">
        <f>+'County Data'!$B$18</f>
        <v>County 8</v>
      </c>
      <c r="C38" s="20">
        <f>VLOOKUP($B38,'County Data'!$B$11:$L$44,3,FALSE)</f>
        <v>22470</v>
      </c>
      <c r="D38" s="74">
        <f>1-VLOOKUP($B38,'County Data'!$B$11:$L$44,5,FALSE)</f>
        <v>0.253</v>
      </c>
      <c r="E38" s="80">
        <f t="shared" si="0"/>
        <v>5684.91</v>
      </c>
      <c r="F38" s="7">
        <f t="shared" si="1"/>
        <v>8.4514940783301327E-3</v>
      </c>
      <c r="G38" s="18">
        <f t="shared" si="2"/>
        <v>13784.386841756446</v>
      </c>
      <c r="H38" s="12">
        <f t="shared" si="3"/>
        <v>0.61345735833362025</v>
      </c>
    </row>
    <row r="39" spans="2:8" x14ac:dyDescent="0.25">
      <c r="B39" s="31" t="str">
        <f>+'County Data'!$B$32</f>
        <v>County 22</v>
      </c>
      <c r="C39" s="20">
        <f>VLOOKUP($B39,'County Data'!$B$11:$L$44,3,FALSE)</f>
        <v>31480</v>
      </c>
      <c r="D39" s="74">
        <f>1-VLOOKUP($B39,'County Data'!$B$11:$L$44,5,FALSE)</f>
        <v>0.26500000000000001</v>
      </c>
      <c r="E39" s="80">
        <f t="shared" si="0"/>
        <v>8342.2000000000007</v>
      </c>
      <c r="F39" s="7">
        <f t="shared" si="1"/>
        <v>1.2401964833259567E-2</v>
      </c>
      <c r="G39" s="18">
        <f t="shared" si="2"/>
        <v>20227.604643046354</v>
      </c>
      <c r="H39" s="12">
        <f t="shared" si="3"/>
        <v>0.64255415003323868</v>
      </c>
    </row>
    <row r="40" spans="2:8" x14ac:dyDescent="0.25">
      <c r="B40" s="31" t="str">
        <f>+'County Data'!$B$34</f>
        <v>County 24</v>
      </c>
      <c r="C40" s="20">
        <f>VLOOKUP($B40,'County Data'!$B$11:$L$44,3,FALSE)</f>
        <v>11630</v>
      </c>
      <c r="D40" s="74">
        <f>1-VLOOKUP($B40,'County Data'!$B$11:$L$44,5,FALSE)</f>
        <v>0.27099999999999991</v>
      </c>
      <c r="E40" s="80">
        <f t="shared" si="0"/>
        <v>3151.7299999999991</v>
      </c>
      <c r="F40" s="7">
        <f t="shared" si="1"/>
        <v>4.6855319488778935E-3</v>
      </c>
      <c r="G40" s="18">
        <f t="shared" si="2"/>
        <v>7642.1026086198444</v>
      </c>
      <c r="H40" s="12">
        <f t="shared" si="3"/>
        <v>0.65710254588304762</v>
      </c>
    </row>
    <row r="41" spans="2:8" x14ac:dyDescent="0.25">
      <c r="B41" s="5" t="s">
        <v>3</v>
      </c>
      <c r="C41" s="6">
        <f>SUM(C6:C40)</f>
        <v>4013845</v>
      </c>
      <c r="D41" s="6">
        <f>SUM(D6:D40)</f>
        <v>5.899</v>
      </c>
      <c r="E41" s="6">
        <f>SUM(E6:E40)</f>
        <v>672651.48</v>
      </c>
      <c r="F41" s="10">
        <f>SUM(F6:F40)</f>
        <v>1.0000000000000002</v>
      </c>
      <c r="G41" s="13">
        <f>SUM(G6:G40)</f>
        <v>1631000</v>
      </c>
      <c r="H41" s="14">
        <f t="shared" ref="H41" si="4">G41/C41</f>
        <v>0.40634354341037088</v>
      </c>
    </row>
  </sheetData>
  <sortState ref="B7:H40">
    <sortCondition ref="D7:D40"/>
  </sortState>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B4" sqref="B4"/>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102</v>
      </c>
      <c r="C4" s="18">
        <f>'County Data'!G10</f>
        <v>1631000</v>
      </c>
      <c r="D4" s="11"/>
    </row>
    <row r="6" spans="2:8" s="2" customFormat="1" ht="30" x14ac:dyDescent="0.25">
      <c r="B6" s="3" t="s">
        <v>8</v>
      </c>
      <c r="C6" s="3" t="s">
        <v>1</v>
      </c>
      <c r="D6" s="3" t="s">
        <v>19</v>
      </c>
      <c r="E6" s="3" t="s">
        <v>80</v>
      </c>
      <c r="F6" s="3" t="s">
        <v>81</v>
      </c>
      <c r="G6" s="17" t="s">
        <v>18</v>
      </c>
      <c r="H6" s="3" t="s">
        <v>7</v>
      </c>
    </row>
    <row r="7" spans="2:8" x14ac:dyDescent="0.25">
      <c r="B7" s="31" t="str">
        <f>+'County Data'!$B$41</f>
        <v>County 31</v>
      </c>
      <c r="C7" s="20">
        <f>VLOOKUP($B7,'County Data'!$B$11:$L$44,3,FALSE)</f>
        <v>7100</v>
      </c>
      <c r="D7" s="74">
        <f>VLOOKUP($B7,'County Data'!$B$11:$L$44,6,FALSE)</f>
        <v>2.4952850718119833E-2</v>
      </c>
      <c r="E7" s="80">
        <f t="shared" ref="E7:E40" si="0">C7*D7</f>
        <v>177.16524009865083</v>
      </c>
      <c r="F7" s="7">
        <f t="shared" ref="F7:F40" si="1">E7/$E$41</f>
        <v>3.62833305761854E-4</v>
      </c>
      <c r="G7" s="18">
        <f t="shared" ref="G7:G40" si="2">$C$4*F7</f>
        <v>591.7811216975839</v>
      </c>
      <c r="H7" s="12">
        <f t="shared" ref="H7:H40" si="3">G7/C7</f>
        <v>8.3349453760223083E-2</v>
      </c>
    </row>
    <row r="8" spans="2:8" x14ac:dyDescent="0.25">
      <c r="B8" s="31" t="str">
        <f>+'County Data'!$B$21</f>
        <v>County 11</v>
      </c>
      <c r="C8" s="20">
        <f>VLOOKUP($B8,'County Data'!$B$11:$L$44,3,FALSE)</f>
        <v>7430</v>
      </c>
      <c r="D8" s="74">
        <f>VLOOKUP($B8,'County Data'!$B$11:$L$44,6,FALSE)</f>
        <v>3.2491467576791812E-2</v>
      </c>
      <c r="E8" s="80">
        <f t="shared" si="0"/>
        <v>241.41160409556315</v>
      </c>
      <c r="F8" s="7">
        <f t="shared" si="1"/>
        <v>4.9440945816736517E-4</v>
      </c>
      <c r="G8" s="18">
        <f t="shared" si="2"/>
        <v>806.38182627097262</v>
      </c>
      <c r="H8" s="12">
        <f t="shared" si="3"/>
        <v>0.108530528434855</v>
      </c>
    </row>
    <row r="9" spans="2:8" x14ac:dyDescent="0.25">
      <c r="B9" s="31" t="str">
        <f>'County Data'!$B$43</f>
        <v>County 33</v>
      </c>
      <c r="C9" s="20">
        <f>VLOOKUP($B9,'County Data'!$B$11:$L$44,3,FALSE)</f>
        <v>1445</v>
      </c>
      <c r="D9" s="74">
        <f>VLOOKUP($B9,'County Data'!$B$11:$L$44,6,FALSE)</f>
        <v>3.5372144436256449E-2</v>
      </c>
      <c r="E9" s="80">
        <f t="shared" si="0"/>
        <v>51.112748710390569</v>
      </c>
      <c r="F9" s="7">
        <f t="shared" si="1"/>
        <v>1.0467859028576553E-4</v>
      </c>
      <c r="G9" s="18">
        <f t="shared" si="2"/>
        <v>170.73078075608359</v>
      </c>
      <c r="H9" s="12">
        <f t="shared" si="3"/>
        <v>0.11815278945057688</v>
      </c>
    </row>
    <row r="10" spans="2:8" x14ac:dyDescent="0.25">
      <c r="B10" s="31" t="str">
        <f>+'County Data'!$B$11</f>
        <v>County 1</v>
      </c>
      <c r="C10" s="20">
        <f>VLOOKUP($B10,'County Data'!$B$11:$L$44,3,FALSE)</f>
        <v>16425</v>
      </c>
      <c r="D10" s="74">
        <f>VLOOKUP($B10,'County Data'!$B$11:$L$44,6,FALSE)</f>
        <v>3.6575487569318964E-2</v>
      </c>
      <c r="E10" s="80">
        <f t="shared" si="0"/>
        <v>600.75238332606398</v>
      </c>
      <c r="F10" s="7">
        <f t="shared" si="1"/>
        <v>1.2303371308340987E-3</v>
      </c>
      <c r="G10" s="18">
        <f t="shared" si="2"/>
        <v>2006.6798603904151</v>
      </c>
      <c r="H10" s="12">
        <f t="shared" si="3"/>
        <v>0.12217228982590046</v>
      </c>
    </row>
    <row r="11" spans="2:8" x14ac:dyDescent="0.25">
      <c r="B11" s="31" t="str">
        <f>+'County Data'!$B$40</f>
        <v>County 30</v>
      </c>
      <c r="C11" s="20">
        <f>VLOOKUP($B11,'County Data'!$B$11:$L$44,3,FALSE)</f>
        <v>26625</v>
      </c>
      <c r="D11" s="74">
        <f>VLOOKUP($B11,'County Data'!$B$11:$L$44,6,FALSE)</f>
        <v>4.2275411874417156E-2</v>
      </c>
      <c r="E11" s="80">
        <f t="shared" si="0"/>
        <v>1125.5828411563568</v>
      </c>
      <c r="F11" s="7">
        <f t="shared" si="1"/>
        <v>2.3051866321981227E-3</v>
      </c>
      <c r="G11" s="18">
        <f t="shared" si="2"/>
        <v>3759.7593971151382</v>
      </c>
      <c r="H11" s="12">
        <f t="shared" si="3"/>
        <v>0.14121162054892539</v>
      </c>
    </row>
    <row r="12" spans="2:8" x14ac:dyDescent="0.25">
      <c r="B12" s="31" t="str">
        <f>+'County Data'!$B$15</f>
        <v>County 5</v>
      </c>
      <c r="C12" s="20">
        <f>VLOOKUP($B12,'County Data'!$B$11:$L$44,3,FALSE)</f>
        <v>50390</v>
      </c>
      <c r="D12" s="74">
        <f>VLOOKUP($B12,'County Data'!$B$11:$L$44,6,FALSE)</f>
        <v>4.3993917891535735E-2</v>
      </c>
      <c r="E12" s="80">
        <f t="shared" si="0"/>
        <v>2216.8535225544856</v>
      </c>
      <c r="F12" s="7">
        <f t="shared" si="1"/>
        <v>4.5401021754062475E-3</v>
      </c>
      <c r="G12" s="18">
        <f t="shared" si="2"/>
        <v>7404.9066480875899</v>
      </c>
      <c r="H12" s="12">
        <f t="shared" si="3"/>
        <v>0.14695190807873765</v>
      </c>
    </row>
    <row r="13" spans="2:8" x14ac:dyDescent="0.25">
      <c r="B13" s="31" t="str">
        <f>+'County Data'!$B$22</f>
        <v>County 12</v>
      </c>
      <c r="C13" s="20">
        <f>VLOOKUP($B13,'County Data'!$B$11:$L$44,3,FALSE)</f>
        <v>7295</v>
      </c>
      <c r="D13" s="74">
        <f>VLOOKUP($B13,'County Data'!$B$11:$L$44,6,FALSE)</f>
        <v>4.4257548600579073E-2</v>
      </c>
      <c r="E13" s="80">
        <f t="shared" si="0"/>
        <v>322.85881704122431</v>
      </c>
      <c r="F13" s="7">
        <f t="shared" si="1"/>
        <v>6.6121284184301511E-4</v>
      </c>
      <c r="G13" s="18">
        <f t="shared" si="2"/>
        <v>1078.4381450459578</v>
      </c>
      <c r="H13" s="12">
        <f t="shared" si="3"/>
        <v>0.14783250788841093</v>
      </c>
    </row>
    <row r="14" spans="2:8" x14ac:dyDescent="0.25">
      <c r="B14" s="31" t="str">
        <f>+'County Data'!$B$20</f>
        <v>County 10</v>
      </c>
      <c r="C14" s="20">
        <f>VLOOKUP($B14,'County Data'!$B$11:$L$44,3,FALSE)</f>
        <v>109910</v>
      </c>
      <c r="D14" s="74">
        <f>VLOOKUP($B14,'County Data'!$B$11:$L$44,6,FALSE)</f>
        <v>4.96845720258315E-2</v>
      </c>
      <c r="E14" s="80">
        <f t="shared" si="0"/>
        <v>5460.8313113591403</v>
      </c>
      <c r="F14" s="7">
        <f t="shared" si="1"/>
        <v>1.1183748436233829E-2</v>
      </c>
      <c r="G14" s="18">
        <f t="shared" si="2"/>
        <v>18240.693699497377</v>
      </c>
      <c r="H14" s="12">
        <f t="shared" si="3"/>
        <v>0.16596027385585821</v>
      </c>
    </row>
    <row r="15" spans="2:8" x14ac:dyDescent="0.25">
      <c r="B15" s="31" t="str">
        <f>+'County Data'!$B$16</f>
        <v>County 6</v>
      </c>
      <c r="C15" s="20">
        <f>VLOOKUP($B15,'County Data'!$B$11:$L$44,3,FALSE)</f>
        <v>62990</v>
      </c>
      <c r="D15" s="74">
        <f>VLOOKUP($B15,'County Data'!$B$11:$L$44,6,FALSE)</f>
        <v>5.7213057213057215E-2</v>
      </c>
      <c r="E15" s="80">
        <f t="shared" si="0"/>
        <v>3603.8504738504739</v>
      </c>
      <c r="F15" s="7">
        <f t="shared" si="1"/>
        <v>7.3806632732836466E-3</v>
      </c>
      <c r="G15" s="18">
        <f t="shared" si="2"/>
        <v>12037.861798725628</v>
      </c>
      <c r="H15" s="12">
        <f t="shared" si="3"/>
        <v>0.19110750593309458</v>
      </c>
    </row>
    <row r="16" spans="2:8" x14ac:dyDescent="0.25">
      <c r="B16" s="31" t="str">
        <f>+'County Data'!$B$18</f>
        <v>County 8</v>
      </c>
      <c r="C16" s="20">
        <f>VLOOKUP($B16,'County Data'!$B$11:$L$44,3,FALSE)</f>
        <v>22470</v>
      </c>
      <c r="D16" s="74">
        <f>VLOOKUP($B16,'County Data'!$B$11:$L$44,6,FALSE)</f>
        <v>6.0203213822120766E-2</v>
      </c>
      <c r="E16" s="80">
        <f t="shared" si="0"/>
        <v>1352.7662145830536</v>
      </c>
      <c r="F16" s="7">
        <f t="shared" si="1"/>
        <v>2.7704567627758751E-3</v>
      </c>
      <c r="G16" s="18">
        <f t="shared" si="2"/>
        <v>4518.6149800874528</v>
      </c>
      <c r="H16" s="12">
        <f t="shared" si="3"/>
        <v>0.20109545972796852</v>
      </c>
    </row>
    <row r="17" spans="2:8" x14ac:dyDescent="0.25">
      <c r="B17" s="31" t="str">
        <f>+'County Data'!$B$26</f>
        <v>County 16</v>
      </c>
      <c r="C17" s="20">
        <f>VLOOKUP($B17,'County Data'!$B$11:$L$44,3,FALSE)</f>
        <v>83720</v>
      </c>
      <c r="D17" s="74">
        <f>VLOOKUP($B17,'County Data'!$B$11:$L$44,6,FALSE)</f>
        <v>6.6838510738246953E-2</v>
      </c>
      <c r="E17" s="80">
        <f t="shared" si="0"/>
        <v>5595.720119006035</v>
      </c>
      <c r="F17" s="7">
        <f t="shared" si="1"/>
        <v>1.1459999872246588E-2</v>
      </c>
      <c r="G17" s="18">
        <f t="shared" si="2"/>
        <v>18691.259791634184</v>
      </c>
      <c r="H17" s="12">
        <f t="shared" si="3"/>
        <v>0.22325919483557313</v>
      </c>
    </row>
    <row r="18" spans="2:8" x14ac:dyDescent="0.25">
      <c r="B18" s="31" t="str">
        <f>+'County Data'!$B$12</f>
        <v>County 2</v>
      </c>
      <c r="C18" s="20">
        <f>VLOOKUP($B18,'County Data'!$B$11:$L$44,3,FALSE)</f>
        <v>90005</v>
      </c>
      <c r="D18" s="74">
        <f>VLOOKUP($B18,'County Data'!$B$11:$L$44,6,FALSE)</f>
        <v>6.7275728200478876E-2</v>
      </c>
      <c r="E18" s="80">
        <f t="shared" si="0"/>
        <v>6055.1519166841017</v>
      </c>
      <c r="F18" s="7">
        <f t="shared" si="1"/>
        <v>1.2400913325872268E-2</v>
      </c>
      <c r="G18" s="18">
        <f t="shared" si="2"/>
        <v>20225.889634497667</v>
      </c>
      <c r="H18" s="12">
        <f t="shared" si="3"/>
        <v>0.22471962262649484</v>
      </c>
    </row>
    <row r="19" spans="2:8" x14ac:dyDescent="0.25">
      <c r="B19" s="31" t="str">
        <f>+'County Data'!$B$17</f>
        <v>County 7</v>
      </c>
      <c r="C19" s="20">
        <f>VLOOKUP($B19,'County Data'!$B$11:$L$44,3,FALSE)</f>
        <v>21085</v>
      </c>
      <c r="D19" s="74">
        <f>VLOOKUP($B19,'County Data'!$B$11:$L$44,6,FALSE)</f>
        <v>7.2747379555726507E-2</v>
      </c>
      <c r="E19" s="80">
        <f t="shared" si="0"/>
        <v>1533.8784979324935</v>
      </c>
      <c r="F19" s="7">
        <f t="shared" si="1"/>
        <v>3.1413735884757901E-3</v>
      </c>
      <c r="G19" s="18">
        <f t="shared" si="2"/>
        <v>5123.580322804014</v>
      </c>
      <c r="H19" s="12">
        <f t="shared" si="3"/>
        <v>0.24299645827858735</v>
      </c>
    </row>
    <row r="20" spans="2:8" x14ac:dyDescent="0.25">
      <c r="B20" s="31" t="str">
        <f>+'County Data'!$B$28</f>
        <v>County 18</v>
      </c>
      <c r="C20" s="20">
        <f>VLOOKUP($B20,'County Data'!$B$11:$L$44,3,FALSE)</f>
        <v>8010</v>
      </c>
      <c r="D20" s="74">
        <f>VLOOKUP($B20,'County Data'!$B$11:$L$44,6,FALSE)</f>
        <v>7.4484339190221543E-2</v>
      </c>
      <c r="E20" s="80">
        <f t="shared" si="0"/>
        <v>596.61955691367461</v>
      </c>
      <c r="F20" s="7">
        <f t="shared" si="1"/>
        <v>1.2218731281408383E-3</v>
      </c>
      <c r="G20" s="18">
        <f t="shared" si="2"/>
        <v>1992.8750719977072</v>
      </c>
      <c r="H20" s="12">
        <f t="shared" si="3"/>
        <v>0.24879838601719192</v>
      </c>
    </row>
    <row r="21" spans="2:8" x14ac:dyDescent="0.25">
      <c r="B21" s="31" t="str">
        <f>+'County Data'!$B$19</f>
        <v>County 9</v>
      </c>
      <c r="C21" s="20">
        <f>VLOOKUP($B21,'County Data'!$B$11:$L$44,3,FALSE)</f>
        <v>170740</v>
      </c>
      <c r="D21" s="74">
        <f>VLOOKUP($B21,'County Data'!$B$11:$L$44,6,FALSE)</f>
        <v>7.611207483097443E-2</v>
      </c>
      <c r="E21" s="80">
        <f t="shared" si="0"/>
        <v>12995.375656640574</v>
      </c>
      <c r="F21" s="7">
        <f t="shared" si="1"/>
        <v>2.6614448220714661E-2</v>
      </c>
      <c r="G21" s="18">
        <f t="shared" si="2"/>
        <v>43408.165047985611</v>
      </c>
      <c r="H21" s="12">
        <f t="shared" si="3"/>
        <v>0.25423547527225965</v>
      </c>
    </row>
    <row r="22" spans="2:8" x14ac:dyDescent="0.25">
      <c r="B22" s="31" t="str">
        <f>+'County Data'!$B$29</f>
        <v>County 19</v>
      </c>
      <c r="C22" s="20">
        <f>VLOOKUP($B22,'County Data'!$B$11:$L$44,3,FALSE)</f>
        <v>362150</v>
      </c>
      <c r="D22" s="74">
        <f>VLOOKUP($B22,'County Data'!$B$11:$L$44,6,FALSE)</f>
        <v>7.8584636547113007E-2</v>
      </c>
      <c r="E22" s="80">
        <f t="shared" si="0"/>
        <v>28459.426125536975</v>
      </c>
      <c r="F22" s="7">
        <f t="shared" si="1"/>
        <v>5.8284727046140745E-2</v>
      </c>
      <c r="G22" s="18">
        <f t="shared" si="2"/>
        <v>95062.389812255555</v>
      </c>
      <c r="H22" s="12">
        <f t="shared" si="3"/>
        <v>0.26249451832736587</v>
      </c>
    </row>
    <row r="23" spans="2:8" x14ac:dyDescent="0.25">
      <c r="B23" s="31" t="str">
        <f>+'County Data'!$B$14</f>
        <v>County 4</v>
      </c>
      <c r="C23" s="20">
        <f>VLOOKUP($B23,'County Data'!$B$11:$L$44,3,FALSE)</f>
        <v>37750</v>
      </c>
      <c r="D23" s="74">
        <f>VLOOKUP($B23,'County Data'!$B$11:$L$44,6,FALSE)</f>
        <v>7.9116983564292614E-2</v>
      </c>
      <c r="E23" s="80">
        <f t="shared" si="0"/>
        <v>2986.6661295520462</v>
      </c>
      <c r="F23" s="7">
        <f t="shared" si="1"/>
        <v>6.1166735889552357E-3</v>
      </c>
      <c r="G23" s="18">
        <f t="shared" si="2"/>
        <v>9976.294623585989</v>
      </c>
      <c r="H23" s="12">
        <f t="shared" si="3"/>
        <v>0.26427270526055602</v>
      </c>
    </row>
    <row r="24" spans="2:8" x14ac:dyDescent="0.25">
      <c r="B24" s="31" t="str">
        <f>+'County Data'!$B$13</f>
        <v>County 3</v>
      </c>
      <c r="C24" s="20">
        <f>VLOOKUP($B24,'County Data'!$B$11:$L$44,3,FALSE)</f>
        <v>397385</v>
      </c>
      <c r="D24" s="74">
        <f>VLOOKUP($B24,'County Data'!$B$11:$L$44,6,FALSE)</f>
        <v>8.0411336714349219E-2</v>
      </c>
      <c r="E24" s="80">
        <f t="shared" si="0"/>
        <v>31954.259040231664</v>
      </c>
      <c r="F24" s="7">
        <f t="shared" si="1"/>
        <v>6.5442123038819258E-2</v>
      </c>
      <c r="G24" s="18">
        <f t="shared" si="2"/>
        <v>106736.10267631421</v>
      </c>
      <c r="H24" s="12">
        <f t="shared" si="3"/>
        <v>0.26859620437689952</v>
      </c>
    </row>
    <row r="25" spans="2:8" x14ac:dyDescent="0.25">
      <c r="B25" s="31" t="str">
        <f>+'County Data'!$B$31</f>
        <v>County 21</v>
      </c>
      <c r="C25" s="20">
        <f>VLOOKUP($B25,'County Data'!$B$11:$L$44,3,FALSE)</f>
        <v>120860</v>
      </c>
      <c r="D25" s="74">
        <f>VLOOKUP($B25,'County Data'!$B$11:$L$44,6,FALSE)</f>
        <v>8.1085651475437559E-2</v>
      </c>
      <c r="E25" s="80">
        <f t="shared" si="0"/>
        <v>9800.0118373213827</v>
      </c>
      <c r="F25" s="7">
        <f t="shared" si="1"/>
        <v>2.007036306591891E-2</v>
      </c>
      <c r="G25" s="18">
        <f t="shared" si="2"/>
        <v>32734.762160513743</v>
      </c>
      <c r="H25" s="12">
        <f t="shared" si="3"/>
        <v>0.27084860301599983</v>
      </c>
    </row>
    <row r="26" spans="2:8" x14ac:dyDescent="0.25">
      <c r="B26" s="31" t="str">
        <f>+'County Data'!$B$30</f>
        <v>County 20</v>
      </c>
      <c r="C26" s="20">
        <f>VLOOKUP($B26,'County Data'!$B$11:$L$44,3,FALSE)</f>
        <v>47225</v>
      </c>
      <c r="D26" s="74">
        <f>VLOOKUP($B26,'County Data'!$B$11:$L$44,6,FALSE)</f>
        <v>8.2535003684598374E-2</v>
      </c>
      <c r="E26" s="80">
        <f t="shared" si="0"/>
        <v>3897.7155490051582</v>
      </c>
      <c r="F26" s="7">
        <f t="shared" si="1"/>
        <v>7.982497112737472E-3</v>
      </c>
      <c r="G26" s="18">
        <f t="shared" si="2"/>
        <v>13019.452790874817</v>
      </c>
      <c r="H26" s="12">
        <f t="shared" si="3"/>
        <v>0.27568984205134606</v>
      </c>
    </row>
    <row r="27" spans="2:8" x14ac:dyDescent="0.25">
      <c r="B27" s="31" t="str">
        <f>+'County Data'!$B$38</f>
        <v>County 28</v>
      </c>
      <c r="C27" s="20">
        <f>VLOOKUP($B27,'County Data'!$B$11:$L$44,3,FALSE)</f>
        <v>25690</v>
      </c>
      <c r="D27" s="74">
        <f>VLOOKUP($B27,'County Data'!$B$11:$L$44,6,FALSE)</f>
        <v>9.6431672850714453E-2</v>
      </c>
      <c r="E27" s="80">
        <f t="shared" si="0"/>
        <v>2477.3296755348542</v>
      </c>
      <c r="F27" s="7">
        <f t="shared" si="1"/>
        <v>5.0735557106785832E-3</v>
      </c>
      <c r="G27" s="18">
        <f t="shared" si="2"/>
        <v>8274.9693641167687</v>
      </c>
      <c r="H27" s="12">
        <f t="shared" si="3"/>
        <v>0.32210857781692365</v>
      </c>
    </row>
    <row r="28" spans="2:8" x14ac:dyDescent="0.25">
      <c r="B28" s="31" t="str">
        <f>+'County Data'!$B$35</f>
        <v>County 25</v>
      </c>
      <c r="C28" s="20">
        <f>VLOOKUP($B28,'County Data'!$B$11:$L$44,3,FALSE)</f>
        <v>777490</v>
      </c>
      <c r="D28" s="74">
        <f>VLOOKUP($B28,'County Data'!$B$11:$L$44,6,FALSE)</f>
        <v>0.11020358582517682</v>
      </c>
      <c r="E28" s="80">
        <f t="shared" si="0"/>
        <v>85682.185943216726</v>
      </c>
      <c r="F28" s="7">
        <f t="shared" si="1"/>
        <v>0.17547658193767735</v>
      </c>
      <c r="G28" s="18">
        <f t="shared" si="2"/>
        <v>286202.30514035176</v>
      </c>
      <c r="H28" s="12">
        <f t="shared" si="3"/>
        <v>0.36811059324280926</v>
      </c>
    </row>
    <row r="29" spans="2:8" x14ac:dyDescent="0.25">
      <c r="B29" s="31" t="str">
        <f>+'County Data'!$B$27</f>
        <v>County 17</v>
      </c>
      <c r="C29" s="20">
        <f>VLOOKUP($B29,'County Data'!$B$11:$L$44,3,FALSE)</f>
        <v>67110</v>
      </c>
      <c r="D29" s="74">
        <f>VLOOKUP($B29,'County Data'!$B$11:$L$44,6,FALSE)</f>
        <v>0.11207092521027506</v>
      </c>
      <c r="E29" s="80">
        <f t="shared" si="0"/>
        <v>7521.0797908615596</v>
      </c>
      <c r="F29" s="7">
        <f t="shared" si="1"/>
        <v>1.540312446108188E-2</v>
      </c>
      <c r="G29" s="18">
        <f t="shared" si="2"/>
        <v>25122.495996024547</v>
      </c>
      <c r="H29" s="12">
        <f t="shared" si="3"/>
        <v>0.37434802557032554</v>
      </c>
    </row>
    <row r="30" spans="2:8" x14ac:dyDescent="0.25">
      <c r="B30" s="31" t="str">
        <f>+'County Data'!$B$24</f>
        <v>County 14</v>
      </c>
      <c r="C30" s="20">
        <f>VLOOKUP($B30,'County Data'!$B$11:$L$44,3,FALSE)</f>
        <v>210975</v>
      </c>
      <c r="D30" s="74">
        <f>VLOOKUP($B30,'County Data'!$B$11:$L$44,6,FALSE)</f>
        <v>0.11426884109534667</v>
      </c>
      <c r="E30" s="80">
        <f t="shared" si="0"/>
        <v>24107.868750090765</v>
      </c>
      <c r="F30" s="7">
        <f t="shared" si="1"/>
        <v>4.937276470597541E-2</v>
      </c>
      <c r="G30" s="18">
        <f t="shared" si="2"/>
        <v>80526.979235445891</v>
      </c>
      <c r="H30" s="12">
        <f t="shared" si="3"/>
        <v>0.38168967524799569</v>
      </c>
    </row>
    <row r="31" spans="2:8" x14ac:dyDescent="0.25">
      <c r="B31" s="31" t="str">
        <f>+'County Data'!$B$37</f>
        <v>County 27</v>
      </c>
      <c r="C31" s="20">
        <f>VLOOKUP($B31,'County Data'!$B$11:$L$44,3,FALSE)</f>
        <v>78570</v>
      </c>
      <c r="D31" s="74">
        <f>VLOOKUP($B31,'County Data'!$B$11:$L$44,6,FALSE)</f>
        <v>0.12602008788449467</v>
      </c>
      <c r="E31" s="80">
        <f t="shared" si="0"/>
        <v>9901.3983050847473</v>
      </c>
      <c r="F31" s="7">
        <f t="shared" si="1"/>
        <v>2.0278001918989725E-2</v>
      </c>
      <c r="G31" s="18">
        <f t="shared" si="2"/>
        <v>33073.421129872244</v>
      </c>
      <c r="H31" s="12">
        <f t="shared" si="3"/>
        <v>0.42094210423663286</v>
      </c>
    </row>
    <row r="32" spans="2:8" x14ac:dyDescent="0.25">
      <c r="B32" s="31" t="str">
        <f>+'County Data'!$B$36</f>
        <v>County 26</v>
      </c>
      <c r="C32" s="20">
        <f>VLOOKUP($B32,'County Data'!$B$11:$L$44,3,FALSE)</f>
        <v>30135</v>
      </c>
      <c r="D32" s="74">
        <f>VLOOKUP($B32,'County Data'!$B$11:$L$44,6,FALSE)</f>
        <v>0.14812905885991134</v>
      </c>
      <c r="E32" s="80">
        <f t="shared" si="0"/>
        <v>4463.8691887434279</v>
      </c>
      <c r="F32" s="7">
        <f t="shared" si="1"/>
        <v>9.1419762326876292E-3</v>
      </c>
      <c r="G32" s="18">
        <f t="shared" si="2"/>
        <v>14910.563235513524</v>
      </c>
      <c r="H32" s="12">
        <f t="shared" si="3"/>
        <v>0.4947922095740343</v>
      </c>
    </row>
    <row r="33" spans="2:8" x14ac:dyDescent="0.25">
      <c r="B33" s="31" t="str">
        <f>+'County Data'!$B$44</f>
        <v>County 34</v>
      </c>
      <c r="C33" s="20">
        <f>VLOOKUP($B33,'County Data'!$B$11:$L$44,3,FALSE)</f>
        <v>103630</v>
      </c>
      <c r="D33" s="74">
        <f>VLOOKUP($B33,'County Data'!$B$11:$L$44,6,FALSE)</f>
        <v>0.15211074179487691</v>
      </c>
      <c r="E33" s="80">
        <f t="shared" si="0"/>
        <v>15763.236172203095</v>
      </c>
      <c r="F33" s="7">
        <f t="shared" si="1"/>
        <v>3.2283009278121014E-2</v>
      </c>
      <c r="G33" s="18">
        <f t="shared" si="2"/>
        <v>52653.588132615376</v>
      </c>
      <c r="H33" s="12">
        <f t="shared" si="3"/>
        <v>0.50809213676170395</v>
      </c>
    </row>
    <row r="34" spans="2:8" x14ac:dyDescent="0.25">
      <c r="B34" s="31" t="str">
        <f>+'County Data'!$B$42</f>
        <v>County 32</v>
      </c>
      <c r="C34" s="20">
        <f>VLOOKUP($B34,'County Data'!$B$11:$L$44,3,FALSE)</f>
        <v>570510</v>
      </c>
      <c r="D34" s="74">
        <f>VLOOKUP($B34,'County Data'!$B$11:$L$44,6,FALSE)</f>
        <v>0.1601056532913448</v>
      </c>
      <c r="E34" s="80">
        <f t="shared" si="0"/>
        <v>91341.876259245124</v>
      </c>
      <c r="F34" s="7">
        <f t="shared" si="1"/>
        <v>0.18706759237408954</v>
      </c>
      <c r="G34" s="18">
        <f t="shared" si="2"/>
        <v>305107.24316214002</v>
      </c>
      <c r="H34" s="12">
        <f t="shared" si="3"/>
        <v>0.53479736229363206</v>
      </c>
    </row>
    <row r="35" spans="2:8" x14ac:dyDescent="0.25">
      <c r="B35" s="31" t="str">
        <f>+'County Data'!$B$25</f>
        <v>County 15</v>
      </c>
      <c r="C35" s="20">
        <f>VLOOKUP($B35,'County Data'!$B$11:$L$44,3,FALSE)</f>
        <v>22445</v>
      </c>
      <c r="D35" s="74">
        <f>VLOOKUP($B35,'County Data'!$B$11:$L$44,6,FALSE)</f>
        <v>0.19468621163536418</v>
      </c>
      <c r="E35" s="80">
        <f t="shared" si="0"/>
        <v>4369.7320201557486</v>
      </c>
      <c r="F35" s="7">
        <f t="shared" si="1"/>
        <v>8.9491838990746163E-3</v>
      </c>
      <c r="G35" s="18">
        <f t="shared" si="2"/>
        <v>14596.118939390699</v>
      </c>
      <c r="H35" s="12">
        <f t="shared" si="3"/>
        <v>0.65030603427893507</v>
      </c>
    </row>
    <row r="36" spans="2:8" x14ac:dyDescent="0.25">
      <c r="B36" s="31" t="str">
        <f>+'County Data'!$B$39</f>
        <v>County 29</v>
      </c>
      <c r="C36" s="20">
        <f>VLOOKUP($B36,'County Data'!$B$11:$L$44,3,FALSE)</f>
        <v>79155</v>
      </c>
      <c r="D36" s="74">
        <f>VLOOKUP($B36,'County Data'!$B$11:$L$44,6,FALSE)</f>
        <v>0.24865288016178486</v>
      </c>
      <c r="E36" s="80">
        <f t="shared" si="0"/>
        <v>19682.118729206079</v>
      </c>
      <c r="F36" s="7">
        <f t="shared" si="1"/>
        <v>4.030885629110225E-2</v>
      </c>
      <c r="G36" s="18">
        <f t="shared" si="2"/>
        <v>65743.744610787777</v>
      </c>
      <c r="H36" s="12">
        <f t="shared" si="3"/>
        <v>0.83056970009206965</v>
      </c>
    </row>
    <row r="37" spans="2:8" x14ac:dyDescent="0.25">
      <c r="B37" s="31" t="str">
        <f>+'County Data'!$B$33</f>
        <v>County 23</v>
      </c>
      <c r="C37" s="20">
        <f>VLOOKUP($B37,'County Data'!$B$11:$L$44,3,FALSE)</f>
        <v>329770</v>
      </c>
      <c r="D37" s="74">
        <f>VLOOKUP($B37,'County Data'!$B$11:$L$44,6,FALSE)</f>
        <v>0.25028709806271221</v>
      </c>
      <c r="E37" s="80">
        <f t="shared" si="0"/>
        <v>82537.176328140602</v>
      </c>
      <c r="F37" s="7">
        <f t="shared" si="1"/>
        <v>0.16903562187883353</v>
      </c>
      <c r="G37" s="18">
        <f t="shared" si="2"/>
        <v>275697.09928437747</v>
      </c>
      <c r="H37" s="12">
        <f t="shared" si="3"/>
        <v>0.83602844189701142</v>
      </c>
    </row>
    <row r="38" spans="2:8" x14ac:dyDescent="0.25">
      <c r="B38" s="31" t="str">
        <f>+'County Data'!$B$23</f>
        <v>County 13</v>
      </c>
      <c r="C38" s="20">
        <f>VLOOKUP($B38,'County Data'!$B$11:$L$44,3,FALSE)</f>
        <v>24245</v>
      </c>
      <c r="D38" s="74">
        <f>VLOOKUP($B38,'County Data'!$B$11:$L$44,6,FALSE)</f>
        <v>0.30265251989389919</v>
      </c>
      <c r="E38" s="80">
        <f t="shared" si="0"/>
        <v>7337.8103448275861</v>
      </c>
      <c r="F38" s="7">
        <f t="shared" si="1"/>
        <v>1.5027789779670205E-2</v>
      </c>
      <c r="G38" s="18">
        <f t="shared" si="2"/>
        <v>24510.325130642104</v>
      </c>
      <c r="H38" s="12">
        <f t="shared" si="3"/>
        <v>1.0109434988922295</v>
      </c>
    </row>
    <row r="39" spans="2:8" x14ac:dyDescent="0.25">
      <c r="B39" s="31" t="str">
        <f>+'County Data'!$B$32</f>
        <v>County 22</v>
      </c>
      <c r="C39" s="20">
        <f>VLOOKUP($B39,'County Data'!$B$11:$L$44,3,FALSE)</f>
        <v>31480</v>
      </c>
      <c r="D39" s="74">
        <f>VLOOKUP($B39,'County Data'!$B$11:$L$44,6,FALSE)</f>
        <v>0.32433311646063762</v>
      </c>
      <c r="E39" s="80">
        <f t="shared" si="0"/>
        <v>10210.006506180873</v>
      </c>
      <c r="F39" s="7">
        <f t="shared" si="1"/>
        <v>2.0910029588337143E-2</v>
      </c>
      <c r="G39" s="18">
        <f t="shared" si="2"/>
        <v>34104.25825857788</v>
      </c>
      <c r="H39" s="12">
        <f t="shared" si="3"/>
        <v>1.0833627146943419</v>
      </c>
    </row>
    <row r="40" spans="2:8" x14ac:dyDescent="0.25">
      <c r="B40" s="31" t="str">
        <f>+'County Data'!$B$34</f>
        <v>County 24</v>
      </c>
      <c r="C40" s="20">
        <f>VLOOKUP($B40,'County Data'!$B$11:$L$44,3,FALSE)</f>
        <v>11630</v>
      </c>
      <c r="D40" s="74">
        <f>VLOOKUP($B40,'County Data'!$B$11:$L$44,6,FALSE)</f>
        <v>0.33181777658910583</v>
      </c>
      <c r="E40" s="80">
        <f t="shared" si="0"/>
        <v>3859.0407417313008</v>
      </c>
      <c r="F40" s="7">
        <f t="shared" si="1"/>
        <v>7.9032913488694435E-3</v>
      </c>
      <c r="G40" s="18">
        <f t="shared" si="2"/>
        <v>12890.268190006062</v>
      </c>
      <c r="H40" s="12">
        <f t="shared" si="3"/>
        <v>1.1083635588999192</v>
      </c>
    </row>
    <row r="41" spans="2:8" x14ac:dyDescent="0.25">
      <c r="B41" s="5" t="s">
        <v>3</v>
      </c>
      <c r="C41" s="6">
        <f>SUM(C7:C40)</f>
        <v>4013845</v>
      </c>
      <c r="D41" s="6"/>
      <c r="E41" s="6">
        <f>SUM(E7:E40)</f>
        <v>488282.73834082205</v>
      </c>
      <c r="F41" s="10">
        <f>SUM(F7:F40)</f>
        <v>1</v>
      </c>
      <c r="G41" s="13">
        <f>SUM(G7:G40)</f>
        <v>1630999.9999999998</v>
      </c>
      <c r="H41" s="14">
        <f t="shared" ref="H41" si="4">G41/C41</f>
        <v>0.40634354341037082</v>
      </c>
    </row>
  </sheetData>
  <sortState ref="B7:H40">
    <sortCondition ref="D7:D40"/>
  </sortState>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election activeCell="B4" sqref="B4"/>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102</v>
      </c>
      <c r="C4" s="18">
        <f>'County Data'!H10</f>
        <v>815500</v>
      </c>
      <c r="D4" s="11"/>
    </row>
    <row r="6" spans="2:8" s="2" customFormat="1" ht="30" x14ac:dyDescent="0.25">
      <c r="B6" s="3" t="s">
        <v>8</v>
      </c>
      <c r="C6" s="3" t="s">
        <v>1</v>
      </c>
      <c r="D6" s="3" t="s">
        <v>19</v>
      </c>
      <c r="E6" s="3" t="s">
        <v>80</v>
      </c>
      <c r="F6" s="3" t="s">
        <v>81</v>
      </c>
      <c r="G6" s="17" t="s">
        <v>18</v>
      </c>
      <c r="H6" s="3" t="s">
        <v>7</v>
      </c>
    </row>
    <row r="7" spans="2:8" x14ac:dyDescent="0.25">
      <c r="B7" s="31" t="str">
        <f>+'County Data'!$B$13</f>
        <v>County 3</v>
      </c>
      <c r="C7" s="20">
        <f>VLOOKUP($B7,'County Data'!$B$11:$L$44,3,FALSE)</f>
        <v>397385</v>
      </c>
      <c r="D7" s="74">
        <f>VLOOKUP($B7,'County Data'!$B$11:$L$44,7,FALSE)</f>
        <v>9.748827170356944E-2</v>
      </c>
      <c r="E7" s="80">
        <f t="shared" ref="E7:E40" si="0">C7*D7</f>
        <v>38740.376850922941</v>
      </c>
      <c r="F7" s="7">
        <f t="shared" ref="F7:F40" si="1">E7/$E$41</f>
        <v>5.7734985774127785E-2</v>
      </c>
      <c r="G7" s="18">
        <f t="shared" ref="G7:G40" si="2">$C$4*F7</f>
        <v>47082.88089880121</v>
      </c>
      <c r="H7" s="12">
        <f t="shared" ref="H7:H40" si="3">G7/C7</f>
        <v>0.1184817768632465</v>
      </c>
    </row>
    <row r="8" spans="2:8" x14ac:dyDescent="0.25">
      <c r="B8" s="31" t="str">
        <f>+'County Data'!$B$42</f>
        <v>County 32</v>
      </c>
      <c r="C8" s="20">
        <f>VLOOKUP($B8,'County Data'!$B$11:$L$44,3,FALSE)</f>
        <v>570510</v>
      </c>
      <c r="D8" s="74">
        <f>VLOOKUP($B8,'County Data'!$B$11:$L$44,7,FALSE)</f>
        <v>0.11824459724769457</v>
      </c>
      <c r="E8" s="80">
        <f t="shared" si="0"/>
        <v>67459.725175782223</v>
      </c>
      <c r="F8" s="7">
        <f t="shared" si="1"/>
        <v>0.10053558044460706</v>
      </c>
      <c r="G8" s="18">
        <f t="shared" si="2"/>
        <v>81986.765852577053</v>
      </c>
      <c r="H8" s="12">
        <f t="shared" si="3"/>
        <v>0.14370785061186842</v>
      </c>
    </row>
    <row r="9" spans="2:8" x14ac:dyDescent="0.25">
      <c r="B9" s="31" t="str">
        <f>+'County Data'!$B$15</f>
        <v>County 5</v>
      </c>
      <c r="C9" s="20">
        <f>VLOOKUP($B9,'County Data'!$B$11:$L$44,3,FALSE)</f>
        <v>50390</v>
      </c>
      <c r="D9" s="74">
        <f>VLOOKUP($B9,'County Data'!$B$11:$L$44,7,FALSE)</f>
        <v>0.13149207520862807</v>
      </c>
      <c r="E9" s="80">
        <f t="shared" si="0"/>
        <v>6625.8856697627689</v>
      </c>
      <c r="F9" s="7">
        <f t="shared" si="1"/>
        <v>9.8745919885298416E-3</v>
      </c>
      <c r="G9" s="18">
        <f t="shared" si="2"/>
        <v>8052.7297666460854</v>
      </c>
      <c r="H9" s="12">
        <f t="shared" si="3"/>
        <v>0.15980809221365519</v>
      </c>
    </row>
    <row r="10" spans="2:8" x14ac:dyDescent="0.25">
      <c r="B10" s="31" t="str">
        <f>+'County Data'!$B$41</f>
        <v>County 31</v>
      </c>
      <c r="C10" s="20">
        <f>VLOOKUP($B10,'County Data'!$B$11:$L$44,3,FALSE)</f>
        <v>7100</v>
      </c>
      <c r="D10" s="74">
        <f>VLOOKUP($B10,'County Data'!$B$11:$L$44,7,FALSE)</f>
        <v>0.13868076979579844</v>
      </c>
      <c r="E10" s="80">
        <f t="shared" si="0"/>
        <v>984.63346555016892</v>
      </c>
      <c r="F10" s="7">
        <f t="shared" si="1"/>
        <v>1.4674043916770732E-3</v>
      </c>
      <c r="G10" s="18">
        <f t="shared" si="2"/>
        <v>1196.6682814126532</v>
      </c>
      <c r="H10" s="12">
        <f t="shared" si="3"/>
        <v>0.16854482836797932</v>
      </c>
    </row>
    <row r="11" spans="2:8" x14ac:dyDescent="0.25">
      <c r="B11" s="31" t="str">
        <f>+'County Data'!$B$19</f>
        <v>County 9</v>
      </c>
      <c r="C11" s="20">
        <f>VLOOKUP($B11,'County Data'!$B$11:$L$44,3,FALSE)</f>
        <v>170740</v>
      </c>
      <c r="D11" s="74">
        <f>VLOOKUP($B11,'County Data'!$B$11:$L$44,7,FALSE)</f>
        <v>0.15013891461381737</v>
      </c>
      <c r="E11" s="80">
        <f t="shared" si="0"/>
        <v>25634.718281163179</v>
      </c>
      <c r="F11" s="7">
        <f t="shared" si="1"/>
        <v>3.8203554420288763E-2</v>
      </c>
      <c r="G11" s="18">
        <f t="shared" si="2"/>
        <v>31154.998629745485</v>
      </c>
      <c r="H11" s="12">
        <f t="shared" si="3"/>
        <v>0.18247041483978849</v>
      </c>
    </row>
    <row r="12" spans="2:8" x14ac:dyDescent="0.25">
      <c r="B12" s="31" t="str">
        <f>+'County Data'!$B$18</f>
        <v>County 8</v>
      </c>
      <c r="C12" s="20">
        <f>VLOOKUP($B12,'County Data'!$B$11:$L$44,3,FALSE)</f>
        <v>22470</v>
      </c>
      <c r="D12" s="74">
        <f>VLOOKUP($B12,'County Data'!$B$11:$L$44,7,FALSE)</f>
        <v>0.15369342538694103</v>
      </c>
      <c r="E12" s="80">
        <f t="shared" si="0"/>
        <v>3453.4912684445649</v>
      </c>
      <c r="F12" s="7">
        <f t="shared" si="1"/>
        <v>5.1467560582072998E-3</v>
      </c>
      <c r="G12" s="18">
        <f t="shared" si="2"/>
        <v>4197.1795654680527</v>
      </c>
      <c r="H12" s="12">
        <f t="shared" si="3"/>
        <v>0.18679036784459513</v>
      </c>
    </row>
    <row r="13" spans="2:8" x14ac:dyDescent="0.25">
      <c r="B13" s="31" t="str">
        <f>+'County Data'!$B$21</f>
        <v>County 11</v>
      </c>
      <c r="C13" s="20">
        <f>VLOOKUP($B13,'County Data'!$B$11:$L$44,3,FALSE)</f>
        <v>7430</v>
      </c>
      <c r="D13" s="74">
        <f>VLOOKUP($B13,'County Data'!$B$11:$L$44,7,FALSE)</f>
        <v>0.15435776638492449</v>
      </c>
      <c r="E13" s="80">
        <f t="shared" si="0"/>
        <v>1146.8782042399889</v>
      </c>
      <c r="F13" s="7">
        <f t="shared" si="1"/>
        <v>1.7091985723643134E-3</v>
      </c>
      <c r="G13" s="18">
        <f t="shared" si="2"/>
        <v>1393.8514357630975</v>
      </c>
      <c r="H13" s="12">
        <f t="shared" si="3"/>
        <v>0.18759777062760397</v>
      </c>
    </row>
    <row r="14" spans="2:8" x14ac:dyDescent="0.25">
      <c r="B14" s="31" t="str">
        <f>+'County Data'!$B$23</f>
        <v>County 13</v>
      </c>
      <c r="C14" s="20">
        <f>VLOOKUP($B14,'County Data'!$B$11:$L$44,3,FALSE)</f>
        <v>24245</v>
      </c>
      <c r="D14" s="74">
        <f>VLOOKUP($B14,'County Data'!$B$11:$L$44,7,FALSE)</f>
        <v>0.15661570192350804</v>
      </c>
      <c r="E14" s="80">
        <f t="shared" si="0"/>
        <v>3797.1476931354523</v>
      </c>
      <c r="F14" s="7">
        <f t="shared" si="1"/>
        <v>5.6589090211757878E-3</v>
      </c>
      <c r="G14" s="18">
        <f t="shared" si="2"/>
        <v>4614.840306768855</v>
      </c>
      <c r="H14" s="12">
        <f t="shared" si="3"/>
        <v>0.19034193882321532</v>
      </c>
    </row>
    <row r="15" spans="2:8" x14ac:dyDescent="0.25">
      <c r="B15" s="31" t="str">
        <f>+'County Data'!$B$14</f>
        <v>County 4</v>
      </c>
      <c r="C15" s="20">
        <f>VLOOKUP($B15,'County Data'!$B$11:$L$44,3,FALSE)</f>
        <v>37750</v>
      </c>
      <c r="D15" s="74">
        <f>VLOOKUP($B15,'County Data'!$B$11:$L$44,7,FALSE)</f>
        <v>0.15771425436190059</v>
      </c>
      <c r="E15" s="80">
        <f t="shared" si="0"/>
        <v>5953.713102161747</v>
      </c>
      <c r="F15" s="7">
        <f t="shared" si="1"/>
        <v>8.8728497035350223E-3</v>
      </c>
      <c r="G15" s="18">
        <f t="shared" si="2"/>
        <v>7235.8089332328109</v>
      </c>
      <c r="H15" s="12">
        <f t="shared" si="3"/>
        <v>0.19167705783398176</v>
      </c>
    </row>
    <row r="16" spans="2:8" x14ac:dyDescent="0.25">
      <c r="B16" s="31" t="str">
        <f>+'County Data'!$B$36</f>
        <v>County 26</v>
      </c>
      <c r="C16" s="20">
        <f>VLOOKUP($B16,'County Data'!$B$11:$L$44,3,FALSE)</f>
        <v>30135</v>
      </c>
      <c r="D16" s="74">
        <f>VLOOKUP($B16,'County Data'!$B$11:$L$44,7,FALSE)</f>
        <v>0.16419843853936911</v>
      </c>
      <c r="E16" s="80">
        <f t="shared" si="0"/>
        <v>4948.1199453838881</v>
      </c>
      <c r="F16" s="7">
        <f t="shared" si="1"/>
        <v>7.374208974650456E-3</v>
      </c>
      <c r="G16" s="18">
        <f t="shared" si="2"/>
        <v>6013.6674188274465</v>
      </c>
      <c r="H16" s="12">
        <f t="shared" si="3"/>
        <v>0.19955757155558143</v>
      </c>
    </row>
    <row r="17" spans="2:8" x14ac:dyDescent="0.25">
      <c r="B17" s="31" t="str">
        <f>+'County Data'!$B$44</f>
        <v>County 34</v>
      </c>
      <c r="C17" s="20">
        <f>VLOOKUP($B17,'County Data'!$B$11:$L$44,3,FALSE)</f>
        <v>103630</v>
      </c>
      <c r="D17" s="74">
        <f>VLOOKUP($B17,'County Data'!$B$11:$L$44,7,FALSE)</f>
        <v>0.16705485587816832</v>
      </c>
      <c r="E17" s="80">
        <f t="shared" si="0"/>
        <v>17311.894714654583</v>
      </c>
      <c r="F17" s="7">
        <f t="shared" si="1"/>
        <v>2.5800007029357756E-2</v>
      </c>
      <c r="G17" s="18">
        <f t="shared" si="2"/>
        <v>21039.90573244125</v>
      </c>
      <c r="H17" s="12">
        <f t="shared" si="3"/>
        <v>0.20302910095957974</v>
      </c>
    </row>
    <row r="18" spans="2:8" x14ac:dyDescent="0.25">
      <c r="B18" s="31" t="str">
        <f>+'County Data'!$B$37</f>
        <v>County 27</v>
      </c>
      <c r="C18" s="20">
        <f>VLOOKUP($B18,'County Data'!$B$11:$L$44,3,FALSE)</f>
        <v>78570</v>
      </c>
      <c r="D18" s="74">
        <f>VLOOKUP($B18,'County Data'!$B$11:$L$44,7,FALSE)</f>
        <v>0.17035658831718156</v>
      </c>
      <c r="E18" s="80">
        <f t="shared" si="0"/>
        <v>13384.917144080955</v>
      </c>
      <c r="F18" s="7">
        <f t="shared" si="1"/>
        <v>1.9947611864363744E-2</v>
      </c>
      <c r="G18" s="18">
        <f t="shared" si="2"/>
        <v>16267.277475388633</v>
      </c>
      <c r="H18" s="12">
        <f t="shared" si="3"/>
        <v>0.20704184135660728</v>
      </c>
    </row>
    <row r="19" spans="2:8" x14ac:dyDescent="0.25">
      <c r="B19" s="31" t="str">
        <f>+'County Data'!$B$39</f>
        <v>County 29</v>
      </c>
      <c r="C19" s="20">
        <f>VLOOKUP($B19,'County Data'!$B$11:$L$44,3,FALSE)</f>
        <v>79155</v>
      </c>
      <c r="D19" s="74">
        <f>VLOOKUP($B19,'County Data'!$B$11:$L$44,7,FALSE)</f>
        <v>0.17082896407086484</v>
      </c>
      <c r="E19" s="80">
        <f t="shared" si="0"/>
        <v>13521.966651029306</v>
      </c>
      <c r="F19" s="7">
        <f t="shared" si="1"/>
        <v>2.0151857459714113E-2</v>
      </c>
      <c r="G19" s="18">
        <f t="shared" si="2"/>
        <v>16433.839758396858</v>
      </c>
      <c r="H19" s="12">
        <f t="shared" si="3"/>
        <v>0.2076159403499066</v>
      </c>
    </row>
    <row r="20" spans="2:8" x14ac:dyDescent="0.25">
      <c r="B20" s="31" t="str">
        <f>+'County Data'!$B$30</f>
        <v>County 20</v>
      </c>
      <c r="C20" s="20">
        <f>VLOOKUP($B20,'County Data'!$B$11:$L$44,3,FALSE)</f>
        <v>47225</v>
      </c>
      <c r="D20" s="74">
        <f>VLOOKUP($B20,'County Data'!$B$11:$L$44,7,FALSE)</f>
        <v>0.17109332163614432</v>
      </c>
      <c r="E20" s="80">
        <f t="shared" si="0"/>
        <v>8079.8821142669158</v>
      </c>
      <c r="F20" s="7">
        <f t="shared" si="1"/>
        <v>1.2041490476949667E-2</v>
      </c>
      <c r="G20" s="18">
        <f t="shared" si="2"/>
        <v>9819.8354839524545</v>
      </c>
      <c r="H20" s="12">
        <f t="shared" si="3"/>
        <v>0.20793722570571635</v>
      </c>
    </row>
    <row r="21" spans="2:8" x14ac:dyDescent="0.25">
      <c r="B21" s="31" t="str">
        <f>+'County Data'!$B$38</f>
        <v>County 28</v>
      </c>
      <c r="C21" s="20">
        <f>VLOOKUP($B21,'County Data'!$B$11:$L$44,3,FALSE)</f>
        <v>25690</v>
      </c>
      <c r="D21" s="74">
        <f>VLOOKUP($B21,'County Data'!$B$11:$L$44,7,FALSE)</f>
        <v>0.17629563233376794</v>
      </c>
      <c r="E21" s="80">
        <f t="shared" si="0"/>
        <v>4529.034794654498</v>
      </c>
      <c r="F21" s="7">
        <f t="shared" si="1"/>
        <v>6.7496441876681865E-3</v>
      </c>
      <c r="G21" s="18">
        <f t="shared" si="2"/>
        <v>5504.3348350434062</v>
      </c>
      <c r="H21" s="12">
        <f t="shared" si="3"/>
        <v>0.21425982230608823</v>
      </c>
    </row>
    <row r="22" spans="2:8" x14ac:dyDescent="0.25">
      <c r="B22" s="31" t="str">
        <f>+'County Data'!$B$24</f>
        <v>County 14</v>
      </c>
      <c r="C22" s="20">
        <f>VLOOKUP($B22,'County Data'!$B$11:$L$44,3,FALSE)</f>
        <v>210975</v>
      </c>
      <c r="D22" s="74">
        <f>VLOOKUP($B22,'County Data'!$B$11:$L$44,7,FALSE)</f>
        <v>0.17796340298361218</v>
      </c>
      <c r="E22" s="80">
        <f t="shared" si="0"/>
        <v>37545.828944467583</v>
      </c>
      <c r="F22" s="7">
        <f t="shared" si="1"/>
        <v>5.5954744795804125E-2</v>
      </c>
      <c r="G22" s="18">
        <f t="shared" si="2"/>
        <v>45631.094380978262</v>
      </c>
      <c r="H22" s="12">
        <f t="shared" si="3"/>
        <v>0.21628673720098715</v>
      </c>
    </row>
    <row r="23" spans="2:8" x14ac:dyDescent="0.25">
      <c r="B23" s="31" t="str">
        <f>+'County Data'!$B$28</f>
        <v>County 18</v>
      </c>
      <c r="C23" s="20">
        <f>VLOOKUP($B23,'County Data'!$B$11:$L$44,3,FALSE)</f>
        <v>8010</v>
      </c>
      <c r="D23" s="74">
        <f>VLOOKUP($B23,'County Data'!$B$11:$L$44,7,FALSE)</f>
        <v>0.17800622210198835</v>
      </c>
      <c r="E23" s="80">
        <f t="shared" si="0"/>
        <v>1425.8298390369266</v>
      </c>
      <c r="F23" s="7">
        <f t="shared" si="1"/>
        <v>2.1249216493143819E-3</v>
      </c>
      <c r="G23" s="18">
        <f t="shared" si="2"/>
        <v>1732.8736050158784</v>
      </c>
      <c r="H23" s="12">
        <f t="shared" si="3"/>
        <v>0.21633877715554037</v>
      </c>
    </row>
    <row r="24" spans="2:8" x14ac:dyDescent="0.25">
      <c r="B24" s="31" t="str">
        <f>+'County Data'!$B$16</f>
        <v>County 6</v>
      </c>
      <c r="C24" s="20">
        <f>VLOOKUP($B24,'County Data'!$B$11:$L$44,3,FALSE)</f>
        <v>62990</v>
      </c>
      <c r="D24" s="74">
        <f>VLOOKUP($B24,'County Data'!$B$11:$L$44,7,FALSE)</f>
        <v>0.18003089682087975</v>
      </c>
      <c r="E24" s="80">
        <f t="shared" si="0"/>
        <v>11340.146190747215</v>
      </c>
      <c r="F24" s="7">
        <f t="shared" si="1"/>
        <v>1.6900279042683652E-2</v>
      </c>
      <c r="G24" s="18">
        <f t="shared" si="2"/>
        <v>13782.177559308519</v>
      </c>
      <c r="H24" s="12">
        <f t="shared" si="3"/>
        <v>0.21879945323556943</v>
      </c>
    </row>
    <row r="25" spans="2:8" x14ac:dyDescent="0.25">
      <c r="B25" s="31" t="str">
        <f>'County Data'!$B$43</f>
        <v>County 33</v>
      </c>
      <c r="C25" s="20">
        <f>VLOOKUP($B25,'County Data'!$B$11:$L$44,3,FALSE)</f>
        <v>1445</v>
      </c>
      <c r="D25" s="74">
        <f>VLOOKUP($B25,'County Data'!$B$11:$L$44,7,FALSE)</f>
        <v>0.18298192771084337</v>
      </c>
      <c r="E25" s="80">
        <f t="shared" si="0"/>
        <v>264.40888554216866</v>
      </c>
      <c r="F25" s="7">
        <f t="shared" si="1"/>
        <v>3.9404994184940163E-4</v>
      </c>
      <c r="G25" s="18">
        <f t="shared" si="2"/>
        <v>321.347727578187</v>
      </c>
      <c r="H25" s="12">
        <f t="shared" si="3"/>
        <v>0.22238597064234394</v>
      </c>
    </row>
    <row r="26" spans="2:8" x14ac:dyDescent="0.25">
      <c r="B26" s="31" t="str">
        <f>+'County Data'!$B$11</f>
        <v>County 1</v>
      </c>
      <c r="C26" s="20">
        <f>VLOOKUP($B26,'County Data'!$B$11:$L$44,3,FALSE)</f>
        <v>16425</v>
      </c>
      <c r="D26" s="74">
        <f>VLOOKUP($B26,'County Data'!$B$11:$L$44,7,FALSE)</f>
        <v>0.18330974134603012</v>
      </c>
      <c r="E26" s="80">
        <f t="shared" si="0"/>
        <v>3010.8625016085448</v>
      </c>
      <c r="F26" s="7">
        <f t="shared" si="1"/>
        <v>4.487104097287138E-3</v>
      </c>
      <c r="G26" s="18">
        <f t="shared" si="2"/>
        <v>3659.233391337661</v>
      </c>
      <c r="H26" s="12">
        <f t="shared" si="3"/>
        <v>0.22278437694597633</v>
      </c>
    </row>
    <row r="27" spans="2:8" x14ac:dyDescent="0.25">
      <c r="B27" s="31" t="str">
        <f>+'County Data'!$B$35</f>
        <v>County 25</v>
      </c>
      <c r="C27" s="20">
        <f>VLOOKUP($B27,'County Data'!$B$11:$L$44,3,FALSE)</f>
        <v>777490</v>
      </c>
      <c r="D27" s="74">
        <f>VLOOKUP($B27,'County Data'!$B$11:$L$44,7,FALSE)</f>
        <v>0.18505209140070983</v>
      </c>
      <c r="E27" s="80">
        <f t="shared" si="0"/>
        <v>143876.15054313789</v>
      </c>
      <c r="F27" s="7">
        <f t="shared" si="1"/>
        <v>0.21441937792214422</v>
      </c>
      <c r="G27" s="18">
        <f t="shared" si="2"/>
        <v>174859.00269550862</v>
      </c>
      <c r="H27" s="12">
        <f t="shared" si="3"/>
        <v>0.22490193146601065</v>
      </c>
    </row>
    <row r="28" spans="2:8" x14ac:dyDescent="0.25">
      <c r="B28" s="31" t="str">
        <f>+'County Data'!$B$27</f>
        <v>County 17</v>
      </c>
      <c r="C28" s="20">
        <f>VLOOKUP($B28,'County Data'!$B$11:$L$44,3,FALSE)</f>
        <v>67110</v>
      </c>
      <c r="D28" s="74">
        <f>VLOOKUP($B28,'County Data'!$B$11:$L$44,7,FALSE)</f>
        <v>0.18588746322453442</v>
      </c>
      <c r="E28" s="80">
        <f t="shared" si="0"/>
        <v>12474.907656998505</v>
      </c>
      <c r="F28" s="7">
        <f t="shared" si="1"/>
        <v>1.8591419977196419E-2</v>
      </c>
      <c r="G28" s="18">
        <f t="shared" si="2"/>
        <v>15161.30299140368</v>
      </c>
      <c r="H28" s="12">
        <f t="shared" si="3"/>
        <v>0.22591719552084161</v>
      </c>
    </row>
    <row r="29" spans="2:8" x14ac:dyDescent="0.25">
      <c r="B29" s="31" t="str">
        <f>+'County Data'!$B$40</f>
        <v>County 30</v>
      </c>
      <c r="C29" s="20">
        <f>VLOOKUP($B29,'County Data'!$B$11:$L$44,3,FALSE)</f>
        <v>26625</v>
      </c>
      <c r="D29" s="74">
        <f>VLOOKUP($B29,'County Data'!$B$11:$L$44,7,FALSE)</f>
        <v>0.18805265474332813</v>
      </c>
      <c r="E29" s="80">
        <f t="shared" si="0"/>
        <v>5006.9019325411118</v>
      </c>
      <c r="F29" s="7">
        <f t="shared" si="1"/>
        <v>7.4618120768442445E-3</v>
      </c>
      <c r="G29" s="18">
        <f t="shared" si="2"/>
        <v>6085.1077486664817</v>
      </c>
      <c r="H29" s="12">
        <f t="shared" si="3"/>
        <v>0.22854864783723874</v>
      </c>
    </row>
    <row r="30" spans="2:8" x14ac:dyDescent="0.25">
      <c r="B30" s="31" t="str">
        <f>+'County Data'!$B$33</f>
        <v>County 23</v>
      </c>
      <c r="C30" s="20">
        <f>VLOOKUP($B30,'County Data'!$B$11:$L$44,3,FALSE)</f>
        <v>329770</v>
      </c>
      <c r="D30" s="74">
        <f>VLOOKUP($B30,'County Data'!$B$11:$L$44,7,FALSE)</f>
        <v>0.1906937388803274</v>
      </c>
      <c r="E30" s="80">
        <f t="shared" si="0"/>
        <v>62885.074270565565</v>
      </c>
      <c r="F30" s="7">
        <f t="shared" si="1"/>
        <v>9.3717954329336273E-2</v>
      </c>
      <c r="G30" s="18">
        <f t="shared" si="2"/>
        <v>76426.991755573734</v>
      </c>
      <c r="H30" s="12">
        <f t="shared" si="3"/>
        <v>0.23175847334679847</v>
      </c>
    </row>
    <row r="31" spans="2:8" x14ac:dyDescent="0.25">
      <c r="B31" s="31" t="str">
        <f>+'County Data'!$B$34</f>
        <v>County 24</v>
      </c>
      <c r="C31" s="20">
        <f>VLOOKUP($B31,'County Data'!$B$11:$L$44,3,FALSE)</f>
        <v>11630</v>
      </c>
      <c r="D31" s="74">
        <f>VLOOKUP($B31,'County Data'!$B$11:$L$44,7,FALSE)</f>
        <v>0.19308924894816937</v>
      </c>
      <c r="E31" s="80">
        <f t="shared" si="0"/>
        <v>2245.6279652672097</v>
      </c>
      <c r="F31" s="7">
        <f t="shared" si="1"/>
        <v>3.3466710746670779E-3</v>
      </c>
      <c r="G31" s="18">
        <f t="shared" si="2"/>
        <v>2729.2102613910019</v>
      </c>
      <c r="H31" s="12">
        <f t="shared" si="3"/>
        <v>0.23466984190808271</v>
      </c>
    </row>
    <row r="32" spans="2:8" x14ac:dyDescent="0.25">
      <c r="B32" s="31" t="str">
        <f>+'County Data'!$B$31</f>
        <v>County 21</v>
      </c>
      <c r="C32" s="20">
        <f>VLOOKUP($B32,'County Data'!$B$11:$L$44,3,FALSE)</f>
        <v>120860</v>
      </c>
      <c r="D32" s="74">
        <f>VLOOKUP($B32,'County Data'!$B$11:$L$44,7,FALSE)</f>
        <v>0.19492032553686225</v>
      </c>
      <c r="E32" s="80">
        <f t="shared" si="0"/>
        <v>23558.070544385173</v>
      </c>
      <c r="F32" s="7">
        <f t="shared" si="1"/>
        <v>3.5108715461903764E-2</v>
      </c>
      <c r="G32" s="18">
        <f t="shared" si="2"/>
        <v>28631.157459182519</v>
      </c>
      <c r="H32" s="12">
        <f t="shared" si="3"/>
        <v>0.23689522968047758</v>
      </c>
    </row>
    <row r="33" spans="2:8" x14ac:dyDescent="0.25">
      <c r="B33" s="31" t="str">
        <f>+'County Data'!$B$20</f>
        <v>County 10</v>
      </c>
      <c r="C33" s="20">
        <f>VLOOKUP($B33,'County Data'!$B$11:$L$44,3,FALSE)</f>
        <v>109910</v>
      </c>
      <c r="D33" s="74">
        <f>VLOOKUP($B33,'County Data'!$B$11:$L$44,7,FALSE)</f>
        <v>0.19672487637921091</v>
      </c>
      <c r="E33" s="80">
        <f t="shared" si="0"/>
        <v>21622.03116283907</v>
      </c>
      <c r="F33" s="7">
        <f t="shared" si="1"/>
        <v>3.2223425869036711E-2</v>
      </c>
      <c r="G33" s="18">
        <f t="shared" si="2"/>
        <v>26278.203796199439</v>
      </c>
      <c r="H33" s="12">
        <f t="shared" si="3"/>
        <v>0.23908837954871659</v>
      </c>
    </row>
    <row r="34" spans="2:8" x14ac:dyDescent="0.25">
      <c r="B34" s="31" t="str">
        <f>+'County Data'!$B$26</f>
        <v>County 16</v>
      </c>
      <c r="C34" s="20">
        <f>VLOOKUP($B34,'County Data'!$B$11:$L$44,3,FALSE)</f>
        <v>83720</v>
      </c>
      <c r="D34" s="74">
        <f>VLOOKUP($B34,'County Data'!$B$11:$L$44,7,FALSE)</f>
        <v>0.19677246355614061</v>
      </c>
      <c r="E34" s="80">
        <f t="shared" si="0"/>
        <v>16473.79064892009</v>
      </c>
      <c r="F34" s="7">
        <f t="shared" si="1"/>
        <v>2.455097616683875E-2</v>
      </c>
      <c r="G34" s="18">
        <f t="shared" si="2"/>
        <v>20021.321064057</v>
      </c>
      <c r="H34" s="12">
        <f t="shared" si="3"/>
        <v>0.23914621433417343</v>
      </c>
    </row>
    <row r="35" spans="2:8" x14ac:dyDescent="0.25">
      <c r="B35" s="31" t="str">
        <f>+'County Data'!$B$29</f>
        <v>County 19</v>
      </c>
      <c r="C35" s="20">
        <f>VLOOKUP($B35,'County Data'!$B$11:$L$44,3,FALSE)</f>
        <v>362150</v>
      </c>
      <c r="D35" s="74">
        <f>VLOOKUP($B35,'County Data'!$B$11:$L$44,7,FALSE)</f>
        <v>0.20368090748548978</v>
      </c>
      <c r="E35" s="80">
        <f t="shared" si="0"/>
        <v>73763.040645870118</v>
      </c>
      <c r="F35" s="7">
        <f t="shared" si="1"/>
        <v>0.10992944438134092</v>
      </c>
      <c r="G35" s="18">
        <f t="shared" si="2"/>
        <v>89647.461892983512</v>
      </c>
      <c r="H35" s="12">
        <f t="shared" si="3"/>
        <v>0.24754234955952922</v>
      </c>
    </row>
    <row r="36" spans="2:8" x14ac:dyDescent="0.25">
      <c r="B36" s="31" t="str">
        <f>+'County Data'!$B$17</f>
        <v>County 7</v>
      </c>
      <c r="C36" s="20">
        <f>VLOOKUP($B36,'County Data'!$B$11:$L$44,3,FALSE)</f>
        <v>21085</v>
      </c>
      <c r="D36" s="74">
        <f>VLOOKUP($B36,'County Data'!$B$11:$L$44,7,FALSE)</f>
        <v>0.20790735985270603</v>
      </c>
      <c r="E36" s="80">
        <f t="shared" si="0"/>
        <v>4383.7266824943063</v>
      </c>
      <c r="F36" s="7">
        <f t="shared" si="1"/>
        <v>6.5330907498759531E-3</v>
      </c>
      <c r="G36" s="18">
        <f t="shared" si="2"/>
        <v>5327.7355065238398</v>
      </c>
      <c r="H36" s="12">
        <f t="shared" si="3"/>
        <v>0.25267894268550345</v>
      </c>
    </row>
    <row r="37" spans="2:8" x14ac:dyDescent="0.25">
      <c r="B37" s="31" t="str">
        <f>+'County Data'!$B$25</f>
        <v>County 15</v>
      </c>
      <c r="C37" s="20">
        <f>VLOOKUP($B37,'County Data'!$B$11:$L$44,3,FALSE)</f>
        <v>22445</v>
      </c>
      <c r="D37" s="74">
        <f>VLOOKUP($B37,'County Data'!$B$11:$L$44,7,FALSE)</f>
        <v>0.20853554096488724</v>
      </c>
      <c r="E37" s="80">
        <f t="shared" si="0"/>
        <v>4680.5802169568942</v>
      </c>
      <c r="F37" s="7">
        <f t="shared" si="1"/>
        <v>6.9754931213125834E-3</v>
      </c>
      <c r="G37" s="18">
        <f t="shared" si="2"/>
        <v>5688.5146404304114</v>
      </c>
      <c r="H37" s="12">
        <f t="shared" si="3"/>
        <v>0.2534423987716824</v>
      </c>
    </row>
    <row r="38" spans="2:8" x14ac:dyDescent="0.25">
      <c r="B38" s="31" t="str">
        <f>+'County Data'!$B$22</f>
        <v>County 12</v>
      </c>
      <c r="C38" s="20">
        <f>VLOOKUP($B38,'County Data'!$B$11:$L$44,3,FALSE)</f>
        <v>7295</v>
      </c>
      <c r="D38" s="74">
        <f>VLOOKUP($B38,'County Data'!$B$11:$L$44,7,FALSE)</f>
        <v>0.21111577768444631</v>
      </c>
      <c r="E38" s="80">
        <f t="shared" si="0"/>
        <v>1540.0895982080358</v>
      </c>
      <c r="F38" s="7">
        <f t="shared" si="1"/>
        <v>2.2952035646319428E-3</v>
      </c>
      <c r="G38" s="18">
        <f t="shared" si="2"/>
        <v>1871.7385069573493</v>
      </c>
      <c r="H38" s="12">
        <f t="shared" si="3"/>
        <v>0.25657827374329667</v>
      </c>
    </row>
    <row r="39" spans="2:8" x14ac:dyDescent="0.25">
      <c r="B39" s="31" t="str">
        <f>+'County Data'!$B$12</f>
        <v>County 2</v>
      </c>
      <c r="C39" s="20">
        <f>VLOOKUP($B39,'County Data'!$B$11:$L$44,3,FALSE)</f>
        <v>90005</v>
      </c>
      <c r="D39" s="74">
        <f>VLOOKUP($B39,'County Data'!$B$11:$L$44,7,FALSE)</f>
        <v>0.2266198138215893</v>
      </c>
      <c r="E39" s="80">
        <f t="shared" si="0"/>
        <v>20396.916343012144</v>
      </c>
      <c r="F39" s="7">
        <f t="shared" si="1"/>
        <v>3.0397630860212591E-2</v>
      </c>
      <c r="G39" s="18">
        <f t="shared" si="2"/>
        <v>24789.267966503368</v>
      </c>
      <c r="H39" s="12">
        <f t="shared" si="3"/>
        <v>0.27542100957172788</v>
      </c>
    </row>
    <row r="40" spans="2:8" x14ac:dyDescent="0.25">
      <c r="B40" s="31" t="str">
        <f>+'County Data'!$B$32</f>
        <v>County 22</v>
      </c>
      <c r="C40" s="20">
        <f>VLOOKUP($B40,'County Data'!$B$11:$L$44,3,FALSE)</f>
        <v>31480</v>
      </c>
      <c r="D40" s="74">
        <f>VLOOKUP($B40,'County Data'!$B$11:$L$44,7,FALSE)</f>
        <v>0.28389830508474578</v>
      </c>
      <c r="E40" s="80">
        <f t="shared" si="0"/>
        <v>8937.1186440677975</v>
      </c>
      <c r="F40" s="7">
        <f t="shared" si="1"/>
        <v>1.3319034550502928E-2</v>
      </c>
      <c r="G40" s="18">
        <f t="shared" si="2"/>
        <v>10861.672675935139</v>
      </c>
      <c r="H40" s="12">
        <f t="shared" si="3"/>
        <v>0.34503407483910858</v>
      </c>
    </row>
    <row r="41" spans="2:8" x14ac:dyDescent="0.25">
      <c r="B41" s="5" t="s">
        <v>3</v>
      </c>
      <c r="C41" s="6">
        <f>SUM(C7:C40)</f>
        <v>4013845</v>
      </c>
      <c r="D41" s="6"/>
      <c r="E41" s="6">
        <f>SUM(E7:E40)</f>
        <v>671003.48829189956</v>
      </c>
      <c r="F41" s="10">
        <f>SUM(F7:F40)</f>
        <v>1.0000000000000002</v>
      </c>
      <c r="G41" s="13">
        <f>SUM(G7:G40)</f>
        <v>815500</v>
      </c>
      <c r="H41" s="14">
        <f t="shared" ref="H41" si="4">G41/C41</f>
        <v>0.20317177170518544</v>
      </c>
    </row>
  </sheetData>
  <sortState ref="B7:H40">
    <sortCondition ref="D7:D40"/>
  </sortState>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17</v>
      </c>
      <c r="C4" s="18">
        <f>'County Data'!I10</f>
        <v>0</v>
      </c>
      <c r="D4" s="11"/>
    </row>
    <row r="6" spans="2:8" s="2" customFormat="1" ht="30" x14ac:dyDescent="0.25">
      <c r="B6" s="3" t="s">
        <v>8</v>
      </c>
      <c r="C6" s="3" t="s">
        <v>1</v>
      </c>
      <c r="D6" s="3" t="s">
        <v>19</v>
      </c>
      <c r="E6" s="3" t="s">
        <v>80</v>
      </c>
      <c r="F6" s="3" t="s">
        <v>81</v>
      </c>
      <c r="G6" s="17" t="s">
        <v>18</v>
      </c>
      <c r="H6" s="3" t="s">
        <v>7</v>
      </c>
    </row>
    <row r="7" spans="2:8" x14ac:dyDescent="0.25">
      <c r="B7" s="31" t="str">
        <f>+'County Data'!$B$34</f>
        <v>County 24</v>
      </c>
      <c r="C7" s="20">
        <f>VLOOKUP($B7,'County Data'!$B$11:$L$44,3,FALSE)</f>
        <v>11630</v>
      </c>
      <c r="D7" s="74">
        <f>VLOOKUP($B7,'County Data'!$B$11:$L$44,8,FALSE)</f>
        <v>0.4007</v>
      </c>
      <c r="E7" s="80">
        <f t="shared" ref="E7:E40" si="0">C7*D7</f>
        <v>4660.1409999999996</v>
      </c>
      <c r="F7" s="7">
        <f t="shared" ref="F7:F40" si="1">E7/$E$41</f>
        <v>2.5895278550028297E-3</v>
      </c>
      <c r="G7" s="18">
        <f t="shared" ref="G7:G40" si="2">$C$4*F7</f>
        <v>0</v>
      </c>
      <c r="H7" s="12">
        <f t="shared" ref="H7:H40" si="3">G7/C7</f>
        <v>0</v>
      </c>
    </row>
    <row r="8" spans="2:8" x14ac:dyDescent="0.25">
      <c r="B8" s="31" t="str">
        <f>+'County Data'!$B$31</f>
        <v>County 21</v>
      </c>
      <c r="C8" s="20">
        <f>VLOOKUP($B8,'County Data'!$B$11:$L$44,3,FALSE)</f>
        <v>120860</v>
      </c>
      <c r="D8" s="74">
        <f>VLOOKUP($B8,'County Data'!$B$11:$L$44,8,FALSE)</f>
        <v>0.40699999999999997</v>
      </c>
      <c r="E8" s="80">
        <f t="shared" si="0"/>
        <v>49190.02</v>
      </c>
      <c r="F8" s="7">
        <f t="shared" si="1"/>
        <v>2.733370663637566E-2</v>
      </c>
      <c r="G8" s="18">
        <f t="shared" si="2"/>
        <v>0</v>
      </c>
      <c r="H8" s="12">
        <f t="shared" si="3"/>
        <v>0</v>
      </c>
    </row>
    <row r="9" spans="2:8" x14ac:dyDescent="0.25">
      <c r="B9" s="31" t="str">
        <f>+'County Data'!$B$23</f>
        <v>County 13</v>
      </c>
      <c r="C9" s="20">
        <f>VLOOKUP($B9,'County Data'!$B$11:$L$44,3,FALSE)</f>
        <v>24245</v>
      </c>
      <c r="D9" s="74">
        <f>VLOOKUP($B9,'County Data'!$B$11:$L$44,8,FALSE)</f>
        <v>0.40910000000000002</v>
      </c>
      <c r="E9" s="80">
        <f t="shared" si="0"/>
        <v>9918.6295000000009</v>
      </c>
      <c r="F9" s="7">
        <f t="shared" si="1"/>
        <v>5.5115429712755031E-3</v>
      </c>
      <c r="G9" s="18">
        <f t="shared" si="2"/>
        <v>0</v>
      </c>
      <c r="H9" s="12">
        <f t="shared" si="3"/>
        <v>0</v>
      </c>
    </row>
    <row r="10" spans="2:8" x14ac:dyDescent="0.25">
      <c r="B10" s="31" t="str">
        <f>+'County Data'!$B$39</f>
        <v>County 29</v>
      </c>
      <c r="C10" s="20">
        <f>VLOOKUP($B10,'County Data'!$B$11:$L$44,3,FALSE)</f>
        <v>79155</v>
      </c>
      <c r="D10" s="74">
        <f>VLOOKUP($B10,'County Data'!$B$11:$L$44,8,FALSE)</f>
        <v>0.41739999999999999</v>
      </c>
      <c r="E10" s="80">
        <f t="shared" si="0"/>
        <v>33039.296999999999</v>
      </c>
      <c r="F10" s="7">
        <f t="shared" si="1"/>
        <v>1.8359139753756686E-2</v>
      </c>
      <c r="G10" s="18">
        <f t="shared" si="2"/>
        <v>0</v>
      </c>
      <c r="H10" s="12">
        <f t="shared" si="3"/>
        <v>0</v>
      </c>
    </row>
    <row r="11" spans="2:8" x14ac:dyDescent="0.25">
      <c r="B11" s="31" t="str">
        <f>+'County Data'!$B$38</f>
        <v>County 28</v>
      </c>
      <c r="C11" s="20">
        <f>VLOOKUP($B11,'County Data'!$B$11:$L$44,3,FALSE)</f>
        <v>25690</v>
      </c>
      <c r="D11" s="74">
        <f>VLOOKUP($B11,'County Data'!$B$11:$L$44,8,FALSE)</f>
        <v>0.41760000000000003</v>
      </c>
      <c r="E11" s="80">
        <f t="shared" si="0"/>
        <v>10728.144</v>
      </c>
      <c r="F11" s="7">
        <f t="shared" si="1"/>
        <v>5.9613706367428543E-3</v>
      </c>
      <c r="G11" s="18">
        <f t="shared" si="2"/>
        <v>0</v>
      </c>
      <c r="H11" s="12">
        <f t="shared" si="3"/>
        <v>0</v>
      </c>
    </row>
    <row r="12" spans="2:8" x14ac:dyDescent="0.25">
      <c r="B12" s="31" t="str">
        <f>+'County Data'!$B$18</f>
        <v>County 8</v>
      </c>
      <c r="C12" s="20">
        <f>VLOOKUP($B12,'County Data'!$B$11:$L$44,3,FALSE)</f>
        <v>22470</v>
      </c>
      <c r="D12" s="74">
        <f>VLOOKUP($B12,'County Data'!$B$11:$L$44,8,FALSE)</f>
        <v>0.41810000000000003</v>
      </c>
      <c r="E12" s="80">
        <f t="shared" si="0"/>
        <v>9394.7070000000003</v>
      </c>
      <c r="F12" s="7">
        <f t="shared" si="1"/>
        <v>5.2204118858399503E-3</v>
      </c>
      <c r="G12" s="18">
        <f t="shared" si="2"/>
        <v>0</v>
      </c>
      <c r="H12" s="12">
        <f t="shared" si="3"/>
        <v>0</v>
      </c>
    </row>
    <row r="13" spans="2:8" x14ac:dyDescent="0.25">
      <c r="B13" s="31" t="str">
        <f>+'County Data'!$B$37</f>
        <v>County 27</v>
      </c>
      <c r="C13" s="20">
        <f>VLOOKUP($B13,'County Data'!$B$11:$L$44,3,FALSE)</f>
        <v>78570</v>
      </c>
      <c r="D13" s="74">
        <f>VLOOKUP($B13,'County Data'!$B$11:$L$44,8,FALSE)</f>
        <v>0.41980000000000001</v>
      </c>
      <c r="E13" s="80">
        <f t="shared" si="0"/>
        <v>32983.686000000002</v>
      </c>
      <c r="F13" s="7">
        <f t="shared" si="1"/>
        <v>1.8328238063540756E-2</v>
      </c>
      <c r="G13" s="18">
        <f t="shared" si="2"/>
        <v>0</v>
      </c>
      <c r="H13" s="12">
        <f t="shared" si="3"/>
        <v>0</v>
      </c>
    </row>
    <row r="14" spans="2:8" x14ac:dyDescent="0.25">
      <c r="B14" s="31" t="str">
        <f>+'County Data'!$B$17</f>
        <v>County 7</v>
      </c>
      <c r="C14" s="20">
        <f>VLOOKUP($B14,'County Data'!$B$11:$L$44,3,FALSE)</f>
        <v>21085</v>
      </c>
      <c r="D14" s="74">
        <f>VLOOKUP($B14,'County Data'!$B$11:$L$44,8,FALSE)</f>
        <v>0.42049999999999998</v>
      </c>
      <c r="E14" s="80">
        <f t="shared" si="0"/>
        <v>8866.2425000000003</v>
      </c>
      <c r="F14" s="7">
        <f t="shared" si="1"/>
        <v>4.9267569206510979E-3</v>
      </c>
      <c r="G14" s="18">
        <f t="shared" si="2"/>
        <v>0</v>
      </c>
      <c r="H14" s="12">
        <f t="shared" si="3"/>
        <v>0</v>
      </c>
    </row>
    <row r="15" spans="2:8" x14ac:dyDescent="0.25">
      <c r="B15" s="31" t="str">
        <f>+'County Data'!$B$44</f>
        <v>County 34</v>
      </c>
      <c r="C15" s="20">
        <f>VLOOKUP($B15,'County Data'!$B$11:$L$44,3,FALSE)</f>
        <v>103630</v>
      </c>
      <c r="D15" s="74">
        <f>VLOOKUP($B15,'County Data'!$B$11:$L$44,8,FALSE)</f>
        <v>0.42109999999999997</v>
      </c>
      <c r="E15" s="80">
        <f t="shared" si="0"/>
        <v>43638.593000000001</v>
      </c>
      <c r="F15" s="7">
        <f t="shared" si="1"/>
        <v>2.4248912667370261E-2</v>
      </c>
      <c r="G15" s="18">
        <f t="shared" si="2"/>
        <v>0</v>
      </c>
      <c r="H15" s="12">
        <f t="shared" si="3"/>
        <v>0</v>
      </c>
    </row>
    <row r="16" spans="2:8" x14ac:dyDescent="0.25">
      <c r="B16" s="31" t="str">
        <f>+'County Data'!$B$15</f>
        <v>County 5</v>
      </c>
      <c r="C16" s="20">
        <f>VLOOKUP($B16,'County Data'!$B$11:$L$44,3,FALSE)</f>
        <v>50390</v>
      </c>
      <c r="D16" s="74">
        <f>VLOOKUP($B16,'County Data'!$B$11:$L$44,8,FALSE)</f>
        <v>0.4219</v>
      </c>
      <c r="E16" s="80">
        <f t="shared" si="0"/>
        <v>21259.541000000001</v>
      </c>
      <c r="F16" s="7">
        <f t="shared" si="1"/>
        <v>1.1813413715180446E-2</v>
      </c>
      <c r="G16" s="18">
        <f t="shared" si="2"/>
        <v>0</v>
      </c>
      <c r="H16" s="12">
        <f t="shared" si="3"/>
        <v>0</v>
      </c>
    </row>
    <row r="17" spans="2:8" x14ac:dyDescent="0.25">
      <c r="B17" s="31" t="str">
        <f>+'County Data'!$B$41</f>
        <v>County 31</v>
      </c>
      <c r="C17" s="20">
        <f>VLOOKUP($B17,'County Data'!$B$11:$L$44,3,FALSE)</f>
        <v>7100</v>
      </c>
      <c r="D17" s="74">
        <f>VLOOKUP($B17,'County Data'!$B$11:$L$44,8,FALSE)</f>
        <v>0.42259999999999998</v>
      </c>
      <c r="E17" s="80">
        <f t="shared" si="0"/>
        <v>3000.46</v>
      </c>
      <c r="F17" s="7">
        <f t="shared" si="1"/>
        <v>1.6672831890326475E-3</v>
      </c>
      <c r="G17" s="18">
        <f t="shared" si="2"/>
        <v>0</v>
      </c>
      <c r="H17" s="12">
        <f t="shared" si="3"/>
        <v>0</v>
      </c>
    </row>
    <row r="18" spans="2:8" x14ac:dyDescent="0.25">
      <c r="B18" s="31" t="str">
        <f>+'County Data'!$B$20</f>
        <v>County 10</v>
      </c>
      <c r="C18" s="20">
        <f>VLOOKUP($B18,'County Data'!$B$11:$L$44,3,FALSE)</f>
        <v>109910</v>
      </c>
      <c r="D18" s="74">
        <f>VLOOKUP($B18,'County Data'!$B$11:$L$44,8,FALSE)</f>
        <v>0.42309999999999998</v>
      </c>
      <c r="E18" s="80">
        <f t="shared" si="0"/>
        <v>46502.920999999995</v>
      </c>
      <c r="F18" s="7">
        <f t="shared" si="1"/>
        <v>2.5840550590313906E-2</v>
      </c>
      <c r="G18" s="18">
        <f t="shared" si="2"/>
        <v>0</v>
      </c>
      <c r="H18" s="12">
        <f t="shared" si="3"/>
        <v>0</v>
      </c>
    </row>
    <row r="19" spans="2:8" x14ac:dyDescent="0.25">
      <c r="B19" s="31" t="str">
        <f>+'County Data'!$B$22</f>
        <v>County 12</v>
      </c>
      <c r="C19" s="20">
        <f>VLOOKUP($B19,'County Data'!$B$11:$L$44,3,FALSE)</f>
        <v>7295</v>
      </c>
      <c r="D19" s="74">
        <f>VLOOKUP($B19,'County Data'!$B$11:$L$44,8,FALSE)</f>
        <v>0.42320000000000002</v>
      </c>
      <c r="E19" s="80">
        <f t="shared" si="0"/>
        <v>3087.2440000000001</v>
      </c>
      <c r="F19" s="7">
        <f t="shared" si="1"/>
        <v>1.7155069628130043E-3</v>
      </c>
      <c r="G19" s="18">
        <f t="shared" si="2"/>
        <v>0</v>
      </c>
      <c r="H19" s="12">
        <f t="shared" si="3"/>
        <v>0</v>
      </c>
    </row>
    <row r="20" spans="2:8" x14ac:dyDescent="0.25">
      <c r="B20" s="31" t="str">
        <f>+'County Data'!$B$25</f>
        <v>County 15</v>
      </c>
      <c r="C20" s="20">
        <f>VLOOKUP($B20,'County Data'!$B$11:$L$44,3,FALSE)</f>
        <v>22445</v>
      </c>
      <c r="D20" s="74">
        <f>VLOOKUP($B20,'County Data'!$B$11:$L$44,8,FALSE)</f>
        <v>0.4234</v>
      </c>
      <c r="E20" s="80">
        <f t="shared" si="0"/>
        <v>9503.2129999999997</v>
      </c>
      <c r="F20" s="7">
        <f t="shared" si="1"/>
        <v>5.2807060506377401E-3</v>
      </c>
      <c r="G20" s="18">
        <f t="shared" si="2"/>
        <v>0</v>
      </c>
      <c r="H20" s="12">
        <f t="shared" si="3"/>
        <v>0</v>
      </c>
    </row>
    <row r="21" spans="2:8" x14ac:dyDescent="0.25">
      <c r="B21" s="31" t="str">
        <f>+'County Data'!$B$36</f>
        <v>County 26</v>
      </c>
      <c r="C21" s="20">
        <f>VLOOKUP($B21,'County Data'!$B$11:$L$44,3,FALSE)</f>
        <v>30135</v>
      </c>
      <c r="D21" s="74">
        <f>VLOOKUP($B21,'County Data'!$B$11:$L$44,8,FALSE)</f>
        <v>0.4239</v>
      </c>
      <c r="E21" s="80">
        <f t="shared" si="0"/>
        <v>12774.226500000001</v>
      </c>
      <c r="F21" s="7">
        <f t="shared" si="1"/>
        <v>7.0983292882909142E-3</v>
      </c>
      <c r="G21" s="18">
        <f t="shared" si="2"/>
        <v>0</v>
      </c>
      <c r="H21" s="12">
        <f t="shared" si="3"/>
        <v>0</v>
      </c>
    </row>
    <row r="22" spans="2:8" x14ac:dyDescent="0.25">
      <c r="B22" s="31" t="str">
        <f>+'County Data'!$B$33</f>
        <v>County 23</v>
      </c>
      <c r="C22" s="20">
        <f>VLOOKUP($B22,'County Data'!$B$11:$L$44,3,FALSE)</f>
        <v>329770</v>
      </c>
      <c r="D22" s="74">
        <f>VLOOKUP($B22,'County Data'!$B$11:$L$44,8,FALSE)</f>
        <v>0.42799999999999999</v>
      </c>
      <c r="E22" s="80">
        <f t="shared" si="0"/>
        <v>141141.56</v>
      </c>
      <c r="F22" s="7">
        <f t="shared" si="1"/>
        <v>7.842895764710836E-2</v>
      </c>
      <c r="G22" s="18">
        <f t="shared" si="2"/>
        <v>0</v>
      </c>
      <c r="H22" s="12">
        <f t="shared" si="3"/>
        <v>0</v>
      </c>
    </row>
    <row r="23" spans="2:8" x14ac:dyDescent="0.25">
      <c r="B23" s="31" t="str">
        <f>+'County Data'!$B$42</f>
        <v>County 32</v>
      </c>
      <c r="C23" s="20">
        <f>VLOOKUP($B23,'County Data'!$B$11:$L$44,3,FALSE)</f>
        <v>570510</v>
      </c>
      <c r="D23" s="74">
        <f>VLOOKUP($B23,'County Data'!$B$11:$L$44,8,FALSE)</f>
        <v>0.42809999999999998</v>
      </c>
      <c r="E23" s="80">
        <f t="shared" si="0"/>
        <v>244235.33099999998</v>
      </c>
      <c r="F23" s="7">
        <f t="shared" si="1"/>
        <v>0.13571567744416663</v>
      </c>
      <c r="G23" s="18">
        <f t="shared" si="2"/>
        <v>0</v>
      </c>
      <c r="H23" s="12">
        <f t="shared" si="3"/>
        <v>0</v>
      </c>
    </row>
    <row r="24" spans="2:8" x14ac:dyDescent="0.25">
      <c r="B24" s="31" t="str">
        <f>+'County Data'!$B$30</f>
        <v>County 20</v>
      </c>
      <c r="C24" s="20">
        <f>VLOOKUP($B24,'County Data'!$B$11:$L$44,3,FALSE)</f>
        <v>47225</v>
      </c>
      <c r="D24" s="74">
        <f>VLOOKUP($B24,'County Data'!$B$11:$L$44,8,FALSE)</f>
        <v>0.43269999999999997</v>
      </c>
      <c r="E24" s="80">
        <f t="shared" si="0"/>
        <v>20434.2575</v>
      </c>
      <c r="F24" s="7">
        <f t="shared" si="1"/>
        <v>1.1354823597086545E-2</v>
      </c>
      <c r="G24" s="18">
        <f t="shared" si="2"/>
        <v>0</v>
      </c>
      <c r="H24" s="12">
        <f t="shared" si="3"/>
        <v>0</v>
      </c>
    </row>
    <row r="25" spans="2:8" x14ac:dyDescent="0.25">
      <c r="B25" s="31" t="str">
        <f>+'County Data'!$B$14</f>
        <v>County 4</v>
      </c>
      <c r="C25" s="20">
        <f>VLOOKUP($B25,'County Data'!$B$11:$L$44,3,FALSE)</f>
        <v>37750</v>
      </c>
      <c r="D25" s="74">
        <f>VLOOKUP($B25,'County Data'!$B$11:$L$44,8,FALSE)</f>
        <v>0.43290000000000001</v>
      </c>
      <c r="E25" s="80">
        <f t="shared" si="0"/>
        <v>16341.975</v>
      </c>
      <c r="F25" s="7">
        <f t="shared" si="1"/>
        <v>9.0808410020769489E-3</v>
      </c>
      <c r="G25" s="18">
        <f t="shared" si="2"/>
        <v>0</v>
      </c>
      <c r="H25" s="12">
        <f t="shared" si="3"/>
        <v>0</v>
      </c>
    </row>
    <row r="26" spans="2:8" x14ac:dyDescent="0.25">
      <c r="B26" s="31" t="str">
        <f>+'County Data'!$B$27</f>
        <v>County 17</v>
      </c>
      <c r="C26" s="20">
        <f>VLOOKUP($B26,'County Data'!$B$11:$L$44,3,FALSE)</f>
        <v>67110</v>
      </c>
      <c r="D26" s="74">
        <f>VLOOKUP($B26,'County Data'!$B$11:$L$44,8,FALSE)</f>
        <v>0.436</v>
      </c>
      <c r="E26" s="80">
        <f t="shared" si="0"/>
        <v>29259.96</v>
      </c>
      <c r="F26" s="7">
        <f t="shared" si="1"/>
        <v>1.6259053418398412E-2</v>
      </c>
      <c r="G26" s="18">
        <f t="shared" si="2"/>
        <v>0</v>
      </c>
      <c r="H26" s="12">
        <f t="shared" si="3"/>
        <v>0</v>
      </c>
    </row>
    <row r="27" spans="2:8" x14ac:dyDescent="0.25">
      <c r="B27" s="31" t="str">
        <f>+'County Data'!$B$21</f>
        <v>County 11</v>
      </c>
      <c r="C27" s="20">
        <f>VLOOKUP($B27,'County Data'!$B$11:$L$44,3,FALSE)</f>
        <v>7430</v>
      </c>
      <c r="D27" s="74">
        <f>VLOOKUP($B27,'County Data'!$B$11:$L$44,8,FALSE)</f>
        <v>0.43909999999999999</v>
      </c>
      <c r="E27" s="80">
        <f t="shared" si="0"/>
        <v>3262.5129999999999</v>
      </c>
      <c r="F27" s="7">
        <f t="shared" si="1"/>
        <v>1.8128997150105217E-3</v>
      </c>
      <c r="G27" s="18">
        <f t="shared" si="2"/>
        <v>0</v>
      </c>
      <c r="H27" s="12">
        <f t="shared" si="3"/>
        <v>0</v>
      </c>
    </row>
    <row r="28" spans="2:8" x14ac:dyDescent="0.25">
      <c r="B28" s="31" t="str">
        <f>+'County Data'!$B$13</f>
        <v>County 3</v>
      </c>
      <c r="C28" s="20">
        <f>VLOOKUP($B28,'County Data'!$B$11:$L$44,3,FALSE)</f>
        <v>397385</v>
      </c>
      <c r="D28" s="74">
        <f>VLOOKUP($B28,'County Data'!$B$11:$L$44,8,FALSE)</f>
        <v>0.44109999999999999</v>
      </c>
      <c r="E28" s="80">
        <f t="shared" si="0"/>
        <v>175286.52350000001</v>
      </c>
      <c r="F28" s="7">
        <f t="shared" si="1"/>
        <v>9.740248958343925E-2</v>
      </c>
      <c r="G28" s="18">
        <f t="shared" si="2"/>
        <v>0</v>
      </c>
      <c r="H28" s="12">
        <f t="shared" si="3"/>
        <v>0</v>
      </c>
    </row>
    <row r="29" spans="2:8" x14ac:dyDescent="0.25">
      <c r="B29" s="31" t="str">
        <f>+'County Data'!$B$24</f>
        <v>County 14</v>
      </c>
      <c r="C29" s="20">
        <f>VLOOKUP($B29,'County Data'!$B$11:$L$44,3,FALSE)</f>
        <v>210975</v>
      </c>
      <c r="D29" s="74">
        <f>VLOOKUP($B29,'County Data'!$B$11:$L$44,8,FALSE)</f>
        <v>0.4511</v>
      </c>
      <c r="E29" s="80">
        <f t="shared" si="0"/>
        <v>95170.822499999995</v>
      </c>
      <c r="F29" s="7">
        <f t="shared" si="1"/>
        <v>5.2884128580504335E-2</v>
      </c>
      <c r="G29" s="18">
        <f t="shared" si="2"/>
        <v>0</v>
      </c>
      <c r="H29" s="12">
        <f t="shared" si="3"/>
        <v>0</v>
      </c>
    </row>
    <row r="30" spans="2:8" x14ac:dyDescent="0.25">
      <c r="B30" s="31" t="str">
        <f>'County Data'!$B$43</f>
        <v>County 33</v>
      </c>
      <c r="C30" s="20">
        <f>VLOOKUP($B30,'County Data'!$B$11:$L$44,3,FALSE)</f>
        <v>1445</v>
      </c>
      <c r="D30" s="74">
        <f>VLOOKUP($B30,'County Data'!$B$11:$L$44,8,FALSE)</f>
        <v>0.45600000000000002</v>
      </c>
      <c r="E30" s="80">
        <f t="shared" si="0"/>
        <v>658.92000000000007</v>
      </c>
      <c r="F30" s="7">
        <f t="shared" si="1"/>
        <v>3.6614593726208387E-4</v>
      </c>
      <c r="G30" s="18">
        <f t="shared" si="2"/>
        <v>0</v>
      </c>
      <c r="H30" s="12">
        <f t="shared" si="3"/>
        <v>0</v>
      </c>
    </row>
    <row r="31" spans="2:8" x14ac:dyDescent="0.25">
      <c r="B31" s="31" t="str">
        <f>+'County Data'!$B$11</f>
        <v>County 1</v>
      </c>
      <c r="C31" s="20">
        <f>VLOOKUP($B31,'County Data'!$B$11:$L$44,3,FALSE)</f>
        <v>16425</v>
      </c>
      <c r="D31" s="74">
        <f>VLOOKUP($B31,'County Data'!$B$11:$L$44,8,FALSE)</f>
        <v>0.45739999999999997</v>
      </c>
      <c r="E31" s="80">
        <f t="shared" si="0"/>
        <v>7512.7949999999992</v>
      </c>
      <c r="F31" s="7">
        <f t="shared" si="1"/>
        <v>4.1746788179640882E-3</v>
      </c>
      <c r="G31" s="18">
        <f t="shared" si="2"/>
        <v>0</v>
      </c>
      <c r="H31" s="12">
        <f t="shared" si="3"/>
        <v>0</v>
      </c>
    </row>
    <row r="32" spans="2:8" x14ac:dyDescent="0.25">
      <c r="B32" s="31" t="str">
        <f>+'County Data'!$B$32</f>
        <v>County 22</v>
      </c>
      <c r="C32" s="20">
        <f>VLOOKUP($B32,'County Data'!$B$11:$L$44,3,FALSE)</f>
        <v>31480</v>
      </c>
      <c r="D32" s="74">
        <f>VLOOKUP($B32,'County Data'!$B$11:$L$44,8,FALSE)</f>
        <v>0.46029999999999999</v>
      </c>
      <c r="E32" s="80">
        <f t="shared" si="0"/>
        <v>14490.243999999999</v>
      </c>
      <c r="F32" s="7">
        <f t="shared" si="1"/>
        <v>8.0518787873130066E-3</v>
      </c>
      <c r="G32" s="18">
        <f t="shared" si="2"/>
        <v>0</v>
      </c>
      <c r="H32" s="12">
        <f t="shared" si="3"/>
        <v>0</v>
      </c>
    </row>
    <row r="33" spans="2:8" x14ac:dyDescent="0.25">
      <c r="B33" s="31" t="str">
        <f>+'County Data'!$B$28</f>
        <v>County 18</v>
      </c>
      <c r="C33" s="20">
        <f>VLOOKUP($B33,'County Data'!$B$11:$L$44,3,FALSE)</f>
        <v>8010</v>
      </c>
      <c r="D33" s="74">
        <f>VLOOKUP($B33,'County Data'!$B$11:$L$44,8,FALSE)</f>
        <v>0.4617</v>
      </c>
      <c r="E33" s="80">
        <f t="shared" si="0"/>
        <v>3698.2170000000001</v>
      </c>
      <c r="F33" s="7">
        <f t="shared" si="1"/>
        <v>2.055009909645438E-3</v>
      </c>
      <c r="G33" s="18">
        <f t="shared" si="2"/>
        <v>0</v>
      </c>
      <c r="H33" s="12">
        <f t="shared" si="3"/>
        <v>0</v>
      </c>
    </row>
    <row r="34" spans="2:8" x14ac:dyDescent="0.25">
      <c r="B34" s="31" t="str">
        <f>+'County Data'!$B$19</f>
        <v>County 9</v>
      </c>
      <c r="C34" s="20">
        <f>VLOOKUP($B34,'County Data'!$B$11:$L$44,3,FALSE)</f>
        <v>170740</v>
      </c>
      <c r="D34" s="74">
        <f>VLOOKUP($B34,'County Data'!$B$11:$L$44,8,FALSE)</f>
        <v>0.46510000000000001</v>
      </c>
      <c r="E34" s="80">
        <f t="shared" si="0"/>
        <v>79411.173999999999</v>
      </c>
      <c r="F34" s="7">
        <f t="shared" si="1"/>
        <v>4.4126872356754117E-2</v>
      </c>
      <c r="G34" s="18">
        <f t="shared" si="2"/>
        <v>0</v>
      </c>
      <c r="H34" s="12">
        <f t="shared" si="3"/>
        <v>0</v>
      </c>
    </row>
    <row r="35" spans="2:8" x14ac:dyDescent="0.25">
      <c r="B35" s="31" t="str">
        <f>+'County Data'!$B$16</f>
        <v>County 6</v>
      </c>
      <c r="C35" s="20">
        <f>VLOOKUP($B35,'County Data'!$B$11:$L$44,3,FALSE)</f>
        <v>62990</v>
      </c>
      <c r="D35" s="74">
        <f>VLOOKUP($B35,'County Data'!$B$11:$L$44,8,FALSE)</f>
        <v>0.4662</v>
      </c>
      <c r="E35" s="80">
        <f t="shared" si="0"/>
        <v>29365.938000000002</v>
      </c>
      <c r="F35" s="7">
        <f t="shared" si="1"/>
        <v>1.6317942834623695E-2</v>
      </c>
      <c r="G35" s="18">
        <f t="shared" si="2"/>
        <v>0</v>
      </c>
      <c r="H35" s="12">
        <f t="shared" si="3"/>
        <v>0</v>
      </c>
    </row>
    <row r="36" spans="2:8" x14ac:dyDescent="0.25">
      <c r="B36" s="31" t="str">
        <f>+'County Data'!$B$40</f>
        <v>County 30</v>
      </c>
      <c r="C36" s="20">
        <f>VLOOKUP($B36,'County Data'!$B$11:$L$44,3,FALSE)</f>
        <v>26625</v>
      </c>
      <c r="D36" s="74">
        <f>VLOOKUP($B36,'County Data'!$B$11:$L$44,8,FALSE)</f>
        <v>0.46639999999999998</v>
      </c>
      <c r="E36" s="80">
        <f t="shared" si="0"/>
        <v>12417.9</v>
      </c>
      <c r="F36" s="7">
        <f t="shared" si="1"/>
        <v>6.9003272541838627E-3</v>
      </c>
      <c r="G36" s="18">
        <f t="shared" si="2"/>
        <v>0</v>
      </c>
      <c r="H36" s="12">
        <f t="shared" si="3"/>
        <v>0</v>
      </c>
    </row>
    <row r="37" spans="2:8" x14ac:dyDescent="0.25">
      <c r="B37" s="31" t="str">
        <f>+'County Data'!$B$29</f>
        <v>County 19</v>
      </c>
      <c r="C37" s="20">
        <f>VLOOKUP($B37,'County Data'!$B$11:$L$44,3,FALSE)</f>
        <v>362150</v>
      </c>
      <c r="D37" s="74">
        <f>VLOOKUP($B37,'County Data'!$B$11:$L$44,8,FALSE)</f>
        <v>0.4667</v>
      </c>
      <c r="E37" s="80">
        <f t="shared" si="0"/>
        <v>169015.405</v>
      </c>
      <c r="F37" s="7">
        <f t="shared" si="1"/>
        <v>9.39177804216835E-2</v>
      </c>
      <c r="G37" s="18">
        <f t="shared" si="2"/>
        <v>0</v>
      </c>
      <c r="H37" s="12">
        <f t="shared" si="3"/>
        <v>0</v>
      </c>
    </row>
    <row r="38" spans="2:8" x14ac:dyDescent="0.25">
      <c r="B38" s="31" t="str">
        <f>+'County Data'!$B$26</f>
        <v>County 16</v>
      </c>
      <c r="C38" s="20">
        <f>VLOOKUP($B38,'County Data'!$B$11:$L$44,3,FALSE)</f>
        <v>83720</v>
      </c>
      <c r="D38" s="74">
        <f>VLOOKUP($B38,'County Data'!$B$11:$L$44,8,FALSE)</f>
        <v>0.47549999999999998</v>
      </c>
      <c r="E38" s="80">
        <f t="shared" si="0"/>
        <v>39808.86</v>
      </c>
      <c r="F38" s="7">
        <f t="shared" si="1"/>
        <v>2.2120822491402719E-2</v>
      </c>
      <c r="G38" s="18">
        <f t="shared" si="2"/>
        <v>0</v>
      </c>
      <c r="H38" s="12">
        <f t="shared" si="3"/>
        <v>0</v>
      </c>
    </row>
    <row r="39" spans="2:8" x14ac:dyDescent="0.25">
      <c r="B39" s="31" t="str">
        <f>+'County Data'!$B$35</f>
        <v>County 25</v>
      </c>
      <c r="C39" s="20">
        <f>VLOOKUP($B39,'County Data'!$B$11:$L$44,3,FALSE)</f>
        <v>777490</v>
      </c>
      <c r="D39" s="74">
        <f>VLOOKUP($B39,'County Data'!$B$11:$L$44,8,FALSE)</f>
        <v>0.48349999999999999</v>
      </c>
      <c r="E39" s="80">
        <f t="shared" si="0"/>
        <v>375916.41499999998</v>
      </c>
      <c r="F39" s="7">
        <f t="shared" si="1"/>
        <v>0.20888767695983954</v>
      </c>
      <c r="G39" s="18">
        <f t="shared" si="2"/>
        <v>0</v>
      </c>
      <c r="H39" s="12">
        <f t="shared" si="3"/>
        <v>0</v>
      </c>
    </row>
    <row r="40" spans="2:8" x14ac:dyDescent="0.25">
      <c r="B40" s="31" t="str">
        <f>+'County Data'!$B$12</f>
        <v>County 2</v>
      </c>
      <c r="C40" s="20">
        <f>VLOOKUP($B40,'County Data'!$B$11:$L$44,3,FALSE)</f>
        <v>90005</v>
      </c>
      <c r="D40" s="74">
        <f>VLOOKUP($B40,'County Data'!$B$11:$L$44,8,FALSE)</f>
        <v>0.48480000000000001</v>
      </c>
      <c r="E40" s="80">
        <f t="shared" si="0"/>
        <v>43634.423999999999</v>
      </c>
      <c r="F40" s="7">
        <f t="shared" si="1"/>
        <v>2.4246596054712508E-2</v>
      </c>
      <c r="G40" s="18">
        <f t="shared" si="2"/>
        <v>0</v>
      </c>
      <c r="H40" s="12">
        <f t="shared" si="3"/>
        <v>0</v>
      </c>
    </row>
    <row r="41" spans="2:8" x14ac:dyDescent="0.25">
      <c r="B41" s="5" t="s">
        <v>3</v>
      </c>
      <c r="C41" s="6">
        <f>SUM(C7:C40)</f>
        <v>4013845</v>
      </c>
      <c r="D41" s="6"/>
      <c r="E41" s="6">
        <f>SUM(E7:E40)</f>
        <v>1799610.3000000003</v>
      </c>
      <c r="F41" s="10">
        <f>SUM(F7:F40)</f>
        <v>0.99999999999999989</v>
      </c>
      <c r="G41" s="13">
        <f>SUM(G7:G40)</f>
        <v>0</v>
      </c>
      <c r="H41" s="14">
        <f t="shared" ref="H41" si="4">G41/C41</f>
        <v>0</v>
      </c>
    </row>
  </sheetData>
  <sortState ref="B7:H40">
    <sortCondition ref="D7:D4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https://www.oregon.gov/oha/PH/ABOUT/Documents/phab/FundFormulaModel_May2017.xlsx</Url>
      <Description>PHAB Fund Forumula Model May 2017</Description>
    </URL>
    <PublishingExpirationDate xmlns="http://schemas.microsoft.com/sharepoint/v3" xsi:nil="true"/>
    <PublishingStartDate xmlns="http://schemas.microsoft.com/sharepoint/v3" xsi:nil="true"/>
    <IACategory xmlns="59da1016-2a1b-4f8a-9768-d7a4932f6f16">Public Health</IACategory>
    <IASubtopic xmlns="59da1016-2a1b-4f8a-9768-d7a4932f6f16" xsi:nil="true"/>
    <Meta_x0020_Description xmlns="09207eb7-70e0-4957-a658-5743f843bbb6" xsi:nil="true"/>
    <DocumentExpirationDate xmlns="59da1016-2a1b-4f8a-9768-d7a4932f6f16" xsi:nil="true"/>
    <Meta_x0020_Keywords xmlns="09207eb7-70e0-4957-a658-5743f843bbb6" xsi:nil="true"/>
    <IATopic xmlns="59da1016-2a1b-4f8a-9768-d7a4932f6f16" xsi:nil="true"/>
    <Category xmlns="09207eb7-70e0-4957-a658-5743f843bbb6">
      <Value>phab</Value>
    </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24727F62793E46BB1E5FABCDB5D2E7" ma:contentTypeVersion="23" ma:contentTypeDescription="Create a new document." ma:contentTypeScope="" ma:versionID="195901bad83ce543e71cda8eb000f1d4">
  <xsd:schema xmlns:xsd="http://www.w3.org/2001/XMLSchema" xmlns:xs="http://www.w3.org/2001/XMLSchema" xmlns:p="http://schemas.microsoft.com/office/2006/metadata/properties" xmlns:ns1="http://schemas.microsoft.com/sharepoint/v3" xmlns:ns2="59da1016-2a1b-4f8a-9768-d7a4932f6f16" xmlns:ns3="09207eb7-70e0-4957-a658-5743f843bbb6" targetNamespace="http://schemas.microsoft.com/office/2006/metadata/properties" ma:root="true" ma:fieldsID="c4820f3c511a42a50a72e7a154daca81" ns1:_="" ns2:_="" ns3:_="">
    <xsd:import namespace="http://schemas.microsoft.com/sharepoint/v3"/>
    <xsd:import namespace="59da1016-2a1b-4f8a-9768-d7a4932f6f16"/>
    <xsd:import namespace="09207eb7-70e0-4957-a658-5743f843bbb6"/>
    <xsd:element name="properties">
      <xsd:complexType>
        <xsd:sequence>
          <xsd:element name="documentManagement">
            <xsd:complexType>
              <xsd:all>
                <xsd:element ref="ns2:IACategory" minOccurs="0"/>
                <xsd:element ref="ns2:IATopic" minOccurs="0"/>
                <xsd:element ref="ns2:IASubtopic" minOccurs="0"/>
                <xsd:element ref="ns3:Meta_x0020_Description" minOccurs="0"/>
                <xsd:element ref="ns3:Meta_x0020_Keywords" minOccurs="0"/>
                <xsd:element ref="ns1:PublishingStartDate" minOccurs="0"/>
                <xsd:element ref="ns1:PublishingExpirationDate" minOccurs="0"/>
                <xsd:element ref="ns1:URL" minOccurs="0"/>
                <xsd:element ref="ns2:DocumentExpirationDate" minOccurs="0"/>
                <xsd:element ref="ns2:SharedWithUsers"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1"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2" nillable="true" ma:displayName="Document Expiration Date" ma:format="DateOnly" ma:hidden="true"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207eb7-70e0-4957-a658-5743f843bbb6" elementFormDefault="qualified">
    <xsd:import namespace="http://schemas.microsoft.com/office/2006/documentManagement/types"/>
    <xsd:import namespace="http://schemas.microsoft.com/office/infopath/2007/PartnerControls"/>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Category" ma:index="18" nillable="true" ma:displayName="Area" ma:internalName="Category">
      <xsd:complexType>
        <xsd:complexContent>
          <xsd:extension base="dms:MultiChoice">
            <xsd:sequence>
              <xsd:element name="Value" maxOccurs="unbounded" minOccurs="0" nillable="true">
                <xsd:simpleType>
                  <xsd:restriction base="dms:Choice">
                    <xsd:enumeration value="ADAC"/>
                    <xsd:enumeration value="Community-DM"/>
                    <xsd:enumeration value="Indicators"/>
                    <xsd:enumeration value="phab"/>
                    <xsd:enumeration value="sha"/>
                    <xsd:enumeration value="ship"/>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A27FA1-1A43-40CC-82DB-EEE1C3D1C88E}"/>
</file>

<file path=customXml/itemProps2.xml><?xml version="1.0" encoding="utf-8"?>
<ds:datastoreItem xmlns:ds="http://schemas.openxmlformats.org/officeDocument/2006/customXml" ds:itemID="{8BB0C819-31A8-414C-BE62-78F4F6FD81B5}"/>
</file>

<file path=customXml/itemProps3.xml><?xml version="1.0" encoding="utf-8"?>
<ds:datastoreItem xmlns:ds="http://schemas.openxmlformats.org/officeDocument/2006/customXml" ds:itemID="{4C7BF222-4E23-49CC-9938-30C0DD54B9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Input</vt:lpstr>
      <vt:lpstr>Summary</vt:lpstr>
      <vt:lpstr>County Data</vt:lpstr>
      <vt:lpstr>Population</vt:lpstr>
      <vt:lpstr>Burden</vt:lpstr>
      <vt:lpstr>Health Status</vt:lpstr>
      <vt:lpstr>Ethnicity</vt:lpstr>
      <vt:lpstr>Poverty</vt:lpstr>
      <vt:lpstr>Income Inequality</vt:lpstr>
      <vt:lpstr>Education</vt:lpstr>
      <vt:lpstr>Language</vt:lpstr>
      <vt:lpstr>Matching</vt:lpstr>
      <vt:lpstr>Incentives</vt:lpstr>
      <vt:lpstr>'County Data'!Print_Area</vt:lpstr>
    </vt:vector>
  </TitlesOfParts>
  <Company>Oregon DHS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PHAB Fund Forumula Model May 2017</dc:title>
  <dc:creator>Curtis Christopher J</dc:creator>
  <cp:lastModifiedBy>BEAUDRAULT Sara</cp:lastModifiedBy>
  <cp:lastPrinted>2016-12-13T20:56:48Z</cp:lastPrinted>
  <dcterms:created xsi:type="dcterms:W3CDTF">2016-05-10T19:52:04Z</dcterms:created>
  <dcterms:modified xsi:type="dcterms:W3CDTF">2017-05-11T21:57:08Z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0x010100ED24727F62793E46BB1E5FABCDB5D2E7</vt:lpwstr>
  </property>
  <property fmtid="{D5CDD505-2E9C-101B-9397-08002B2CF9AE}" pid="3" name="WorkflowChangePath">
    <vt:lpwstr>c971328f-5b26-48de-b4fb-1298253f516e,3;</vt:lpwstr>
  </property>
</Properties>
</file>