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dhsoha-my.sharepoint.com/personal/adriane_ceglie_odhsoha_oregon_gov1/Documents/Desktop/Lab/"/>
    </mc:Choice>
  </mc:AlternateContent>
  <xr:revisionPtr revIDLastSave="0" documentId="8_{69332DE4-567E-4FE5-9BD8-68D42F77C5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tching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6" l="1"/>
  <c r="H13" i="6" l="1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11" i="6"/>
  <c r="H12" i="6"/>
  <c r="G10" i="6"/>
  <c r="E44" i="6"/>
  <c r="F44" i="6" s="1"/>
  <c r="E43" i="6"/>
  <c r="F43" i="6" s="1"/>
  <c r="E42" i="6"/>
  <c r="F42" i="6" s="1"/>
  <c r="E41" i="6"/>
  <c r="F41" i="6" s="1"/>
  <c r="E40" i="6"/>
  <c r="F40" i="6" s="1"/>
  <c r="E39" i="6"/>
  <c r="F39" i="6" s="1"/>
  <c r="E38" i="6"/>
  <c r="F38" i="6" s="1"/>
  <c r="E37" i="6"/>
  <c r="F37" i="6" s="1"/>
  <c r="E36" i="6"/>
  <c r="F36" i="6" s="1"/>
  <c r="E35" i="6"/>
  <c r="F35" i="6" s="1"/>
  <c r="E34" i="6"/>
  <c r="F34" i="6" s="1"/>
  <c r="E33" i="6"/>
  <c r="F33" i="6" s="1"/>
  <c r="E32" i="6"/>
  <c r="F32" i="6" s="1"/>
  <c r="E31" i="6"/>
  <c r="F31" i="6" s="1"/>
  <c r="E30" i="6"/>
  <c r="F30" i="6" s="1"/>
  <c r="E29" i="6"/>
  <c r="F29" i="6" s="1"/>
  <c r="E28" i="6"/>
  <c r="F28" i="6" s="1"/>
  <c r="E27" i="6"/>
  <c r="F27" i="6" s="1"/>
  <c r="E26" i="6"/>
  <c r="F26" i="6" s="1"/>
  <c r="E25" i="6"/>
  <c r="F25" i="6" s="1"/>
  <c r="E24" i="6"/>
  <c r="F24" i="6" s="1"/>
  <c r="E23" i="6"/>
  <c r="F23" i="6" s="1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I17" i="6" s="1"/>
  <c r="E16" i="6"/>
  <c r="F16" i="6" s="1"/>
  <c r="E15" i="6"/>
  <c r="F15" i="6" s="1"/>
  <c r="E14" i="6"/>
  <c r="F14" i="6" s="1"/>
  <c r="E13" i="6"/>
  <c r="F13" i="6" s="1"/>
  <c r="E12" i="6"/>
  <c r="F12" i="6" s="1"/>
  <c r="I12" i="6" s="1"/>
  <c r="E11" i="6"/>
  <c r="F11" i="6" s="1"/>
  <c r="D10" i="6"/>
  <c r="C10" i="6"/>
  <c r="B10" i="6"/>
  <c r="I42" i="6" l="1"/>
  <c r="I18" i="6"/>
  <c r="I41" i="6"/>
  <c r="I33" i="6"/>
  <c r="I25" i="6"/>
  <c r="I34" i="6"/>
  <c r="L12" i="6"/>
  <c r="J12" i="6"/>
  <c r="I40" i="6"/>
  <c r="I32" i="6"/>
  <c r="I24" i="6"/>
  <c r="I16" i="6"/>
  <c r="H10" i="6"/>
  <c r="I39" i="6"/>
  <c r="I31" i="6"/>
  <c r="I23" i="6"/>
  <c r="I15" i="6"/>
  <c r="L17" i="6"/>
  <c r="J17" i="6"/>
  <c r="I26" i="6"/>
  <c r="I30" i="6"/>
  <c r="I14" i="6"/>
  <c r="I37" i="6"/>
  <c r="I13" i="6"/>
  <c r="I44" i="6"/>
  <c r="I36" i="6"/>
  <c r="I28" i="6"/>
  <c r="I20" i="6"/>
  <c r="E10" i="6"/>
  <c r="F10" i="6" s="1"/>
  <c r="I10" i="6" s="1"/>
  <c r="I38" i="6"/>
  <c r="I22" i="6"/>
  <c r="I11" i="6"/>
  <c r="J11" i="6" s="1"/>
  <c r="I29" i="6"/>
  <c r="I21" i="6"/>
  <c r="I43" i="6"/>
  <c r="I35" i="6"/>
  <c r="I27" i="6"/>
  <c r="I19" i="6"/>
  <c r="F45" i="6"/>
  <c r="L31" i="6" l="1"/>
  <c r="J31" i="6"/>
  <c r="L38" i="6"/>
  <c r="J38" i="6"/>
  <c r="L25" i="6"/>
  <c r="J25" i="6"/>
  <c r="L11" i="6"/>
  <c r="L37" i="6"/>
  <c r="J37" i="6"/>
  <c r="L14" i="6"/>
  <c r="J14" i="6"/>
  <c r="L34" i="6"/>
  <c r="J34" i="6"/>
  <c r="L35" i="6"/>
  <c r="J35" i="6"/>
  <c r="L16" i="6"/>
  <c r="J16" i="6"/>
  <c r="L33" i="6"/>
  <c r="J33" i="6"/>
  <c r="L28" i="6"/>
  <c r="J28" i="6"/>
  <c r="L41" i="6"/>
  <c r="J41" i="6"/>
  <c r="L20" i="6"/>
  <c r="J20" i="6"/>
  <c r="L43" i="6"/>
  <c r="J43" i="6"/>
  <c r="L24" i="6"/>
  <c r="J24" i="6"/>
  <c r="L36" i="6"/>
  <c r="J36" i="6"/>
  <c r="L32" i="6"/>
  <c r="J32" i="6"/>
  <c r="L18" i="6"/>
  <c r="J18" i="6"/>
  <c r="L13" i="6"/>
  <c r="J13" i="6"/>
  <c r="L23" i="6"/>
  <c r="J23" i="6"/>
  <c r="L22" i="6"/>
  <c r="J22" i="6"/>
  <c r="L19" i="6"/>
  <c r="J19" i="6"/>
  <c r="L39" i="6"/>
  <c r="J39" i="6"/>
  <c r="L27" i="6"/>
  <c r="J27" i="6"/>
  <c r="L30" i="6"/>
  <c r="J30" i="6"/>
  <c r="L26" i="6"/>
  <c r="J26" i="6"/>
  <c r="L21" i="6"/>
  <c r="J21" i="6"/>
  <c r="L29" i="6"/>
  <c r="J29" i="6"/>
  <c r="L15" i="6"/>
  <c r="J15" i="6"/>
  <c r="L40" i="6"/>
  <c r="J40" i="6"/>
  <c r="L42" i="6"/>
  <c r="J42" i="6"/>
  <c r="L44" i="6"/>
  <c r="J44" i="6"/>
  <c r="J10" i="6" s="1"/>
  <c r="L10" i="6"/>
  <c r="M8" i="6" s="1"/>
  <c r="K10" i="6" l="1"/>
  <c r="K11" i="6"/>
  <c r="M11" i="6" s="1"/>
  <c r="K29" i="6"/>
  <c r="K22" i="6"/>
  <c r="K32" i="6"/>
  <c r="K20" i="6"/>
  <c r="K25" i="6"/>
  <c r="K14" i="6"/>
  <c r="K35" i="6"/>
  <c r="K26" i="6"/>
  <c r="K44" i="6"/>
  <c r="K39" i="6"/>
  <c r="K37" i="6"/>
  <c r="K17" i="6"/>
  <c r="K16" i="6"/>
  <c r="K34" i="6"/>
  <c r="K30" i="6"/>
  <c r="K15" i="6"/>
  <c r="K41" i="6"/>
  <c r="K19" i="6"/>
  <c r="K38" i="6"/>
  <c r="M38" i="6" s="1"/>
  <c r="N38" i="6" s="1"/>
  <c r="K23" i="6"/>
  <c r="K43" i="6"/>
  <c r="K40" i="6"/>
  <c r="K24" i="6"/>
  <c r="K12" i="6"/>
  <c r="K31" i="6"/>
  <c r="M31" i="6" s="1"/>
  <c r="N31" i="6" s="1"/>
  <c r="K21" i="6"/>
  <c r="K28" i="6"/>
  <c r="K36" i="6"/>
  <c r="K42" i="6"/>
  <c r="M42" i="6" s="1"/>
  <c r="N42" i="6" s="1"/>
  <c r="K27" i="6"/>
  <c r="K13" i="6"/>
  <c r="K18" i="6"/>
  <c r="M18" i="6" s="1"/>
  <c r="N18" i="6" s="1"/>
  <c r="K33" i="6"/>
  <c r="M34" i="6" l="1"/>
  <c r="N34" i="6" s="1"/>
  <c r="O34" i="6" s="1"/>
  <c r="M23" i="6"/>
  <c r="N23" i="6" s="1"/>
  <c r="O23" i="6" s="1"/>
  <c r="M40" i="6"/>
  <c r="N40" i="6" s="1"/>
  <c r="O40" i="6" s="1"/>
  <c r="M16" i="6"/>
  <c r="N16" i="6" s="1"/>
  <c r="O16" i="6" s="1"/>
  <c r="M36" i="6"/>
  <c r="N36" i="6" s="1"/>
  <c r="O36" i="6" s="1"/>
  <c r="M20" i="6"/>
  <c r="N20" i="6" s="1"/>
  <c r="O20" i="6" s="1"/>
  <c r="M28" i="6"/>
  <c r="N28" i="6" s="1"/>
  <c r="O28" i="6" s="1"/>
  <c r="M32" i="6"/>
  <c r="N32" i="6" s="1"/>
  <c r="M21" i="6"/>
  <c r="N21" i="6" s="1"/>
  <c r="O21" i="6" s="1"/>
  <c r="M39" i="6"/>
  <c r="N39" i="6" s="1"/>
  <c r="O39" i="6" s="1"/>
  <c r="M41" i="6"/>
  <c r="N41" i="6" s="1"/>
  <c r="O41" i="6" s="1"/>
  <c r="M29" i="6"/>
  <c r="N29" i="6" s="1"/>
  <c r="O29" i="6" s="1"/>
  <c r="M12" i="6"/>
  <c r="N12" i="6" s="1"/>
  <c r="O12" i="6" s="1"/>
  <c r="M15" i="6"/>
  <c r="N15" i="6" s="1"/>
  <c r="O15" i="6" s="1"/>
  <c r="M26" i="6"/>
  <c r="N26" i="6" s="1"/>
  <c r="O26" i="6" s="1"/>
  <c r="M27" i="6"/>
  <c r="N27" i="6" s="1"/>
  <c r="O27" i="6" s="1"/>
  <c r="M14" i="6"/>
  <c r="N14" i="6" s="1"/>
  <c r="O14" i="6" s="1"/>
  <c r="M43" i="6"/>
  <c r="N43" i="6" s="1"/>
  <c r="O43" i="6" s="1"/>
  <c r="M25" i="6"/>
  <c r="N25" i="6" s="1"/>
  <c r="O25" i="6" s="1"/>
  <c r="M17" i="6"/>
  <c r="N17" i="6" s="1"/>
  <c r="O17" i="6" s="1"/>
  <c r="M37" i="6"/>
  <c r="N37" i="6" s="1"/>
  <c r="O37" i="6" s="1"/>
  <c r="M19" i="6"/>
  <c r="N19" i="6" s="1"/>
  <c r="O19" i="6" s="1"/>
  <c r="M22" i="6"/>
  <c r="N22" i="6" s="1"/>
  <c r="O22" i="6" s="1"/>
  <c r="M33" i="6"/>
  <c r="N33" i="6" s="1"/>
  <c r="O33" i="6" s="1"/>
  <c r="M44" i="6"/>
  <c r="N44" i="6" s="1"/>
  <c r="O44" i="6" s="1"/>
  <c r="M13" i="6"/>
  <c r="N13" i="6" s="1"/>
  <c r="O13" i="6" s="1"/>
  <c r="M24" i="6"/>
  <c r="N24" i="6" s="1"/>
  <c r="O24" i="6" s="1"/>
  <c r="M30" i="6"/>
  <c r="N30" i="6" s="1"/>
  <c r="O30" i="6" s="1"/>
  <c r="M35" i="6"/>
  <c r="N35" i="6" s="1"/>
  <c r="O35" i="6" s="1"/>
  <c r="N11" i="6"/>
  <c r="O38" i="6"/>
  <c r="O42" i="6"/>
  <c r="O31" i="6"/>
  <c r="O18" i="6"/>
  <c r="P37" i="6" l="1"/>
  <c r="P44" i="6"/>
  <c r="P41" i="6"/>
  <c r="O32" i="6"/>
  <c r="N10" i="6"/>
  <c r="O10" i="6" s="1"/>
  <c r="P30" i="6"/>
  <c r="M10" i="6"/>
  <c r="P17" i="6"/>
  <c r="O11" i="6"/>
</calcChain>
</file>

<file path=xl/sharedStrings.xml><?xml version="1.0" encoding="utf-8"?>
<sst xmlns="http://schemas.openxmlformats.org/spreadsheetml/2006/main" count="66" uniqueCount="66">
  <si>
    <t>County</t>
  </si>
  <si>
    <t>County GF</t>
  </si>
  <si>
    <t>In Kind</t>
  </si>
  <si>
    <t>Oregon</t>
  </si>
  <si>
    <t>Weight %</t>
  </si>
  <si>
    <t>Distribution</t>
  </si>
  <si>
    <t>Dist.
 Per Cap</t>
  </si>
  <si>
    <t>Weight</t>
  </si>
  <si>
    <t>Wheeler</t>
  </si>
  <si>
    <t>Wallowa</t>
  </si>
  <si>
    <t>Harney</t>
  </si>
  <si>
    <t>Grant</t>
  </si>
  <si>
    <t>Lake</t>
  </si>
  <si>
    <t>Morrow</t>
  </si>
  <si>
    <t>Baker</t>
  </si>
  <si>
    <t>Crook</t>
  </si>
  <si>
    <t>Curry</t>
  </si>
  <si>
    <t>Jefferson</t>
  </si>
  <si>
    <t>Hood River</t>
  </si>
  <si>
    <t>Tillamook</t>
  </si>
  <si>
    <t>Union</t>
  </si>
  <si>
    <t>North Central</t>
  </si>
  <si>
    <t>Malheur</t>
  </si>
  <si>
    <t>Clatsop</t>
  </si>
  <si>
    <t>Lincoln</t>
  </si>
  <si>
    <t>Columbia</t>
  </si>
  <si>
    <t>Coos</t>
  </si>
  <si>
    <t>Klamath</t>
  </si>
  <si>
    <t>Umatilla</t>
  </si>
  <si>
    <t>Polk</t>
  </si>
  <si>
    <t>Josephine</t>
  </si>
  <si>
    <t>Benton</t>
  </si>
  <si>
    <t>Yamhill</t>
  </si>
  <si>
    <t>Douglas</t>
  </si>
  <si>
    <t>Linn</t>
  </si>
  <si>
    <t>Deschutes</t>
  </si>
  <si>
    <t>Jackson</t>
  </si>
  <si>
    <t>Marion</t>
  </si>
  <si>
    <t>Lane</t>
  </si>
  <si>
    <t>Clackamas</t>
  </si>
  <si>
    <t>Washington</t>
  </si>
  <si>
    <t>Multnomah</t>
  </si>
  <si>
    <t>Increase Funding
Per Capita</t>
  </si>
  <si>
    <t>Floor</t>
  </si>
  <si>
    <t>Per Cap</t>
  </si>
  <si>
    <t>Public Health Advisory Board</t>
  </si>
  <si>
    <t>March, 2018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</si>
  <si>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Source: Portland State University Certified Population estimate July 1, 2017</t>
    </r>
  </si>
  <si>
    <t>County Size Bands</t>
  </si>
  <si>
    <t>Extra Small</t>
  </si>
  <si>
    <t>Small</t>
  </si>
  <si>
    <t>Medium</t>
  </si>
  <si>
    <t>Large</t>
  </si>
  <si>
    <t>Extra Large</t>
  </si>
  <si>
    <t>Avg Award Per Capita</t>
  </si>
  <si>
    <r>
      <t>Population</t>
    </r>
    <r>
      <rPr>
        <vertAlign val="superscript"/>
        <sz val="11"/>
        <color theme="1"/>
        <rFont val="Calibri"/>
        <family val="2"/>
      </rPr>
      <t>1</t>
    </r>
  </si>
  <si>
    <r>
      <t xml:space="preserve"> Previous County Funding</t>
    </r>
    <r>
      <rPr>
        <vertAlign val="superscript"/>
        <sz val="11"/>
        <color theme="1"/>
        <rFont val="Calibri"/>
        <family val="2"/>
      </rPr>
      <t>2</t>
    </r>
  </si>
  <si>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Source: Fiscal Year 17 LPHA Expenditures Reporting</t>
    </r>
  </si>
  <si>
    <r>
      <t>New County Funding</t>
    </r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</t>
    </r>
  </si>
  <si>
    <r>
      <t>Previous Funding Per Capita</t>
    </r>
    <r>
      <rPr>
        <vertAlign val="superscript"/>
        <sz val="11"/>
        <color theme="1"/>
        <rFont val="Calibri"/>
        <family val="2"/>
      </rPr>
      <t>2</t>
    </r>
  </si>
  <si>
    <r>
      <t>New County Funding
Per Capita</t>
    </r>
    <r>
      <rPr>
        <vertAlign val="superscript"/>
        <sz val="11"/>
        <color theme="1"/>
        <rFont val="Calibri"/>
        <family val="2"/>
      </rPr>
      <t>3</t>
    </r>
  </si>
  <si>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"New County Funding" figures are fabricated and are included for the purpose of showing the functionality of this matching fund model </t>
    </r>
  </si>
  <si>
    <t>State Matching Funds Pool</t>
  </si>
  <si>
    <t>State Matching Funds Floor</t>
  </si>
  <si>
    <t xml:space="preserve">Public health modernization funding formula: state matching funds </t>
  </si>
  <si>
    <t>State Matching Funds: Payment is based off of comparative increased County Funding Per Capita with largest distribution per capita paid to counties with highest increase in County Investment Per Capita from a previous stated period. "New County Funding" figures are fabricated to show model functionality and should not be seen as true numbers.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</si>
</sst>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center" vertical="center" wrapText="1"/>
    </xf>
    <xf numFmtId="44" fontId="1" fillId="0" borderId="0" xfId="2" applyFont="1" applyFill="1" applyBorder="1"/>
    <xf numFmtId="165" fontId="0" fillId="3" borderId="0" xfId="0" applyNumberFormat="1" applyFill="1" applyBorder="1"/>
    <xf numFmtId="166" fontId="0" fillId="3" borderId="0" xfId="3" applyNumberFormat="1" applyFont="1" applyFill="1" applyBorder="1"/>
    <xf numFmtId="0" fontId="0" fillId="0" borderId="0" xfId="0" applyBorder="1"/>
    <xf numFmtId="165" fontId="0" fillId="0" borderId="0" xfId="0" applyNumberFormat="1" applyBorder="1"/>
    <xf numFmtId="166" fontId="1" fillId="0" borderId="0" xfId="3" applyNumberFormat="1" applyFont="1" applyFill="1" applyBorder="1"/>
    <xf numFmtId="43" fontId="0" fillId="0" borderId="0" xfId="1" applyFont="1"/>
    <xf numFmtId="0" fontId="0" fillId="0" borderId="0" xfId="0" applyAlignment="1">
      <alignment wrapText="1"/>
    </xf>
    <xf numFmtId="44" fontId="0" fillId="0" borderId="0" xfId="0" applyNumberFormat="1"/>
    <xf numFmtId="0" fontId="6" fillId="0" borderId="0" xfId="0" applyFont="1"/>
    <xf numFmtId="0" fontId="2" fillId="0" borderId="0" xfId="0" applyFont="1" applyBorder="1" applyAlignment="1">
      <alignment horizontal="center" vertical="center" wrapText="1"/>
    </xf>
    <xf numFmtId="0" fontId="3" fillId="2" borderId="0" xfId="0" applyFont="1" applyFill="1" applyBorder="1"/>
    <xf numFmtId="165" fontId="3" fillId="2" borderId="0" xfId="1" applyNumberFormat="1" applyFont="1" applyFill="1" applyBorder="1"/>
    <xf numFmtId="164" fontId="3" fillId="2" borderId="0" xfId="2" applyNumberFormat="1" applyFont="1" applyFill="1" applyBorder="1"/>
    <xf numFmtId="44" fontId="3" fillId="2" borderId="0" xfId="2" applyFont="1" applyFill="1" applyBorder="1"/>
    <xf numFmtId="166" fontId="3" fillId="2" borderId="0" xfId="3" applyNumberFormat="1" applyFont="1" applyFill="1" applyBorder="1"/>
    <xf numFmtId="0" fontId="0" fillId="4" borderId="0" xfId="0" applyFill="1" applyBorder="1"/>
    <xf numFmtId="165" fontId="0" fillId="0" borderId="0" xfId="1" applyNumberFormat="1" applyFont="1" applyBorder="1"/>
    <xf numFmtId="0" fontId="0" fillId="3" borderId="0" xfId="0" applyFill="1" applyBorder="1"/>
    <xf numFmtId="0" fontId="0" fillId="5" borderId="0" xfId="0" applyFill="1" applyBorder="1"/>
    <xf numFmtId="0" fontId="0" fillId="2" borderId="0" xfId="0" applyFill="1" applyBorder="1"/>
    <xf numFmtId="0" fontId="0" fillId="6" borderId="0" xfId="0" applyFill="1" applyBorder="1"/>
    <xf numFmtId="0" fontId="2" fillId="8" borderId="0" xfId="0" applyFont="1" applyFill="1" applyBorder="1" applyAlignment="1">
      <alignment horizontal="center" vertical="center" wrapText="1"/>
    </xf>
    <xf numFmtId="165" fontId="1" fillId="3" borderId="0" xfId="1" applyNumberFormat="1" applyFont="1" applyFill="1" applyBorder="1"/>
    <xf numFmtId="164" fontId="1" fillId="3" borderId="0" xfId="2" applyNumberFormat="1" applyFont="1" applyFill="1" applyBorder="1"/>
    <xf numFmtId="44" fontId="1" fillId="3" borderId="0" xfId="2" applyFont="1" applyFill="1" applyBorder="1"/>
    <xf numFmtId="164" fontId="0" fillId="3" borderId="0" xfId="2" applyNumberFormat="1" applyFont="1" applyFill="1" applyBorder="1"/>
    <xf numFmtId="165" fontId="1" fillId="4" borderId="0" xfId="1" applyNumberFormat="1" applyFont="1" applyFill="1" applyBorder="1"/>
    <xf numFmtId="164" fontId="1" fillId="4" borderId="0" xfId="2" applyNumberFormat="1" applyFont="1" applyFill="1" applyBorder="1"/>
    <xf numFmtId="44" fontId="1" fillId="4" borderId="0" xfId="2" applyFont="1" applyFill="1" applyBorder="1"/>
    <xf numFmtId="165" fontId="0" fillId="4" borderId="0" xfId="0" applyNumberFormat="1" applyFill="1" applyBorder="1"/>
    <xf numFmtId="166" fontId="0" fillId="4" borderId="0" xfId="3" applyNumberFormat="1" applyFont="1" applyFill="1" applyBorder="1"/>
    <xf numFmtId="164" fontId="0" fillId="4" borderId="0" xfId="2" applyNumberFormat="1" applyFont="1" applyFill="1" applyBorder="1"/>
    <xf numFmtId="165" fontId="1" fillId="5" borderId="0" xfId="1" applyNumberFormat="1" applyFont="1" applyFill="1" applyBorder="1"/>
    <xf numFmtId="164" fontId="1" fillId="5" borderId="0" xfId="2" applyNumberFormat="1" applyFont="1" applyFill="1" applyBorder="1"/>
    <xf numFmtId="44" fontId="1" fillId="5" borderId="0" xfId="2" applyFont="1" applyFill="1" applyBorder="1"/>
    <xf numFmtId="165" fontId="0" fillId="5" borderId="0" xfId="0" applyNumberFormat="1" applyFill="1" applyBorder="1"/>
    <xf numFmtId="166" fontId="0" fillId="5" borderId="0" xfId="3" applyNumberFormat="1" applyFont="1" applyFill="1" applyBorder="1"/>
    <xf numFmtId="164" fontId="0" fillId="5" borderId="0" xfId="2" applyNumberFormat="1" applyFont="1" applyFill="1" applyBorder="1"/>
    <xf numFmtId="165" fontId="1" fillId="2" borderId="0" xfId="1" applyNumberFormat="1" applyFont="1" applyFill="1" applyBorder="1"/>
    <xf numFmtId="164" fontId="1" fillId="2" borderId="0" xfId="2" applyNumberFormat="1" applyFont="1" applyFill="1" applyBorder="1"/>
    <xf numFmtId="44" fontId="1" fillId="2" borderId="0" xfId="2" applyFont="1" applyFill="1" applyBorder="1"/>
    <xf numFmtId="165" fontId="0" fillId="2" borderId="0" xfId="0" applyNumberFormat="1" applyFill="1" applyBorder="1"/>
    <xf numFmtId="166" fontId="0" fillId="2" borderId="0" xfId="3" applyNumberFormat="1" applyFont="1" applyFill="1" applyBorder="1"/>
    <xf numFmtId="164" fontId="0" fillId="2" borderId="0" xfId="2" applyNumberFormat="1" applyFont="1" applyFill="1" applyBorder="1"/>
    <xf numFmtId="165" fontId="1" fillId="6" borderId="0" xfId="1" applyNumberFormat="1" applyFont="1" applyFill="1" applyBorder="1"/>
    <xf numFmtId="164" fontId="1" fillId="6" borderId="0" xfId="2" applyNumberFormat="1" applyFont="1" applyFill="1" applyBorder="1"/>
    <xf numFmtId="44" fontId="1" fillId="6" borderId="0" xfId="2" applyFont="1" applyFill="1" applyBorder="1"/>
    <xf numFmtId="165" fontId="0" fillId="6" borderId="0" xfId="0" applyNumberFormat="1" applyFill="1" applyBorder="1"/>
    <xf numFmtId="166" fontId="0" fillId="6" borderId="0" xfId="3" applyNumberFormat="1" applyFont="1" applyFill="1" applyBorder="1"/>
    <xf numFmtId="164" fontId="0" fillId="6" borderId="0" xfId="2" applyNumberFormat="1" applyFont="1" applyFill="1" applyBorder="1"/>
    <xf numFmtId="0" fontId="4" fillId="8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8" borderId="0" xfId="0" applyFont="1" applyFill="1" applyBorder="1" applyAlignment="1">
      <alignment horizontal="center" vertical="center" wrapText="1"/>
    </xf>
    <xf numFmtId="164" fontId="8" fillId="2" borderId="0" xfId="2" applyNumberFormat="1" applyFont="1" applyFill="1" applyBorder="1"/>
    <xf numFmtId="44" fontId="8" fillId="2" borderId="0" xfId="2" applyFont="1" applyFill="1" applyBorder="1"/>
    <xf numFmtId="0" fontId="2" fillId="0" borderId="0" xfId="0" applyFont="1" applyBorder="1"/>
    <xf numFmtId="164" fontId="2" fillId="4" borderId="0" xfId="2" applyNumberFormat="1" applyFont="1" applyFill="1" applyBorder="1"/>
    <xf numFmtId="44" fontId="2" fillId="4" borderId="0" xfId="2" applyFont="1" applyFill="1" applyBorder="1"/>
    <xf numFmtId="43" fontId="2" fillId="4" borderId="0" xfId="1" applyFont="1" applyFill="1" applyBorder="1"/>
    <xf numFmtId="164" fontId="2" fillId="3" borderId="0" xfId="2" applyNumberFormat="1" applyFont="1" applyFill="1" applyBorder="1"/>
    <xf numFmtId="44" fontId="2" fillId="3" borderId="0" xfId="2" applyFont="1" applyFill="1" applyBorder="1"/>
    <xf numFmtId="43" fontId="2" fillId="3" borderId="0" xfId="1" applyFont="1" applyFill="1" applyBorder="1"/>
    <xf numFmtId="164" fontId="2" fillId="5" borderId="0" xfId="2" applyNumberFormat="1" applyFont="1" applyFill="1" applyBorder="1"/>
    <xf numFmtId="44" fontId="2" fillId="5" borderId="0" xfId="2" applyFont="1" applyFill="1" applyBorder="1"/>
    <xf numFmtId="43" fontId="2" fillId="5" borderId="0" xfId="1" applyFont="1" applyFill="1" applyBorder="1"/>
    <xf numFmtId="164" fontId="2" fillId="2" borderId="0" xfId="2" applyNumberFormat="1" applyFont="1" applyFill="1" applyBorder="1"/>
    <xf numFmtId="44" fontId="2" fillId="2" borderId="0" xfId="2" applyFont="1" applyFill="1" applyBorder="1"/>
    <xf numFmtId="43" fontId="2" fillId="2" borderId="0" xfId="1" applyFont="1" applyFill="1" applyBorder="1"/>
    <xf numFmtId="164" fontId="2" fillId="6" borderId="0" xfId="2" applyNumberFormat="1" applyFont="1" applyFill="1" applyBorder="1"/>
    <xf numFmtId="44" fontId="2" fillId="6" borderId="0" xfId="2" applyFont="1" applyFill="1" applyBorder="1"/>
    <xf numFmtId="43" fontId="2" fillId="6" borderId="0" xfId="1" applyFont="1" applyFill="1" applyBorder="1"/>
    <xf numFmtId="166" fontId="8" fillId="2" borderId="0" xfId="3" applyNumberFormat="1" applyFont="1" applyFill="1" applyBorder="1"/>
    <xf numFmtId="166" fontId="2" fillId="4" borderId="0" xfId="3" applyNumberFormat="1" applyFont="1" applyFill="1" applyBorder="1"/>
    <xf numFmtId="166" fontId="2" fillId="3" borderId="0" xfId="3" applyNumberFormat="1" applyFont="1" applyFill="1" applyBorder="1"/>
    <xf numFmtId="166" fontId="2" fillId="5" borderId="0" xfId="3" applyNumberFormat="1" applyFont="1" applyFill="1" applyBorder="1"/>
    <xf numFmtId="166" fontId="2" fillId="2" borderId="0" xfId="3" applyNumberFormat="1" applyFont="1" applyFill="1" applyBorder="1"/>
    <xf numFmtId="166" fontId="2" fillId="6" borderId="0" xfId="3" applyNumberFormat="1" applyFont="1" applyFill="1" applyBorder="1"/>
    <xf numFmtId="0" fontId="0" fillId="0" borderId="0" xfId="0" applyFill="1" applyBorder="1"/>
    <xf numFmtId="0" fontId="0" fillId="4" borderId="4" xfId="0" applyFill="1" applyBorder="1" applyAlignment="1">
      <alignment horizontal="center"/>
    </xf>
    <xf numFmtId="9" fontId="0" fillId="3" borderId="5" xfId="3" applyFont="1" applyFill="1" applyBorder="1" applyAlignment="1">
      <alignment horizontal="center"/>
    </xf>
    <xf numFmtId="9" fontId="0" fillId="5" borderId="5" xfId="3" applyFont="1" applyFill="1" applyBorder="1" applyAlignment="1">
      <alignment horizontal="center"/>
    </xf>
    <xf numFmtId="9" fontId="0" fillId="2" borderId="5" xfId="3" applyFont="1" applyFill="1" applyBorder="1" applyAlignment="1">
      <alignment horizontal="center"/>
    </xf>
    <xf numFmtId="9" fontId="0" fillId="6" borderId="6" xfId="3" applyFont="1" applyFill="1" applyBorder="1" applyAlignment="1">
      <alignment horizontal="center"/>
    </xf>
    <xf numFmtId="164" fontId="0" fillId="0" borderId="0" xfId="2" applyNumberFormat="1" applyFont="1" applyFill="1" applyBorder="1"/>
    <xf numFmtId="164" fontId="3" fillId="4" borderId="0" xfId="2" applyNumberFormat="1" applyFont="1" applyFill="1" applyBorder="1"/>
    <xf numFmtId="164" fontId="3" fillId="3" borderId="0" xfId="2" applyNumberFormat="1" applyFont="1" applyFill="1" applyBorder="1"/>
    <xf numFmtId="164" fontId="3" fillId="5" borderId="0" xfId="2" applyNumberFormat="1" applyFont="1" applyFill="1" applyBorder="1"/>
    <xf numFmtId="164" fontId="3" fillId="6" borderId="0" xfId="2" applyNumberFormat="1" applyFont="1" applyFill="1" applyBorder="1"/>
    <xf numFmtId="17" fontId="5" fillId="0" borderId="0" xfId="0" applyNumberFormat="1" applyFont="1"/>
    <xf numFmtId="164" fontId="0" fillId="7" borderId="0" xfId="2" applyNumberFormat="1" applyFont="1" applyFill="1" applyAlignment="1">
      <alignment horizontal="center" vertic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18</xdr:row>
      <xdr:rowOff>0</xdr:rowOff>
    </xdr:from>
    <xdr:ext cx="7414486" cy="3849387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20395701">
          <a:off x="2609850" y="3048000"/>
          <a:ext cx="7414486" cy="384938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2000" b="0" cap="none" spc="0">
              <a:ln w="0"/>
              <a:solidFill>
                <a:schemeClr val="bg1">
                  <a:lumMod val="65000"/>
                  <a:alpha val="39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example only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8"/>
  <sheetViews>
    <sheetView showGridLines="0" tabSelected="1" workbookViewId="0"/>
  </sheetViews>
  <sheetFormatPr defaultRowHeight="15" x14ac:dyDescent="0.25"/>
  <cols>
    <col min="1" max="1" width="16.140625" customWidth="1"/>
    <col min="2" max="2" width="11.5703125" bestFit="1" customWidth="1"/>
    <col min="3" max="3" width="13.140625" hidden="1" customWidth="1"/>
    <col min="4" max="4" width="10.5703125" hidden="1" customWidth="1"/>
    <col min="5" max="5" width="13.140625" bestFit="1" customWidth="1"/>
    <col min="6" max="6" width="10" bestFit="1" customWidth="1"/>
    <col min="7" max="7" width="14.28515625" customWidth="1"/>
    <col min="8" max="8" width="11.85546875" bestFit="1" customWidth="1"/>
    <col min="9" max="9" width="15.140625" bestFit="1" customWidth="1"/>
    <col min="10" max="10" width="11.140625" customWidth="1"/>
    <col min="11" max="12" width="9.140625" customWidth="1"/>
    <col min="13" max="13" width="10.7109375" bestFit="1" customWidth="1"/>
    <col min="14" max="14" width="14.28515625" bestFit="1" customWidth="1"/>
    <col min="16" max="16" width="10.28515625" customWidth="1"/>
    <col min="17" max="17" width="11.5703125" bestFit="1" customWidth="1"/>
    <col min="18" max="18" width="15.28515625" bestFit="1" customWidth="1"/>
  </cols>
  <sheetData>
    <row r="1" spans="1:17" ht="18.75" x14ac:dyDescent="0.3">
      <c r="A1" s="11" t="s">
        <v>45</v>
      </c>
    </row>
    <row r="2" spans="1:17" ht="18.75" x14ac:dyDescent="0.3">
      <c r="A2" s="11" t="s">
        <v>64</v>
      </c>
    </row>
    <row r="3" spans="1:17" ht="15.75" x14ac:dyDescent="0.25">
      <c r="A3" s="91" t="s">
        <v>46</v>
      </c>
    </row>
    <row r="5" spans="1:17" ht="30" customHeight="1" x14ac:dyDescent="0.25">
      <c r="A5" s="54" t="s">
        <v>62</v>
      </c>
      <c r="B5" s="92">
        <v>1000000</v>
      </c>
      <c r="F5" s="93" t="s">
        <v>65</v>
      </c>
      <c r="G5" s="94"/>
      <c r="H5" s="94"/>
      <c r="I5" s="94"/>
      <c r="J5" s="94"/>
      <c r="K5" s="94"/>
      <c r="L5" s="94"/>
      <c r="M5" s="94"/>
      <c r="N5" s="94"/>
      <c r="O5" s="94"/>
      <c r="P5" s="94"/>
      <c r="Q5" s="9"/>
    </row>
    <row r="6" spans="1:17" ht="30" x14ac:dyDescent="0.25">
      <c r="A6" s="54" t="s">
        <v>63</v>
      </c>
      <c r="B6" s="92">
        <f>B5*0.25%</f>
        <v>2500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"/>
    </row>
    <row r="7" spans="1:17" x14ac:dyDescent="0.25"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1:17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86">
        <f>$B$5-L10</f>
        <v>937500</v>
      </c>
      <c r="N8" s="5"/>
      <c r="O8" s="5"/>
      <c r="P8" s="5"/>
      <c r="Q8" s="5"/>
    </row>
    <row r="9" spans="1:17" s="1" customFormat="1" ht="62.25" x14ac:dyDescent="0.25">
      <c r="A9" s="55" t="s">
        <v>0</v>
      </c>
      <c r="B9" s="55" t="s">
        <v>55</v>
      </c>
      <c r="C9" s="55" t="s">
        <v>1</v>
      </c>
      <c r="D9" s="55" t="s">
        <v>2</v>
      </c>
      <c r="E9" s="55" t="s">
        <v>56</v>
      </c>
      <c r="F9" s="55" t="s">
        <v>59</v>
      </c>
      <c r="G9" s="55" t="s">
        <v>58</v>
      </c>
      <c r="H9" s="55" t="s">
        <v>60</v>
      </c>
      <c r="I9" s="24" t="s">
        <v>42</v>
      </c>
      <c r="J9" s="55" t="s">
        <v>7</v>
      </c>
      <c r="K9" s="55" t="s">
        <v>4</v>
      </c>
      <c r="L9" s="55" t="s">
        <v>43</v>
      </c>
      <c r="M9" s="55" t="s">
        <v>44</v>
      </c>
      <c r="N9" s="24" t="s">
        <v>5</v>
      </c>
      <c r="O9" s="24" t="s">
        <v>6</v>
      </c>
      <c r="P9" s="53" t="s">
        <v>54</v>
      </c>
      <c r="Q9" s="12"/>
    </row>
    <row r="10" spans="1:17" x14ac:dyDescent="0.25">
      <c r="A10" s="13" t="s">
        <v>3</v>
      </c>
      <c r="B10" s="14">
        <f>SUM(B11:B44)</f>
        <v>4141100</v>
      </c>
      <c r="C10" s="15">
        <f>SUM(C11:C44)</f>
        <v>67839510</v>
      </c>
      <c r="D10" s="15">
        <f>SUM(D11:D44)</f>
        <v>908340</v>
      </c>
      <c r="E10" s="15">
        <f>SUM(E11:E44)</f>
        <v>68747850</v>
      </c>
      <c r="F10" s="16">
        <f t="shared" ref="F10:F44" si="0">ROUND(E10/B10,2)</f>
        <v>16.600000000000001</v>
      </c>
      <c r="G10" s="15">
        <f>SUM(G11:G44)</f>
        <v>71228712</v>
      </c>
      <c r="H10" s="16">
        <f>ROUND(G10/B10,2)</f>
        <v>17.2</v>
      </c>
      <c r="I10" s="74">
        <f>IF(F10=0,0,(H10-F10)/F10)</f>
        <v>3.6144578313252879E-2</v>
      </c>
      <c r="J10" s="14">
        <f>SUM(J11:J44)</f>
        <v>170204</v>
      </c>
      <c r="K10" s="17">
        <f t="shared" ref="K10:K44" si="1">J10/$J$10</f>
        <v>1</v>
      </c>
      <c r="L10" s="15">
        <f>SUM(L11:L44)</f>
        <v>62500</v>
      </c>
      <c r="M10" s="15">
        <f>SUM(M11:M44)</f>
        <v>937500</v>
      </c>
      <c r="N10" s="56">
        <f>SUM(N11:N44)</f>
        <v>1000000</v>
      </c>
      <c r="O10" s="57">
        <f t="shared" ref="O10:O44" si="2">N10/B10</f>
        <v>0.24148173190698125</v>
      </c>
      <c r="P10" s="58"/>
      <c r="Q10" s="5"/>
    </row>
    <row r="11" spans="1:17" x14ac:dyDescent="0.25">
      <c r="A11" s="18" t="s">
        <v>8</v>
      </c>
      <c r="B11" s="29">
        <v>1480</v>
      </c>
      <c r="C11" s="30">
        <v>2500</v>
      </c>
      <c r="D11" s="30">
        <v>20400</v>
      </c>
      <c r="E11" s="30">
        <f t="shared" ref="E11:E44" si="3">C11+D11</f>
        <v>22900</v>
      </c>
      <c r="F11" s="31">
        <f t="shared" si="0"/>
        <v>15.47</v>
      </c>
      <c r="G11" s="87">
        <v>25190</v>
      </c>
      <c r="H11" s="31">
        <f t="shared" ref="H11:H44" si="4">ROUND(G11/B11,2)</f>
        <v>17.02</v>
      </c>
      <c r="I11" s="75">
        <f>IF(F11=0,0,(H11-F11)/F11)</f>
        <v>0.10019392372333541</v>
      </c>
      <c r="J11" s="32">
        <f>IF(I11&lt;0,0,ROUND(I11*B11,0))</f>
        <v>148</v>
      </c>
      <c r="K11" s="33">
        <f t="shared" si="1"/>
        <v>8.6954478155625015E-4</v>
      </c>
      <c r="L11" s="34">
        <f>IF(I11&lt;0,0,$B$6)</f>
        <v>2500</v>
      </c>
      <c r="M11" s="34">
        <f>K11*$M$8</f>
        <v>815.19823270898451</v>
      </c>
      <c r="N11" s="59">
        <f>L11+M11</f>
        <v>3315.1982327089845</v>
      </c>
      <c r="O11" s="60">
        <f t="shared" si="2"/>
        <v>2.2399988058844489</v>
      </c>
      <c r="P11" s="58"/>
      <c r="Q11" s="5"/>
    </row>
    <row r="12" spans="1:17" x14ac:dyDescent="0.25">
      <c r="A12" s="18" t="s">
        <v>9</v>
      </c>
      <c r="B12" s="29">
        <v>7195</v>
      </c>
      <c r="C12" s="30">
        <v>0</v>
      </c>
      <c r="D12" s="30">
        <v>0</v>
      </c>
      <c r="E12" s="30">
        <f t="shared" si="3"/>
        <v>0</v>
      </c>
      <c r="F12" s="31">
        <f t="shared" si="0"/>
        <v>0</v>
      </c>
      <c r="G12" s="87">
        <v>0</v>
      </c>
      <c r="H12" s="31">
        <f t="shared" si="4"/>
        <v>0</v>
      </c>
      <c r="I12" s="75">
        <f t="shared" ref="I12:I44" si="5">IF(F12=0,0,(H12-F12)/F12)</f>
        <v>0</v>
      </c>
      <c r="J12" s="32">
        <f t="shared" ref="J12:J44" si="6">IF(I12&lt;0,0,ROUND(I12*B12,0))</f>
        <v>0</v>
      </c>
      <c r="K12" s="33">
        <f t="shared" si="1"/>
        <v>0</v>
      </c>
      <c r="L12" s="34">
        <f t="shared" ref="L12:L44" si="7">IF(I12&lt;0,0,$B$6)</f>
        <v>2500</v>
      </c>
      <c r="M12" s="34">
        <f t="shared" ref="M12:M44" si="8">K12*$M$8</f>
        <v>0</v>
      </c>
      <c r="N12" s="59">
        <f t="shared" ref="N12:N44" si="9">L12+M12</f>
        <v>2500</v>
      </c>
      <c r="O12" s="60">
        <f t="shared" si="2"/>
        <v>0.34746351633078526</v>
      </c>
      <c r="P12" s="58"/>
      <c r="Q12" s="19"/>
    </row>
    <row r="13" spans="1:17" x14ac:dyDescent="0.25">
      <c r="A13" s="18" t="s">
        <v>10</v>
      </c>
      <c r="B13" s="29">
        <v>7360</v>
      </c>
      <c r="C13" s="30">
        <v>96952</v>
      </c>
      <c r="D13" s="30">
        <v>0</v>
      </c>
      <c r="E13" s="30">
        <f t="shared" si="3"/>
        <v>96952</v>
      </c>
      <c r="F13" s="31">
        <f t="shared" si="0"/>
        <v>13.17</v>
      </c>
      <c r="G13" s="87">
        <v>101800</v>
      </c>
      <c r="H13" s="31">
        <f t="shared" si="4"/>
        <v>13.83</v>
      </c>
      <c r="I13" s="75">
        <f t="shared" si="5"/>
        <v>5.0113895216400924E-2</v>
      </c>
      <c r="J13" s="32">
        <f t="shared" si="6"/>
        <v>369</v>
      </c>
      <c r="K13" s="33">
        <f t="shared" si="1"/>
        <v>2.1679866513125427E-3</v>
      </c>
      <c r="L13" s="34">
        <f t="shared" si="7"/>
        <v>2500</v>
      </c>
      <c r="M13" s="34">
        <f t="shared" si="8"/>
        <v>2032.4874856055089</v>
      </c>
      <c r="N13" s="59">
        <f t="shared" si="9"/>
        <v>4532.4874856055085</v>
      </c>
      <c r="O13" s="60">
        <f t="shared" si="2"/>
        <v>0.61582710402248753</v>
      </c>
      <c r="P13" s="58"/>
      <c r="Q13" s="19"/>
    </row>
    <row r="14" spans="1:17" x14ac:dyDescent="0.25">
      <c r="A14" s="18" t="s">
        <v>11</v>
      </c>
      <c r="B14" s="29">
        <v>7415</v>
      </c>
      <c r="C14" s="30">
        <v>73636</v>
      </c>
      <c r="D14" s="30">
        <v>0</v>
      </c>
      <c r="E14" s="30">
        <f t="shared" si="3"/>
        <v>73636</v>
      </c>
      <c r="F14" s="31">
        <f t="shared" si="0"/>
        <v>9.93</v>
      </c>
      <c r="G14" s="87">
        <v>66272</v>
      </c>
      <c r="H14" s="31">
        <f t="shared" si="4"/>
        <v>8.94</v>
      </c>
      <c r="I14" s="75">
        <f t="shared" si="5"/>
        <v>-9.9697885196374653E-2</v>
      </c>
      <c r="J14" s="32">
        <f t="shared" si="6"/>
        <v>0</v>
      </c>
      <c r="K14" s="33">
        <f t="shared" si="1"/>
        <v>0</v>
      </c>
      <c r="L14" s="34">
        <f t="shared" si="7"/>
        <v>0</v>
      </c>
      <c r="M14" s="34">
        <f t="shared" si="8"/>
        <v>0</v>
      </c>
      <c r="N14" s="59">
        <f t="shared" si="9"/>
        <v>0</v>
      </c>
      <c r="O14" s="60">
        <f t="shared" si="2"/>
        <v>0</v>
      </c>
      <c r="P14" s="58"/>
      <c r="Q14" s="19"/>
    </row>
    <row r="15" spans="1:17" x14ac:dyDescent="0.25">
      <c r="A15" s="18" t="s">
        <v>12</v>
      </c>
      <c r="B15" s="29">
        <v>8120</v>
      </c>
      <c r="C15" s="30">
        <v>151267</v>
      </c>
      <c r="D15" s="30">
        <v>0</v>
      </c>
      <c r="E15" s="30">
        <f t="shared" si="3"/>
        <v>151267</v>
      </c>
      <c r="F15" s="31">
        <f t="shared" si="0"/>
        <v>18.63</v>
      </c>
      <c r="G15" s="87">
        <v>166394</v>
      </c>
      <c r="H15" s="31">
        <f t="shared" si="4"/>
        <v>20.49</v>
      </c>
      <c r="I15" s="75">
        <f t="shared" si="5"/>
        <v>9.9838969404186767E-2</v>
      </c>
      <c r="J15" s="32">
        <f t="shared" si="6"/>
        <v>811</v>
      </c>
      <c r="K15" s="33">
        <f t="shared" si="1"/>
        <v>4.7648703908251275E-3</v>
      </c>
      <c r="L15" s="34">
        <f t="shared" si="7"/>
        <v>2500</v>
      </c>
      <c r="M15" s="34">
        <f t="shared" si="8"/>
        <v>4467.0659913985573</v>
      </c>
      <c r="N15" s="59">
        <f t="shared" si="9"/>
        <v>6967.0659913985573</v>
      </c>
      <c r="O15" s="60">
        <f t="shared" si="2"/>
        <v>0.8580130531279011</v>
      </c>
      <c r="P15" s="58"/>
      <c r="Q15" s="19"/>
    </row>
    <row r="16" spans="1:17" x14ac:dyDescent="0.25">
      <c r="A16" s="18" t="s">
        <v>13</v>
      </c>
      <c r="B16" s="29">
        <v>11890</v>
      </c>
      <c r="C16" s="30">
        <v>613474</v>
      </c>
      <c r="D16" s="30">
        <v>8000</v>
      </c>
      <c r="E16" s="30">
        <f t="shared" si="3"/>
        <v>621474</v>
      </c>
      <c r="F16" s="31">
        <f t="shared" si="0"/>
        <v>52.27</v>
      </c>
      <c r="G16" s="87">
        <v>745769</v>
      </c>
      <c r="H16" s="31">
        <f t="shared" si="4"/>
        <v>62.72</v>
      </c>
      <c r="I16" s="75">
        <f t="shared" si="5"/>
        <v>0.1999234742682226</v>
      </c>
      <c r="J16" s="32">
        <f t="shared" si="6"/>
        <v>2377</v>
      </c>
      <c r="K16" s="33">
        <f t="shared" si="1"/>
        <v>1.3965594228102748E-2</v>
      </c>
      <c r="L16" s="34">
        <f t="shared" si="7"/>
        <v>2500</v>
      </c>
      <c r="M16" s="34">
        <f t="shared" si="8"/>
        <v>13092.744588846326</v>
      </c>
      <c r="N16" s="59">
        <f t="shared" si="9"/>
        <v>15592.744588846326</v>
      </c>
      <c r="O16" s="60">
        <f t="shared" si="2"/>
        <v>1.3114167021737868</v>
      </c>
      <c r="P16" s="58"/>
      <c r="Q16" s="19"/>
    </row>
    <row r="17" spans="1:17" x14ac:dyDescent="0.25">
      <c r="A17" s="18" t="s">
        <v>14</v>
      </c>
      <c r="B17" s="29">
        <v>16750</v>
      </c>
      <c r="C17" s="30">
        <v>234676</v>
      </c>
      <c r="D17" s="30">
        <v>12000</v>
      </c>
      <c r="E17" s="30">
        <f t="shared" si="3"/>
        <v>246676</v>
      </c>
      <c r="F17" s="31">
        <f t="shared" si="0"/>
        <v>14.73</v>
      </c>
      <c r="G17" s="87">
        <v>234342</v>
      </c>
      <c r="H17" s="31">
        <f t="shared" si="4"/>
        <v>13.99</v>
      </c>
      <c r="I17" s="75">
        <f t="shared" si="5"/>
        <v>-5.0237610319076725E-2</v>
      </c>
      <c r="J17" s="32">
        <f t="shared" si="6"/>
        <v>0</v>
      </c>
      <c r="K17" s="33">
        <f t="shared" si="1"/>
        <v>0</v>
      </c>
      <c r="L17" s="34">
        <f t="shared" si="7"/>
        <v>0</v>
      </c>
      <c r="M17" s="34">
        <f t="shared" si="8"/>
        <v>0</v>
      </c>
      <c r="N17" s="59">
        <f t="shared" si="9"/>
        <v>0</v>
      </c>
      <c r="O17" s="60">
        <f t="shared" si="2"/>
        <v>0</v>
      </c>
      <c r="P17" s="61">
        <f>SUM(N11:N17)/SUM(B11:B17)</f>
        <v>0.54654536287260214</v>
      </c>
      <c r="Q17" s="19"/>
    </row>
    <row r="18" spans="1:17" x14ac:dyDescent="0.25">
      <c r="A18" s="20" t="s">
        <v>15</v>
      </c>
      <c r="B18" s="25">
        <v>22105</v>
      </c>
      <c r="C18" s="26">
        <v>517139</v>
      </c>
      <c r="D18" s="26">
        <v>105000</v>
      </c>
      <c r="E18" s="26">
        <f t="shared" si="3"/>
        <v>622139</v>
      </c>
      <c r="F18" s="27">
        <f t="shared" si="0"/>
        <v>28.14</v>
      </c>
      <c r="G18" s="88">
        <v>684353</v>
      </c>
      <c r="H18" s="27">
        <f t="shared" si="4"/>
        <v>30.96</v>
      </c>
      <c r="I18" s="76">
        <f t="shared" si="5"/>
        <v>0.1002132196162047</v>
      </c>
      <c r="J18" s="3">
        <f t="shared" si="6"/>
        <v>2215</v>
      </c>
      <c r="K18" s="4">
        <f t="shared" si="1"/>
        <v>1.3013795210453339E-2</v>
      </c>
      <c r="L18" s="28">
        <f t="shared" si="7"/>
        <v>2500</v>
      </c>
      <c r="M18" s="28">
        <f t="shared" si="8"/>
        <v>12200.433009800005</v>
      </c>
      <c r="N18" s="62">
        <f t="shared" si="9"/>
        <v>14700.433009800005</v>
      </c>
      <c r="O18" s="63">
        <f t="shared" si="2"/>
        <v>0.66502750553268508</v>
      </c>
      <c r="P18" s="58"/>
      <c r="Q18" s="19"/>
    </row>
    <row r="19" spans="1:17" x14ac:dyDescent="0.25">
      <c r="A19" s="20" t="s">
        <v>16</v>
      </c>
      <c r="B19" s="25">
        <v>22805</v>
      </c>
      <c r="C19" s="26">
        <v>0</v>
      </c>
      <c r="D19" s="26">
        <v>144795</v>
      </c>
      <c r="E19" s="26">
        <f t="shared" si="3"/>
        <v>144795</v>
      </c>
      <c r="F19" s="27">
        <f t="shared" si="0"/>
        <v>6.35</v>
      </c>
      <c r="G19" s="88">
        <v>144795</v>
      </c>
      <c r="H19" s="27">
        <f t="shared" si="4"/>
        <v>6.35</v>
      </c>
      <c r="I19" s="76">
        <f t="shared" si="5"/>
        <v>0</v>
      </c>
      <c r="J19" s="3">
        <f t="shared" si="6"/>
        <v>0</v>
      </c>
      <c r="K19" s="4">
        <f t="shared" si="1"/>
        <v>0</v>
      </c>
      <c r="L19" s="28">
        <f t="shared" si="7"/>
        <v>2500</v>
      </c>
      <c r="M19" s="28">
        <f t="shared" si="8"/>
        <v>0</v>
      </c>
      <c r="N19" s="62">
        <f t="shared" si="9"/>
        <v>2500</v>
      </c>
      <c r="O19" s="63">
        <f t="shared" si="2"/>
        <v>0.10962508221881166</v>
      </c>
      <c r="P19" s="58"/>
      <c r="Q19" s="19"/>
    </row>
    <row r="20" spans="1:17" x14ac:dyDescent="0.25">
      <c r="A20" s="20" t="s">
        <v>17</v>
      </c>
      <c r="B20" s="25">
        <v>23190</v>
      </c>
      <c r="C20" s="26">
        <v>462444</v>
      </c>
      <c r="D20" s="26">
        <v>104500</v>
      </c>
      <c r="E20" s="26">
        <f t="shared" si="3"/>
        <v>566944</v>
      </c>
      <c r="F20" s="27">
        <f t="shared" si="0"/>
        <v>24.45</v>
      </c>
      <c r="G20" s="88">
        <v>595291</v>
      </c>
      <c r="H20" s="27">
        <f t="shared" si="4"/>
        <v>25.67</v>
      </c>
      <c r="I20" s="76">
        <f t="shared" si="5"/>
        <v>4.9897750511247542E-2</v>
      </c>
      <c r="J20" s="3">
        <f t="shared" si="6"/>
        <v>1157</v>
      </c>
      <c r="K20" s="4">
        <f t="shared" si="1"/>
        <v>6.7977250828417666E-3</v>
      </c>
      <c r="L20" s="28">
        <f t="shared" si="7"/>
        <v>2500</v>
      </c>
      <c r="M20" s="28">
        <f t="shared" si="8"/>
        <v>6372.8672651641564</v>
      </c>
      <c r="N20" s="62">
        <f t="shared" si="9"/>
        <v>8872.8672651641573</v>
      </c>
      <c r="O20" s="63">
        <f t="shared" si="2"/>
        <v>0.38261609595360746</v>
      </c>
      <c r="P20" s="58"/>
      <c r="Q20" s="19"/>
    </row>
    <row r="21" spans="1:17" x14ac:dyDescent="0.25">
      <c r="A21" s="20" t="s">
        <v>18</v>
      </c>
      <c r="B21" s="25">
        <v>25145</v>
      </c>
      <c r="C21" s="26">
        <v>425848</v>
      </c>
      <c r="D21" s="26">
        <v>396903</v>
      </c>
      <c r="E21" s="26">
        <f t="shared" si="3"/>
        <v>822751</v>
      </c>
      <c r="F21" s="27">
        <f t="shared" si="0"/>
        <v>32.72</v>
      </c>
      <c r="G21" s="88">
        <v>740476</v>
      </c>
      <c r="H21" s="27">
        <f t="shared" si="4"/>
        <v>29.45</v>
      </c>
      <c r="I21" s="76">
        <f t="shared" si="5"/>
        <v>-9.9938875305623467E-2</v>
      </c>
      <c r="J21" s="3">
        <f t="shared" si="6"/>
        <v>0</v>
      </c>
      <c r="K21" s="4">
        <f t="shared" si="1"/>
        <v>0</v>
      </c>
      <c r="L21" s="28">
        <f t="shared" si="7"/>
        <v>0</v>
      </c>
      <c r="M21" s="28">
        <f t="shared" si="8"/>
        <v>0</v>
      </c>
      <c r="N21" s="62">
        <f t="shared" si="9"/>
        <v>0</v>
      </c>
      <c r="O21" s="63">
        <f t="shared" si="2"/>
        <v>0</v>
      </c>
      <c r="P21" s="58"/>
      <c r="Q21" s="19"/>
    </row>
    <row r="22" spans="1:17" x14ac:dyDescent="0.25">
      <c r="A22" s="20" t="s">
        <v>19</v>
      </c>
      <c r="B22" s="25">
        <v>26175</v>
      </c>
      <c r="C22" s="26">
        <v>146840</v>
      </c>
      <c r="D22" s="26">
        <v>0</v>
      </c>
      <c r="E22" s="26">
        <f t="shared" si="3"/>
        <v>146840</v>
      </c>
      <c r="F22" s="27">
        <f t="shared" si="0"/>
        <v>5.61</v>
      </c>
      <c r="G22" s="88">
        <v>161524</v>
      </c>
      <c r="H22" s="27">
        <f t="shared" si="4"/>
        <v>6.17</v>
      </c>
      <c r="I22" s="76">
        <f t="shared" si="5"/>
        <v>9.9821746880570328E-2</v>
      </c>
      <c r="J22" s="3">
        <f t="shared" si="6"/>
        <v>2613</v>
      </c>
      <c r="K22" s="4">
        <f t="shared" si="1"/>
        <v>1.5352165636530281E-2</v>
      </c>
      <c r="L22" s="28">
        <f t="shared" si="7"/>
        <v>2500</v>
      </c>
      <c r="M22" s="28">
        <f t="shared" si="8"/>
        <v>14392.655284247137</v>
      </c>
      <c r="N22" s="62">
        <f t="shared" si="9"/>
        <v>16892.655284247136</v>
      </c>
      <c r="O22" s="63">
        <f t="shared" si="2"/>
        <v>0.64537364982797074</v>
      </c>
      <c r="P22" s="58"/>
      <c r="Q22" s="19"/>
    </row>
    <row r="23" spans="1:17" x14ac:dyDescent="0.25">
      <c r="A23" s="20" t="s">
        <v>20</v>
      </c>
      <c r="B23" s="25">
        <v>26900</v>
      </c>
      <c r="C23" s="26">
        <v>145000</v>
      </c>
      <c r="D23" s="26">
        <v>0</v>
      </c>
      <c r="E23" s="26">
        <f t="shared" si="3"/>
        <v>145000</v>
      </c>
      <c r="F23" s="27">
        <f t="shared" si="0"/>
        <v>5.39</v>
      </c>
      <c r="G23" s="88">
        <v>174000</v>
      </c>
      <c r="H23" s="27">
        <f t="shared" si="4"/>
        <v>6.47</v>
      </c>
      <c r="I23" s="76">
        <f t="shared" si="5"/>
        <v>0.20037105751391468</v>
      </c>
      <c r="J23" s="3">
        <f t="shared" si="6"/>
        <v>5390</v>
      </c>
      <c r="K23" s="4">
        <f t="shared" si="1"/>
        <v>3.1667880895866134E-2</v>
      </c>
      <c r="L23" s="28">
        <f t="shared" si="7"/>
        <v>2500</v>
      </c>
      <c r="M23" s="28">
        <f t="shared" si="8"/>
        <v>29688.638339874502</v>
      </c>
      <c r="N23" s="62">
        <f t="shared" si="9"/>
        <v>32188.638339874502</v>
      </c>
      <c r="O23" s="63">
        <f t="shared" si="2"/>
        <v>1.1966036557574165</v>
      </c>
      <c r="P23" s="58"/>
      <c r="Q23" s="19"/>
    </row>
    <row r="24" spans="1:17" x14ac:dyDescent="0.25">
      <c r="A24" s="20" t="s">
        <v>21</v>
      </c>
      <c r="B24" s="25">
        <v>30895</v>
      </c>
      <c r="C24" s="26">
        <v>545643</v>
      </c>
      <c r="D24" s="26">
        <v>0</v>
      </c>
      <c r="E24" s="26">
        <f t="shared" si="3"/>
        <v>545643</v>
      </c>
      <c r="F24" s="27">
        <f t="shared" si="0"/>
        <v>17.66</v>
      </c>
      <c r="G24" s="88">
        <v>518361</v>
      </c>
      <c r="H24" s="27">
        <f t="shared" si="4"/>
        <v>16.78</v>
      </c>
      <c r="I24" s="76">
        <f t="shared" si="5"/>
        <v>-4.9830124575311378E-2</v>
      </c>
      <c r="J24" s="3">
        <f t="shared" si="6"/>
        <v>0</v>
      </c>
      <c r="K24" s="4">
        <f t="shared" si="1"/>
        <v>0</v>
      </c>
      <c r="L24" s="28">
        <f t="shared" si="7"/>
        <v>0</v>
      </c>
      <c r="M24" s="28">
        <f t="shared" si="8"/>
        <v>0</v>
      </c>
      <c r="N24" s="62">
        <f t="shared" si="9"/>
        <v>0</v>
      </c>
      <c r="O24" s="63">
        <f t="shared" si="2"/>
        <v>0</v>
      </c>
      <c r="P24" s="58"/>
      <c r="Q24" s="19"/>
    </row>
    <row r="25" spans="1:17" x14ac:dyDescent="0.25">
      <c r="A25" s="20" t="s">
        <v>22</v>
      </c>
      <c r="B25" s="25">
        <v>31845</v>
      </c>
      <c r="C25" s="26">
        <v>468960</v>
      </c>
      <c r="D25" s="26">
        <v>20075</v>
      </c>
      <c r="E25" s="26">
        <f t="shared" si="3"/>
        <v>489035</v>
      </c>
      <c r="F25" s="27">
        <f t="shared" si="0"/>
        <v>15.36</v>
      </c>
      <c r="G25" s="88">
        <v>537939</v>
      </c>
      <c r="H25" s="27">
        <f t="shared" si="4"/>
        <v>16.89</v>
      </c>
      <c r="I25" s="76">
        <f t="shared" si="5"/>
        <v>9.9609375000000083E-2</v>
      </c>
      <c r="J25" s="3">
        <f t="shared" si="6"/>
        <v>3172</v>
      </c>
      <c r="K25" s="4">
        <f t="shared" si="1"/>
        <v>1.8636459777678551E-2</v>
      </c>
      <c r="L25" s="28">
        <f t="shared" si="7"/>
        <v>2500</v>
      </c>
      <c r="M25" s="28">
        <f t="shared" si="8"/>
        <v>17471.68104157364</v>
      </c>
      <c r="N25" s="62">
        <f t="shared" si="9"/>
        <v>19971.68104157364</v>
      </c>
      <c r="O25" s="63">
        <f t="shared" si="2"/>
        <v>0.62715280394327655</v>
      </c>
      <c r="P25" s="58"/>
      <c r="Q25" s="19"/>
    </row>
    <row r="26" spans="1:17" x14ac:dyDescent="0.25">
      <c r="A26" s="20" t="s">
        <v>23</v>
      </c>
      <c r="B26" s="25">
        <v>38820</v>
      </c>
      <c r="C26" s="26">
        <v>431075</v>
      </c>
      <c r="D26" s="26">
        <v>0</v>
      </c>
      <c r="E26" s="26">
        <f t="shared" si="3"/>
        <v>431075</v>
      </c>
      <c r="F26" s="27">
        <f t="shared" si="0"/>
        <v>11.1</v>
      </c>
      <c r="G26" s="88">
        <v>431075</v>
      </c>
      <c r="H26" s="27">
        <f t="shared" si="4"/>
        <v>11.1</v>
      </c>
      <c r="I26" s="76">
        <f t="shared" si="5"/>
        <v>0</v>
      </c>
      <c r="J26" s="3">
        <f t="shared" si="6"/>
        <v>0</v>
      </c>
      <c r="K26" s="4">
        <f t="shared" si="1"/>
        <v>0</v>
      </c>
      <c r="L26" s="28">
        <f t="shared" si="7"/>
        <v>2500</v>
      </c>
      <c r="M26" s="28">
        <f t="shared" si="8"/>
        <v>0</v>
      </c>
      <c r="N26" s="62">
        <f t="shared" si="9"/>
        <v>2500</v>
      </c>
      <c r="O26" s="63">
        <f t="shared" si="2"/>
        <v>6.4399793920659448E-2</v>
      </c>
      <c r="P26" s="58"/>
      <c r="Q26" s="19"/>
    </row>
    <row r="27" spans="1:17" x14ac:dyDescent="0.25">
      <c r="A27" s="20" t="s">
        <v>24</v>
      </c>
      <c r="B27" s="25">
        <v>47960</v>
      </c>
      <c r="C27" s="26">
        <v>307500</v>
      </c>
      <c r="D27" s="26">
        <v>0</v>
      </c>
      <c r="E27" s="26">
        <f t="shared" si="3"/>
        <v>307500</v>
      </c>
      <c r="F27" s="27">
        <f t="shared" si="0"/>
        <v>6.41</v>
      </c>
      <c r="G27" s="88">
        <v>322875</v>
      </c>
      <c r="H27" s="27">
        <f t="shared" si="4"/>
        <v>6.73</v>
      </c>
      <c r="I27" s="76">
        <f t="shared" si="5"/>
        <v>4.9921996879875238E-2</v>
      </c>
      <c r="J27" s="3">
        <f t="shared" si="6"/>
        <v>2394</v>
      </c>
      <c r="K27" s="4">
        <f t="shared" si="1"/>
        <v>1.4065474371930155E-2</v>
      </c>
      <c r="L27" s="28">
        <f t="shared" si="7"/>
        <v>2500</v>
      </c>
      <c r="M27" s="28">
        <f t="shared" si="8"/>
        <v>13186.382223684521</v>
      </c>
      <c r="N27" s="62">
        <f t="shared" si="9"/>
        <v>15686.382223684521</v>
      </c>
      <c r="O27" s="63">
        <f t="shared" si="2"/>
        <v>0.32707218981827607</v>
      </c>
      <c r="P27" s="58"/>
      <c r="Q27" s="19"/>
    </row>
    <row r="28" spans="1:17" x14ac:dyDescent="0.25">
      <c r="A28" s="20" t="s">
        <v>25</v>
      </c>
      <c r="B28" s="25">
        <v>51345</v>
      </c>
      <c r="C28" s="26">
        <v>100000</v>
      </c>
      <c r="D28" s="26">
        <v>44489</v>
      </c>
      <c r="E28" s="26">
        <f t="shared" si="3"/>
        <v>144489</v>
      </c>
      <c r="F28" s="27">
        <f t="shared" si="0"/>
        <v>2.81</v>
      </c>
      <c r="G28" s="88">
        <v>130040</v>
      </c>
      <c r="H28" s="27">
        <f t="shared" si="4"/>
        <v>2.5299999999999998</v>
      </c>
      <c r="I28" s="76">
        <f t="shared" si="5"/>
        <v>-9.9644128113879085E-2</v>
      </c>
      <c r="J28" s="3">
        <f t="shared" si="6"/>
        <v>0</v>
      </c>
      <c r="K28" s="4">
        <f t="shared" si="1"/>
        <v>0</v>
      </c>
      <c r="L28" s="28">
        <f t="shared" si="7"/>
        <v>0</v>
      </c>
      <c r="M28" s="28">
        <f t="shared" si="8"/>
        <v>0</v>
      </c>
      <c r="N28" s="62">
        <f t="shared" si="9"/>
        <v>0</v>
      </c>
      <c r="O28" s="63">
        <f t="shared" si="2"/>
        <v>0</v>
      </c>
      <c r="P28" s="58"/>
      <c r="Q28" s="19"/>
    </row>
    <row r="29" spans="1:17" x14ac:dyDescent="0.25">
      <c r="A29" s="20" t="s">
        <v>26</v>
      </c>
      <c r="B29" s="25">
        <v>63310</v>
      </c>
      <c r="C29" s="26">
        <v>0</v>
      </c>
      <c r="D29" s="26">
        <v>52178</v>
      </c>
      <c r="E29" s="26">
        <f t="shared" si="3"/>
        <v>52178</v>
      </c>
      <c r="F29" s="27">
        <f t="shared" si="0"/>
        <v>0.82</v>
      </c>
      <c r="G29" s="88">
        <v>57396</v>
      </c>
      <c r="H29" s="27">
        <f t="shared" si="4"/>
        <v>0.91</v>
      </c>
      <c r="I29" s="76">
        <f t="shared" si="5"/>
        <v>0.10975609756097571</v>
      </c>
      <c r="J29" s="3">
        <f t="shared" si="6"/>
        <v>6949</v>
      </c>
      <c r="K29" s="4">
        <f t="shared" si="1"/>
        <v>4.0827477615097175E-2</v>
      </c>
      <c r="L29" s="28">
        <f t="shared" si="7"/>
        <v>2500</v>
      </c>
      <c r="M29" s="28">
        <f t="shared" si="8"/>
        <v>38275.7602641536</v>
      </c>
      <c r="N29" s="62">
        <f t="shared" si="9"/>
        <v>40775.7602641536</v>
      </c>
      <c r="O29" s="63">
        <f t="shared" si="2"/>
        <v>0.6440650807795546</v>
      </c>
      <c r="P29" s="58"/>
      <c r="Q29" s="19"/>
    </row>
    <row r="30" spans="1:17" x14ac:dyDescent="0.25">
      <c r="A30" s="20" t="s">
        <v>27</v>
      </c>
      <c r="B30" s="25">
        <v>67690</v>
      </c>
      <c r="C30" s="26">
        <v>232280</v>
      </c>
      <c r="D30" s="26">
        <v>0</v>
      </c>
      <c r="E30" s="26">
        <f t="shared" si="3"/>
        <v>232280</v>
      </c>
      <c r="F30" s="27">
        <f t="shared" si="0"/>
        <v>3.43</v>
      </c>
      <c r="G30" s="88">
        <v>278736</v>
      </c>
      <c r="H30" s="27">
        <f t="shared" si="4"/>
        <v>4.12</v>
      </c>
      <c r="I30" s="76">
        <f t="shared" si="5"/>
        <v>0.20116618075801745</v>
      </c>
      <c r="J30" s="3">
        <f t="shared" si="6"/>
        <v>13617</v>
      </c>
      <c r="K30" s="4">
        <f t="shared" si="1"/>
        <v>8.000399520575309E-2</v>
      </c>
      <c r="L30" s="28">
        <f t="shared" si="7"/>
        <v>2500</v>
      </c>
      <c r="M30" s="28">
        <f t="shared" si="8"/>
        <v>75003.745505393526</v>
      </c>
      <c r="N30" s="62">
        <f t="shared" si="9"/>
        <v>77503.745505393526</v>
      </c>
      <c r="O30" s="63">
        <f t="shared" si="2"/>
        <v>1.1449807283999636</v>
      </c>
      <c r="P30" s="64">
        <f>SUM(N18:N30)/SUM(B18:B30)</f>
        <v>0.48431498883045487</v>
      </c>
      <c r="Q30" s="19"/>
    </row>
    <row r="31" spans="1:17" x14ac:dyDescent="0.25">
      <c r="A31" s="21" t="s">
        <v>28</v>
      </c>
      <c r="B31" s="35">
        <v>80500</v>
      </c>
      <c r="C31" s="36">
        <v>386278</v>
      </c>
      <c r="D31" s="36">
        <v>0</v>
      </c>
      <c r="E31" s="36">
        <f t="shared" si="3"/>
        <v>386278</v>
      </c>
      <c r="F31" s="37">
        <f t="shared" si="0"/>
        <v>4.8</v>
      </c>
      <c r="G31" s="89">
        <v>366964</v>
      </c>
      <c r="H31" s="37">
        <f t="shared" si="4"/>
        <v>4.5599999999999996</v>
      </c>
      <c r="I31" s="77">
        <f t="shared" si="5"/>
        <v>-5.0000000000000044E-2</v>
      </c>
      <c r="J31" s="38">
        <f>IF(I31&lt;0,0,ROUND(I31*B31,0))</f>
        <v>0</v>
      </c>
      <c r="K31" s="39">
        <f t="shared" si="1"/>
        <v>0</v>
      </c>
      <c r="L31" s="40">
        <f t="shared" si="7"/>
        <v>0</v>
      </c>
      <c r="M31" s="40">
        <f t="shared" si="8"/>
        <v>0</v>
      </c>
      <c r="N31" s="65">
        <f t="shared" si="9"/>
        <v>0</v>
      </c>
      <c r="O31" s="66">
        <f t="shared" si="2"/>
        <v>0</v>
      </c>
      <c r="P31" s="58"/>
      <c r="Q31" s="19"/>
    </row>
    <row r="32" spans="1:17" x14ac:dyDescent="0.25">
      <c r="A32" s="21" t="s">
        <v>29</v>
      </c>
      <c r="B32" s="35">
        <v>81000</v>
      </c>
      <c r="C32" s="36">
        <v>251759</v>
      </c>
      <c r="D32" s="36">
        <v>0</v>
      </c>
      <c r="E32" s="36">
        <f t="shared" si="3"/>
        <v>251759</v>
      </c>
      <c r="F32" s="37">
        <f t="shared" si="0"/>
        <v>3.11</v>
      </c>
      <c r="G32" s="89">
        <v>276935</v>
      </c>
      <c r="H32" s="37">
        <f t="shared" si="4"/>
        <v>3.42</v>
      </c>
      <c r="I32" s="77">
        <f t="shared" si="5"/>
        <v>9.9678456591639888E-2</v>
      </c>
      <c r="J32" s="38">
        <f t="shared" si="6"/>
        <v>8074</v>
      </c>
      <c r="K32" s="39">
        <f t="shared" si="1"/>
        <v>4.7437193015440297E-2</v>
      </c>
      <c r="L32" s="40">
        <f t="shared" si="7"/>
        <v>2500</v>
      </c>
      <c r="M32" s="40">
        <f t="shared" si="8"/>
        <v>44472.368451975279</v>
      </c>
      <c r="N32" s="65">
        <f t="shared" si="9"/>
        <v>46972.368451975279</v>
      </c>
      <c r="O32" s="66">
        <f t="shared" si="2"/>
        <v>0.57990578335771947</v>
      </c>
      <c r="P32" s="58"/>
      <c r="Q32" s="19"/>
    </row>
    <row r="33" spans="1:18" x14ac:dyDescent="0.25">
      <c r="A33" s="21" t="s">
        <v>30</v>
      </c>
      <c r="B33" s="35">
        <v>85650</v>
      </c>
      <c r="C33" s="36">
        <v>364715</v>
      </c>
      <c r="D33" s="36">
        <v>0</v>
      </c>
      <c r="E33" s="36">
        <f t="shared" si="3"/>
        <v>364715</v>
      </c>
      <c r="F33" s="37">
        <f t="shared" si="0"/>
        <v>4.26</v>
      </c>
      <c r="G33" s="89">
        <v>364715</v>
      </c>
      <c r="H33" s="37">
        <f t="shared" si="4"/>
        <v>4.26</v>
      </c>
      <c r="I33" s="77">
        <f t="shared" si="5"/>
        <v>0</v>
      </c>
      <c r="J33" s="38">
        <f t="shared" si="6"/>
        <v>0</v>
      </c>
      <c r="K33" s="39">
        <f t="shared" si="1"/>
        <v>0</v>
      </c>
      <c r="L33" s="40">
        <f t="shared" si="7"/>
        <v>2500</v>
      </c>
      <c r="M33" s="40">
        <f t="shared" si="8"/>
        <v>0</v>
      </c>
      <c r="N33" s="65">
        <f t="shared" si="9"/>
        <v>2500</v>
      </c>
      <c r="O33" s="66">
        <f t="shared" si="2"/>
        <v>2.918855808523059E-2</v>
      </c>
      <c r="P33" s="58"/>
      <c r="Q33" s="19"/>
    </row>
    <row r="34" spans="1:18" x14ac:dyDescent="0.25">
      <c r="A34" s="21" t="s">
        <v>31</v>
      </c>
      <c r="B34" s="35">
        <v>92575</v>
      </c>
      <c r="C34" s="36">
        <v>2090815</v>
      </c>
      <c r="D34" s="36">
        <v>0</v>
      </c>
      <c r="E34" s="36">
        <f t="shared" si="3"/>
        <v>2090815</v>
      </c>
      <c r="F34" s="37">
        <f t="shared" si="0"/>
        <v>22.59</v>
      </c>
      <c r="G34" s="89">
        <v>2195356</v>
      </c>
      <c r="H34" s="37">
        <f t="shared" si="4"/>
        <v>23.71</v>
      </c>
      <c r="I34" s="77">
        <f t="shared" si="5"/>
        <v>4.9579459938025719E-2</v>
      </c>
      <c r="J34" s="38">
        <f t="shared" si="6"/>
        <v>4590</v>
      </c>
      <c r="K34" s="39">
        <f t="shared" si="1"/>
        <v>2.6967638833399921E-2</v>
      </c>
      <c r="L34" s="40">
        <f t="shared" si="7"/>
        <v>2500</v>
      </c>
      <c r="M34" s="40">
        <f t="shared" si="8"/>
        <v>25282.161406312425</v>
      </c>
      <c r="N34" s="65">
        <f t="shared" si="9"/>
        <v>27782.161406312425</v>
      </c>
      <c r="O34" s="66">
        <f t="shared" si="2"/>
        <v>0.30010436301714744</v>
      </c>
      <c r="P34" s="58"/>
      <c r="Q34" s="19"/>
    </row>
    <row r="35" spans="1:18" x14ac:dyDescent="0.25">
      <c r="A35" s="21" t="s">
        <v>32</v>
      </c>
      <c r="B35" s="35">
        <v>106300</v>
      </c>
      <c r="C35" s="36">
        <v>650791</v>
      </c>
      <c r="D35" s="36">
        <v>0</v>
      </c>
      <c r="E35" s="36">
        <f t="shared" si="3"/>
        <v>650791</v>
      </c>
      <c r="F35" s="37">
        <f t="shared" si="0"/>
        <v>6.12</v>
      </c>
      <c r="G35" s="89">
        <v>585712</v>
      </c>
      <c r="H35" s="37">
        <f t="shared" si="4"/>
        <v>5.51</v>
      </c>
      <c r="I35" s="77">
        <f t="shared" si="5"/>
        <v>-9.9673202614379133E-2</v>
      </c>
      <c r="J35" s="38">
        <f t="shared" si="6"/>
        <v>0</v>
      </c>
      <c r="K35" s="39">
        <f t="shared" si="1"/>
        <v>0</v>
      </c>
      <c r="L35" s="40">
        <f t="shared" si="7"/>
        <v>0</v>
      </c>
      <c r="M35" s="40">
        <f t="shared" si="8"/>
        <v>0</v>
      </c>
      <c r="N35" s="65">
        <f t="shared" si="9"/>
        <v>0</v>
      </c>
      <c r="O35" s="66">
        <f t="shared" si="2"/>
        <v>0</v>
      </c>
      <c r="P35" s="58"/>
      <c r="Q35" s="19"/>
    </row>
    <row r="36" spans="1:18" x14ac:dyDescent="0.25">
      <c r="A36" s="21" t="s">
        <v>33</v>
      </c>
      <c r="B36" s="35">
        <v>111180</v>
      </c>
      <c r="C36" s="36">
        <v>671902</v>
      </c>
      <c r="D36" s="36">
        <v>0</v>
      </c>
      <c r="E36" s="36">
        <f t="shared" si="3"/>
        <v>671902</v>
      </c>
      <c r="F36" s="37">
        <f t="shared" si="0"/>
        <v>6.04</v>
      </c>
      <c r="G36" s="89">
        <v>739092</v>
      </c>
      <c r="H36" s="37">
        <f t="shared" si="4"/>
        <v>6.65</v>
      </c>
      <c r="I36" s="77">
        <f t="shared" si="5"/>
        <v>0.10099337748344377</v>
      </c>
      <c r="J36" s="38">
        <f t="shared" si="6"/>
        <v>11228</v>
      </c>
      <c r="K36" s="39">
        <f t="shared" si="1"/>
        <v>6.596789734671335E-2</v>
      </c>
      <c r="L36" s="40">
        <f t="shared" si="7"/>
        <v>2500</v>
      </c>
      <c r="M36" s="40">
        <f t="shared" si="8"/>
        <v>61844.903762543763</v>
      </c>
      <c r="N36" s="65">
        <f t="shared" si="9"/>
        <v>64344.903762543763</v>
      </c>
      <c r="O36" s="66">
        <f t="shared" si="2"/>
        <v>0.57874531176959676</v>
      </c>
      <c r="P36" s="58"/>
      <c r="Q36" s="19"/>
    </row>
    <row r="37" spans="1:18" x14ac:dyDescent="0.25">
      <c r="A37" s="21" t="s">
        <v>34</v>
      </c>
      <c r="B37" s="35">
        <v>124010</v>
      </c>
      <c r="C37" s="36">
        <v>651346</v>
      </c>
      <c r="D37" s="36">
        <v>0</v>
      </c>
      <c r="E37" s="36">
        <f t="shared" si="3"/>
        <v>651346</v>
      </c>
      <c r="F37" s="37">
        <f t="shared" si="0"/>
        <v>5.25</v>
      </c>
      <c r="G37" s="89">
        <v>781615</v>
      </c>
      <c r="H37" s="37">
        <f t="shared" si="4"/>
        <v>6.3</v>
      </c>
      <c r="I37" s="77">
        <f t="shared" si="5"/>
        <v>0.19999999999999996</v>
      </c>
      <c r="J37" s="38">
        <f t="shared" si="6"/>
        <v>24802</v>
      </c>
      <c r="K37" s="39">
        <f t="shared" si="1"/>
        <v>0.14571925454160889</v>
      </c>
      <c r="L37" s="40">
        <f t="shared" si="7"/>
        <v>2500</v>
      </c>
      <c r="M37" s="40">
        <f t="shared" si="8"/>
        <v>136611.80113275832</v>
      </c>
      <c r="N37" s="65">
        <f t="shared" si="9"/>
        <v>139111.80113275832</v>
      </c>
      <c r="O37" s="66">
        <f t="shared" si="2"/>
        <v>1.1217788979337016</v>
      </c>
      <c r="P37" s="67">
        <f>SUM(N31:N37)/SUM(B31:B37)</f>
        <v>0.41207435942190024</v>
      </c>
      <c r="Q37" s="19"/>
    </row>
    <row r="38" spans="1:18" x14ac:dyDescent="0.25">
      <c r="A38" s="22" t="s">
        <v>35</v>
      </c>
      <c r="B38" s="41">
        <v>182930</v>
      </c>
      <c r="C38" s="42">
        <v>2968217</v>
      </c>
      <c r="D38" s="42">
        <v>0</v>
      </c>
      <c r="E38" s="42">
        <f t="shared" si="3"/>
        <v>2968217</v>
      </c>
      <c r="F38" s="43">
        <f t="shared" si="0"/>
        <v>16.23</v>
      </c>
      <c r="G38" s="15">
        <v>2819806</v>
      </c>
      <c r="H38" s="43">
        <f t="shared" si="4"/>
        <v>15.41</v>
      </c>
      <c r="I38" s="78">
        <f t="shared" si="5"/>
        <v>-5.0523721503388803E-2</v>
      </c>
      <c r="J38" s="44">
        <f t="shared" si="6"/>
        <v>0</v>
      </c>
      <c r="K38" s="45">
        <f t="shared" si="1"/>
        <v>0</v>
      </c>
      <c r="L38" s="46">
        <f t="shared" si="7"/>
        <v>0</v>
      </c>
      <c r="M38" s="46">
        <f t="shared" si="8"/>
        <v>0</v>
      </c>
      <c r="N38" s="68">
        <f t="shared" si="9"/>
        <v>0</v>
      </c>
      <c r="O38" s="69">
        <f t="shared" si="2"/>
        <v>0</v>
      </c>
      <c r="P38" s="58"/>
      <c r="Q38" s="19"/>
    </row>
    <row r="39" spans="1:18" x14ac:dyDescent="0.25">
      <c r="A39" s="22" t="s">
        <v>36</v>
      </c>
      <c r="B39" s="41">
        <v>216900</v>
      </c>
      <c r="C39" s="42">
        <v>670465</v>
      </c>
      <c r="D39" s="42">
        <v>0</v>
      </c>
      <c r="E39" s="42">
        <f t="shared" si="3"/>
        <v>670465</v>
      </c>
      <c r="F39" s="43">
        <f t="shared" si="0"/>
        <v>3.09</v>
      </c>
      <c r="G39" s="15">
        <v>737512</v>
      </c>
      <c r="H39" s="43">
        <f t="shared" si="4"/>
        <v>3.4</v>
      </c>
      <c r="I39" s="78">
        <f t="shared" si="5"/>
        <v>0.10032362459546927</v>
      </c>
      <c r="J39" s="44">
        <f t="shared" si="6"/>
        <v>21760</v>
      </c>
      <c r="K39" s="45">
        <f t="shared" si="1"/>
        <v>0.12784658409908109</v>
      </c>
      <c r="L39" s="46">
        <f t="shared" si="7"/>
        <v>2500</v>
      </c>
      <c r="M39" s="46">
        <f t="shared" si="8"/>
        <v>119856.17259288853</v>
      </c>
      <c r="N39" s="68">
        <f t="shared" si="9"/>
        <v>122356.17259288853</v>
      </c>
      <c r="O39" s="69">
        <f t="shared" si="2"/>
        <v>0.56411328996260268</v>
      </c>
      <c r="P39" s="58"/>
      <c r="Q39" s="19"/>
    </row>
    <row r="40" spans="1:18" x14ac:dyDescent="0.25">
      <c r="A40" s="22" t="s">
        <v>37</v>
      </c>
      <c r="B40" s="41">
        <v>339200</v>
      </c>
      <c r="C40" s="42">
        <v>2152253</v>
      </c>
      <c r="D40" s="42">
        <v>0</v>
      </c>
      <c r="E40" s="42">
        <f t="shared" si="3"/>
        <v>2152253</v>
      </c>
      <c r="F40" s="43">
        <f t="shared" si="0"/>
        <v>6.35</v>
      </c>
      <c r="G40" s="15">
        <v>2152253</v>
      </c>
      <c r="H40" s="43">
        <f t="shared" si="4"/>
        <v>6.35</v>
      </c>
      <c r="I40" s="78">
        <f t="shared" si="5"/>
        <v>0</v>
      </c>
      <c r="J40" s="44">
        <f t="shared" si="6"/>
        <v>0</v>
      </c>
      <c r="K40" s="45">
        <f t="shared" si="1"/>
        <v>0</v>
      </c>
      <c r="L40" s="46">
        <f t="shared" si="7"/>
        <v>2500</v>
      </c>
      <c r="M40" s="46">
        <f t="shared" si="8"/>
        <v>0</v>
      </c>
      <c r="N40" s="68">
        <f t="shared" si="9"/>
        <v>2500</v>
      </c>
      <c r="O40" s="69">
        <f t="shared" si="2"/>
        <v>7.3702830188679246E-3</v>
      </c>
      <c r="P40" s="58"/>
      <c r="Q40" s="19"/>
    </row>
    <row r="41" spans="1:18" x14ac:dyDescent="0.25">
      <c r="A41" s="22" t="s">
        <v>38</v>
      </c>
      <c r="B41" s="41">
        <v>370600</v>
      </c>
      <c r="C41" s="42">
        <v>1716536</v>
      </c>
      <c r="D41" s="42">
        <v>0</v>
      </c>
      <c r="E41" s="42">
        <f t="shared" si="3"/>
        <v>1716536</v>
      </c>
      <c r="F41" s="43">
        <f t="shared" si="0"/>
        <v>4.63</v>
      </c>
      <c r="G41" s="15">
        <v>1802363</v>
      </c>
      <c r="H41" s="43">
        <f t="shared" si="4"/>
        <v>4.8600000000000003</v>
      </c>
      <c r="I41" s="78">
        <f t="shared" si="5"/>
        <v>4.9676025917926657E-2</v>
      </c>
      <c r="J41" s="44">
        <f t="shared" si="6"/>
        <v>18410</v>
      </c>
      <c r="K41" s="45">
        <f t="shared" si="1"/>
        <v>0.10816432046250382</v>
      </c>
      <c r="L41" s="46">
        <f t="shared" si="7"/>
        <v>2500</v>
      </c>
      <c r="M41" s="46">
        <f t="shared" si="8"/>
        <v>101404.05043359734</v>
      </c>
      <c r="N41" s="68">
        <f t="shared" si="9"/>
        <v>103904.05043359734</v>
      </c>
      <c r="O41" s="69">
        <f t="shared" si="2"/>
        <v>0.28036710856340352</v>
      </c>
      <c r="P41" s="70">
        <f>SUM(N38:N41)/SUM(B38:B41)</f>
        <v>0.2061590106850805</v>
      </c>
      <c r="Q41" s="19"/>
    </row>
    <row r="42" spans="1:18" x14ac:dyDescent="0.25">
      <c r="A42" s="23" t="s">
        <v>39</v>
      </c>
      <c r="B42" s="47">
        <v>413000</v>
      </c>
      <c r="C42" s="48">
        <v>1965745</v>
      </c>
      <c r="D42" s="48">
        <v>0</v>
      </c>
      <c r="E42" s="48">
        <f t="shared" si="3"/>
        <v>1965745</v>
      </c>
      <c r="F42" s="49">
        <f t="shared" si="0"/>
        <v>4.76</v>
      </c>
      <c r="G42" s="90">
        <v>1769171</v>
      </c>
      <c r="H42" s="49">
        <f t="shared" si="4"/>
        <v>4.28</v>
      </c>
      <c r="I42" s="79">
        <f t="shared" si="5"/>
        <v>-0.10084033613445369</v>
      </c>
      <c r="J42" s="50">
        <f>IF(I42&lt;0,0,ROUND(I42*B42,0))</f>
        <v>0</v>
      </c>
      <c r="K42" s="51">
        <f t="shared" si="1"/>
        <v>0</v>
      </c>
      <c r="L42" s="52">
        <f t="shared" si="7"/>
        <v>0</v>
      </c>
      <c r="M42" s="52">
        <f t="shared" si="8"/>
        <v>0</v>
      </c>
      <c r="N42" s="71">
        <f t="shared" si="9"/>
        <v>0</v>
      </c>
      <c r="O42" s="72">
        <f t="shared" si="2"/>
        <v>0</v>
      </c>
      <c r="P42" s="58"/>
      <c r="Q42" s="19"/>
    </row>
    <row r="43" spans="1:18" x14ac:dyDescent="0.25">
      <c r="A43" s="23" t="s">
        <v>40</v>
      </c>
      <c r="B43" s="47">
        <v>595860</v>
      </c>
      <c r="C43" s="48">
        <v>4800731</v>
      </c>
      <c r="D43" s="48">
        <v>0</v>
      </c>
      <c r="E43" s="48">
        <f t="shared" si="3"/>
        <v>4800731</v>
      </c>
      <c r="F43" s="49">
        <f t="shared" si="0"/>
        <v>8.06</v>
      </c>
      <c r="G43" s="90">
        <v>4800731</v>
      </c>
      <c r="H43" s="49">
        <f t="shared" si="4"/>
        <v>8.06</v>
      </c>
      <c r="I43" s="79">
        <f t="shared" si="5"/>
        <v>0</v>
      </c>
      <c r="J43" s="50">
        <f t="shared" si="6"/>
        <v>0</v>
      </c>
      <c r="K43" s="51">
        <f t="shared" si="1"/>
        <v>0</v>
      </c>
      <c r="L43" s="52">
        <f t="shared" si="7"/>
        <v>2500</v>
      </c>
      <c r="M43" s="52">
        <f t="shared" si="8"/>
        <v>0</v>
      </c>
      <c r="N43" s="71">
        <f t="shared" si="9"/>
        <v>2500</v>
      </c>
      <c r="O43" s="72">
        <f t="shared" si="2"/>
        <v>4.195616419964421E-3</v>
      </c>
      <c r="P43" s="58"/>
      <c r="Q43" s="19"/>
    </row>
    <row r="44" spans="1:18" x14ac:dyDescent="0.25">
      <c r="A44" s="23" t="s">
        <v>41</v>
      </c>
      <c r="B44" s="47">
        <v>803000</v>
      </c>
      <c r="C44" s="48">
        <v>43542723</v>
      </c>
      <c r="D44" s="48">
        <v>0</v>
      </c>
      <c r="E44" s="48">
        <f t="shared" si="3"/>
        <v>43542723</v>
      </c>
      <c r="F44" s="49">
        <f t="shared" si="0"/>
        <v>54.23</v>
      </c>
      <c r="G44" s="90">
        <v>45719859</v>
      </c>
      <c r="H44" s="49">
        <f t="shared" si="4"/>
        <v>56.94</v>
      </c>
      <c r="I44" s="79">
        <f t="shared" si="5"/>
        <v>4.9972340033191981E-2</v>
      </c>
      <c r="J44" s="50">
        <f t="shared" si="6"/>
        <v>40128</v>
      </c>
      <c r="K44" s="51">
        <f t="shared" si="1"/>
        <v>0.23576414185330544</v>
      </c>
      <c r="L44" s="52">
        <f t="shared" si="7"/>
        <v>2500</v>
      </c>
      <c r="M44" s="52">
        <f t="shared" si="8"/>
        <v>221028.88298747386</v>
      </c>
      <c r="N44" s="71">
        <f t="shared" si="9"/>
        <v>223528.88298747386</v>
      </c>
      <c r="O44" s="72">
        <f t="shared" si="2"/>
        <v>0.27836722663446306</v>
      </c>
      <c r="P44" s="73">
        <f>SUM(N42:N44)/SUM(B42:B44)</f>
        <v>0.12474964014188396</v>
      </c>
      <c r="Q44" s="19"/>
      <c r="R44" s="10"/>
    </row>
    <row r="45" spans="1:18" x14ac:dyDescent="0.25">
      <c r="A45" s="5"/>
      <c r="B45" s="6"/>
      <c r="C45" s="6"/>
      <c r="D45" s="6"/>
      <c r="E45" s="6"/>
      <c r="F45" s="2">
        <f>SUM(F11:F44)</f>
        <v>433.97000000000008</v>
      </c>
      <c r="G45" s="6"/>
      <c r="H45" s="2"/>
      <c r="I45" s="7"/>
      <c r="J45" s="5"/>
      <c r="K45" s="5"/>
      <c r="L45" s="5"/>
      <c r="M45" s="5"/>
      <c r="N45" s="5"/>
      <c r="O45" s="5"/>
      <c r="P45" s="5"/>
      <c r="Q45" s="5"/>
    </row>
    <row r="46" spans="1:18" ht="17.25" x14ac:dyDescent="0.25">
      <c r="A46" s="5" t="s">
        <v>47</v>
      </c>
      <c r="B46" s="5"/>
      <c r="C46" s="5"/>
      <c r="D46" s="5"/>
      <c r="E46" s="5"/>
      <c r="F46" s="5"/>
      <c r="G46" s="5"/>
      <c r="H46" s="5"/>
      <c r="I46" s="5"/>
      <c r="J46" s="95" t="s">
        <v>48</v>
      </c>
      <c r="K46" s="96"/>
      <c r="L46" s="96"/>
      <c r="M46" s="96"/>
      <c r="N46" s="97"/>
      <c r="O46" s="5"/>
      <c r="P46" s="5"/>
      <c r="Q46" s="5"/>
    </row>
    <row r="47" spans="1:18" ht="17.25" x14ac:dyDescent="0.25">
      <c r="A47" s="80" t="s">
        <v>57</v>
      </c>
      <c r="J47" s="81" t="s">
        <v>49</v>
      </c>
      <c r="K47" s="82" t="s">
        <v>50</v>
      </c>
      <c r="L47" s="83" t="s">
        <v>51</v>
      </c>
      <c r="M47" s="84" t="s">
        <v>52</v>
      </c>
      <c r="N47" s="85" t="s">
        <v>53</v>
      </c>
      <c r="Q47" s="8"/>
    </row>
    <row r="48" spans="1:18" ht="17.25" x14ac:dyDescent="0.25">
      <c r="A48" s="80" t="s">
        <v>61</v>
      </c>
    </row>
  </sheetData>
  <mergeCells count="2">
    <mergeCell ref="F5:P7"/>
    <mergeCell ref="J46:N46"/>
  </mergeCells>
  <pageMargins left="0.7" right="0.7" top="0.75" bottom="0.75" header="0.3" footer="0.3"/>
  <pageSetup scale="6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https://www.oregon.gov/oha/PH/ABOUT/Documents/phab/Fund-Formula-Model-Matching.xlsx</Url>
      <Description>Fund Formula Model Matching</Description>
    </URL>
    <IASubtopic xmlns="59da1016-2a1b-4f8a-9768-d7a4932f6f16" xsi:nil="true"/>
    <DocumentExpirationDate xmlns="59da1016-2a1b-4f8a-9768-d7a4932f6f16" xsi:nil="true"/>
    <IACategory xmlns="59da1016-2a1b-4f8a-9768-d7a4932f6f16" xsi:nil="true"/>
    <IATopic xmlns="59da1016-2a1b-4f8a-9768-d7a4932f6f16" xsi:nil="true"/>
    <Meta_x0020_Keywords xmlns="8e5a6155-81d0-4b93-93b6-2738d35fba9d" xsi:nil="true"/>
    <Meta_x0020_Description xmlns="8e5a6155-81d0-4b93-93b6-2738d35fba9d">Fund Formula Model Matching</Meta_x0020_Description>
    <Category xmlns="8e5a6155-81d0-4b93-93b6-2738d35fba9d">Incentives and Funding Subcommittee</Category>
    <Meeting xmlns="8e5a6155-81d0-4b93-93b6-2738d35fba9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D486D267E8DA43B3919DA3386E8073" ma:contentTypeVersion="9" ma:contentTypeDescription="Create a new document." ma:contentTypeScope="" ma:versionID="13ae81e57ae235e05afe22cd74042181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8e5a6155-81d0-4b93-93b6-2738d35fba9d" targetNamespace="http://schemas.microsoft.com/office/2006/metadata/properties" ma:root="true" ma:fieldsID="7e64635d5d0209d77261f4c54f7261c6" ns1:_="" ns2:_="" ns3:_="">
    <xsd:import namespace="http://schemas.microsoft.com/sharepoint/v3"/>
    <xsd:import namespace="59da1016-2a1b-4f8a-9768-d7a4932f6f16"/>
    <xsd:import namespace="8e5a6155-81d0-4b93-93b6-2738d35fba9d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Meeting" minOccurs="0"/>
                <xsd:element ref="ns3: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hidden="true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hidden="true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5a6155-81d0-4b93-93b6-2738d35fba9d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hidden="true" ma:internalName="Meta_x0020_Keywords" ma:readOnly="false">
      <xsd:simpleType>
        <xsd:restriction base="dms:Text"/>
      </xsd:simpleType>
    </xsd:element>
    <xsd:element name="Meeting" ma:index="15" nillable="true" ma:displayName="Meeting" ma:list="{b9f15d52-99b1-4580-8354-7a744ce580d8}" ma:internalName="Meeting" ma:showField="Meeting_x0020_Lookup_x0020_Refer">
      <xsd:simpleType>
        <xsd:restriction base="dms:Lookup"/>
      </xsd:simpleType>
    </xsd:element>
    <xsd:element name="Category" ma:index="16" nillable="true" ma:displayName="Category" ma:format="Dropdown" ma:internalName="Category">
      <xsd:simpleType>
        <xsd:restriction base="dms:Choice">
          <xsd:enumeration value="Public Health System Workforce Workgroup"/>
          <xsd:enumeration value="Public Health Equity Framework Workgroup"/>
          <xsd:enumeration value="Advisory Board"/>
          <xsd:enumeration value="Strategic Data Plan Subcommittee"/>
          <xsd:enumeration value="Accountability Metrics Subcommittee"/>
          <xsd:enumeration value="Public Health Modernization Funding Workgroup"/>
          <xsd:enumeration value="Incentives and Funding Subcommittee"/>
          <xsd:enumeration value="Charter and Bylaws Workgroup"/>
          <xsd:enumeration value="PHAB Prioritization Workgroup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AED68C-1F07-4E98-8CD4-40633C4599F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9da1016-2a1b-4f8a-9768-d7a4932f6f16"/>
    <ds:schemaRef ds:uri="09207eb7-70e0-4957-a658-5743f843bbb6"/>
  </ds:schemaRefs>
</ds:datastoreItem>
</file>

<file path=customXml/itemProps2.xml><?xml version="1.0" encoding="utf-8"?>
<ds:datastoreItem xmlns:ds="http://schemas.openxmlformats.org/officeDocument/2006/customXml" ds:itemID="{5E19DEAD-EF98-4DF4-BBF9-FD3B9675C4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6A611B-B058-4EDC-87AB-83EBEE3CB0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matching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2018-04-09 Fund Formula Model Matching</dc:title>
  <dc:creator>Curtis Christopher J</dc:creator>
  <cp:lastModifiedBy>Ceglie Adriane</cp:lastModifiedBy>
  <cp:lastPrinted>2018-03-22T20:16:53Z</cp:lastPrinted>
  <dcterms:created xsi:type="dcterms:W3CDTF">2018-03-12T16:30:03Z</dcterms:created>
  <dcterms:modified xsi:type="dcterms:W3CDTF">2024-06-07T15:53:10Z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flowChangePath">
    <vt:lpwstr>c971328f-5b26-48de-b4fb-1298253f516e,3;c971328f-5b26-48de-b4fb-1298253f516e,6;</vt:lpwstr>
  </property>
  <property fmtid="{D5CDD505-2E9C-101B-9397-08002B2CF9AE}" pid="3" name="ContentTypeId">
    <vt:lpwstr>0x010100E5D486D267E8DA43B3919DA3386E8073</vt:lpwstr>
  </property>
  <property fmtid="{D5CDD505-2E9C-101B-9397-08002B2CF9AE}" pid="4" name="MSIP_Label_ebdd6eeb-0dd0-4927-947e-a759f08fcf55_Enabled">
    <vt:lpwstr>true</vt:lpwstr>
  </property>
  <property fmtid="{D5CDD505-2E9C-101B-9397-08002B2CF9AE}" pid="5" name="MSIP_Label_ebdd6eeb-0dd0-4927-947e-a759f08fcf55_SetDate">
    <vt:lpwstr>2024-06-07T15:53:10Z</vt:lpwstr>
  </property>
  <property fmtid="{D5CDD505-2E9C-101B-9397-08002B2CF9AE}" pid="6" name="MSIP_Label_ebdd6eeb-0dd0-4927-947e-a759f08fcf55_Method">
    <vt:lpwstr>Privileged</vt:lpwstr>
  </property>
  <property fmtid="{D5CDD505-2E9C-101B-9397-08002B2CF9AE}" pid="7" name="MSIP_Label_ebdd6eeb-0dd0-4927-947e-a759f08fcf55_Name">
    <vt:lpwstr>Level 1 - Published (Items)</vt:lpwstr>
  </property>
  <property fmtid="{D5CDD505-2E9C-101B-9397-08002B2CF9AE}" pid="8" name="MSIP_Label_ebdd6eeb-0dd0-4927-947e-a759f08fcf55_SiteId">
    <vt:lpwstr>658e63e8-8d39-499c-8f48-13adc9452f4c</vt:lpwstr>
  </property>
  <property fmtid="{D5CDD505-2E9C-101B-9397-08002B2CF9AE}" pid="9" name="MSIP_Label_ebdd6eeb-0dd0-4927-947e-a759f08fcf55_ActionId">
    <vt:lpwstr>a7dedd02-b959-434b-ad20-5f07498ffb8d</vt:lpwstr>
  </property>
  <property fmtid="{D5CDD505-2E9C-101B-9397-08002B2CF9AE}" pid="10" name="MSIP_Label_ebdd6eeb-0dd0-4927-947e-a759f08fcf55_ContentBits">
    <vt:lpwstr>0</vt:lpwstr>
  </property>
</Properties>
</file>