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soha-my.sharepoint.com/personal/adriane_ceglie_odhsoha_oregon_gov1/Documents/Desktop/Lab/"/>
    </mc:Choice>
  </mc:AlternateContent>
  <xr:revisionPtr revIDLastSave="0" documentId="8_{FAA0E227-8B05-443D-9268-516A84A54BAF}" xr6:coauthVersionLast="47" xr6:coauthVersionMax="47" xr10:uidLastSave="{00000000-0000-0000-0000-000000000000}"/>
  <bookViews>
    <workbookView xWindow="-120" yWindow="-120" windowWidth="29040" windowHeight="15840" tabRatio="684" xr2:uid="{00000000-000D-0000-FFFF-FFFF00000000}"/>
  </bookViews>
  <sheets>
    <sheet name="Input" sheetId="13" r:id="rId1"/>
    <sheet name="Summary" sheetId="1" r:id="rId2"/>
    <sheet name="County Data" sheetId="2" r:id="rId3"/>
    <sheet name="Population" sheetId="4" state="hidden" r:id="rId4"/>
    <sheet name="Floor" sheetId="21" state="hidden" r:id="rId5"/>
    <sheet name="Burden" sheetId="14" state="hidden" r:id="rId6"/>
    <sheet name="Health Status" sheetId="15" state="hidden" r:id="rId7"/>
    <sheet name="Ethnicity" sheetId="16" state="hidden" r:id="rId8"/>
    <sheet name="Rurality" sheetId="19" state="hidden" r:id="rId9"/>
    <sheet name="Poverty" sheetId="17" state="hidden" r:id="rId10"/>
    <sheet name="Education" sheetId="20" state="hidden" r:id="rId11"/>
    <sheet name="Language" sheetId="18" state="hidden" r:id="rId12"/>
    <sheet name="Matching" sheetId="8" r:id="rId13"/>
    <sheet name="Incentives" sheetId="9" r:id="rId14"/>
  </sheets>
  <definedNames>
    <definedName name="_xlnm.Print_Area" localSheetId="2">'County Data'!$A$1:$P$48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8" l="1"/>
  <c r="T4" i="9"/>
  <c r="O4" i="9"/>
  <c r="J4" i="9"/>
  <c r="E4" i="9"/>
  <c r="C8" i="13"/>
  <c r="I7" i="21" l="1"/>
  <c r="B39" i="21"/>
  <c r="C39" i="21" s="1"/>
  <c r="B34" i="21"/>
  <c r="C34" i="21" s="1"/>
  <c r="B17" i="21"/>
  <c r="C17" i="21" l="1"/>
  <c r="C45" i="21" s="1"/>
  <c r="C36" i="2" l="1"/>
  <c r="C47" i="2" s="1"/>
  <c r="D11" i="2" l="1"/>
  <c r="D12" i="2"/>
  <c r="D13" i="2"/>
  <c r="D14" i="2"/>
  <c r="D15" i="2"/>
  <c r="D16" i="2"/>
  <c r="D17" i="2"/>
  <c r="D18" i="2"/>
  <c r="D19" i="2"/>
  <c r="D20" i="2"/>
  <c r="D17" i="21" s="1"/>
  <c r="D21" i="2"/>
  <c r="D22" i="2"/>
  <c r="D23" i="2"/>
  <c r="D24" i="2"/>
  <c r="D25" i="2"/>
  <c r="D26" i="2"/>
  <c r="D27" i="2"/>
  <c r="D28" i="2"/>
  <c r="D29" i="2"/>
  <c r="D30" i="2"/>
  <c r="D31" i="2"/>
  <c r="D32" i="2"/>
  <c r="D33" i="2"/>
  <c r="D34" i="2"/>
  <c r="D35" i="2"/>
  <c r="D36" i="2"/>
  <c r="D37" i="2"/>
  <c r="D38" i="2"/>
  <c r="D34" i="21" s="1"/>
  <c r="D39" i="2"/>
  <c r="D40" i="2"/>
  <c r="D41" i="2"/>
  <c r="D42" i="2"/>
  <c r="D43" i="2"/>
  <c r="D39" i="21" s="1"/>
  <c r="D44" i="2"/>
  <c r="D45" i="2"/>
  <c r="D46" i="2"/>
  <c r="D10" i="2"/>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11" i="1"/>
  <c r="C12" i="13"/>
  <c r="I11" i="21" s="1"/>
  <c r="C11" i="13"/>
  <c r="I10" i="21" s="1"/>
  <c r="C10" i="13"/>
  <c r="I9" i="21" s="1"/>
  <c r="C9" i="13"/>
  <c r="I8" i="21" s="1"/>
  <c r="D8" i="2"/>
  <c r="B41" i="21"/>
  <c r="B38" i="21"/>
  <c r="B25" i="21"/>
  <c r="B19" i="21"/>
  <c r="B18" i="21"/>
  <c r="B15" i="21"/>
  <c r="B14" i="21"/>
  <c r="B13" i="21"/>
  <c r="B12" i="21"/>
  <c r="B11" i="21"/>
  <c r="B10" i="21"/>
  <c r="B42" i="21"/>
  <c r="B40" i="21"/>
  <c r="B37" i="21"/>
  <c r="B9" i="21"/>
  <c r="B36" i="21"/>
  <c r="B35" i="21"/>
  <c r="B33" i="21"/>
  <c r="B32" i="21"/>
  <c r="B31" i="21"/>
  <c r="B30" i="21"/>
  <c r="B29" i="21"/>
  <c r="B28" i="21"/>
  <c r="B27" i="21"/>
  <c r="B8" i="21"/>
  <c r="B26" i="21"/>
  <c r="B24" i="21"/>
  <c r="B23" i="21"/>
  <c r="B22" i="21"/>
  <c r="B21" i="21"/>
  <c r="B20" i="21"/>
  <c r="B16" i="21"/>
  <c r="B7" i="21"/>
  <c r="B3" i="2"/>
  <c r="B2" i="2"/>
  <c r="B1" i="2"/>
  <c r="B7" i="1"/>
  <c r="B6" i="1"/>
  <c r="B5" i="1"/>
  <c r="C26" i="13"/>
  <c r="C25" i="13"/>
  <c r="C14" i="13" s="1"/>
  <c r="C21" i="13" s="1"/>
  <c r="C29" i="13" l="1"/>
  <c r="O8" i="2" s="1"/>
  <c r="C30" i="13"/>
  <c r="P8" i="2" s="1"/>
  <c r="C27" i="13"/>
  <c r="M8" i="2" s="1"/>
  <c r="C28" i="13"/>
  <c r="N8" i="2" s="1"/>
  <c r="C19" i="13"/>
  <c r="C18" i="13"/>
  <c r="C17" i="13"/>
  <c r="C20" i="13"/>
  <c r="C16" i="13"/>
  <c r="C15" i="13"/>
  <c r="C22" i="13"/>
  <c r="D7" i="21"/>
  <c r="C7" i="21"/>
  <c r="D8" i="21"/>
  <c r="C8" i="21"/>
  <c r="C35" i="21"/>
  <c r="D35" i="21"/>
  <c r="D12" i="21"/>
  <c r="C12" i="21"/>
  <c r="D41" i="21"/>
  <c r="C41" i="21"/>
  <c r="C16" i="21"/>
  <c r="D16" i="21"/>
  <c r="C27" i="21"/>
  <c r="D27" i="21"/>
  <c r="C36" i="21"/>
  <c r="D36" i="21"/>
  <c r="C20" i="21"/>
  <c r="D20" i="21"/>
  <c r="C28" i="21"/>
  <c r="D28" i="21"/>
  <c r="D9" i="21"/>
  <c r="C9" i="21"/>
  <c r="C14" i="21"/>
  <c r="D14" i="21"/>
  <c r="C21" i="21"/>
  <c r="D21" i="21"/>
  <c r="C29" i="21"/>
  <c r="D29" i="21"/>
  <c r="D37" i="21"/>
  <c r="C37" i="21"/>
  <c r="C15" i="21"/>
  <c r="D15" i="21"/>
  <c r="D22" i="21"/>
  <c r="C22" i="21"/>
  <c r="D30" i="21"/>
  <c r="C30" i="21"/>
  <c r="C40" i="21"/>
  <c r="D40" i="21"/>
  <c r="D18" i="21"/>
  <c r="C18" i="21"/>
  <c r="C23" i="21"/>
  <c r="D23" i="21"/>
  <c r="C31" i="21"/>
  <c r="D31" i="21"/>
  <c r="C42" i="21"/>
  <c r="D42" i="21"/>
  <c r="C19" i="21"/>
  <c r="D19" i="21"/>
  <c r="C24" i="21"/>
  <c r="D24" i="21"/>
  <c r="C32" i="21"/>
  <c r="D32" i="21"/>
  <c r="C10" i="21"/>
  <c r="D10" i="21"/>
  <c r="C25" i="21"/>
  <c r="D25" i="21"/>
  <c r="D26" i="21"/>
  <c r="C26" i="21"/>
  <c r="D33" i="21"/>
  <c r="C33" i="21"/>
  <c r="C11" i="21"/>
  <c r="D11" i="21"/>
  <c r="C38" i="21"/>
  <c r="D38" i="21"/>
  <c r="C13" i="21"/>
  <c r="D13" i="21"/>
  <c r="C43" i="21" l="1"/>
  <c r="D43" i="21" l="1"/>
  <c r="H23" i="2" l="1"/>
  <c r="H46" i="2"/>
  <c r="H45" i="2"/>
  <c r="H44" i="2"/>
  <c r="H42" i="2"/>
  <c r="H41" i="2"/>
  <c r="H40" i="2"/>
  <c r="H39" i="2"/>
  <c r="H37" i="2"/>
  <c r="H36" i="2"/>
  <c r="H35" i="2"/>
  <c r="H34" i="2"/>
  <c r="H33" i="2"/>
  <c r="H32" i="2"/>
  <c r="H31" i="2"/>
  <c r="H30" i="2"/>
  <c r="H29" i="2"/>
  <c r="H28" i="2"/>
  <c r="H27" i="2"/>
  <c r="H26" i="2"/>
  <c r="H25" i="2"/>
  <c r="H24" i="2"/>
  <c r="H22" i="2"/>
  <c r="H21" i="2"/>
  <c r="D24" i="17" s="1"/>
  <c r="H19" i="2"/>
  <c r="H18" i="2"/>
  <c r="H17" i="2"/>
  <c r="H16" i="2"/>
  <c r="H15" i="2"/>
  <c r="H14" i="2"/>
  <c r="H13" i="2"/>
  <c r="H12" i="2"/>
  <c r="H11" i="2"/>
  <c r="H10" i="2"/>
  <c r="B7" i="9"/>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E7" i="8" s="1"/>
  <c r="B8" i="8"/>
  <c r="E8" i="8" s="1"/>
  <c r="B11" i="8"/>
  <c r="B9" i="8"/>
  <c r="B10" i="8"/>
  <c r="B34" i="8"/>
  <c r="B15" i="8"/>
  <c r="E15" i="8" s="1"/>
  <c r="F15" i="8" s="1"/>
  <c r="B14" i="8"/>
  <c r="E14" i="8" s="1"/>
  <c r="F14" i="8" s="1"/>
  <c r="B25" i="8"/>
  <c r="E25" i="8" s="1"/>
  <c r="F25" i="8" s="1"/>
  <c r="B24" i="8"/>
  <c r="B22" i="8"/>
  <c r="B31" i="8"/>
  <c r="B39" i="8"/>
  <c r="E39" i="8" s="1"/>
  <c r="F39" i="8" s="1"/>
  <c r="B19" i="8"/>
  <c r="E19" i="8" s="1"/>
  <c r="F19" i="8" s="1"/>
  <c r="B38" i="8"/>
  <c r="B27" i="8"/>
  <c r="E27" i="8" s="1"/>
  <c r="F27" i="8" s="1"/>
  <c r="G27" i="8" s="1"/>
  <c r="B18" i="8"/>
  <c r="B28" i="8"/>
  <c r="B20" i="8"/>
  <c r="E20" i="8" s="1"/>
  <c r="F20" i="8" s="1"/>
  <c r="G20" i="8" s="1"/>
  <c r="B40" i="8"/>
  <c r="B12" i="8"/>
  <c r="E12" i="8" s="1"/>
  <c r="F12" i="8" s="1"/>
  <c r="B36" i="8"/>
  <c r="E36" i="8" s="1"/>
  <c r="F36" i="8" s="1"/>
  <c r="B21" i="8"/>
  <c r="E21" i="8" s="1"/>
  <c r="F21" i="8" s="1"/>
  <c r="B33" i="8"/>
  <c r="E33" i="8" s="1"/>
  <c r="F33" i="8" s="1"/>
  <c r="B23" i="8"/>
  <c r="B30" i="8"/>
  <c r="B37" i="8"/>
  <c r="E37" i="8" s="1"/>
  <c r="F37" i="8" s="1"/>
  <c r="B26" i="8"/>
  <c r="B29" i="8"/>
  <c r="B16" i="8"/>
  <c r="E16" i="8" s="1"/>
  <c r="F16" i="8" s="1"/>
  <c r="B35" i="8"/>
  <c r="E35" i="8" s="1"/>
  <c r="F35" i="8" s="1"/>
  <c r="B17" i="8"/>
  <c r="E17" i="8" s="1"/>
  <c r="F17" i="8" s="1"/>
  <c r="G17" i="8" s="1"/>
  <c r="B32" i="8"/>
  <c r="B13" i="8"/>
  <c r="B7" i="18"/>
  <c r="B9" i="18"/>
  <c r="C9" i="18" s="1"/>
  <c r="B22" i="18"/>
  <c r="C22" i="18" s="1"/>
  <c r="B18" i="18"/>
  <c r="B10" i="18"/>
  <c r="C10" i="18" s="1"/>
  <c r="B19" i="18"/>
  <c r="C19" i="18" s="1"/>
  <c r="B13" i="18"/>
  <c r="C13" i="18" s="1"/>
  <c r="B8" i="18"/>
  <c r="C8" i="18" s="1"/>
  <c r="B17" i="18"/>
  <c r="C17" i="18" s="1"/>
  <c r="B15" i="18"/>
  <c r="C15" i="18" s="1"/>
  <c r="B24" i="18"/>
  <c r="B32" i="18"/>
  <c r="B36" i="18"/>
  <c r="C36" i="18" s="1"/>
  <c r="B16" i="18"/>
  <c r="B29" i="18"/>
  <c r="C29" i="18" s="1"/>
  <c r="B37" i="18"/>
  <c r="C37" i="18" s="1"/>
  <c r="B21" i="18"/>
  <c r="C21" i="18" s="1"/>
  <c r="B30" i="18"/>
  <c r="C30" i="18" s="1"/>
  <c r="B33" i="18"/>
  <c r="C33" i="18" s="1"/>
  <c r="B34" i="18"/>
  <c r="C34" i="18" s="1"/>
  <c r="B40" i="18"/>
  <c r="B38" i="18"/>
  <c r="C38" i="18" s="1"/>
  <c r="B35" i="18"/>
  <c r="C35" i="18" s="1"/>
  <c r="B20" i="18"/>
  <c r="C20" i="18" s="1"/>
  <c r="B26" i="18"/>
  <c r="C26" i="18" s="1"/>
  <c r="B28" i="18"/>
  <c r="C28" i="18" s="1"/>
  <c r="B23" i="18"/>
  <c r="B25" i="18"/>
  <c r="C25" i="18" s="1"/>
  <c r="B14" i="18"/>
  <c r="B31" i="18"/>
  <c r="B27" i="18"/>
  <c r="C27" i="18" s="1"/>
  <c r="B39" i="18"/>
  <c r="B12" i="18"/>
  <c r="C12" i="18" s="1"/>
  <c r="B11" i="18"/>
  <c r="C11" i="18" s="1"/>
  <c r="B13" i="20"/>
  <c r="B9" i="20"/>
  <c r="B35" i="20"/>
  <c r="C35" i="20" s="1"/>
  <c r="B24" i="20"/>
  <c r="C24" i="20" s="1"/>
  <c r="B23" i="20"/>
  <c r="C23" i="20" s="1"/>
  <c r="B10" i="20"/>
  <c r="C10" i="20" s="1"/>
  <c r="B21" i="20"/>
  <c r="B32" i="20"/>
  <c r="C32" i="20" s="1"/>
  <c r="B28" i="20"/>
  <c r="B19" i="20"/>
  <c r="C19" i="20" s="1"/>
  <c r="B12" i="20"/>
  <c r="B30" i="20"/>
  <c r="B16" i="20"/>
  <c r="C16" i="20" s="1"/>
  <c r="B11" i="20"/>
  <c r="B8" i="20"/>
  <c r="B37" i="20"/>
  <c r="C37" i="20" s="1"/>
  <c r="B20" i="20"/>
  <c r="C20" i="20" s="1"/>
  <c r="B15" i="20"/>
  <c r="C15" i="20" s="1"/>
  <c r="B33" i="20"/>
  <c r="C33" i="20" s="1"/>
  <c r="B17" i="20"/>
  <c r="C17" i="20" s="1"/>
  <c r="B40" i="20"/>
  <c r="B34" i="20"/>
  <c r="C34" i="20" s="1"/>
  <c r="B39" i="20"/>
  <c r="C39" i="20" s="1"/>
  <c r="B22" i="20"/>
  <c r="C22" i="20" s="1"/>
  <c r="B25" i="20"/>
  <c r="C25" i="20" s="1"/>
  <c r="B7" i="20"/>
  <c r="C7" i="20" s="1"/>
  <c r="B14" i="20"/>
  <c r="C14" i="20" s="1"/>
  <c r="B31" i="20"/>
  <c r="C31" i="20" s="1"/>
  <c r="B29" i="20"/>
  <c r="C29" i="20" s="1"/>
  <c r="B36" i="20"/>
  <c r="B27" i="20"/>
  <c r="C27" i="20" s="1"/>
  <c r="B38" i="20"/>
  <c r="C38" i="20" s="1"/>
  <c r="B26" i="20"/>
  <c r="B18" i="20"/>
  <c r="C18" i="20" s="1"/>
  <c r="B39" i="19"/>
  <c r="B37" i="19"/>
  <c r="B25" i="19"/>
  <c r="B19" i="19"/>
  <c r="B18" i="19"/>
  <c r="B15" i="19"/>
  <c r="B14" i="19"/>
  <c r="B13" i="19"/>
  <c r="B12" i="19"/>
  <c r="B11" i="19"/>
  <c r="B10" i="19"/>
  <c r="B40" i="19"/>
  <c r="B38" i="19"/>
  <c r="B36" i="19"/>
  <c r="B9" i="19"/>
  <c r="B35" i="19"/>
  <c r="B34" i="19"/>
  <c r="B33" i="19"/>
  <c r="B17" i="19"/>
  <c r="B32" i="19"/>
  <c r="B31" i="19"/>
  <c r="B30" i="19"/>
  <c r="B29" i="19"/>
  <c r="B28" i="19"/>
  <c r="B27" i="19"/>
  <c r="B8" i="19"/>
  <c r="B26" i="19"/>
  <c r="B24" i="19"/>
  <c r="B23" i="19"/>
  <c r="B22" i="19"/>
  <c r="B21" i="19"/>
  <c r="B20" i="19"/>
  <c r="B16" i="19"/>
  <c r="B7" i="19"/>
  <c r="B36" i="17"/>
  <c r="C36" i="17" s="1"/>
  <c r="B15" i="17"/>
  <c r="C15" i="17" s="1"/>
  <c r="B38" i="17"/>
  <c r="C38" i="17" s="1"/>
  <c r="B23" i="17"/>
  <c r="C23" i="17" s="1"/>
  <c r="B24" i="17"/>
  <c r="C24" i="17" s="1"/>
  <c r="B9" i="17"/>
  <c r="C9" i="17" s="1"/>
  <c r="B21" i="17"/>
  <c r="C21" i="17" s="1"/>
  <c r="B32" i="17"/>
  <c r="C32" i="17" s="1"/>
  <c r="B34" i="17"/>
  <c r="C34" i="17" s="1"/>
  <c r="B10" i="17"/>
  <c r="C10" i="17" s="1"/>
  <c r="B16" i="17"/>
  <c r="C16" i="17" s="1"/>
  <c r="B13" i="17"/>
  <c r="C13" i="17" s="1"/>
  <c r="B8" i="17"/>
  <c r="C8" i="17" s="1"/>
  <c r="B37" i="17"/>
  <c r="C37" i="17" s="1"/>
  <c r="B7" i="17"/>
  <c r="C7" i="17" s="1"/>
  <c r="B28" i="17"/>
  <c r="C28" i="17" s="1"/>
  <c r="B19" i="17"/>
  <c r="C19" i="17" s="1"/>
  <c r="B11" i="17"/>
  <c r="C11" i="17" s="1"/>
  <c r="B17" i="17"/>
  <c r="B14" i="17"/>
  <c r="C14" i="17" s="1"/>
  <c r="B18" i="17"/>
  <c r="C18" i="17" s="1"/>
  <c r="B27" i="17"/>
  <c r="C27" i="17" s="1"/>
  <c r="B40" i="17"/>
  <c r="C40" i="17" s="1"/>
  <c r="B22" i="17"/>
  <c r="C22" i="17" s="1"/>
  <c r="B29" i="17"/>
  <c r="C29" i="17" s="1"/>
  <c r="B30" i="17"/>
  <c r="C30" i="17" s="1"/>
  <c r="B31" i="17"/>
  <c r="C31" i="17" s="1"/>
  <c r="B35" i="17"/>
  <c r="C35" i="17" s="1"/>
  <c r="B39" i="17"/>
  <c r="C39" i="17" s="1"/>
  <c r="B33" i="17"/>
  <c r="C33" i="17" s="1"/>
  <c r="B26" i="17"/>
  <c r="C26" i="17" s="1"/>
  <c r="B12" i="17"/>
  <c r="C12" i="17" s="1"/>
  <c r="B25" i="17"/>
  <c r="C25" i="17" s="1"/>
  <c r="B20" i="17"/>
  <c r="C20" i="17" s="1"/>
  <c r="B7" i="16"/>
  <c r="C7" i="16" s="1"/>
  <c r="B8" i="16"/>
  <c r="C8" i="16" s="1"/>
  <c r="B22" i="16"/>
  <c r="B18" i="16"/>
  <c r="C18" i="16" s="1"/>
  <c r="B9" i="16"/>
  <c r="C9" i="16" s="1"/>
  <c r="B15" i="16"/>
  <c r="C15" i="16" s="1"/>
  <c r="B17" i="16"/>
  <c r="B14" i="16"/>
  <c r="B21" i="16"/>
  <c r="C21" i="16" s="1"/>
  <c r="B12" i="16"/>
  <c r="C12" i="16" s="1"/>
  <c r="B19" i="16"/>
  <c r="C19" i="16" s="1"/>
  <c r="B31" i="16"/>
  <c r="C31" i="16" s="1"/>
  <c r="B34" i="16"/>
  <c r="B11" i="16"/>
  <c r="C11" i="16" s="1"/>
  <c r="B24" i="16"/>
  <c r="C24" i="16" s="1"/>
  <c r="B35" i="16"/>
  <c r="C35" i="16" s="1"/>
  <c r="B23" i="16"/>
  <c r="C23" i="16" s="1"/>
  <c r="B30" i="16"/>
  <c r="C30" i="16" s="1"/>
  <c r="B32" i="16"/>
  <c r="B33" i="16"/>
  <c r="B39" i="16"/>
  <c r="B36" i="16"/>
  <c r="C36" i="16" s="1"/>
  <c r="B38" i="16"/>
  <c r="C38" i="16" s="1"/>
  <c r="B20" i="16"/>
  <c r="C20" i="16" s="1"/>
  <c r="B26" i="16"/>
  <c r="C26" i="16" s="1"/>
  <c r="B28" i="16"/>
  <c r="C28" i="16" s="1"/>
  <c r="B25" i="16"/>
  <c r="B29" i="16"/>
  <c r="C29" i="16" s="1"/>
  <c r="B16" i="16"/>
  <c r="C16" i="16" s="1"/>
  <c r="B40" i="16"/>
  <c r="C40" i="16" s="1"/>
  <c r="B27" i="16"/>
  <c r="C27" i="16" s="1"/>
  <c r="B37" i="16"/>
  <c r="C37" i="16" s="1"/>
  <c r="B13" i="16"/>
  <c r="C13" i="16" s="1"/>
  <c r="B10" i="16"/>
  <c r="C10" i="16" s="1"/>
  <c r="B40" i="15"/>
  <c r="B8" i="15"/>
  <c r="B9" i="15"/>
  <c r="C9" i="15" s="1"/>
  <c r="B38" i="15"/>
  <c r="C38" i="15" s="1"/>
  <c r="B20" i="15"/>
  <c r="B7" i="15"/>
  <c r="B35" i="15"/>
  <c r="B36" i="15"/>
  <c r="B32" i="15"/>
  <c r="B26" i="15"/>
  <c r="C26" i="15" s="1"/>
  <c r="B16" i="15"/>
  <c r="C16" i="15" s="1"/>
  <c r="B24" i="15"/>
  <c r="C24" i="15" s="1"/>
  <c r="B10" i="15"/>
  <c r="C10" i="15" s="1"/>
  <c r="B13" i="15"/>
  <c r="C13" i="15" s="1"/>
  <c r="B15" i="15"/>
  <c r="B33" i="15"/>
  <c r="C33" i="15" s="1"/>
  <c r="B27" i="15"/>
  <c r="C27" i="15" s="1"/>
  <c r="B14" i="15"/>
  <c r="C14" i="15" s="1"/>
  <c r="B17" i="15"/>
  <c r="B19" i="15"/>
  <c r="B37" i="15"/>
  <c r="C37" i="15" s="1"/>
  <c r="B28" i="15"/>
  <c r="C28" i="15" s="1"/>
  <c r="B39" i="15"/>
  <c r="C39" i="15" s="1"/>
  <c r="B22" i="15"/>
  <c r="C22" i="15" s="1"/>
  <c r="B30" i="15"/>
  <c r="B12" i="15"/>
  <c r="B18" i="15"/>
  <c r="C18" i="15" s="1"/>
  <c r="B31" i="15"/>
  <c r="C31" i="15" s="1"/>
  <c r="B25" i="15"/>
  <c r="C25" i="15" s="1"/>
  <c r="B23" i="15"/>
  <c r="B21" i="15"/>
  <c r="B29" i="15"/>
  <c r="B34" i="15"/>
  <c r="B11" i="15"/>
  <c r="B16" i="4"/>
  <c r="C16" i="4" s="1"/>
  <c r="B13" i="14"/>
  <c r="C13" i="14" s="1"/>
  <c r="B16" i="14"/>
  <c r="B8" i="14"/>
  <c r="B27" i="14"/>
  <c r="C27" i="14" s="1"/>
  <c r="B20" i="14"/>
  <c r="B23" i="14"/>
  <c r="B28" i="14"/>
  <c r="C28" i="14" s="1"/>
  <c r="B11" i="14"/>
  <c r="B30" i="14"/>
  <c r="C30" i="14" s="1"/>
  <c r="B18" i="14"/>
  <c r="C18" i="14" s="1"/>
  <c r="B15" i="14"/>
  <c r="B17" i="14"/>
  <c r="B21" i="14"/>
  <c r="C21" i="14" s="1"/>
  <c r="B22" i="14"/>
  <c r="B37" i="14"/>
  <c r="C37" i="14" s="1"/>
  <c r="B19" i="14"/>
  <c r="B29" i="14"/>
  <c r="B35" i="14"/>
  <c r="C35" i="14" s="1"/>
  <c r="B33" i="14"/>
  <c r="C33" i="14" s="1"/>
  <c r="B38" i="14"/>
  <c r="C38" i="14" s="1"/>
  <c r="B24" i="14"/>
  <c r="B9" i="14"/>
  <c r="C9" i="14" s="1"/>
  <c r="B39" i="14"/>
  <c r="C39" i="14" s="1"/>
  <c r="B14" i="14"/>
  <c r="B34" i="14"/>
  <c r="B12" i="14"/>
  <c r="B40" i="14"/>
  <c r="B25" i="14"/>
  <c r="B36" i="14"/>
  <c r="C36" i="14" s="1"/>
  <c r="B26" i="14"/>
  <c r="B32" i="14"/>
  <c r="C32" i="14" s="1"/>
  <c r="B10" i="14"/>
  <c r="B7" i="14"/>
  <c r="B31" i="14"/>
  <c r="B21" i="4"/>
  <c r="C21" i="4" s="1"/>
  <c r="B28" i="4"/>
  <c r="C28" i="4" s="1"/>
  <c r="B26" i="4"/>
  <c r="C26" i="4" s="1"/>
  <c r="B14" i="4"/>
  <c r="C14" i="4" s="1"/>
  <c r="B19" i="4"/>
  <c r="C19" i="4" s="1"/>
  <c r="B10" i="4"/>
  <c r="C10" i="4" s="1"/>
  <c r="B35" i="4"/>
  <c r="C35" i="4" s="1"/>
  <c r="B17" i="4"/>
  <c r="C17" i="4" s="1"/>
  <c r="B8" i="4"/>
  <c r="C8" i="4" s="1"/>
  <c r="B29" i="4"/>
  <c r="C29" i="4" s="1"/>
  <c r="B15" i="4"/>
  <c r="C15" i="4" s="1"/>
  <c r="B12" i="4"/>
  <c r="C12" i="4" s="1"/>
  <c r="B25" i="4"/>
  <c r="C25" i="4" s="1"/>
  <c r="B23" i="4"/>
  <c r="C23" i="4" s="1"/>
  <c r="B13" i="4"/>
  <c r="C13" i="4" s="1"/>
  <c r="B32" i="4"/>
  <c r="C32" i="4" s="1"/>
  <c r="B31" i="4"/>
  <c r="C31" i="4" s="1"/>
  <c r="B30" i="4"/>
  <c r="C30" i="4" s="1"/>
  <c r="B18" i="4"/>
  <c r="C18" i="4" s="1"/>
  <c r="B22" i="4"/>
  <c r="C22" i="4" s="1"/>
  <c r="B27" i="4"/>
  <c r="C27" i="4" s="1"/>
  <c r="B24" i="4"/>
  <c r="C24" i="4" s="1"/>
  <c r="B9" i="4"/>
  <c r="C9" i="4" s="1"/>
  <c r="B34" i="4"/>
  <c r="C34" i="4" s="1"/>
  <c r="B11" i="4"/>
  <c r="C11" i="4" s="1"/>
  <c r="B33" i="4"/>
  <c r="C33" i="4" s="1"/>
  <c r="B7" i="4"/>
  <c r="C7" i="4" s="1"/>
  <c r="B20" i="4"/>
  <c r="C20" i="4" s="1"/>
  <c r="B38" i="4"/>
  <c r="C38" i="4" s="1"/>
  <c r="B36" i="4"/>
  <c r="C36" i="4" s="1"/>
  <c r="B37" i="4"/>
  <c r="C37" i="4" s="1"/>
  <c r="B39" i="4"/>
  <c r="C39" i="4" s="1"/>
  <c r="B40" i="4"/>
  <c r="C40" i="4" s="1"/>
  <c r="D10" i="18"/>
  <c r="D11" i="18"/>
  <c r="J8" i="2"/>
  <c r="I8" i="2"/>
  <c r="L8" i="2"/>
  <c r="K8" i="2"/>
  <c r="H8" i="2"/>
  <c r="G8" i="2"/>
  <c r="F8" i="2"/>
  <c r="C5" i="2"/>
  <c r="E8" i="2"/>
  <c r="C8" i="2"/>
  <c r="F8" i="8" l="1"/>
  <c r="G8" i="8" s="1"/>
  <c r="C31" i="8"/>
  <c r="E31" i="8"/>
  <c r="F31" i="8" s="1"/>
  <c r="G31" i="8" s="1"/>
  <c r="C22" i="8"/>
  <c r="E22" i="8"/>
  <c r="F22" i="8" s="1"/>
  <c r="C23" i="8"/>
  <c r="E23" i="8"/>
  <c r="F23" i="8" s="1"/>
  <c r="D40" i="16"/>
  <c r="E40" i="16" s="1"/>
  <c r="C38" i="8"/>
  <c r="E38" i="8"/>
  <c r="F38" i="8" s="1"/>
  <c r="G38" i="8" s="1"/>
  <c r="C40" i="8"/>
  <c r="E40" i="8"/>
  <c r="F40" i="8" s="1"/>
  <c r="C13" i="8"/>
  <c r="E13" i="8"/>
  <c r="F13" i="8" s="1"/>
  <c r="G13" i="8" s="1"/>
  <c r="C24" i="8"/>
  <c r="E24" i="8"/>
  <c r="F24" i="8" s="1"/>
  <c r="G24" i="8" s="1"/>
  <c r="F7" i="8"/>
  <c r="C34" i="8"/>
  <c r="E34" i="8"/>
  <c r="F34" i="8" s="1"/>
  <c r="G34" i="8" s="1"/>
  <c r="C26" i="8"/>
  <c r="E26" i="8"/>
  <c r="F26" i="8" s="1"/>
  <c r="C9" i="8"/>
  <c r="E9" i="8"/>
  <c r="F9" i="8" s="1"/>
  <c r="C11" i="8"/>
  <c r="E11" i="8"/>
  <c r="F11" i="8" s="1"/>
  <c r="C30" i="8"/>
  <c r="E30" i="8"/>
  <c r="F30" i="8" s="1"/>
  <c r="C28" i="8"/>
  <c r="E28" i="8"/>
  <c r="F28" i="8" s="1"/>
  <c r="C32" i="8"/>
  <c r="E32" i="8"/>
  <c r="F32" i="8" s="1"/>
  <c r="C18" i="8"/>
  <c r="E18" i="8"/>
  <c r="F18" i="8" s="1"/>
  <c r="C29" i="8"/>
  <c r="E29" i="8"/>
  <c r="F29" i="8" s="1"/>
  <c r="C10" i="8"/>
  <c r="E10" i="8"/>
  <c r="F10" i="8" s="1"/>
  <c r="G10" i="8" s="1"/>
  <c r="D18" i="20"/>
  <c r="E18" i="20" s="1"/>
  <c r="D16" i="16"/>
  <c r="E16" i="16" s="1"/>
  <c r="D35" i="20"/>
  <c r="E35" i="20" s="1"/>
  <c r="D29" i="17"/>
  <c r="E29" i="17" s="1"/>
  <c r="D19" i="17"/>
  <c r="E19" i="17" s="1"/>
  <c r="D14" i="15"/>
  <c r="E14" i="15" s="1"/>
  <c r="D24" i="20"/>
  <c r="E24" i="20" s="1"/>
  <c r="D39" i="14"/>
  <c r="E39" i="14" s="1"/>
  <c r="C15" i="9"/>
  <c r="N15" i="9"/>
  <c r="I15" i="9"/>
  <c r="D15" i="9"/>
  <c r="S15" i="9"/>
  <c r="C19" i="9"/>
  <c r="D19" i="9"/>
  <c r="S19" i="9"/>
  <c r="N19" i="9"/>
  <c r="I19" i="9"/>
  <c r="C29" i="9"/>
  <c r="I29" i="9"/>
  <c r="D29" i="9"/>
  <c r="S29" i="9"/>
  <c r="N29" i="9"/>
  <c r="C39" i="9"/>
  <c r="N39" i="9"/>
  <c r="I39" i="9"/>
  <c r="D39" i="9"/>
  <c r="S39" i="9"/>
  <c r="D32" i="14"/>
  <c r="E32" i="14" s="1"/>
  <c r="C40" i="9"/>
  <c r="S40" i="9"/>
  <c r="N40" i="9"/>
  <c r="I40" i="9"/>
  <c r="D40" i="9"/>
  <c r="C9" i="9"/>
  <c r="S9" i="9"/>
  <c r="I9" i="9"/>
  <c r="N9" i="9"/>
  <c r="D9" i="9"/>
  <c r="M9" i="2"/>
  <c r="N9" i="2"/>
  <c r="O9" i="2"/>
  <c r="D37" i="14"/>
  <c r="E37" i="14" s="1"/>
  <c r="C37" i="9"/>
  <c r="I37" i="9"/>
  <c r="S37" i="9"/>
  <c r="D37" i="9"/>
  <c r="N37" i="9"/>
  <c r="C20" i="9"/>
  <c r="I20" i="9"/>
  <c r="S20" i="9"/>
  <c r="D20" i="9"/>
  <c r="N20" i="9"/>
  <c r="C22" i="9"/>
  <c r="N22" i="9"/>
  <c r="I22" i="9"/>
  <c r="D22" i="9"/>
  <c r="S22" i="9"/>
  <c r="C11" i="9"/>
  <c r="D11" i="9"/>
  <c r="S11" i="9"/>
  <c r="N11" i="9"/>
  <c r="I11" i="9"/>
  <c r="C36" i="9"/>
  <c r="I36" i="9"/>
  <c r="S36" i="9"/>
  <c r="D36" i="9"/>
  <c r="N36" i="9"/>
  <c r="C34" i="9"/>
  <c r="D34" i="9"/>
  <c r="N34" i="9"/>
  <c r="S34" i="9"/>
  <c r="I34" i="9"/>
  <c r="D7" i="17"/>
  <c r="E7" i="17" s="1"/>
  <c r="C12" i="9"/>
  <c r="I12" i="9"/>
  <c r="D12" i="9"/>
  <c r="S12" i="9"/>
  <c r="N12" i="9"/>
  <c r="C10" i="9"/>
  <c r="D10" i="9"/>
  <c r="S10" i="9"/>
  <c r="N10" i="9"/>
  <c r="I10" i="9"/>
  <c r="C26" i="9"/>
  <c r="D26" i="9"/>
  <c r="S26" i="9"/>
  <c r="N26" i="9"/>
  <c r="I26" i="9"/>
  <c r="C31" i="9"/>
  <c r="N31" i="9"/>
  <c r="I31" i="9"/>
  <c r="S31" i="9"/>
  <c r="D31" i="9"/>
  <c r="D14" i="20"/>
  <c r="E14" i="20" s="1"/>
  <c r="C13" i="9"/>
  <c r="I13" i="9"/>
  <c r="D13" i="9"/>
  <c r="S13" i="9"/>
  <c r="N13" i="9"/>
  <c r="C30" i="9"/>
  <c r="N30" i="9"/>
  <c r="D30" i="9"/>
  <c r="I30" i="9"/>
  <c r="S30" i="9"/>
  <c r="C27" i="9"/>
  <c r="D27" i="9"/>
  <c r="N27" i="9"/>
  <c r="S27" i="9"/>
  <c r="I27" i="9"/>
  <c r="C24" i="9"/>
  <c r="S24" i="9"/>
  <c r="N24" i="9"/>
  <c r="I24" i="9"/>
  <c r="D24" i="9"/>
  <c r="C8" i="9"/>
  <c r="S8" i="9"/>
  <c r="N8" i="9"/>
  <c r="I8" i="9"/>
  <c r="D8" i="9"/>
  <c r="C32" i="9"/>
  <c r="S32" i="9"/>
  <c r="I32" i="9"/>
  <c r="N32" i="9"/>
  <c r="D32" i="9"/>
  <c r="C23" i="9"/>
  <c r="N23" i="9"/>
  <c r="I23" i="9"/>
  <c r="S23" i="9"/>
  <c r="D23" i="9"/>
  <c r="C18" i="9"/>
  <c r="D18" i="9"/>
  <c r="N18" i="9"/>
  <c r="S18" i="9"/>
  <c r="I18" i="9"/>
  <c r="C25" i="9"/>
  <c r="S25" i="9"/>
  <c r="I25" i="9"/>
  <c r="N25" i="9"/>
  <c r="D25" i="9"/>
  <c r="C7" i="9"/>
  <c r="S7" i="9"/>
  <c r="I7" i="9"/>
  <c r="N7" i="9"/>
  <c r="D7" i="9"/>
  <c r="D21" i="17"/>
  <c r="E21" i="17" s="1"/>
  <c r="C17" i="9"/>
  <c r="S17" i="9"/>
  <c r="N17" i="9"/>
  <c r="I17" i="9"/>
  <c r="D17" i="9"/>
  <c r="C33" i="9"/>
  <c r="S33" i="9"/>
  <c r="N33" i="9"/>
  <c r="I33" i="9"/>
  <c r="D33" i="9"/>
  <c r="C28" i="9"/>
  <c r="I28" i="9"/>
  <c r="D28" i="9"/>
  <c r="S28" i="9"/>
  <c r="N28" i="9"/>
  <c r="C14" i="9"/>
  <c r="N14" i="9"/>
  <c r="D14" i="9"/>
  <c r="I14" i="9"/>
  <c r="S14" i="9"/>
  <c r="D26" i="15"/>
  <c r="E26" i="15" s="1"/>
  <c r="D15" i="20"/>
  <c r="E15" i="20" s="1"/>
  <c r="C35" i="9"/>
  <c r="D35" i="9"/>
  <c r="S35" i="9"/>
  <c r="N35" i="9"/>
  <c r="I35" i="9"/>
  <c r="C21" i="9"/>
  <c r="I21" i="9"/>
  <c r="S21" i="9"/>
  <c r="D21" i="9"/>
  <c r="N21" i="9"/>
  <c r="C38" i="9"/>
  <c r="N38" i="9"/>
  <c r="I38" i="9"/>
  <c r="D38" i="9"/>
  <c r="S38" i="9"/>
  <c r="C16" i="9"/>
  <c r="S16" i="9"/>
  <c r="I16" i="9"/>
  <c r="N16" i="9"/>
  <c r="D16" i="9"/>
  <c r="D24" i="14"/>
  <c r="C24" i="14"/>
  <c r="D25" i="14"/>
  <c r="C25" i="14"/>
  <c r="D17" i="14"/>
  <c r="C17" i="14"/>
  <c r="C37" i="8"/>
  <c r="H37" i="8" s="1"/>
  <c r="C20" i="8"/>
  <c r="H20" i="8" s="1"/>
  <c r="D28" i="14"/>
  <c r="E28" i="14" s="1"/>
  <c r="D40" i="14"/>
  <c r="C40" i="14"/>
  <c r="D15" i="14"/>
  <c r="C15" i="14"/>
  <c r="D8" i="14"/>
  <c r="C8" i="14"/>
  <c r="C8" i="8"/>
  <c r="H8" i="8" s="1"/>
  <c r="D12" i="14"/>
  <c r="C12" i="14"/>
  <c r="C25" i="8"/>
  <c r="H25" i="8" s="1"/>
  <c r="C7" i="8"/>
  <c r="D7" i="14"/>
  <c r="C7" i="14"/>
  <c r="D34" i="14"/>
  <c r="C34" i="14"/>
  <c r="D29" i="14"/>
  <c r="C29" i="14"/>
  <c r="C17" i="8"/>
  <c r="H17" i="8" s="1"/>
  <c r="C33" i="8"/>
  <c r="H33" i="8" s="1"/>
  <c r="C27" i="8"/>
  <c r="H27" i="8" s="1"/>
  <c r="C14" i="8"/>
  <c r="H14" i="8" s="1"/>
  <c r="D10" i="14"/>
  <c r="C10" i="14"/>
  <c r="D14" i="14"/>
  <c r="C14" i="14"/>
  <c r="D19" i="14"/>
  <c r="C19" i="14"/>
  <c r="D11" i="14"/>
  <c r="C11" i="14"/>
  <c r="C35" i="8"/>
  <c r="H35" i="8" s="1"/>
  <c r="C21" i="8"/>
  <c r="H21" i="8" s="1"/>
  <c r="C15" i="8"/>
  <c r="H15" i="8" s="1"/>
  <c r="D20" i="14"/>
  <c r="C20" i="14"/>
  <c r="D31" i="14"/>
  <c r="C31" i="14"/>
  <c r="D16" i="14"/>
  <c r="C16" i="14"/>
  <c r="D37" i="20"/>
  <c r="E37" i="20" s="1"/>
  <c r="C16" i="8"/>
  <c r="H16" i="8" s="1"/>
  <c r="C36" i="8"/>
  <c r="H36" i="8" s="1"/>
  <c r="C19" i="8"/>
  <c r="H19" i="8" s="1"/>
  <c r="D26" i="14"/>
  <c r="C26" i="14"/>
  <c r="D22" i="14"/>
  <c r="C22" i="14"/>
  <c r="D23" i="14"/>
  <c r="C23" i="14"/>
  <c r="C12" i="8"/>
  <c r="H12" i="8" s="1"/>
  <c r="C39" i="8"/>
  <c r="H39" i="8" s="1"/>
  <c r="D7" i="18"/>
  <c r="C7" i="18"/>
  <c r="D9" i="18"/>
  <c r="E9" i="18" s="1"/>
  <c r="D36" i="18"/>
  <c r="E36" i="18" s="1"/>
  <c r="D31" i="18"/>
  <c r="C31" i="18"/>
  <c r="D16" i="18"/>
  <c r="C16" i="18"/>
  <c r="D39" i="18"/>
  <c r="C39" i="18"/>
  <c r="D30" i="18"/>
  <c r="E30" i="18" s="1"/>
  <c r="D14" i="18"/>
  <c r="C14" i="18"/>
  <c r="D40" i="18"/>
  <c r="C40" i="18"/>
  <c r="D28" i="18"/>
  <c r="E28" i="18" s="1"/>
  <c r="D32" i="18"/>
  <c r="C32" i="18"/>
  <c r="D18" i="18"/>
  <c r="C18" i="18"/>
  <c r="D15" i="18"/>
  <c r="E15" i="18" s="1"/>
  <c r="D23" i="18"/>
  <c r="C23" i="18"/>
  <c r="D24" i="18"/>
  <c r="C24" i="18"/>
  <c r="D21" i="20"/>
  <c r="C21" i="20"/>
  <c r="D36" i="20"/>
  <c r="C36" i="20"/>
  <c r="D11" i="20"/>
  <c r="C11" i="20"/>
  <c r="D38" i="20"/>
  <c r="E38" i="20" s="1"/>
  <c r="D40" i="20"/>
  <c r="C40" i="20"/>
  <c r="D22" i="20"/>
  <c r="E22" i="20" s="1"/>
  <c r="D30" i="20"/>
  <c r="C30" i="20"/>
  <c r="D12" i="20"/>
  <c r="C12" i="20"/>
  <c r="D8" i="20"/>
  <c r="C8" i="20"/>
  <c r="D32" i="20"/>
  <c r="E32" i="20" s="1"/>
  <c r="D9" i="20"/>
  <c r="C9" i="20"/>
  <c r="D31" i="20"/>
  <c r="E31" i="20" s="1"/>
  <c r="D26" i="20"/>
  <c r="C26" i="20"/>
  <c r="D28" i="20"/>
  <c r="C28" i="20"/>
  <c r="D13" i="20"/>
  <c r="C13" i="20"/>
  <c r="D30" i="19"/>
  <c r="C30" i="19"/>
  <c r="D36" i="19"/>
  <c r="C36" i="19"/>
  <c r="D23" i="19"/>
  <c r="C23" i="19"/>
  <c r="D31" i="19"/>
  <c r="C31" i="19"/>
  <c r="D18" i="19"/>
  <c r="C18" i="19"/>
  <c r="D24" i="19"/>
  <c r="C24" i="19"/>
  <c r="D32" i="19"/>
  <c r="C32" i="19"/>
  <c r="D40" i="19"/>
  <c r="C40" i="19"/>
  <c r="D19" i="19"/>
  <c r="C19" i="19"/>
  <c r="D26" i="19"/>
  <c r="C26" i="19"/>
  <c r="D17" i="19"/>
  <c r="C17" i="19"/>
  <c r="D10" i="19"/>
  <c r="C10" i="19"/>
  <c r="D25" i="19"/>
  <c r="C25" i="19"/>
  <c r="D7" i="19"/>
  <c r="C7" i="19"/>
  <c r="D8" i="19"/>
  <c r="C8" i="19"/>
  <c r="D33" i="19"/>
  <c r="C33" i="19"/>
  <c r="D11" i="19"/>
  <c r="C11" i="19"/>
  <c r="D37" i="19"/>
  <c r="C37" i="19"/>
  <c r="D22" i="19"/>
  <c r="C22" i="19"/>
  <c r="D15" i="19"/>
  <c r="C15" i="19"/>
  <c r="D38" i="19"/>
  <c r="C38" i="19"/>
  <c r="D16" i="19"/>
  <c r="C16" i="19"/>
  <c r="D27" i="19"/>
  <c r="C27" i="19"/>
  <c r="D34" i="19"/>
  <c r="C34" i="19"/>
  <c r="D12" i="19"/>
  <c r="C12" i="19"/>
  <c r="D39" i="19"/>
  <c r="C39" i="19"/>
  <c r="D20" i="19"/>
  <c r="C20" i="19"/>
  <c r="D28" i="19"/>
  <c r="C28" i="19"/>
  <c r="D35" i="19"/>
  <c r="C35" i="19"/>
  <c r="D13" i="19"/>
  <c r="C13" i="19"/>
  <c r="D21" i="19"/>
  <c r="C21" i="19"/>
  <c r="D29" i="19"/>
  <c r="C29" i="19"/>
  <c r="D9" i="19"/>
  <c r="C9" i="19"/>
  <c r="D14" i="19"/>
  <c r="C14" i="19"/>
  <c r="D17" i="17"/>
  <c r="C17" i="17"/>
  <c r="D23" i="17"/>
  <c r="E23" i="17" s="1"/>
  <c r="D22" i="17"/>
  <c r="E22" i="17" s="1"/>
  <c r="D28" i="17"/>
  <c r="E28" i="17" s="1"/>
  <c r="D35" i="17"/>
  <c r="E35" i="17" s="1"/>
  <c r="D14" i="17"/>
  <c r="E14" i="17" s="1"/>
  <c r="D12" i="17"/>
  <c r="E12" i="17" s="1"/>
  <c r="D10" i="16"/>
  <c r="E10" i="16" s="1"/>
  <c r="D14" i="16"/>
  <c r="C14" i="16"/>
  <c r="D12" i="16"/>
  <c r="E12" i="16" s="1"/>
  <c r="D17" i="16"/>
  <c r="C17" i="16"/>
  <c r="D8" i="16"/>
  <c r="E8" i="16" s="1"/>
  <c r="D39" i="16"/>
  <c r="C39" i="16"/>
  <c r="D34" i="16"/>
  <c r="C34" i="16"/>
  <c r="D30" i="16"/>
  <c r="E30" i="16" s="1"/>
  <c r="D33" i="16"/>
  <c r="C33" i="16"/>
  <c r="D28" i="16"/>
  <c r="E28" i="16" s="1"/>
  <c r="D25" i="16"/>
  <c r="C25" i="16"/>
  <c r="D32" i="16"/>
  <c r="C32" i="16"/>
  <c r="D22" i="16"/>
  <c r="C22" i="16"/>
  <c r="D15" i="15"/>
  <c r="C15" i="15"/>
  <c r="D35" i="15"/>
  <c r="C35" i="15"/>
  <c r="D23" i="15"/>
  <c r="C23" i="15"/>
  <c r="D7" i="15"/>
  <c r="C7" i="15"/>
  <c r="D20" i="15"/>
  <c r="C20" i="15"/>
  <c r="D19" i="15"/>
  <c r="C19" i="15"/>
  <c r="D29" i="15"/>
  <c r="C29" i="15"/>
  <c r="D36" i="15"/>
  <c r="C36" i="15"/>
  <c r="D21" i="15"/>
  <c r="C21" i="15"/>
  <c r="D17" i="15"/>
  <c r="C17" i="15"/>
  <c r="D33" i="15"/>
  <c r="E33" i="15" s="1"/>
  <c r="D11" i="15"/>
  <c r="C11" i="15"/>
  <c r="D12" i="15"/>
  <c r="C12" i="15"/>
  <c r="D8" i="15"/>
  <c r="C8" i="15"/>
  <c r="D18" i="15"/>
  <c r="E18" i="15" s="1"/>
  <c r="D34" i="15"/>
  <c r="C34" i="15"/>
  <c r="D30" i="15"/>
  <c r="C30" i="15"/>
  <c r="D32" i="15"/>
  <c r="C32" i="15"/>
  <c r="D40" i="15"/>
  <c r="C40" i="15"/>
  <c r="D31" i="17"/>
  <c r="E9" i="2"/>
  <c r="P9" i="2"/>
  <c r="G9" i="2"/>
  <c r="H9" i="2"/>
  <c r="I9" i="2"/>
  <c r="F9" i="2"/>
  <c r="C9" i="2"/>
  <c r="J9" i="2"/>
  <c r="K9" i="2"/>
  <c r="D9" i="2"/>
  <c r="L9" i="2"/>
  <c r="D27" i="15"/>
  <c r="E27" i="15" s="1"/>
  <c r="D11" i="16"/>
  <c r="E11" i="16" s="1"/>
  <c r="D17" i="20"/>
  <c r="E17" i="20" s="1"/>
  <c r="D19" i="18"/>
  <c r="E19" i="18" s="1"/>
  <c r="D35" i="16"/>
  <c r="E35" i="16" s="1"/>
  <c r="D29" i="18"/>
  <c r="E29" i="18" s="1"/>
  <c r="D15" i="16"/>
  <c r="E15" i="16" s="1"/>
  <c r="D26" i="17"/>
  <c r="E26" i="17" s="1"/>
  <c r="D40" i="17"/>
  <c r="E40" i="17" s="1"/>
  <c r="D9" i="14"/>
  <c r="E9" i="14" s="1"/>
  <c r="D36" i="17"/>
  <c r="E36" i="17" s="1"/>
  <c r="D39" i="15"/>
  <c r="E39" i="15" s="1"/>
  <c r="D38" i="14"/>
  <c r="E38" i="14" s="1"/>
  <c r="D27" i="14"/>
  <c r="E27" i="14" s="1"/>
  <c r="D19" i="20"/>
  <c r="E19" i="20" s="1"/>
  <c r="D17" i="18"/>
  <c r="E17" i="18" s="1"/>
  <c r="D21" i="16"/>
  <c r="E21" i="16" s="1"/>
  <c r="D28" i="15"/>
  <c r="E28" i="15" s="1"/>
  <c r="D39" i="20"/>
  <c r="E39" i="20" s="1"/>
  <c r="D23" i="16"/>
  <c r="E23" i="16" s="1"/>
  <c r="D16" i="17"/>
  <c r="E16" i="17" s="1"/>
  <c r="D36" i="14"/>
  <c r="E36" i="14" s="1"/>
  <c r="D26" i="16"/>
  <c r="E26" i="16" s="1"/>
  <c r="D33" i="14"/>
  <c r="E33" i="14" s="1"/>
  <c r="D9" i="16"/>
  <c r="E9" i="16" s="1"/>
  <c r="D16" i="20"/>
  <c r="E16" i="20" s="1"/>
  <c r="D38" i="18"/>
  <c r="E38" i="18" s="1"/>
  <c r="D26" i="18"/>
  <c r="E26" i="18" s="1"/>
  <c r="D12" i="18"/>
  <c r="E12" i="18" s="1"/>
  <c r="D32" i="17"/>
  <c r="E32" i="17" s="1"/>
  <c r="D39" i="17"/>
  <c r="E39" i="17" s="1"/>
  <c r="D18" i="17"/>
  <c r="E18" i="17" s="1"/>
  <c r="D13" i="16"/>
  <c r="E13" i="16" s="1"/>
  <c r="D7" i="16"/>
  <c r="E7" i="16" s="1"/>
  <c r="D13" i="15"/>
  <c r="E13" i="15" s="1"/>
  <c r="D27" i="20"/>
  <c r="E27" i="20" s="1"/>
  <c r="D21" i="18"/>
  <c r="E21" i="18" s="1"/>
  <c r="D24" i="16"/>
  <c r="E24" i="16" s="1"/>
  <c r="D22" i="15"/>
  <c r="E22" i="15" s="1"/>
  <c r="D13" i="18"/>
  <c r="E13" i="18" s="1"/>
  <c r="D13" i="14"/>
  <c r="E13" i="14" s="1"/>
  <c r="D29" i="20"/>
  <c r="E29" i="20" s="1"/>
  <c r="D20" i="20"/>
  <c r="E20" i="20" s="1"/>
  <c r="D35" i="18"/>
  <c r="E35" i="18" s="1"/>
  <c r="D19" i="16"/>
  <c r="E19" i="16" s="1"/>
  <c r="D21" i="14"/>
  <c r="E21" i="14" s="1"/>
  <c r="D25" i="20"/>
  <c r="E25" i="20" s="1"/>
  <c r="D33" i="18"/>
  <c r="E33" i="18" s="1"/>
  <c r="D22" i="18"/>
  <c r="E22" i="18" s="1"/>
  <c r="C3" i="17"/>
  <c r="C3" i="21"/>
  <c r="D11" i="17"/>
  <c r="E11" i="17" s="1"/>
  <c r="D37" i="15"/>
  <c r="E37" i="15" s="1"/>
  <c r="D38" i="16"/>
  <c r="E38" i="16" s="1"/>
  <c r="D25" i="17"/>
  <c r="E25" i="17" s="1"/>
  <c r="D37" i="17"/>
  <c r="E37" i="17" s="1"/>
  <c r="D25" i="15"/>
  <c r="E25" i="15" s="1"/>
  <c r="D27" i="18"/>
  <c r="E27" i="18" s="1"/>
  <c r="D20" i="18"/>
  <c r="E20" i="18" s="1"/>
  <c r="D10" i="17"/>
  <c r="E10" i="17" s="1"/>
  <c r="D27" i="16"/>
  <c r="E27" i="16" s="1"/>
  <c r="D30" i="17"/>
  <c r="E30" i="17" s="1"/>
  <c r="D15" i="17"/>
  <c r="E15" i="17" s="1"/>
  <c r="D31" i="15"/>
  <c r="E31" i="15" s="1"/>
  <c r="D16" i="15"/>
  <c r="E16" i="15" s="1"/>
  <c r="D9" i="15"/>
  <c r="E9" i="15" s="1"/>
  <c r="D24" i="15"/>
  <c r="E24" i="15" s="1"/>
  <c r="D7" i="20"/>
  <c r="E7" i="20" s="1"/>
  <c r="D34" i="20"/>
  <c r="E34" i="20" s="1"/>
  <c r="D23" i="20"/>
  <c r="E23" i="20" s="1"/>
  <c r="D34" i="18"/>
  <c r="E34" i="18" s="1"/>
  <c r="D25" i="18"/>
  <c r="E25" i="18" s="1"/>
  <c r="D34" i="17"/>
  <c r="E34" i="17" s="1"/>
  <c r="D33" i="17"/>
  <c r="E33" i="17" s="1"/>
  <c r="D27" i="17"/>
  <c r="E27" i="17" s="1"/>
  <c r="D10" i="15"/>
  <c r="D37" i="16"/>
  <c r="E37" i="16" s="1"/>
  <c r="D38" i="15"/>
  <c r="E38" i="15" s="1"/>
  <c r="D10" i="20"/>
  <c r="E10" i="20" s="1"/>
  <c r="D37" i="18"/>
  <c r="E37" i="18" s="1"/>
  <c r="D29" i="16"/>
  <c r="E29" i="16" s="1"/>
  <c r="D20" i="16"/>
  <c r="E20" i="16" s="1"/>
  <c r="D18" i="16"/>
  <c r="E18" i="16" s="1"/>
  <c r="D8" i="18"/>
  <c r="E8" i="18" s="1"/>
  <c r="D35" i="14"/>
  <c r="E35" i="14" s="1"/>
  <c r="D18" i="14"/>
  <c r="E18" i="14" s="1"/>
  <c r="D36" i="16"/>
  <c r="E36" i="16" s="1"/>
  <c r="D31" i="16"/>
  <c r="E31" i="16" s="1"/>
  <c r="D8" i="17"/>
  <c r="E8" i="17" s="1"/>
  <c r="D20" i="17"/>
  <c r="E20" i="17" s="1"/>
  <c r="D9" i="17"/>
  <c r="E9" i="17" s="1"/>
  <c r="D38" i="17"/>
  <c r="E38" i="17" s="1"/>
  <c r="D13" i="17"/>
  <c r="E13" i="17" s="1"/>
  <c r="C3" i="18"/>
  <c r="E24" i="17"/>
  <c r="Q8" i="2"/>
  <c r="C3" i="8"/>
  <c r="C3" i="4"/>
  <c r="C2" i="9"/>
  <c r="C3" i="9" s="1"/>
  <c r="C3" i="14"/>
  <c r="C45" i="1"/>
  <c r="D30" i="14"/>
  <c r="E30" i="14" s="1"/>
  <c r="D33" i="20"/>
  <c r="E33" i="20" s="1"/>
  <c r="C41" i="4"/>
  <c r="D39" i="4" s="1"/>
  <c r="E10" i="18"/>
  <c r="C3" i="16"/>
  <c r="C3" i="15"/>
  <c r="C3" i="20"/>
  <c r="C3" i="19"/>
  <c r="E11" i="18"/>
  <c r="D41" i="19" l="1"/>
  <c r="H38" i="8"/>
  <c r="H40" i="8"/>
  <c r="H18" i="8"/>
  <c r="H11" i="8"/>
  <c r="H29" i="8"/>
  <c r="H30" i="8"/>
  <c r="H34" i="8"/>
  <c r="H31" i="8"/>
  <c r="H9" i="8"/>
  <c r="H23" i="8"/>
  <c r="H10" i="8"/>
  <c r="H28" i="8"/>
  <c r="H26" i="8"/>
  <c r="H13" i="8"/>
  <c r="H22" i="8"/>
  <c r="H24" i="8"/>
  <c r="H32" i="8"/>
  <c r="H7" i="8"/>
  <c r="E41" i="8"/>
  <c r="F41" i="8" s="1"/>
  <c r="E8" i="14"/>
  <c r="F20" i="9"/>
  <c r="F15" i="9"/>
  <c r="F16" i="9"/>
  <c r="F33" i="9"/>
  <c r="F25" i="9"/>
  <c r="E16" i="18"/>
  <c r="E20" i="14"/>
  <c r="F38" i="9"/>
  <c r="F12" i="9"/>
  <c r="E10" i="14"/>
  <c r="F17" i="9"/>
  <c r="F18" i="9"/>
  <c r="F11" i="9"/>
  <c r="F9" i="9"/>
  <c r="F29" i="9"/>
  <c r="F14" i="9"/>
  <c r="F31" i="9"/>
  <c r="E40" i="15"/>
  <c r="E17" i="15"/>
  <c r="E19" i="15"/>
  <c r="E35" i="15"/>
  <c r="E25" i="16"/>
  <c r="E39" i="16"/>
  <c r="E40" i="14"/>
  <c r="F13" i="9"/>
  <c r="F10" i="9"/>
  <c r="F21" i="9"/>
  <c r="E23" i="14"/>
  <c r="E34" i="15"/>
  <c r="E29" i="15"/>
  <c r="E23" i="15"/>
  <c r="E34" i="16"/>
  <c r="E40" i="20"/>
  <c r="E32" i="18"/>
  <c r="E39" i="18"/>
  <c r="E7" i="18"/>
  <c r="E26" i="14"/>
  <c r="F32" i="9"/>
  <c r="F22" i="9"/>
  <c r="K23" i="9"/>
  <c r="J23" i="9"/>
  <c r="U24" i="9"/>
  <c r="T24" i="9"/>
  <c r="J22" i="9"/>
  <c r="K22" i="9"/>
  <c r="P40" i="9"/>
  <c r="O40" i="9"/>
  <c r="T19" i="9"/>
  <c r="U19" i="9"/>
  <c r="J21" i="9"/>
  <c r="K21" i="9"/>
  <c r="E17" i="9"/>
  <c r="J18" i="9"/>
  <c r="K18" i="9"/>
  <c r="K8" i="9"/>
  <c r="J8" i="9"/>
  <c r="E30" i="9"/>
  <c r="T26" i="9"/>
  <c r="U26" i="9"/>
  <c r="J11" i="9"/>
  <c r="K11" i="9"/>
  <c r="E37" i="9"/>
  <c r="U40" i="9"/>
  <c r="T40" i="9"/>
  <c r="P29" i="9"/>
  <c r="O29" i="9"/>
  <c r="E24" i="14"/>
  <c r="T14" i="9"/>
  <c r="U14" i="9"/>
  <c r="K17" i="9"/>
  <c r="J17" i="9"/>
  <c r="T18" i="9"/>
  <c r="U18" i="9"/>
  <c r="P8" i="9"/>
  <c r="O8" i="9"/>
  <c r="E31" i="9"/>
  <c r="E34" i="9"/>
  <c r="U37" i="9"/>
  <c r="T37" i="9"/>
  <c r="O9" i="9"/>
  <c r="P9" i="9"/>
  <c r="F40" i="9"/>
  <c r="F19" i="9"/>
  <c r="J38" i="9"/>
  <c r="K38" i="9"/>
  <c r="J35" i="9"/>
  <c r="K35" i="9"/>
  <c r="J14" i="9"/>
  <c r="K14" i="9"/>
  <c r="F28" i="9"/>
  <c r="P17" i="9"/>
  <c r="O17" i="9"/>
  <c r="F7" i="9"/>
  <c r="P18" i="9"/>
  <c r="O18" i="9"/>
  <c r="E32" i="9"/>
  <c r="U8" i="9"/>
  <c r="T8" i="9"/>
  <c r="U27" i="9"/>
  <c r="T27" i="9"/>
  <c r="F30" i="9"/>
  <c r="T31" i="9"/>
  <c r="U31" i="9"/>
  <c r="F26" i="9"/>
  <c r="E12" i="9"/>
  <c r="F34" i="9"/>
  <c r="T11" i="9"/>
  <c r="U11" i="9"/>
  <c r="O20" i="9"/>
  <c r="P20" i="9"/>
  <c r="K37" i="9"/>
  <c r="J37" i="9"/>
  <c r="K9" i="9"/>
  <c r="J9" i="9"/>
  <c r="E29" i="9"/>
  <c r="T15" i="9"/>
  <c r="U15" i="9"/>
  <c r="U21" i="9"/>
  <c r="T21" i="9"/>
  <c r="T28" i="9"/>
  <c r="U28" i="9"/>
  <c r="O7" i="9"/>
  <c r="N41" i="9"/>
  <c r="P7" i="9"/>
  <c r="E8" i="9"/>
  <c r="J30" i="9"/>
  <c r="K30" i="9"/>
  <c r="O26" i="9"/>
  <c r="P26" i="9"/>
  <c r="U34" i="9"/>
  <c r="T34" i="9"/>
  <c r="F36" i="9"/>
  <c r="O37" i="9"/>
  <c r="P37" i="9"/>
  <c r="F39" i="9"/>
  <c r="U38" i="9"/>
  <c r="T38" i="9"/>
  <c r="E28" i="9"/>
  <c r="K7" i="9"/>
  <c r="I41" i="9"/>
  <c r="J7" i="9"/>
  <c r="P23" i="9"/>
  <c r="O23" i="9"/>
  <c r="F24" i="9"/>
  <c r="O12" i="9"/>
  <c r="P12" i="9"/>
  <c r="O34" i="9"/>
  <c r="P34" i="9"/>
  <c r="P22" i="9"/>
  <c r="O22" i="9"/>
  <c r="E9" i="9"/>
  <c r="E19" i="9"/>
  <c r="E29" i="14"/>
  <c r="E38" i="9"/>
  <c r="K28" i="9"/>
  <c r="J28" i="9"/>
  <c r="U7" i="9"/>
  <c r="T7" i="9"/>
  <c r="S41" i="9"/>
  <c r="F23" i="9"/>
  <c r="J27" i="9"/>
  <c r="K27" i="9"/>
  <c r="P30" i="9"/>
  <c r="O30" i="9"/>
  <c r="E26" i="9"/>
  <c r="U12" i="9"/>
  <c r="T12" i="9"/>
  <c r="O11" i="9"/>
  <c r="P11" i="9"/>
  <c r="U29" i="9"/>
  <c r="T29" i="9"/>
  <c r="E22" i="14"/>
  <c r="E16" i="14"/>
  <c r="E16" i="9"/>
  <c r="P38" i="9"/>
  <c r="O38" i="9"/>
  <c r="O35" i="9"/>
  <c r="P35" i="9"/>
  <c r="E14" i="9"/>
  <c r="E33" i="9"/>
  <c r="U17" i="9"/>
  <c r="T17" i="9"/>
  <c r="E25" i="9"/>
  <c r="E18" i="9"/>
  <c r="P32" i="9"/>
  <c r="O32" i="9"/>
  <c r="F8" i="9"/>
  <c r="P27" i="9"/>
  <c r="O27" i="9"/>
  <c r="P13" i="9"/>
  <c r="O13" i="9"/>
  <c r="J31" i="9"/>
  <c r="K31" i="9"/>
  <c r="K10" i="9"/>
  <c r="J10" i="9"/>
  <c r="K12" i="9"/>
  <c r="J12" i="9"/>
  <c r="O36" i="9"/>
  <c r="P36" i="9"/>
  <c r="E11" i="9"/>
  <c r="E20" i="9"/>
  <c r="F37" i="9"/>
  <c r="U9" i="9"/>
  <c r="T9" i="9"/>
  <c r="U39" i="9"/>
  <c r="T39" i="9"/>
  <c r="K29" i="9"/>
  <c r="J29" i="9"/>
  <c r="E15" i="9"/>
  <c r="P16" i="9"/>
  <c r="O16" i="9"/>
  <c r="T35" i="9"/>
  <c r="U35" i="9"/>
  <c r="P14" i="9"/>
  <c r="O14" i="9"/>
  <c r="K33" i="9"/>
  <c r="J33" i="9"/>
  <c r="P25" i="9"/>
  <c r="O25" i="9"/>
  <c r="K32" i="9"/>
  <c r="J32" i="9"/>
  <c r="E24" i="9"/>
  <c r="E27" i="9"/>
  <c r="U13" i="9"/>
  <c r="T13" i="9"/>
  <c r="P31" i="9"/>
  <c r="O31" i="9"/>
  <c r="O10" i="9"/>
  <c r="P10" i="9"/>
  <c r="E36" i="9"/>
  <c r="U20" i="9"/>
  <c r="T20" i="9"/>
  <c r="E39" i="9"/>
  <c r="J15" i="9"/>
  <c r="K15" i="9"/>
  <c r="E11" i="14"/>
  <c r="E7" i="14"/>
  <c r="K16" i="9"/>
  <c r="J16" i="9"/>
  <c r="O21" i="9"/>
  <c r="P21" i="9"/>
  <c r="E35" i="9"/>
  <c r="O33" i="9"/>
  <c r="P33" i="9"/>
  <c r="K25" i="9"/>
  <c r="J25" i="9"/>
  <c r="E23" i="9"/>
  <c r="U32" i="9"/>
  <c r="T32" i="9"/>
  <c r="K24" i="9"/>
  <c r="J24" i="9"/>
  <c r="F27" i="9"/>
  <c r="E13" i="9"/>
  <c r="U10" i="9"/>
  <c r="T10" i="9"/>
  <c r="U36" i="9"/>
  <c r="T36" i="9"/>
  <c r="T22" i="9"/>
  <c r="U22" i="9"/>
  <c r="K20" i="9"/>
  <c r="J20" i="9"/>
  <c r="E40" i="9"/>
  <c r="J39" i="9"/>
  <c r="K39" i="9"/>
  <c r="J19" i="9"/>
  <c r="K19" i="9"/>
  <c r="P15" i="9"/>
  <c r="O15" i="9"/>
  <c r="E19" i="14"/>
  <c r="E25" i="14"/>
  <c r="U16" i="9"/>
  <c r="T16" i="9"/>
  <c r="E21" i="9"/>
  <c r="F35" i="9"/>
  <c r="P28" i="9"/>
  <c r="O28" i="9"/>
  <c r="U33" i="9"/>
  <c r="T33" i="9"/>
  <c r="E7" i="9"/>
  <c r="D41" i="9"/>
  <c r="U25" i="9"/>
  <c r="T25" i="9"/>
  <c r="U23" i="9"/>
  <c r="T23" i="9"/>
  <c r="P24" i="9"/>
  <c r="O24" i="9"/>
  <c r="T30" i="9"/>
  <c r="U30" i="9"/>
  <c r="K13" i="9"/>
  <c r="J13" i="9"/>
  <c r="K26" i="9"/>
  <c r="J26" i="9"/>
  <c r="E10" i="9"/>
  <c r="J34" i="9"/>
  <c r="K34" i="9"/>
  <c r="J36" i="9"/>
  <c r="K36" i="9"/>
  <c r="E22" i="9"/>
  <c r="K40" i="9"/>
  <c r="J40" i="9"/>
  <c r="P39" i="9"/>
  <c r="O39" i="9"/>
  <c r="O19" i="9"/>
  <c r="P19" i="9"/>
  <c r="E31" i="14"/>
  <c r="E15" i="14"/>
  <c r="E17" i="17"/>
  <c r="E20" i="19"/>
  <c r="E27" i="19"/>
  <c r="E8" i="19"/>
  <c r="E28" i="20"/>
  <c r="E24" i="18"/>
  <c r="E13" i="19"/>
  <c r="E16" i="19"/>
  <c r="E37" i="19"/>
  <c r="E26" i="19"/>
  <c r="E24" i="19"/>
  <c r="E36" i="19"/>
  <c r="E26" i="20"/>
  <c r="E12" i="20"/>
  <c r="E11" i="20"/>
  <c r="E23" i="18"/>
  <c r="E40" i="18"/>
  <c r="E14" i="14"/>
  <c r="E12" i="14"/>
  <c r="E34" i="14"/>
  <c r="E17" i="14"/>
  <c r="E9" i="19"/>
  <c r="E35" i="19"/>
  <c r="E12" i="19"/>
  <c r="E38" i="19"/>
  <c r="E11" i="19"/>
  <c r="E25" i="19"/>
  <c r="E19" i="19"/>
  <c r="E18" i="19"/>
  <c r="E30" i="19"/>
  <c r="E14" i="18"/>
  <c r="E15" i="19"/>
  <c r="E21" i="20"/>
  <c r="E32" i="15"/>
  <c r="E21" i="15"/>
  <c r="E20" i="15"/>
  <c r="E15" i="15"/>
  <c r="E31" i="18"/>
  <c r="E30" i="15"/>
  <c r="E36" i="15"/>
  <c r="E7" i="15"/>
  <c r="E22" i="16"/>
  <c r="E9" i="20"/>
  <c r="E28" i="19"/>
  <c r="E13" i="20"/>
  <c r="E14" i="19"/>
  <c r="E8" i="15"/>
  <c r="E39" i="19"/>
  <c r="E7" i="19"/>
  <c r="F7" i="19" s="1"/>
  <c r="E33" i="16"/>
  <c r="E17" i="16"/>
  <c r="E30" i="20"/>
  <c r="E36" i="20"/>
  <c r="E11" i="15"/>
  <c r="E29" i="19"/>
  <c r="E34" i="19"/>
  <c r="E33" i="19"/>
  <c r="E10" i="19"/>
  <c r="E40" i="19"/>
  <c r="E31" i="19"/>
  <c r="E18" i="18"/>
  <c r="E32" i="16"/>
  <c r="E14" i="16"/>
  <c r="E21" i="19"/>
  <c r="E22" i="19"/>
  <c r="E32" i="19"/>
  <c r="E23" i="19"/>
  <c r="E8" i="20"/>
  <c r="E12" i="15"/>
  <c r="C4" i="21"/>
  <c r="J8" i="21"/>
  <c r="J9" i="21"/>
  <c r="J10" i="21"/>
  <c r="J11" i="21"/>
  <c r="J7" i="21"/>
  <c r="Q38" i="1"/>
  <c r="Q11" i="1"/>
  <c r="E31" i="17"/>
  <c r="C41" i="17"/>
  <c r="C41" i="15"/>
  <c r="C41" i="18"/>
  <c r="C41" i="14"/>
  <c r="C41" i="16"/>
  <c r="C41" i="19"/>
  <c r="D41" i="15"/>
  <c r="C41" i="8"/>
  <c r="C41" i="9"/>
  <c r="C41" i="20"/>
  <c r="E10" i="15"/>
  <c r="Q41" i="1"/>
  <c r="Q15" i="1"/>
  <c r="Q13" i="1"/>
  <c r="Q31" i="1"/>
  <c r="Q16" i="1"/>
  <c r="Q20" i="1"/>
  <c r="Q19" i="1"/>
  <c r="Q28" i="1"/>
  <c r="Q12" i="1"/>
  <c r="Q17" i="1"/>
  <c r="Q44" i="1"/>
  <c r="Q43" i="1"/>
  <c r="Q23" i="1"/>
  <c r="Q37" i="1"/>
  <c r="Q26" i="1"/>
  <c r="Q40" i="1"/>
  <c r="Q27" i="1"/>
  <c r="Q21" i="1"/>
  <c r="Q25" i="1"/>
  <c r="Q39" i="1"/>
  <c r="Q14" i="1"/>
  <c r="Q34" i="1"/>
  <c r="Q33" i="1"/>
  <c r="Q36" i="1"/>
  <c r="Q30" i="1"/>
  <c r="Q32" i="1"/>
  <c r="Q42" i="1"/>
  <c r="Q22" i="1"/>
  <c r="Q29" i="1"/>
  <c r="Q18" i="1"/>
  <c r="Q24" i="1"/>
  <c r="Q35" i="1"/>
  <c r="E17" i="19"/>
  <c r="D41" i="14"/>
  <c r="D13" i="4"/>
  <c r="D27" i="4"/>
  <c r="D36" i="4"/>
  <c r="D24" i="4"/>
  <c r="D30" i="4"/>
  <c r="D26" i="4"/>
  <c r="D18" i="4"/>
  <c r="D11" i="4"/>
  <c r="D33" i="4"/>
  <c r="D29" i="4"/>
  <c r="D15" i="4"/>
  <c r="D25" i="4"/>
  <c r="D17" i="4"/>
  <c r="D19" i="4"/>
  <c r="D28" i="4"/>
  <c r="D12" i="4"/>
  <c r="D20" i="4"/>
  <c r="D32" i="4"/>
  <c r="D22" i="4"/>
  <c r="D14" i="4"/>
  <c r="D34" i="4"/>
  <c r="D7" i="4"/>
  <c r="D31" i="4"/>
  <c r="D10" i="4"/>
  <c r="D8" i="4"/>
  <c r="D16" i="4"/>
  <c r="D21" i="4"/>
  <c r="D9" i="4"/>
  <c r="D37" i="4"/>
  <c r="D38" i="4"/>
  <c r="D40" i="4"/>
  <c r="D23" i="4"/>
  <c r="D35" i="4"/>
  <c r="H41" i="8" l="1"/>
  <c r="I39" i="8" s="1"/>
  <c r="U41" i="9"/>
  <c r="F41" i="9"/>
  <c r="E41" i="9"/>
  <c r="E41" i="17"/>
  <c r="F25" i="17" s="1"/>
  <c r="J41" i="9"/>
  <c r="P41" i="9"/>
  <c r="O41" i="9"/>
  <c r="E41" i="14"/>
  <c r="F7" i="14" s="1"/>
  <c r="T41" i="9"/>
  <c r="K41" i="9"/>
  <c r="E41" i="18"/>
  <c r="F11" i="18" s="1"/>
  <c r="E41" i="16"/>
  <c r="F8" i="16" s="1"/>
  <c r="E41" i="20"/>
  <c r="F7" i="20" s="1"/>
  <c r="E41" i="15"/>
  <c r="F12" i="15" s="1"/>
  <c r="E17" i="21"/>
  <c r="E25" i="21"/>
  <c r="D15" i="1" s="1"/>
  <c r="E7" i="21"/>
  <c r="D17" i="1" s="1"/>
  <c r="E41" i="21"/>
  <c r="D11" i="1" s="1"/>
  <c r="E34" i="21"/>
  <c r="F34" i="21" s="1"/>
  <c r="E18" i="21"/>
  <c r="D14" i="1" s="1"/>
  <c r="E38" i="21"/>
  <c r="D12" i="1" s="1"/>
  <c r="E19" i="21"/>
  <c r="D13" i="1" s="1"/>
  <c r="E31" i="21"/>
  <c r="D16" i="1" s="1"/>
  <c r="E28" i="21"/>
  <c r="D37" i="1" s="1"/>
  <c r="E36" i="21"/>
  <c r="D31" i="1" s="1"/>
  <c r="E8" i="21"/>
  <c r="D34" i="1" s="1"/>
  <c r="E33" i="21"/>
  <c r="D32" i="1" s="1"/>
  <c r="E42" i="21"/>
  <c r="D35" i="1" s="1"/>
  <c r="E23" i="21"/>
  <c r="D33" i="1" s="1"/>
  <c r="E16" i="21"/>
  <c r="D36" i="1" s="1"/>
  <c r="E9" i="21"/>
  <c r="D42" i="1" s="1"/>
  <c r="E32" i="21"/>
  <c r="D44" i="1" s="1"/>
  <c r="E40" i="21"/>
  <c r="D43" i="1" s="1"/>
  <c r="E26" i="21"/>
  <c r="D41" i="1" s="1"/>
  <c r="E30" i="21"/>
  <c r="D40" i="1" s="1"/>
  <c r="E21" i="21"/>
  <c r="D39" i="1" s="1"/>
  <c r="E15" i="21"/>
  <c r="D38" i="1" s="1"/>
  <c r="E10" i="21"/>
  <c r="D26" i="1" s="1"/>
  <c r="E11" i="21"/>
  <c r="D28" i="1" s="1"/>
  <c r="E39" i="21"/>
  <c r="F39" i="21" s="1"/>
  <c r="E20" i="21"/>
  <c r="D21" i="1" s="1"/>
  <c r="E14" i="21"/>
  <c r="D19" i="1" s="1"/>
  <c r="E24" i="21"/>
  <c r="D30" i="1" s="1"/>
  <c r="E29" i="21"/>
  <c r="D25" i="1" s="1"/>
  <c r="E37" i="21"/>
  <c r="D23" i="1" s="1"/>
  <c r="E12" i="21"/>
  <c r="D29" i="1" s="1"/>
  <c r="E13" i="21"/>
  <c r="D18" i="1" s="1"/>
  <c r="E22" i="21"/>
  <c r="D20" i="1" s="1"/>
  <c r="E27" i="21"/>
  <c r="D27" i="1" s="1"/>
  <c r="E35" i="21"/>
  <c r="D22" i="1" s="1"/>
  <c r="E41" i="19"/>
  <c r="F17" i="19" s="1"/>
  <c r="Q45" i="1"/>
  <c r="D41" i="4"/>
  <c r="C4" i="8"/>
  <c r="I29" i="8" l="1"/>
  <c r="I7" i="8"/>
  <c r="I34" i="8"/>
  <c r="I16" i="8"/>
  <c r="I13" i="8"/>
  <c r="I14" i="8"/>
  <c r="I30" i="8"/>
  <c r="I20" i="8"/>
  <c r="I40" i="8"/>
  <c r="I25" i="8"/>
  <c r="I38" i="8"/>
  <c r="I27" i="8"/>
  <c r="I23" i="8"/>
  <c r="I37" i="8"/>
  <c r="I35" i="8"/>
  <c r="I26" i="8"/>
  <c r="I10" i="8"/>
  <c r="I12" i="8"/>
  <c r="I18" i="8"/>
  <c r="I24" i="8"/>
  <c r="I15" i="8"/>
  <c r="I33" i="8"/>
  <c r="F32" i="18"/>
  <c r="I32" i="8"/>
  <c r="I11" i="8"/>
  <c r="I19" i="8"/>
  <c r="I21" i="8"/>
  <c r="I28" i="8"/>
  <c r="I31" i="8"/>
  <c r="I8" i="8"/>
  <c r="I36" i="8"/>
  <c r="I22" i="8"/>
  <c r="I9" i="8"/>
  <c r="I17" i="8"/>
  <c r="F33" i="18"/>
  <c r="F28" i="18"/>
  <c r="F20" i="18"/>
  <c r="F13" i="17"/>
  <c r="F32" i="17"/>
  <c r="F20" i="17"/>
  <c r="F31" i="18"/>
  <c r="F21" i="17"/>
  <c r="F19" i="18"/>
  <c r="F34" i="17"/>
  <c r="F21" i="18"/>
  <c r="F39" i="17"/>
  <c r="F14" i="17"/>
  <c r="F11" i="17"/>
  <c r="F23" i="17"/>
  <c r="F12" i="18"/>
  <c r="F17" i="17"/>
  <c r="F22" i="17"/>
  <c r="F24" i="18"/>
  <c r="F31" i="17"/>
  <c r="F26" i="17"/>
  <c r="F7" i="18"/>
  <c r="F14" i="18"/>
  <c r="F37" i="17"/>
  <c r="F34" i="14"/>
  <c r="F10" i="14"/>
  <c r="F31" i="14"/>
  <c r="F15" i="14"/>
  <c r="F18" i="18"/>
  <c r="F38" i="18"/>
  <c r="F34" i="18"/>
  <c r="F18" i="17"/>
  <c r="F36" i="17"/>
  <c r="F38" i="14"/>
  <c r="F33" i="14"/>
  <c r="F21" i="14"/>
  <c r="F22" i="14"/>
  <c r="F12" i="14"/>
  <c r="F17" i="14"/>
  <c r="F40" i="18"/>
  <c r="F25" i="18"/>
  <c r="F28" i="17"/>
  <c r="F35" i="17"/>
  <c r="F7" i="17"/>
  <c r="F18" i="14"/>
  <c r="F8" i="14"/>
  <c r="F27" i="14"/>
  <c r="F40" i="14"/>
  <c r="F32" i="14"/>
  <c r="F20" i="14"/>
  <c r="F16" i="14"/>
  <c r="F26" i="14"/>
  <c r="F35" i="14"/>
  <c r="F11" i="14"/>
  <c r="F30" i="14"/>
  <c r="F14" i="14"/>
  <c r="F39" i="14"/>
  <c r="F23" i="18"/>
  <c r="F29" i="18"/>
  <c r="F12" i="17"/>
  <c r="F29" i="14"/>
  <c r="F13" i="14"/>
  <c r="F29" i="17"/>
  <c r="F8" i="18"/>
  <c r="F30" i="18"/>
  <c r="F15" i="17"/>
  <c r="F24" i="17"/>
  <c r="F9" i="17"/>
  <c r="F37" i="14"/>
  <c r="F28" i="14"/>
  <c r="F36" i="14"/>
  <c r="F9" i="14"/>
  <c r="Q11" i="9"/>
  <c r="R11" i="9" s="1"/>
  <c r="Q20" i="9"/>
  <c r="R20" i="9" s="1"/>
  <c r="Q40" i="9"/>
  <c r="R40" i="9" s="1"/>
  <c r="Q28" i="9"/>
  <c r="R28" i="9" s="1"/>
  <c r="Q9" i="9"/>
  <c r="R9" i="9" s="1"/>
  <c r="Q30" i="9"/>
  <c r="R30" i="9" s="1"/>
  <c r="Q23" i="9"/>
  <c r="R23" i="9" s="1"/>
  <c r="Q26" i="9"/>
  <c r="R26" i="9" s="1"/>
  <c r="Q34" i="9"/>
  <c r="R34" i="9" s="1"/>
  <c r="Q19" i="9"/>
  <c r="R19" i="9" s="1"/>
  <c r="Q7" i="9"/>
  <c r="Q10" i="9"/>
  <c r="R10" i="9" s="1"/>
  <c r="Q8" i="9"/>
  <c r="R8" i="9" s="1"/>
  <c r="Q33" i="9"/>
  <c r="R33" i="9" s="1"/>
  <c r="Q14" i="9"/>
  <c r="R14" i="9" s="1"/>
  <c r="Q39" i="9"/>
  <c r="R39" i="9" s="1"/>
  <c r="Q13" i="9"/>
  <c r="R13" i="9" s="1"/>
  <c r="Q18" i="9"/>
  <c r="R18" i="9" s="1"/>
  <c r="Q31" i="9"/>
  <c r="R31" i="9" s="1"/>
  <c r="Q15" i="9"/>
  <c r="R15" i="9" s="1"/>
  <c r="Q36" i="9"/>
  <c r="R36" i="9" s="1"/>
  <c r="Q24" i="9"/>
  <c r="R24" i="9" s="1"/>
  <c r="Q22" i="9"/>
  <c r="R22" i="9" s="1"/>
  <c r="Q25" i="9"/>
  <c r="R25" i="9" s="1"/>
  <c r="Q21" i="9"/>
  <c r="R21" i="9" s="1"/>
  <c r="Q16" i="9"/>
  <c r="R16" i="9" s="1"/>
  <c r="Q32" i="9"/>
  <c r="R32" i="9" s="1"/>
  <c r="Q12" i="9"/>
  <c r="R12" i="9" s="1"/>
  <c r="Q27" i="9"/>
  <c r="R27" i="9" s="1"/>
  <c r="Q35" i="9"/>
  <c r="R35" i="9" s="1"/>
  <c r="Q17" i="9"/>
  <c r="R17" i="9" s="1"/>
  <c r="Q37" i="9"/>
  <c r="R37" i="9" s="1"/>
  <c r="Q29" i="9"/>
  <c r="R29" i="9" s="1"/>
  <c r="Q38" i="9"/>
  <c r="R38" i="9" s="1"/>
  <c r="L10" i="9"/>
  <c r="M10" i="9" s="1"/>
  <c r="L23" i="9"/>
  <c r="M23" i="9" s="1"/>
  <c r="L35" i="9"/>
  <c r="M35" i="9" s="1"/>
  <c r="L14" i="9"/>
  <c r="M14" i="9" s="1"/>
  <c r="L32" i="9"/>
  <c r="M32" i="9" s="1"/>
  <c r="L26" i="9"/>
  <c r="M26" i="9" s="1"/>
  <c r="L33" i="9"/>
  <c r="M33" i="9" s="1"/>
  <c r="L13" i="9"/>
  <c r="M13" i="9" s="1"/>
  <c r="L25" i="9"/>
  <c r="M25" i="9" s="1"/>
  <c r="L34" i="9"/>
  <c r="M34" i="9" s="1"/>
  <c r="L39" i="9"/>
  <c r="M39" i="9" s="1"/>
  <c r="L11" i="9"/>
  <c r="M11" i="9" s="1"/>
  <c r="L27" i="9"/>
  <c r="M27" i="9" s="1"/>
  <c r="L19" i="9"/>
  <c r="M19" i="9" s="1"/>
  <c r="L9" i="9"/>
  <c r="M9" i="9" s="1"/>
  <c r="L24" i="9"/>
  <c r="M24" i="9" s="1"/>
  <c r="L7" i="9"/>
  <c r="L28" i="9"/>
  <c r="M28" i="9" s="1"/>
  <c r="L29" i="9"/>
  <c r="M29" i="9" s="1"/>
  <c r="L8" i="9"/>
  <c r="M8" i="9" s="1"/>
  <c r="L30" i="9"/>
  <c r="M30" i="9" s="1"/>
  <c r="L18" i="9"/>
  <c r="M18" i="9" s="1"/>
  <c r="L15" i="9"/>
  <c r="M15" i="9" s="1"/>
  <c r="L16" i="9"/>
  <c r="M16" i="9" s="1"/>
  <c r="L20" i="9"/>
  <c r="M20" i="9" s="1"/>
  <c r="L38" i="9"/>
  <c r="M38" i="9" s="1"/>
  <c r="L21" i="9"/>
  <c r="M21" i="9" s="1"/>
  <c r="L31" i="9"/>
  <c r="M31" i="9" s="1"/>
  <c r="L12" i="9"/>
  <c r="M12" i="9" s="1"/>
  <c r="L17" i="9"/>
  <c r="M17" i="9" s="1"/>
  <c r="L22" i="9"/>
  <c r="M22" i="9" s="1"/>
  <c r="L36" i="9"/>
  <c r="M36" i="9" s="1"/>
  <c r="L37" i="9"/>
  <c r="M37" i="9" s="1"/>
  <c r="L40" i="9"/>
  <c r="M40" i="9" s="1"/>
  <c r="F40" i="17"/>
  <c r="F30" i="17"/>
  <c r="F16" i="17"/>
  <c r="F19" i="17"/>
  <c r="F33" i="17"/>
  <c r="G23" i="9"/>
  <c r="H23" i="9" s="1"/>
  <c r="G36" i="9"/>
  <c r="H36" i="9" s="1"/>
  <c r="G33" i="9"/>
  <c r="H33" i="9" s="1"/>
  <c r="G8" i="9"/>
  <c r="H8" i="9" s="1"/>
  <c r="G18" i="9"/>
  <c r="H18" i="9" s="1"/>
  <c r="G15" i="9"/>
  <c r="H15" i="9" s="1"/>
  <c r="G24" i="9"/>
  <c r="H24" i="9" s="1"/>
  <c r="G35" i="9"/>
  <c r="H35" i="9" s="1"/>
  <c r="G39" i="9"/>
  <c r="H39" i="9" s="1"/>
  <c r="G20" i="9"/>
  <c r="H20" i="9" s="1"/>
  <c r="G9" i="9"/>
  <c r="H9" i="9" s="1"/>
  <c r="G25" i="9"/>
  <c r="H25" i="9" s="1"/>
  <c r="G37" i="9"/>
  <c r="H37" i="9" s="1"/>
  <c r="G16" i="9"/>
  <c r="H16" i="9" s="1"/>
  <c r="G26" i="9"/>
  <c r="H26" i="9" s="1"/>
  <c r="G29" i="9"/>
  <c r="H29" i="9" s="1"/>
  <c r="G32" i="9"/>
  <c r="H32" i="9" s="1"/>
  <c r="G7" i="9"/>
  <c r="G40" i="9"/>
  <c r="H40" i="9" s="1"/>
  <c r="G31" i="9"/>
  <c r="H31" i="9" s="1"/>
  <c r="G22" i="9"/>
  <c r="H22" i="9" s="1"/>
  <c r="G21" i="9"/>
  <c r="H21" i="9" s="1"/>
  <c r="G34" i="9"/>
  <c r="H34" i="9" s="1"/>
  <c r="G13" i="9"/>
  <c r="H13" i="9" s="1"/>
  <c r="G10" i="9"/>
  <c r="H10" i="9" s="1"/>
  <c r="G19" i="9"/>
  <c r="H19" i="9" s="1"/>
  <c r="G30" i="9"/>
  <c r="H30" i="9" s="1"/>
  <c r="G28" i="9"/>
  <c r="H28" i="9" s="1"/>
  <c r="G12" i="9"/>
  <c r="H12" i="9" s="1"/>
  <c r="G14" i="9"/>
  <c r="H14" i="9" s="1"/>
  <c r="G27" i="9"/>
  <c r="H27" i="9" s="1"/>
  <c r="G38" i="9"/>
  <c r="H38" i="9" s="1"/>
  <c r="G11" i="9"/>
  <c r="H11" i="9" s="1"/>
  <c r="F15" i="18"/>
  <c r="F39" i="18"/>
  <c r="F27" i="17"/>
  <c r="F10" i="17"/>
  <c r="F38" i="17"/>
  <c r="F8" i="17"/>
  <c r="F34" i="20"/>
  <c r="F24" i="14"/>
  <c r="F19" i="14"/>
  <c r="F25" i="14"/>
  <c r="F23" i="14"/>
  <c r="V37" i="9"/>
  <c r="W37" i="9" s="1"/>
  <c r="V27" i="9"/>
  <c r="W27" i="9" s="1"/>
  <c r="V15" i="9"/>
  <c r="W15" i="9" s="1"/>
  <c r="V9" i="9"/>
  <c r="W9" i="9" s="1"/>
  <c r="V20" i="9"/>
  <c r="W20" i="9" s="1"/>
  <c r="V36" i="9"/>
  <c r="W36" i="9" s="1"/>
  <c r="V39" i="9"/>
  <c r="W39" i="9" s="1"/>
  <c r="V35" i="9"/>
  <c r="W35" i="9" s="1"/>
  <c r="V40" i="9"/>
  <c r="W40" i="9" s="1"/>
  <c r="V23" i="9"/>
  <c r="W23" i="9" s="1"/>
  <c r="V21" i="9"/>
  <c r="W21" i="9" s="1"/>
  <c r="V30" i="9"/>
  <c r="W30" i="9" s="1"/>
  <c r="V13" i="9"/>
  <c r="W13" i="9" s="1"/>
  <c r="V18" i="9"/>
  <c r="W18" i="9" s="1"/>
  <c r="V11" i="9"/>
  <c r="W11" i="9" s="1"/>
  <c r="V8" i="9"/>
  <c r="W8" i="9" s="1"/>
  <c r="V10" i="9"/>
  <c r="W10" i="9" s="1"/>
  <c r="V19" i="9"/>
  <c r="W19" i="9" s="1"/>
  <c r="V14" i="9"/>
  <c r="W14" i="9" s="1"/>
  <c r="V24" i="9"/>
  <c r="W24" i="9" s="1"/>
  <c r="V32" i="9"/>
  <c r="W32" i="9" s="1"/>
  <c r="V12" i="9"/>
  <c r="W12" i="9" s="1"/>
  <c r="V26" i="9"/>
  <c r="W26" i="9" s="1"/>
  <c r="V22" i="9"/>
  <c r="W22" i="9" s="1"/>
  <c r="V7" i="9"/>
  <c r="V28" i="9"/>
  <c r="W28" i="9" s="1"/>
  <c r="V16" i="9"/>
  <c r="W16" i="9" s="1"/>
  <c r="V34" i="9"/>
  <c r="W34" i="9" s="1"/>
  <c r="V17" i="9"/>
  <c r="W17" i="9" s="1"/>
  <c r="V38" i="9"/>
  <c r="W38" i="9" s="1"/>
  <c r="V31" i="9"/>
  <c r="W31" i="9" s="1"/>
  <c r="V25" i="9"/>
  <c r="W25" i="9" s="1"/>
  <c r="V29" i="9"/>
  <c r="W29" i="9" s="1"/>
  <c r="V33" i="9"/>
  <c r="W33" i="9" s="1"/>
  <c r="G17" i="9"/>
  <c r="H17" i="9" s="1"/>
  <c r="F17" i="16"/>
  <c r="F24" i="20"/>
  <c r="F13" i="18"/>
  <c r="F17" i="18"/>
  <c r="F27" i="18"/>
  <c r="F21" i="20"/>
  <c r="F19" i="20"/>
  <c r="F9" i="18"/>
  <c r="F36" i="18"/>
  <c r="F35" i="18"/>
  <c r="F14" i="20"/>
  <c r="F16" i="18"/>
  <c r="F8" i="20"/>
  <c r="F37" i="18"/>
  <c r="F26" i="18"/>
  <c r="F22" i="18"/>
  <c r="F10" i="18"/>
  <c r="F39" i="20"/>
  <c r="G35" i="8"/>
  <c r="G11" i="8"/>
  <c r="G19" i="8"/>
  <c r="G9" i="8"/>
  <c r="G14" i="8"/>
  <c r="G36" i="8"/>
  <c r="G32" i="8"/>
  <c r="G37" i="8"/>
  <c r="G28" i="8"/>
  <c r="G7" i="8"/>
  <c r="G15" i="8"/>
  <c r="G18" i="8"/>
  <c r="G33" i="8"/>
  <c r="G22" i="8"/>
  <c r="G16" i="8"/>
  <c r="G29" i="8"/>
  <c r="G12" i="8"/>
  <c r="G39" i="8"/>
  <c r="G21" i="8"/>
  <c r="G23" i="8"/>
  <c r="G26" i="8"/>
  <c r="G30" i="8"/>
  <c r="G25" i="8"/>
  <c r="G40" i="8"/>
  <c r="F25" i="20"/>
  <c r="F23" i="20"/>
  <c r="F40" i="20"/>
  <c r="F27" i="20"/>
  <c r="F31" i="20"/>
  <c r="F37" i="20"/>
  <c r="F37" i="15"/>
  <c r="F28" i="20"/>
  <c r="F28" i="15"/>
  <c r="F27" i="15"/>
  <c r="F26" i="20"/>
  <c r="F12" i="20"/>
  <c r="F39" i="15"/>
  <c r="F14" i="15"/>
  <c r="F9" i="16"/>
  <c r="F8" i="15"/>
  <c r="F23" i="16"/>
  <c r="F21" i="15"/>
  <c r="F35" i="16"/>
  <c r="F39" i="16"/>
  <c r="F22" i="16"/>
  <c r="F30" i="16"/>
  <c r="F7" i="16"/>
  <c r="F36" i="16"/>
  <c r="F11" i="16"/>
  <c r="F37" i="16"/>
  <c r="F31" i="16"/>
  <c r="F21" i="16"/>
  <c r="F24" i="16"/>
  <c r="F26" i="16"/>
  <c r="F33" i="16"/>
  <c r="F10" i="16"/>
  <c r="F14" i="16"/>
  <c r="F15" i="16"/>
  <c r="F27" i="16"/>
  <c r="F12" i="16"/>
  <c r="F29" i="16"/>
  <c r="F18" i="16"/>
  <c r="F38" i="16"/>
  <c r="F16" i="16"/>
  <c r="F32" i="16"/>
  <c r="F13" i="16"/>
  <c r="F34" i="16"/>
  <c r="F20" i="16"/>
  <c r="F40" i="16"/>
  <c r="F19" i="16"/>
  <c r="F25" i="16"/>
  <c r="F28" i="16"/>
  <c r="F38" i="15"/>
  <c r="F23" i="15"/>
  <c r="F36" i="15"/>
  <c r="F29" i="15"/>
  <c r="F26" i="15"/>
  <c r="F15" i="15"/>
  <c r="F11" i="15"/>
  <c r="F7" i="15"/>
  <c r="F17" i="15"/>
  <c r="F33" i="15"/>
  <c r="F16" i="15"/>
  <c r="F18" i="15"/>
  <c r="F20" i="15"/>
  <c r="F16" i="20"/>
  <c r="F30" i="20"/>
  <c r="F17" i="20"/>
  <c r="F29" i="20"/>
  <c r="F38" i="20"/>
  <c r="F22" i="20"/>
  <c r="F15" i="20"/>
  <c r="F13" i="20"/>
  <c r="F11" i="20"/>
  <c r="F35" i="20"/>
  <c r="F18" i="20"/>
  <c r="F9" i="20"/>
  <c r="F33" i="20"/>
  <c r="F10" i="20"/>
  <c r="F36" i="20"/>
  <c r="F20" i="20"/>
  <c r="F32" i="20"/>
  <c r="F25" i="15"/>
  <c r="F32" i="15"/>
  <c r="F31" i="15"/>
  <c r="F24" i="15"/>
  <c r="F10" i="15"/>
  <c r="F30" i="15"/>
  <c r="F13" i="15"/>
  <c r="F22" i="15"/>
  <c r="F19" i="15"/>
  <c r="F40" i="15"/>
  <c r="F34" i="15"/>
  <c r="F9" i="15"/>
  <c r="F35" i="15"/>
  <c r="E45" i="21"/>
  <c r="C4" i="4"/>
  <c r="F12" i="19"/>
  <c r="F29" i="19"/>
  <c r="F30" i="19"/>
  <c r="F23" i="19"/>
  <c r="F28" i="19"/>
  <c r="F16" i="19"/>
  <c r="F9" i="19"/>
  <c r="F40" i="19"/>
  <c r="F39" i="19"/>
  <c r="F25" i="19"/>
  <c r="F15" i="19"/>
  <c r="F36" i="19"/>
  <c r="F37" i="19"/>
  <c r="F38" i="19"/>
  <c r="F19" i="19"/>
  <c r="F11" i="19"/>
  <c r="F32" i="19"/>
  <c r="F26" i="19"/>
  <c r="F13" i="19"/>
  <c r="F34" i="19"/>
  <c r="F22" i="19"/>
  <c r="F20" i="19"/>
  <c r="F33" i="19"/>
  <c r="F14" i="19"/>
  <c r="F27" i="19"/>
  <c r="F8" i="19"/>
  <c r="F24" i="19"/>
  <c r="F21" i="19"/>
  <c r="F10" i="19"/>
  <c r="F18" i="19"/>
  <c r="F31" i="19"/>
  <c r="F35" i="19"/>
  <c r="C4" i="15"/>
  <c r="G12" i="15" s="1"/>
  <c r="C4" i="18"/>
  <c r="G11" i="18" s="1"/>
  <c r="C4" i="20"/>
  <c r="C4" i="19"/>
  <c r="C4" i="17"/>
  <c r="C4" i="16"/>
  <c r="C4" i="14"/>
  <c r="G10" i="17" l="1"/>
  <c r="I41" i="8"/>
  <c r="X11" i="9"/>
  <c r="Y11" i="9" s="1"/>
  <c r="F41" i="14"/>
  <c r="X32" i="9"/>
  <c r="N36" i="1" s="1"/>
  <c r="X13" i="9"/>
  <c r="N17" i="1" s="1"/>
  <c r="G36" i="14"/>
  <c r="F29" i="1" s="1"/>
  <c r="X17" i="9"/>
  <c r="Y17" i="9" s="1"/>
  <c r="F41" i="17"/>
  <c r="X33" i="9"/>
  <c r="N37" i="1" s="1"/>
  <c r="X30" i="9"/>
  <c r="Y30" i="9" s="1"/>
  <c r="X40" i="9"/>
  <c r="Y40" i="9" s="1"/>
  <c r="X9" i="9"/>
  <c r="Y9" i="9" s="1"/>
  <c r="F41" i="18"/>
  <c r="X20" i="9"/>
  <c r="Y20" i="9" s="1"/>
  <c r="N21" i="1"/>
  <c r="X19" i="9"/>
  <c r="H7" i="9"/>
  <c r="G41" i="9"/>
  <c r="X10" i="9"/>
  <c r="X39" i="9"/>
  <c r="X38" i="9"/>
  <c r="X35" i="9"/>
  <c r="X27" i="9"/>
  <c r="X34" i="9"/>
  <c r="X26" i="9"/>
  <c r="X24" i="9"/>
  <c r="X14" i="9"/>
  <c r="X21" i="9"/>
  <c r="X16" i="9"/>
  <c r="X15" i="9"/>
  <c r="G26" i="16"/>
  <c r="H26" i="16" s="1"/>
  <c r="V41" i="9"/>
  <c r="W7" i="9"/>
  <c r="W41" i="9" s="1"/>
  <c r="R7" i="9"/>
  <c r="R41" i="9" s="1"/>
  <c r="Q41" i="9"/>
  <c r="X29" i="9"/>
  <c r="X12" i="9"/>
  <c r="X22" i="9"/>
  <c r="X37" i="9"/>
  <c r="X18" i="9"/>
  <c r="X36" i="9"/>
  <c r="X23" i="9"/>
  <c r="M7" i="9"/>
  <c r="M41" i="9" s="1"/>
  <c r="L41" i="9"/>
  <c r="X28" i="9"/>
  <c r="X31" i="9"/>
  <c r="X25" i="9"/>
  <c r="X8" i="9"/>
  <c r="G41" i="8"/>
  <c r="G31" i="20"/>
  <c r="K30" i="1" s="1"/>
  <c r="F41" i="16"/>
  <c r="F41" i="20"/>
  <c r="F41" i="15"/>
  <c r="F45" i="21"/>
  <c r="D24" i="1"/>
  <c r="D45" i="1" s="1"/>
  <c r="G10" i="18"/>
  <c r="L14" i="1" s="1"/>
  <c r="G33" i="15"/>
  <c r="H33" i="15" s="1"/>
  <c r="G26" i="15"/>
  <c r="G28" i="1" s="1"/>
  <c r="G27" i="15"/>
  <c r="G22" i="1" s="1"/>
  <c r="G20" i="18"/>
  <c r="L37" i="1" s="1"/>
  <c r="G29" i="18"/>
  <c r="L42" i="1" s="1"/>
  <c r="G21" i="14"/>
  <c r="F25" i="1" s="1"/>
  <c r="G34" i="20"/>
  <c r="H34" i="20" s="1"/>
  <c r="G18" i="20"/>
  <c r="K17" i="1" s="1"/>
  <c r="G25" i="14"/>
  <c r="H25" i="14" s="1"/>
  <c r="G35" i="20"/>
  <c r="K15" i="1" s="1"/>
  <c r="G32" i="19"/>
  <c r="H32" i="19" s="1"/>
  <c r="G15" i="15"/>
  <c r="G42" i="1" s="1"/>
  <c r="G40" i="18"/>
  <c r="L16" i="1" s="1"/>
  <c r="G9" i="15"/>
  <c r="G15" i="1" s="1"/>
  <c r="G7" i="15"/>
  <c r="G38" i="1" s="1"/>
  <c r="G27" i="20"/>
  <c r="K39" i="1" s="1"/>
  <c r="G28" i="15"/>
  <c r="H28" i="15" s="1"/>
  <c r="G25" i="15"/>
  <c r="H25" i="15" s="1"/>
  <c r="G29" i="16"/>
  <c r="H29" i="16" s="1"/>
  <c r="G31" i="15"/>
  <c r="G30" i="1" s="1"/>
  <c r="G10" i="15"/>
  <c r="G43" i="1" s="1"/>
  <c r="G30" i="15"/>
  <c r="G27" i="1" s="1"/>
  <c r="G22" i="15"/>
  <c r="H22" i="15" s="1"/>
  <c r="G31" i="14"/>
  <c r="H31" i="14" s="1"/>
  <c r="G8" i="15"/>
  <c r="H8" i="15" s="1"/>
  <c r="G24" i="15"/>
  <c r="G35" i="1" s="1"/>
  <c r="G15" i="19"/>
  <c r="J38" i="1" s="1"/>
  <c r="G35" i="15"/>
  <c r="H35" i="15" s="1"/>
  <c r="G39" i="15"/>
  <c r="G25" i="1" s="1"/>
  <c r="G18" i="15"/>
  <c r="H18" i="15" s="1"/>
  <c r="G25" i="20"/>
  <c r="K27" i="1" s="1"/>
  <c r="G36" i="15"/>
  <c r="H36" i="15" s="1"/>
  <c r="G29" i="15"/>
  <c r="G21" i="1" s="1"/>
  <c r="G34" i="15"/>
  <c r="H34" i="15" s="1"/>
  <c r="G39" i="14"/>
  <c r="H39" i="14" s="1"/>
  <c r="G38" i="14"/>
  <c r="F20" i="1" s="1"/>
  <c r="G40" i="14"/>
  <c r="F19" i="1" s="1"/>
  <c r="G10" i="14"/>
  <c r="H10" i="14" s="1"/>
  <c r="G11" i="14"/>
  <c r="H11" i="14" s="1"/>
  <c r="G29" i="14"/>
  <c r="H29" i="14" s="1"/>
  <c r="G35" i="14"/>
  <c r="F30" i="1" s="1"/>
  <c r="G28" i="14"/>
  <c r="F22" i="1" s="1"/>
  <c r="G7" i="17"/>
  <c r="I42" i="1" s="1"/>
  <c r="G19" i="20"/>
  <c r="K28" i="1" s="1"/>
  <c r="G22" i="14"/>
  <c r="F37" i="1" s="1"/>
  <c r="G14" i="14"/>
  <c r="H14" i="14" s="1"/>
  <c r="G17" i="17"/>
  <c r="I24" i="1" s="1"/>
  <c r="G28" i="20"/>
  <c r="K29" i="1" s="1"/>
  <c r="G17" i="18"/>
  <c r="L29" i="1" s="1"/>
  <c r="G30" i="14"/>
  <c r="H30" i="14" s="1"/>
  <c r="G27" i="14"/>
  <c r="H27" i="14" s="1"/>
  <c r="G17" i="14"/>
  <c r="F40" i="1" s="1"/>
  <c r="G12" i="14"/>
  <c r="F38" i="1" s="1"/>
  <c r="F41" i="19"/>
  <c r="G26" i="14"/>
  <c r="F28" i="1" s="1"/>
  <c r="G20" i="14"/>
  <c r="F23" i="1" s="1"/>
  <c r="G13" i="14"/>
  <c r="F35" i="1" s="1"/>
  <c r="G18" i="14"/>
  <c r="H18" i="14" s="1"/>
  <c r="G29" i="17"/>
  <c r="I27" i="1" s="1"/>
  <c r="G29" i="20"/>
  <c r="H29" i="20" s="1"/>
  <c r="G21" i="18"/>
  <c r="H21" i="18" s="1"/>
  <c r="E16" i="4"/>
  <c r="F16" i="4" s="1"/>
  <c r="E37" i="4"/>
  <c r="F37" i="4" s="1"/>
  <c r="E19" i="4"/>
  <c r="E40" i="1" s="1"/>
  <c r="E29" i="4"/>
  <c r="E35" i="1" s="1"/>
  <c r="E22" i="4"/>
  <c r="F22" i="4" s="1"/>
  <c r="E20" i="4"/>
  <c r="F20" i="4" s="1"/>
  <c r="E24" i="4"/>
  <c r="F24" i="4" s="1"/>
  <c r="E8" i="4"/>
  <c r="F8" i="4" s="1"/>
  <c r="E32" i="4"/>
  <c r="E29" i="1" s="1"/>
  <c r="E14" i="4"/>
  <c r="E41" i="1" s="1"/>
  <c r="E30" i="4"/>
  <c r="E26" i="1" s="1"/>
  <c r="E9" i="4"/>
  <c r="F9" i="4" s="1"/>
  <c r="E26" i="4"/>
  <c r="E42" i="1" s="1"/>
  <c r="E40" i="4"/>
  <c r="E11" i="1" s="1"/>
  <c r="E27" i="4"/>
  <c r="F27" i="4" s="1"/>
  <c r="E23" i="4"/>
  <c r="E32" i="1" s="1"/>
  <c r="E17" i="4"/>
  <c r="E37" i="1" s="1"/>
  <c r="E13" i="4"/>
  <c r="E30" i="1" s="1"/>
  <c r="E39" i="4"/>
  <c r="F39" i="4" s="1"/>
  <c r="E10" i="4"/>
  <c r="E39" i="1" s="1"/>
  <c r="E31" i="4"/>
  <c r="E28" i="1" s="1"/>
  <c r="E28" i="4"/>
  <c r="E43" i="1" s="1"/>
  <c r="E38" i="4"/>
  <c r="E15" i="1" s="1"/>
  <c r="E25" i="4"/>
  <c r="F25" i="4" s="1"/>
  <c r="E21" i="4"/>
  <c r="F21" i="4" s="1"/>
  <c r="E11" i="4"/>
  <c r="E20" i="1" s="1"/>
  <c r="E33" i="4"/>
  <c r="E18" i="1" s="1"/>
  <c r="E12" i="4"/>
  <c r="F12" i="4" s="1"/>
  <c r="E34" i="4"/>
  <c r="F34" i="4" s="1"/>
  <c r="E18" i="4"/>
  <c r="E25" i="1" s="1"/>
  <c r="E7" i="4"/>
  <c r="E36" i="4"/>
  <c r="E14" i="1" s="1"/>
  <c r="E35" i="4"/>
  <c r="E38" i="1" s="1"/>
  <c r="E15" i="4"/>
  <c r="E34" i="1" s="1"/>
  <c r="G32" i="20"/>
  <c r="K18" i="1" s="1"/>
  <c r="G39" i="19"/>
  <c r="J11" i="1" s="1"/>
  <c r="G24" i="20"/>
  <c r="H24" i="20" s="1"/>
  <c r="G38" i="20"/>
  <c r="K21" i="1" s="1"/>
  <c r="G12" i="20"/>
  <c r="H12" i="20" s="1"/>
  <c r="G23" i="20"/>
  <c r="H23" i="20" s="1"/>
  <c r="G19" i="18"/>
  <c r="L38" i="1" s="1"/>
  <c r="G13" i="20"/>
  <c r="H13" i="20" s="1"/>
  <c r="G20" i="20"/>
  <c r="H20" i="20" s="1"/>
  <c r="G14" i="20"/>
  <c r="K41" i="1" s="1"/>
  <c r="G30" i="20"/>
  <c r="K35" i="1" s="1"/>
  <c r="G32" i="15"/>
  <c r="G29" i="1" s="1"/>
  <c r="G14" i="15"/>
  <c r="G32" i="1" s="1"/>
  <c r="G37" i="15"/>
  <c r="H37" i="15" s="1"/>
  <c r="G31" i="18"/>
  <c r="L20" i="1" s="1"/>
  <c r="G28" i="18"/>
  <c r="L34" i="1" s="1"/>
  <c r="G30" i="19"/>
  <c r="J40" i="1" s="1"/>
  <c r="G26" i="20"/>
  <c r="H26" i="20" s="1"/>
  <c r="G10" i="20"/>
  <c r="K38" i="1" s="1"/>
  <c r="G37" i="20"/>
  <c r="H37" i="20" s="1"/>
  <c r="G40" i="20"/>
  <c r="H40" i="20" s="1"/>
  <c r="G23" i="18"/>
  <c r="H23" i="18" s="1"/>
  <c r="G17" i="20"/>
  <c r="K44" i="1" s="1"/>
  <c r="G36" i="20"/>
  <c r="H36" i="20" s="1"/>
  <c r="G15" i="20"/>
  <c r="K32" i="1" s="1"/>
  <c r="G21" i="20"/>
  <c r="K19" i="1" s="1"/>
  <c r="G13" i="19"/>
  <c r="J18" i="1" s="1"/>
  <c r="G23" i="15"/>
  <c r="G20" i="1" s="1"/>
  <c r="G21" i="15"/>
  <c r="G39" i="1" s="1"/>
  <c r="G16" i="15"/>
  <c r="G26" i="1" s="1"/>
  <c r="G38" i="15"/>
  <c r="G13" i="1" s="1"/>
  <c r="G9" i="18"/>
  <c r="L12" i="1" s="1"/>
  <c r="G12" i="18"/>
  <c r="L36" i="1" s="1"/>
  <c r="G22" i="20"/>
  <c r="K37" i="1" s="1"/>
  <c r="G16" i="20"/>
  <c r="K43" i="1" s="1"/>
  <c r="G8" i="20"/>
  <c r="H8" i="20" s="1"/>
  <c r="G39" i="20"/>
  <c r="H39" i="20" s="1"/>
  <c r="G33" i="20"/>
  <c r="H33" i="20" s="1"/>
  <c r="G20" i="19"/>
  <c r="H20" i="19" s="1"/>
  <c r="G35" i="18"/>
  <c r="L25" i="1" s="1"/>
  <c r="G27" i="18"/>
  <c r="H27" i="18" s="1"/>
  <c r="G11" i="20"/>
  <c r="K23" i="1" s="1"/>
  <c r="G7" i="20"/>
  <c r="H7" i="20" s="1"/>
  <c r="G9" i="20"/>
  <c r="H9" i="20" s="1"/>
  <c r="G27" i="19"/>
  <c r="H27" i="19" s="1"/>
  <c r="G40" i="15"/>
  <c r="G11" i="1" s="1"/>
  <c r="G19" i="15"/>
  <c r="G44" i="1" s="1"/>
  <c r="G17" i="15"/>
  <c r="G24" i="1" s="1"/>
  <c r="G11" i="15"/>
  <c r="H11" i="15" s="1"/>
  <c r="G37" i="18"/>
  <c r="H37" i="18" s="1"/>
  <c r="G22" i="18"/>
  <c r="L15" i="1" s="1"/>
  <c r="G16" i="16"/>
  <c r="H33" i="1" s="1"/>
  <c r="G37" i="16"/>
  <c r="H21" i="1" s="1"/>
  <c r="G24" i="17"/>
  <c r="I14" i="1" s="1"/>
  <c r="G27" i="16"/>
  <c r="H39" i="1" s="1"/>
  <c r="G18" i="19"/>
  <c r="H18" i="19" s="1"/>
  <c r="G20" i="17"/>
  <c r="H20" i="17" s="1"/>
  <c r="G22" i="19"/>
  <c r="H22" i="19" s="1"/>
  <c r="G13" i="15"/>
  <c r="G40" i="17"/>
  <c r="H40" i="17" s="1"/>
  <c r="G38" i="17"/>
  <c r="I15" i="1" s="1"/>
  <c r="G28" i="19"/>
  <c r="J37" i="1" s="1"/>
  <c r="G28" i="17"/>
  <c r="I31" i="1" s="1"/>
  <c r="G10" i="19"/>
  <c r="H10" i="19" s="1"/>
  <c r="G20" i="15"/>
  <c r="H20" i="15" s="1"/>
  <c r="G8" i="16"/>
  <c r="H8" i="16" s="1"/>
  <c r="G36" i="17"/>
  <c r="G22" i="17"/>
  <c r="H22" i="17" s="1"/>
  <c r="G25" i="17"/>
  <c r="I36" i="1" s="1"/>
  <c r="G15" i="17"/>
  <c r="H15" i="17" s="1"/>
  <c r="G18" i="17"/>
  <c r="I16" i="1" s="1"/>
  <c r="G33" i="16"/>
  <c r="H44" i="1" s="1"/>
  <c r="G11" i="16"/>
  <c r="H11" i="16" s="1"/>
  <c r="G7" i="16"/>
  <c r="H7" i="16" s="1"/>
  <c r="G34" i="16"/>
  <c r="H43" i="1" s="1"/>
  <c r="G32" i="17"/>
  <c r="H32" i="17" s="1"/>
  <c r="G16" i="17"/>
  <c r="H16" i="17" s="1"/>
  <c r="G9" i="17"/>
  <c r="I38" i="1" s="1"/>
  <c r="G23" i="17"/>
  <c r="I13" i="1" s="1"/>
  <c r="G39" i="17"/>
  <c r="I33" i="1" s="1"/>
  <c r="G30" i="16"/>
  <c r="H32" i="1" s="1"/>
  <c r="G20" i="16"/>
  <c r="H20" i="16" s="1"/>
  <c r="G25" i="16"/>
  <c r="H41" i="1" s="1"/>
  <c r="G12" i="16"/>
  <c r="H28" i="1" s="1"/>
  <c r="G31" i="19"/>
  <c r="J16" i="1" s="1"/>
  <c r="G16" i="19"/>
  <c r="H16" i="19" s="1"/>
  <c r="G29" i="19"/>
  <c r="H29" i="19" s="1"/>
  <c r="G30" i="18"/>
  <c r="L32" i="1" s="1"/>
  <c r="G34" i="18"/>
  <c r="H34" i="18" s="1"/>
  <c r="G8" i="18"/>
  <c r="L18" i="1" s="1"/>
  <c r="G13" i="18"/>
  <c r="L19" i="1" s="1"/>
  <c r="G22" i="16"/>
  <c r="H22" i="16" s="1"/>
  <c r="G40" i="16"/>
  <c r="H40" i="16" s="1"/>
  <c r="G12" i="17"/>
  <c r="I21" i="1" s="1"/>
  <c r="G31" i="17"/>
  <c r="H31" i="17" s="1"/>
  <c r="G18" i="16"/>
  <c r="H13" i="1" s="1"/>
  <c r="G17" i="16"/>
  <c r="H17" i="16" s="1"/>
  <c r="G26" i="17"/>
  <c r="I39" i="1" s="1"/>
  <c r="G27" i="17"/>
  <c r="I40" i="1" s="1"/>
  <c r="G13" i="17"/>
  <c r="I35" i="1" s="1"/>
  <c r="G35" i="17"/>
  <c r="H35" i="17" s="1"/>
  <c r="G9" i="16"/>
  <c r="H14" i="1" s="1"/>
  <c r="G31" i="16"/>
  <c r="H31" i="16" s="1"/>
  <c r="G35" i="16"/>
  <c r="H31" i="1" s="1"/>
  <c r="G32" i="16"/>
  <c r="H32" i="16" s="1"/>
  <c r="G39" i="16"/>
  <c r="H16" i="1" s="1"/>
  <c r="G23" i="19"/>
  <c r="J33" i="1" s="1"/>
  <c r="G14" i="19"/>
  <c r="J19" i="1" s="1"/>
  <c r="G21" i="19"/>
  <c r="J39" i="1" s="1"/>
  <c r="G18" i="18"/>
  <c r="L13" i="1" s="1"/>
  <c r="G15" i="18"/>
  <c r="L28" i="1" s="1"/>
  <c r="G36" i="18"/>
  <c r="H36" i="18" s="1"/>
  <c r="G14" i="18"/>
  <c r="L33" i="1" s="1"/>
  <c r="G8" i="17"/>
  <c r="I43" i="1" s="1"/>
  <c r="G33" i="17"/>
  <c r="I20" i="1" s="1"/>
  <c r="G19" i="17"/>
  <c r="I22" i="1" s="1"/>
  <c r="G34" i="17"/>
  <c r="H34" i="17" s="1"/>
  <c r="G28" i="16"/>
  <c r="H28" i="16" s="1"/>
  <c r="G10" i="16"/>
  <c r="H17" i="1" s="1"/>
  <c r="G21" i="16"/>
  <c r="H21" i="16" s="1"/>
  <c r="G36" i="16"/>
  <c r="H40" i="1" s="1"/>
  <c r="G12" i="19"/>
  <c r="J29" i="1" s="1"/>
  <c r="G24" i="19"/>
  <c r="H24" i="19" s="1"/>
  <c r="G11" i="19"/>
  <c r="H11" i="19" s="1"/>
  <c r="G7" i="18"/>
  <c r="H7" i="18" s="1"/>
  <c r="G16" i="18"/>
  <c r="L23" i="1" s="1"/>
  <c r="G26" i="18"/>
  <c r="L27" i="1" s="1"/>
  <c r="G24" i="18"/>
  <c r="H24" i="18" s="1"/>
  <c r="G33" i="18"/>
  <c r="L24" i="1" s="1"/>
  <c r="F19" i="21"/>
  <c r="F13" i="21"/>
  <c r="F15" i="21"/>
  <c r="F8" i="21"/>
  <c r="F16" i="21"/>
  <c r="F27" i="21"/>
  <c r="F33" i="21"/>
  <c r="F23" i="21"/>
  <c r="F26" i="21"/>
  <c r="F17" i="21"/>
  <c r="F35" i="21"/>
  <c r="F11" i="21"/>
  <c r="F12" i="21"/>
  <c r="F14" i="21"/>
  <c r="F41" i="21"/>
  <c r="F40" i="21"/>
  <c r="F32" i="21"/>
  <c r="F22" i="21"/>
  <c r="F42" i="21"/>
  <c r="F30" i="21"/>
  <c r="F9" i="21"/>
  <c r="F10" i="21"/>
  <c r="F37" i="21"/>
  <c r="F25" i="21"/>
  <c r="F28" i="21"/>
  <c r="F18" i="21"/>
  <c r="F20" i="21"/>
  <c r="F21" i="21"/>
  <c r="F36" i="21"/>
  <c r="F38" i="21"/>
  <c r="F29" i="21"/>
  <c r="F31" i="21"/>
  <c r="F24" i="21"/>
  <c r="G23" i="16"/>
  <c r="H23" i="16" s="1"/>
  <c r="G21" i="17"/>
  <c r="I19" i="1" s="1"/>
  <c r="G37" i="17"/>
  <c r="I23" i="1" s="1"/>
  <c r="G19" i="16"/>
  <c r="H26" i="1" s="1"/>
  <c r="G13" i="16"/>
  <c r="H36" i="1" s="1"/>
  <c r="G24" i="16"/>
  <c r="H42" i="1" s="1"/>
  <c r="G30" i="17"/>
  <c r="H30" i="17" s="1"/>
  <c r="G14" i="17"/>
  <c r="I44" i="1" s="1"/>
  <c r="G11" i="17"/>
  <c r="I32" i="1" s="1"/>
  <c r="G38" i="16"/>
  <c r="H38" i="16" s="1"/>
  <c r="G14" i="16"/>
  <c r="H18" i="1" s="1"/>
  <c r="G15" i="16"/>
  <c r="H38" i="1" s="1"/>
  <c r="G40" i="19"/>
  <c r="J35" i="1" s="1"/>
  <c r="G35" i="19"/>
  <c r="J31" i="1" s="1"/>
  <c r="G33" i="19"/>
  <c r="J32" i="1" s="1"/>
  <c r="G32" i="18"/>
  <c r="H32" i="18" s="1"/>
  <c r="G38" i="18"/>
  <c r="L40" i="1" s="1"/>
  <c r="G39" i="18"/>
  <c r="H39" i="18" s="1"/>
  <c r="G25" i="18"/>
  <c r="L30" i="1" s="1"/>
  <c r="G15" i="14"/>
  <c r="F16" i="1" s="1"/>
  <c r="G34" i="14"/>
  <c r="H34" i="14" s="1"/>
  <c r="G23" i="14"/>
  <c r="H23" i="14" s="1"/>
  <c r="G37" i="14"/>
  <c r="F27" i="1" s="1"/>
  <c r="G36" i="19"/>
  <c r="H36" i="19" s="1"/>
  <c r="G19" i="19"/>
  <c r="J13" i="1" s="1"/>
  <c r="G7" i="19"/>
  <c r="H7" i="19" s="1"/>
  <c r="G37" i="19"/>
  <c r="H37" i="19" s="1"/>
  <c r="G24" i="14"/>
  <c r="H24" i="14" s="1"/>
  <c r="G33" i="14"/>
  <c r="H33" i="14" s="1"/>
  <c r="G9" i="14"/>
  <c r="H9" i="14" s="1"/>
  <c r="G19" i="14"/>
  <c r="F41" i="1" s="1"/>
  <c r="G17" i="19"/>
  <c r="J24" i="1" s="1"/>
  <c r="G8" i="19"/>
  <c r="H8" i="19" s="1"/>
  <c r="G34" i="19"/>
  <c r="J22" i="1" s="1"/>
  <c r="G25" i="19"/>
  <c r="J15" i="1" s="1"/>
  <c r="G8" i="14"/>
  <c r="F43" i="1" s="1"/>
  <c r="G7" i="14"/>
  <c r="H7" i="14" s="1"/>
  <c r="G16" i="14"/>
  <c r="H16" i="14" s="1"/>
  <c r="G32" i="14"/>
  <c r="F26" i="1" s="1"/>
  <c r="G9" i="19"/>
  <c r="H9" i="19" s="1"/>
  <c r="G38" i="19"/>
  <c r="H38" i="19" s="1"/>
  <c r="G26" i="19"/>
  <c r="J41" i="1" s="1"/>
  <c r="I28" i="1"/>
  <c r="H10" i="17"/>
  <c r="G34" i="1"/>
  <c r="H12" i="15"/>
  <c r="L17" i="1"/>
  <c r="H11" i="18"/>
  <c r="H36" i="14" l="1"/>
  <c r="N24" i="1"/>
  <c r="N13" i="1"/>
  <c r="N15" i="1"/>
  <c r="H27" i="1"/>
  <c r="Y32" i="9"/>
  <c r="Y33" i="9"/>
  <c r="Y13" i="9"/>
  <c r="N34" i="1"/>
  <c r="H31" i="20"/>
  <c r="N44" i="1"/>
  <c r="Y26" i="9"/>
  <c r="N30" i="1"/>
  <c r="N23" i="1"/>
  <c r="Y19" i="9"/>
  <c r="Y18" i="9"/>
  <c r="N22" i="1"/>
  <c r="Y27" i="9"/>
  <c r="N32" i="1"/>
  <c r="N41" i="1"/>
  <c r="Y37" i="9"/>
  <c r="Y15" i="9"/>
  <c r="N20" i="1"/>
  <c r="Y8" i="9"/>
  <c r="N12" i="1"/>
  <c r="Y23" i="9"/>
  <c r="N27" i="1"/>
  <c r="Y22" i="9"/>
  <c r="N26" i="1"/>
  <c r="Y16" i="9"/>
  <c r="N19" i="1"/>
  <c r="Y38" i="9"/>
  <c r="N42" i="1"/>
  <c r="N29" i="1"/>
  <c r="Y25" i="9"/>
  <c r="N16" i="1"/>
  <c r="Y12" i="9"/>
  <c r="N25" i="1"/>
  <c r="Y21" i="9"/>
  <c r="N43" i="1"/>
  <c r="Y39" i="9"/>
  <c r="X7" i="9"/>
  <c r="H41" i="9"/>
  <c r="J39" i="8"/>
  <c r="K39" i="8" s="1"/>
  <c r="J15" i="8"/>
  <c r="K15" i="8" s="1"/>
  <c r="J23" i="8"/>
  <c r="K23" i="8" s="1"/>
  <c r="J38" i="8"/>
  <c r="K38" i="8" s="1"/>
  <c r="J26" i="8"/>
  <c r="K26" i="8" s="1"/>
  <c r="J19" i="8"/>
  <c r="K19" i="8" s="1"/>
  <c r="J8" i="8"/>
  <c r="K8" i="8" s="1"/>
  <c r="J16" i="8"/>
  <c r="K16" i="8" s="1"/>
  <c r="J9" i="8"/>
  <c r="K9" i="8" s="1"/>
  <c r="J28" i="8"/>
  <c r="K28" i="8" s="1"/>
  <c r="J34" i="8"/>
  <c r="K34" i="8" s="1"/>
  <c r="J40" i="8"/>
  <c r="K40" i="8" s="1"/>
  <c r="J7" i="8"/>
  <c r="J27" i="8"/>
  <c r="K27" i="8" s="1"/>
  <c r="J35" i="8"/>
  <c r="K35" i="8" s="1"/>
  <c r="J32" i="8"/>
  <c r="K32" i="8" s="1"/>
  <c r="J25" i="8"/>
  <c r="K25" i="8" s="1"/>
  <c r="J20" i="8"/>
  <c r="K20" i="8" s="1"/>
  <c r="J24" i="8"/>
  <c r="K24" i="8" s="1"/>
  <c r="J17" i="8"/>
  <c r="K17" i="8" s="1"/>
  <c r="J11" i="8"/>
  <c r="K11" i="8" s="1"/>
  <c r="J12" i="8"/>
  <c r="K12" i="8" s="1"/>
  <c r="J37" i="8"/>
  <c r="K37" i="8" s="1"/>
  <c r="J13" i="8"/>
  <c r="K13" i="8" s="1"/>
  <c r="J30" i="8"/>
  <c r="K30" i="8" s="1"/>
  <c r="J14" i="8"/>
  <c r="K14" i="8" s="1"/>
  <c r="J33" i="8"/>
  <c r="K33" i="8" s="1"/>
  <c r="J21" i="8"/>
  <c r="K21" i="8" s="1"/>
  <c r="J31" i="8"/>
  <c r="K31" i="8" s="1"/>
  <c r="J10" i="8"/>
  <c r="K10" i="8" s="1"/>
  <c r="J36" i="8"/>
  <c r="K36" i="8" s="1"/>
  <c r="J18" i="8"/>
  <c r="K18" i="8" s="1"/>
  <c r="J22" i="8"/>
  <c r="K22" i="8" s="1"/>
  <c r="J29" i="8"/>
  <c r="K29" i="8" s="1"/>
  <c r="Y31" i="9"/>
  <c r="N35" i="1"/>
  <c r="N33" i="1"/>
  <c r="Y29" i="9"/>
  <c r="Y14" i="9"/>
  <c r="N18" i="1"/>
  <c r="Y10" i="9"/>
  <c r="N14" i="1"/>
  <c r="N38" i="1"/>
  <c r="Y34" i="9"/>
  <c r="N39" i="1"/>
  <c r="Y35" i="9"/>
  <c r="N31" i="1"/>
  <c r="Y28" i="9"/>
  <c r="Y36" i="9"/>
  <c r="N40" i="1"/>
  <c r="Y24" i="9"/>
  <c r="N28" i="1"/>
  <c r="H20" i="18"/>
  <c r="H27" i="15"/>
  <c r="H26" i="15"/>
  <c r="H10" i="18"/>
  <c r="E41" i="4"/>
  <c r="F41" i="4" s="1"/>
  <c r="G31" i="1"/>
  <c r="H29" i="18"/>
  <c r="H40" i="14"/>
  <c r="K40" i="1"/>
  <c r="H17" i="14"/>
  <c r="J25" i="1"/>
  <c r="H7" i="15"/>
  <c r="I17" i="1"/>
  <c r="H18" i="20"/>
  <c r="L39" i="1"/>
  <c r="H30" i="19"/>
  <c r="G18" i="1"/>
  <c r="H7" i="17"/>
  <c r="F18" i="1"/>
  <c r="H40" i="19"/>
  <c r="H26" i="14"/>
  <c r="F17" i="1"/>
  <c r="G40" i="1"/>
  <c r="H28" i="20"/>
  <c r="H15" i="15"/>
  <c r="H35" i="20"/>
  <c r="H19" i="16"/>
  <c r="J44" i="1"/>
  <c r="H21" i="14"/>
  <c r="H35" i="1"/>
  <c r="H29" i="15"/>
  <c r="G17" i="1"/>
  <c r="H27" i="20"/>
  <c r="G14" i="1"/>
  <c r="H26" i="19"/>
  <c r="H15" i="20"/>
  <c r="G37" i="1"/>
  <c r="H17" i="15"/>
  <c r="H9" i="15"/>
  <c r="G41" i="18"/>
  <c r="H41" i="18" s="1"/>
  <c r="H28" i="18"/>
  <c r="F44" i="1"/>
  <c r="H11" i="20"/>
  <c r="H9" i="16"/>
  <c r="G36" i="1"/>
  <c r="K22" i="1"/>
  <c r="H24" i="15"/>
  <c r="I18" i="1"/>
  <c r="H22" i="1"/>
  <c r="H22" i="14"/>
  <c r="H35" i="19"/>
  <c r="H15" i="1"/>
  <c r="F28" i="4"/>
  <c r="H40" i="18"/>
  <c r="F13" i="1"/>
  <c r="K31" i="1"/>
  <c r="H11" i="17"/>
  <c r="F40" i="4"/>
  <c r="J17" i="1"/>
  <c r="G12" i="1"/>
  <c r="E16" i="1"/>
  <c r="H19" i="19"/>
  <c r="G33" i="1"/>
  <c r="H14" i="20"/>
  <c r="I25" i="1"/>
  <c r="H13" i="17"/>
  <c r="J43" i="1"/>
  <c r="H19" i="14"/>
  <c r="H37" i="14"/>
  <c r="H38" i="20"/>
  <c r="H14" i="19"/>
  <c r="H15" i="18"/>
  <c r="H15" i="14"/>
  <c r="H18" i="18"/>
  <c r="H31" i="19"/>
  <c r="L11" i="1"/>
  <c r="H28" i="17"/>
  <c r="H19" i="15"/>
  <c r="H31" i="15"/>
  <c r="H8" i="14"/>
  <c r="H19" i="17"/>
  <c r="L21" i="1"/>
  <c r="K25" i="1"/>
  <c r="H30" i="15"/>
  <c r="H30" i="1"/>
  <c r="H17" i="18"/>
  <c r="H27" i="16"/>
  <c r="G41" i="1"/>
  <c r="H10" i="15"/>
  <c r="L22" i="1"/>
  <c r="H37" i="16"/>
  <c r="I29" i="1"/>
  <c r="G19" i="1"/>
  <c r="F39" i="1"/>
  <c r="H38" i="18"/>
  <c r="K42" i="1"/>
  <c r="H15" i="19"/>
  <c r="E31" i="1"/>
  <c r="K26" i="1"/>
  <c r="H12" i="14"/>
  <c r="H23" i="15"/>
  <c r="H35" i="14"/>
  <c r="F24" i="1"/>
  <c r="H18" i="17"/>
  <c r="H13" i="14"/>
  <c r="H39" i="15"/>
  <c r="E23" i="1"/>
  <c r="H16" i="16"/>
  <c r="H23" i="17"/>
  <c r="J28" i="1"/>
  <c r="H30" i="20"/>
  <c r="E44" i="1"/>
  <c r="K16" i="1"/>
  <c r="F15" i="4"/>
  <c r="H35" i="18"/>
  <c r="I41" i="1"/>
  <c r="K20" i="1"/>
  <c r="H17" i="17"/>
  <c r="J21" i="1"/>
  <c r="H19" i="18"/>
  <c r="E21" i="1"/>
  <c r="H37" i="17"/>
  <c r="F14" i="1"/>
  <c r="H17" i="20"/>
  <c r="F12" i="1"/>
  <c r="K36" i="1"/>
  <c r="F18" i="4"/>
  <c r="H31" i="18"/>
  <c r="F35" i="4"/>
  <c r="E27" i="1"/>
  <c r="F17" i="4"/>
  <c r="F32" i="4"/>
  <c r="L41" i="1"/>
  <c r="J34" i="1"/>
  <c r="K12" i="1"/>
  <c r="H12" i="16"/>
  <c r="H33" i="16"/>
  <c r="H38" i="15"/>
  <c r="H16" i="15"/>
  <c r="G41" i="15"/>
  <c r="H41" i="15" s="1"/>
  <c r="E13" i="1"/>
  <c r="F42" i="1"/>
  <c r="F13" i="4"/>
  <c r="H15" i="16"/>
  <c r="H25" i="20"/>
  <c r="F33" i="1"/>
  <c r="H18" i="16"/>
  <c r="F29" i="4"/>
  <c r="H26" i="18"/>
  <c r="J26" i="1"/>
  <c r="I37" i="1"/>
  <c r="H9" i="18"/>
  <c r="H14" i="15"/>
  <c r="F15" i="1"/>
  <c r="H20" i="14"/>
  <c r="F33" i="4"/>
  <c r="K33" i="1"/>
  <c r="F30" i="4"/>
  <c r="H32" i="15"/>
  <c r="H21" i="17"/>
  <c r="F32" i="1"/>
  <c r="L26" i="1"/>
  <c r="H21" i="20"/>
  <c r="H25" i="17"/>
  <c r="K11" i="1"/>
  <c r="H38" i="17"/>
  <c r="H38" i="14"/>
  <c r="H12" i="18"/>
  <c r="H39" i="19"/>
  <c r="H29" i="17"/>
  <c r="H32" i="20"/>
  <c r="H25" i="1"/>
  <c r="F10" i="4"/>
  <c r="J14" i="1"/>
  <c r="H19" i="20"/>
  <c r="H28" i="14"/>
  <c r="I30" i="1"/>
  <c r="H22" i="18"/>
  <c r="E22" i="1"/>
  <c r="L44" i="1"/>
  <c r="L31" i="1"/>
  <c r="G41" i="20"/>
  <c r="H41" i="20" s="1"/>
  <c r="J27" i="1"/>
  <c r="H21" i="19"/>
  <c r="H20" i="1"/>
  <c r="E33" i="1"/>
  <c r="H10" i="20"/>
  <c r="I26" i="1"/>
  <c r="H22" i="20"/>
  <c r="H21" i="15"/>
  <c r="F19" i="4"/>
  <c r="F11" i="4"/>
  <c r="E12" i="1"/>
  <c r="E17" i="1"/>
  <c r="F14" i="4"/>
  <c r="F7" i="4"/>
  <c r="F36" i="4"/>
  <c r="F23" i="4"/>
  <c r="F38" i="4"/>
  <c r="F31" i="4"/>
  <c r="K34" i="1"/>
  <c r="H25" i="18"/>
  <c r="H16" i="18"/>
  <c r="H28" i="19"/>
  <c r="H40" i="15"/>
  <c r="H24" i="17"/>
  <c r="H16" i="20"/>
  <c r="E36" i="1"/>
  <c r="H13" i="19"/>
  <c r="H34" i="1"/>
  <c r="F26" i="4"/>
  <c r="L43" i="1"/>
  <c r="G41" i="16"/>
  <c r="H41" i="16" s="1"/>
  <c r="H32" i="14"/>
  <c r="K24" i="1"/>
  <c r="E24" i="1"/>
  <c r="J36" i="1"/>
  <c r="K14" i="1"/>
  <c r="K13" i="1"/>
  <c r="E19" i="1"/>
  <c r="G16" i="1"/>
  <c r="H30" i="18"/>
  <c r="J23" i="1"/>
  <c r="H8" i="17"/>
  <c r="H8" i="18"/>
  <c r="H39" i="16"/>
  <c r="H12" i="17"/>
  <c r="L35" i="1"/>
  <c r="H37" i="1"/>
  <c r="I12" i="1"/>
  <c r="J20" i="1"/>
  <c r="H14" i="16"/>
  <c r="H14" i="17"/>
  <c r="H13" i="15"/>
  <c r="H36" i="16"/>
  <c r="G41" i="17"/>
  <c r="H41" i="17" s="1"/>
  <c r="H25" i="16"/>
  <c r="H24" i="16"/>
  <c r="H33" i="18"/>
  <c r="I34" i="1"/>
  <c r="G23" i="1"/>
  <c r="H33" i="19"/>
  <c r="H9" i="17"/>
  <c r="H11" i="1"/>
  <c r="H12" i="19"/>
  <c r="H12" i="1"/>
  <c r="H27" i="17"/>
  <c r="H26" i="17"/>
  <c r="H23" i="1"/>
  <c r="F11" i="1"/>
  <c r="H19" i="1"/>
  <c r="H34" i="16"/>
  <c r="H36" i="17"/>
  <c r="H24" i="1"/>
  <c r="H30" i="16"/>
  <c r="I11" i="1"/>
  <c r="F34" i="1"/>
  <c r="J30" i="1"/>
  <c r="H29" i="1"/>
  <c r="H35" i="16"/>
  <c r="F21" i="1"/>
  <c r="H13" i="16"/>
  <c r="F31" i="1"/>
  <c r="H39" i="17"/>
  <c r="H14" i="18"/>
  <c r="H23" i="19"/>
  <c r="G41" i="14"/>
  <c r="H41" i="14" s="1"/>
  <c r="H10" i="16"/>
  <c r="H33" i="17"/>
  <c r="H13" i="18"/>
  <c r="F7" i="21"/>
  <c r="E43" i="21"/>
  <c r="H17" i="19"/>
  <c r="H25" i="19"/>
  <c r="H34" i="19"/>
  <c r="F36" i="1"/>
  <c r="G41" i="19"/>
  <c r="H41" i="19" s="1"/>
  <c r="J42" i="1"/>
  <c r="J12" i="1"/>
  <c r="L13" i="8" l="1"/>
  <c r="M17" i="1"/>
  <c r="O17" i="1" s="1"/>
  <c r="R17" i="1" s="1"/>
  <c r="M20" i="1"/>
  <c r="O20" i="1" s="1"/>
  <c r="R20" i="1" s="1"/>
  <c r="L16" i="8"/>
  <c r="L36" i="8"/>
  <c r="M40" i="1"/>
  <c r="O40" i="1" s="1"/>
  <c r="R40" i="1" s="1"/>
  <c r="L35" i="8"/>
  <c r="M39" i="1"/>
  <c r="O39" i="1" s="1"/>
  <c r="R39" i="1" s="1"/>
  <c r="L10" i="8"/>
  <c r="M14" i="1"/>
  <c r="O14" i="1" s="1"/>
  <c r="R14" i="1" s="1"/>
  <c r="L27" i="8"/>
  <c r="M31" i="1"/>
  <c r="O31" i="1" s="1"/>
  <c r="R31" i="1" s="1"/>
  <c r="L31" i="8"/>
  <c r="M35" i="1"/>
  <c r="O35" i="1" s="1"/>
  <c r="R35" i="1" s="1"/>
  <c r="M25" i="1"/>
  <c r="O25" i="1" s="1"/>
  <c r="R25" i="1" s="1"/>
  <c r="L21" i="8"/>
  <c r="M21" i="1"/>
  <c r="O21" i="1" s="1"/>
  <c r="R21" i="1" s="1"/>
  <c r="L17" i="8"/>
  <c r="L40" i="8"/>
  <c r="M44" i="1"/>
  <c r="O44" i="1" s="1"/>
  <c r="R44" i="1" s="1"/>
  <c r="M42" i="1"/>
  <c r="O42" i="1" s="1"/>
  <c r="R42" i="1" s="1"/>
  <c r="L38" i="8"/>
  <c r="M37" i="1"/>
  <c r="O37" i="1" s="1"/>
  <c r="R37" i="1" s="1"/>
  <c r="L33" i="8"/>
  <c r="L24" i="8"/>
  <c r="M28" i="1"/>
  <c r="O28" i="1" s="1"/>
  <c r="R28" i="1" s="1"/>
  <c r="L34" i="8"/>
  <c r="M38" i="1"/>
  <c r="O38" i="1" s="1"/>
  <c r="R38" i="1" s="1"/>
  <c r="M27" i="1"/>
  <c r="O27" i="1" s="1"/>
  <c r="R27" i="1" s="1"/>
  <c r="L23" i="8"/>
  <c r="L32" i="8"/>
  <c r="M36" i="1"/>
  <c r="O36" i="1" s="1"/>
  <c r="R36" i="1" s="1"/>
  <c r="M41" i="1"/>
  <c r="O41" i="1" s="1"/>
  <c r="R41" i="1" s="1"/>
  <c r="L37" i="8"/>
  <c r="L8" i="8"/>
  <c r="M12" i="1"/>
  <c r="O12" i="1" s="1"/>
  <c r="R12" i="1" s="1"/>
  <c r="X41" i="9"/>
  <c r="Y41" i="9" s="1"/>
  <c r="N11" i="1"/>
  <c r="N45" i="1" s="1"/>
  <c r="Y7" i="9"/>
  <c r="L12" i="8"/>
  <c r="M16" i="1"/>
  <c r="O16" i="1" s="1"/>
  <c r="R16" i="1" s="1"/>
  <c r="M23" i="1"/>
  <c r="O23" i="1" s="1"/>
  <c r="R23" i="1" s="1"/>
  <c r="L19" i="8"/>
  <c r="M15" i="1"/>
  <c r="O15" i="1" s="1"/>
  <c r="R15" i="1" s="1"/>
  <c r="L11" i="8"/>
  <c r="M30" i="1"/>
  <c r="O30" i="1" s="1"/>
  <c r="R30" i="1" s="1"/>
  <c r="L26" i="8"/>
  <c r="M33" i="1"/>
  <c r="O33" i="1" s="1"/>
  <c r="R33" i="1" s="1"/>
  <c r="L29" i="8"/>
  <c r="L14" i="8"/>
  <c r="M18" i="1"/>
  <c r="O18" i="1" s="1"/>
  <c r="R18" i="1" s="1"/>
  <c r="L20" i="8"/>
  <c r="M24" i="1"/>
  <c r="O24" i="1" s="1"/>
  <c r="R24" i="1" s="1"/>
  <c r="L28" i="8"/>
  <c r="M32" i="1"/>
  <c r="O32" i="1" s="1"/>
  <c r="R32" i="1" s="1"/>
  <c r="L15" i="8"/>
  <c r="M19" i="1"/>
  <c r="O19" i="1" s="1"/>
  <c r="R19" i="1" s="1"/>
  <c r="M22" i="1"/>
  <c r="O22" i="1" s="1"/>
  <c r="R22" i="1" s="1"/>
  <c r="L18" i="8"/>
  <c r="K7" i="8"/>
  <c r="J41" i="8"/>
  <c r="L22" i="8"/>
  <c r="M26" i="1"/>
  <c r="O26" i="1" s="1"/>
  <c r="R26" i="1" s="1"/>
  <c r="M34" i="1"/>
  <c r="O34" i="1" s="1"/>
  <c r="R34" i="1" s="1"/>
  <c r="L30" i="8"/>
  <c r="L25" i="8"/>
  <c r="M29" i="1"/>
  <c r="O29" i="1" s="1"/>
  <c r="R29" i="1" s="1"/>
  <c r="M13" i="1"/>
  <c r="O13" i="1" s="1"/>
  <c r="R13" i="1" s="1"/>
  <c r="L9" i="8"/>
  <c r="M43" i="1"/>
  <c r="O43" i="1" s="1"/>
  <c r="R43" i="1" s="1"/>
  <c r="L39" i="8"/>
  <c r="F43" i="21"/>
  <c r="E44" i="21"/>
  <c r="G45" i="1"/>
  <c r="E45" i="1"/>
  <c r="K45" i="1"/>
  <c r="L45" i="1"/>
  <c r="H45" i="1"/>
  <c r="I45" i="1"/>
  <c r="J45" i="1"/>
  <c r="F45" i="1"/>
  <c r="M11" i="1" l="1"/>
  <c r="K41" i="8"/>
  <c r="L41" i="8" s="1"/>
  <c r="L7" i="8"/>
  <c r="S41" i="1"/>
  <c r="S44" i="1"/>
  <c r="S30" i="1"/>
  <c r="S37" i="1"/>
  <c r="M45" i="1" l="1"/>
  <c r="O11" i="1"/>
  <c r="S17" i="1" l="1"/>
  <c r="R11" i="1"/>
  <c r="O45" i="1"/>
  <c r="P11" i="1" s="1"/>
  <c r="P44" i="1" l="1"/>
  <c r="P31" i="1"/>
  <c r="P30" i="1"/>
  <c r="P12" i="1"/>
  <c r="P28" i="1"/>
  <c r="P22" i="1"/>
  <c r="P19" i="1"/>
  <c r="P41" i="1"/>
  <c r="P33" i="1"/>
  <c r="P36" i="1"/>
  <c r="P14" i="1"/>
  <c r="P26" i="1"/>
  <c r="P29" i="1"/>
  <c r="P39" i="1"/>
  <c r="P37" i="1"/>
  <c r="P42" i="1"/>
  <c r="P21" i="1"/>
  <c r="P38" i="1"/>
  <c r="P23" i="1"/>
  <c r="P16" i="1"/>
  <c r="P27" i="1"/>
  <c r="P25" i="1"/>
  <c r="P34" i="1"/>
  <c r="R45" i="1"/>
  <c r="P35" i="1"/>
  <c r="P24" i="1"/>
  <c r="P17" i="1"/>
  <c r="P43" i="1"/>
  <c r="P15" i="1"/>
  <c r="P32" i="1"/>
  <c r="P20" i="1"/>
  <c r="P13" i="1"/>
  <c r="S45" i="1"/>
  <c r="P18" i="1"/>
  <c r="P40" i="1"/>
  <c r="P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500-00000100000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600-00000100000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700-00000100000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800-00000100000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900-00000100000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A00-00000100000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B00-00000100000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<sst xmlns="http://schemas.openxmlformats.org/spreadsheetml/2006/main" count="317" uniqueCount="129">
  <si>
    <t>Total Pool</t>
  </si>
  <si>
    <t>County Population</t>
  </si>
  <si>
    <t>Total</t>
  </si>
  <si>
    <t>% Split</t>
  </si>
  <si>
    <t>Y</t>
  </si>
  <si>
    <t>Award Percentage</t>
  </si>
  <si>
    <t>Weighted Per Capita</t>
  </si>
  <si>
    <t>County Group</t>
  </si>
  <si>
    <t>Burden of Disease Rank</t>
  </si>
  <si>
    <t>Health Status Rank</t>
  </si>
  <si>
    <t>Category Weight</t>
  </si>
  <si>
    <t>Category Dollars</t>
  </si>
  <si>
    <t>Award Per Capita</t>
  </si>
  <si>
    <t>Weighted Payout</t>
  </si>
  <si>
    <t>Rank</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</si>
  <si>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</si>
  <si>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</si>
  <si>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</si>
  <si>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</si>
  <si>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Limited English Proficiency</t>
  </si>
  <si>
    <t>Floor</t>
  </si>
  <si>
    <t>Total Pool:</t>
  </si>
  <si>
    <t>Medium County Floor:</t>
  </si>
  <si>
    <t>Large County Floor:</t>
  </si>
  <si>
    <t>Small County Floor:</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</si>
  <si>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</si>
  <si>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</si>
  <si>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</si>
  <si>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</si>
  <si>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</si>
  <si>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</si>
  <si>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</si>
  <si>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</si>
  <si>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</si>
  <si>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</si>
  <si>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</si>
  <si>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</si>
  <si>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</si>
  <si>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Education:</t>
  </si>
  <si>
    <r>
      <t>Education</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</si>
  <si>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</si>
  <si>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</si>
  <si>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</si>
  <si>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</si>
  <si>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</si>
  <si>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</si>
  <si>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</si>
  <si>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</si>
  <si>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</si>
  <si>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</si>
  <si>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Limited English Proficiency</t>
    </r>
    <r>
      <rPr>
        <vertAlign val="superscript"/>
        <sz val="11"/>
        <color theme="1"/>
        <rFont val="Calibri"/>
        <family val="2"/>
      </rPr>
      <t>1</t>
    </r>
  </si>
  <si>
    <r>
      <t xml:space="preserve">1 </t>
    </r>
    <r>
      <rPr>
        <sz val="11"/>
        <color theme="1"/>
        <rFont val="Calibri"/>
        <family val="2"/>
        <scheme val="minor"/>
      </rPr>
      <t>Source: American Community Survey population 5-year estimate, 2012-2016.</t>
    </r>
  </si>
  <si>
    <r>
      <t>Matching Funds</t>
    </r>
    <r>
      <rPr>
        <vertAlign val="superscript"/>
        <sz val="11"/>
        <color theme="1"/>
        <rFont val="Calibri"/>
        <family val="2"/>
        <scheme val="minor"/>
      </rPr>
      <t>4</t>
    </r>
  </si>
  <si>
    <r>
      <t>Incentives</t>
    </r>
    <r>
      <rPr>
        <vertAlign val="superscript"/>
        <sz val="11"/>
        <color theme="1"/>
        <rFont val="Calibri"/>
        <family val="2"/>
        <scheme val="minor"/>
      </rPr>
      <t>5</t>
    </r>
  </si>
  <si>
    <r>
      <t>6</t>
    </r>
    <r>
      <rPr>
        <sz val="11"/>
        <color theme="1"/>
        <rFont val="Calibri"/>
        <family val="2"/>
      </rPr>
      <t xml:space="preserve"> Source: Portland State University Certified Population estimate July 1, 2017</t>
    </r>
  </si>
  <si>
    <r>
      <t>Population</t>
    </r>
    <r>
      <rPr>
        <vertAlign val="superscript"/>
        <sz val="11"/>
        <color theme="1"/>
        <rFont val="Calibri"/>
        <family val="2"/>
      </rPr>
      <t>6</t>
    </r>
  </si>
  <si>
    <t>Subcommittee Members: Carrie Brogoitti, Bob Dannenhoffer, Jeff Luck, Alejandro Queral, Akiko Saito</t>
  </si>
  <si>
    <r>
      <t>Race/
Ethnicity</t>
    </r>
    <r>
      <rPr>
        <vertAlign val="superscript"/>
        <sz val="11"/>
        <color theme="1"/>
        <rFont val="Calibri"/>
        <family val="2"/>
        <scheme val="minor"/>
      </rPr>
      <t>1</t>
    </r>
  </si>
  <si>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</si>
  <si>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5</t>
    </r>
    <r>
      <rPr>
        <sz val="11"/>
        <color theme="1"/>
        <rFont val="Calibri"/>
        <family val="2"/>
      </rPr>
      <t xml:space="preserve"> Funds will not be awarded for achievement of accountability metrics until 2019 or thereafter. </t>
    </r>
  </si>
  <si>
    <r>
      <t>4</t>
    </r>
    <r>
      <rPr>
        <sz val="11"/>
        <color theme="1"/>
        <rFont val="Calibri"/>
        <family val="2"/>
      </rPr>
      <t xml:space="preserve"> Matching funds will not be awarded until 2019 or thereafter.</t>
    </r>
  </si>
  <si>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</si>
  <si>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</si>
  <si>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t>Baker</t>
  </si>
  <si>
    <t>Benton</t>
  </si>
  <si>
    <t>Clackamas</t>
  </si>
  <si>
    <t>Clatsop</t>
  </si>
  <si>
    <t>Columbia</t>
  </si>
  <si>
    <t>Coos</t>
  </si>
  <si>
    <t>Crook</t>
  </si>
  <si>
    <t>Curry</t>
  </si>
  <si>
    <t>Deschutes</t>
  </si>
  <si>
    <t>Douglas</t>
  </si>
  <si>
    <t>Grant</t>
  </si>
  <si>
    <t>Harney</t>
  </si>
  <si>
    <t>Hood River</t>
  </si>
  <si>
    <t>Jackson</t>
  </si>
  <si>
    <t>Jefferson</t>
  </si>
  <si>
    <t>Josephine</t>
  </si>
  <si>
    <t>Klamath</t>
  </si>
  <si>
    <t>Lake</t>
  </si>
  <si>
    <t>Lane</t>
  </si>
  <si>
    <t>Lincoln</t>
  </si>
  <si>
    <t>Linn</t>
  </si>
  <si>
    <t>Malheur</t>
  </si>
  <si>
    <t>Marion</t>
  </si>
  <si>
    <t>Morrow</t>
  </si>
  <si>
    <t>Multnomah</t>
  </si>
  <si>
    <t>Polk</t>
  </si>
  <si>
    <t>Tillamook</t>
  </si>
  <si>
    <t>Umatilla</t>
  </si>
  <si>
    <t>Union</t>
  </si>
  <si>
    <t>Wallowa</t>
  </si>
  <si>
    <t>Washington</t>
  </si>
  <si>
    <t>Wheeler</t>
  </si>
  <si>
    <t>Yamhill</t>
  </si>
  <si>
    <t>Population below 150% FPL</t>
  </si>
  <si>
    <t>April, 2018</t>
  </si>
  <si>
    <r>
      <t>Poverty 150% FPL</t>
    </r>
    <r>
      <rPr>
        <vertAlign val="superscript"/>
        <sz val="11"/>
        <color theme="1"/>
        <rFont val="Calibri"/>
        <family val="2"/>
        <scheme val="minor"/>
      </rPr>
      <t>1</t>
    </r>
  </si>
  <si>
    <t>Rurality</t>
  </si>
  <si>
    <t>Gilliam, Sherman, Wasco</t>
  </si>
  <si>
    <t>Rurality:</t>
  </si>
  <si>
    <t>Indicator Allocations:</t>
  </si>
  <si>
    <t>Base Funding:</t>
  </si>
  <si>
    <t>Floor Payment</t>
  </si>
  <si>
    <t>Band</t>
  </si>
  <si>
    <t>Gilliam</t>
  </si>
  <si>
    <t>Sherman</t>
  </si>
  <si>
    <t>Wasco</t>
  </si>
  <si>
    <t>Total Funding:</t>
  </si>
  <si>
    <t>Incentive 1</t>
  </si>
  <si>
    <t>Met? (Y/N)</t>
  </si>
  <si>
    <t>Floor Payout</t>
  </si>
  <si>
    <t>Total Payout</t>
  </si>
  <si>
    <t>Incentive 2</t>
  </si>
  <si>
    <t>Incentive 3</t>
  </si>
  <si>
    <t>Incentive 4</t>
  </si>
  <si>
    <t>Incentive 1:</t>
  </si>
  <si>
    <t>Incentive 2:</t>
  </si>
  <si>
    <t>Incentive 3:</t>
  </si>
  <si>
    <t>Incentive 4:</t>
  </si>
  <si>
    <t>Qualified Population</t>
  </si>
  <si>
    <t>Population Payout</t>
  </si>
  <si>
    <t>Grand Total Payout</t>
  </si>
  <si>
    <t>Payout Per Capita</t>
  </si>
  <si>
    <t>Period 1 Funding</t>
  </si>
  <si>
    <t>Period 2 Funding</t>
  </si>
  <si>
    <t>Increase Funding</t>
  </si>
  <si>
    <t>Matching
(New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</si>
</sst>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4"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
      <sz val="10"/>
      <color theme="1"/>
      <name val="Calibri"/>
      <family val="2"/>
      <scheme val="minor"/>
    </font>
    <font>
      <sz val="8"/>
      <color theme="1"/>
      <name val="Calibri"/>
      <family val="2"/>
      <scheme val="minor"/>
    </font>
    <font>
      <i/>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39997558519241921"/>
        <bgColor indexed="64"/>
      </patternFill>
    </fill>
  </fills>
  <borders count="13">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45">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6" borderId="0" xfId="0" applyFill="1" applyAlignment="1">
      <alignment horizontal="center" vertical="center" wrapText="1"/>
    </xf>
    <xf numFmtId="6" fontId="0" fillId="6" borderId="0" xfId="0" applyNumberFormat="1" applyFill="1"/>
    <xf numFmtId="164" fontId="0" fillId="0" borderId="0" xfId="1" applyNumberFormat="1" applyFont="1" applyFill="1"/>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0" fontId="0" fillId="0" borderId="0" xfId="0" applyFill="1" applyAlignment="1">
      <alignment vertical="top" wrapText="1"/>
    </xf>
    <xf numFmtId="166" fontId="0" fillId="0" borderId="0" xfId="3" applyNumberFormat="1" applyFont="1" applyFill="1"/>
    <xf numFmtId="0" fontId="3" fillId="0" borderId="0" xfId="0" applyFont="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6" fillId="0" borderId="0" xfId="0" applyFont="1" applyAlignment="1">
      <alignment wrapText="1"/>
    </xf>
    <xf numFmtId="0" fontId="6" fillId="0" borderId="0" xfId="0" applyFont="1" applyFill="1" applyAlignme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0" fontId="11" fillId="8" borderId="0" xfId="0" applyFont="1" applyFill="1" applyAlignment="1"/>
    <xf numFmtId="44" fontId="0" fillId="0" borderId="0" xfId="2" applyFont="1"/>
    <xf numFmtId="165" fontId="0" fillId="0" borderId="0" xfId="2" applyNumberFormat="1" applyFont="1"/>
    <xf numFmtId="0" fontId="12" fillId="9" borderId="5" xfId="0" applyFont="1" applyFill="1" applyBorder="1" applyAlignment="1"/>
    <xf numFmtId="10" fontId="3" fillId="5" borderId="0" xfId="3" applyNumberFormat="1" applyFont="1" applyFill="1"/>
    <xf numFmtId="10" fontId="3" fillId="5" borderId="0" xfId="0" applyNumberFormat="1" applyFont="1" applyFill="1"/>
    <xf numFmtId="164" fontId="3" fillId="0" borderId="0" xfId="0" applyNumberFormat="1" applyFont="1" applyBorder="1"/>
    <xf numFmtId="6" fontId="3" fillId="5" borderId="0" xfId="0" applyNumberFormat="1" applyFont="1" applyFill="1"/>
    <xf numFmtId="9" fontId="0" fillId="5" borderId="0" xfId="3" applyFont="1" applyFill="1"/>
    <xf numFmtId="164" fontId="0" fillId="9" borderId="0" xfId="1" applyNumberFormat="1" applyFont="1" applyFill="1" applyBorder="1"/>
    <xf numFmtId="166" fontId="0" fillId="9" borderId="0" xfId="3" applyNumberFormat="1" applyFont="1" applyFill="1" applyBorder="1"/>
    <xf numFmtId="166" fontId="0" fillId="9" borderId="0" xfId="3" applyNumberFormat="1" applyFont="1" applyFill="1" applyBorder="1" applyAlignment="1"/>
    <xf numFmtId="164" fontId="0" fillId="0" borderId="3" xfId="1" applyNumberFormat="1" applyFont="1" applyFill="1" applyBorder="1"/>
    <xf numFmtId="164" fontId="0" fillId="0" borderId="0" xfId="1" applyNumberFormat="1" applyFont="1" applyFill="1" applyBorder="1"/>
    <xf numFmtId="164" fontId="0" fillId="0" borderId="8" xfId="1" applyNumberFormat="1" applyFont="1" applyFill="1" applyBorder="1"/>
    <xf numFmtId="0" fontId="0" fillId="9" borderId="0" xfId="0" applyFill="1"/>
    <xf numFmtId="164" fontId="0" fillId="9" borderId="0" xfId="0" applyNumberFormat="1" applyFill="1"/>
    <xf numFmtId="6" fontId="0" fillId="0" borderId="0" xfId="0" applyNumberFormat="1"/>
    <xf numFmtId="0" fontId="0" fillId="5" borderId="2" xfId="0" applyFill="1" applyBorder="1" applyAlignment="1">
      <alignment horizontal="center"/>
    </xf>
    <xf numFmtId="10" fontId="0" fillId="5" borderId="3" xfId="3" applyNumberFormat="1" applyFont="1" applyFill="1" applyBorder="1" applyAlignment="1"/>
    <xf numFmtId="10" fontId="0" fillId="5" borderId="4" xfId="3" applyNumberFormat="1" applyFont="1" applyFill="1" applyBorder="1" applyAlignment="1"/>
    <xf numFmtId="0" fontId="0" fillId="5" borderId="7" xfId="0" applyFill="1" applyBorder="1" applyAlignment="1">
      <alignment horizontal="center"/>
    </xf>
    <xf numFmtId="6" fontId="0" fillId="5" borderId="8" xfId="0" applyNumberFormat="1" applyFill="1" applyBorder="1"/>
    <xf numFmtId="6" fontId="0" fillId="5" borderId="9" xfId="0" applyNumberFormat="1" applyFill="1" applyBorder="1"/>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164" fontId="3" fillId="11" borderId="0" xfId="1" applyNumberFormat="1" applyFont="1" applyFill="1"/>
    <xf numFmtId="0" fontId="13" fillId="0" borderId="0" xfId="0" applyFont="1"/>
    <xf numFmtId="9" fontId="0" fillId="11" borderId="0" xfId="0" applyNumberFormat="1" applyFill="1"/>
    <xf numFmtId="44" fontId="3" fillId="2" borderId="0" xfId="2" applyFont="1" applyFill="1"/>
    <xf numFmtId="165" fontId="3" fillId="2" borderId="0" xfId="2" applyNumberFormat="1" applyFont="1" applyFill="1"/>
    <xf numFmtId="165" fontId="0" fillId="5" borderId="0" xfId="2" applyNumberFormat="1" applyFont="1" applyFill="1"/>
    <xf numFmtId="165" fontId="0" fillId="5" borderId="0" xfId="0" applyNumberFormat="1" applyFill="1"/>
    <xf numFmtId="165" fontId="0" fillId="6" borderId="0" xfId="0" applyNumberFormat="1" applyFill="1"/>
    <xf numFmtId="43" fontId="0" fillId="3" borderId="3" xfId="1" applyFont="1" applyFill="1" applyBorder="1" applyAlignment="1">
      <alignment horizontal="center"/>
    </xf>
    <xf numFmtId="43" fontId="0" fillId="3" borderId="4" xfId="1" applyFont="1" applyFill="1" applyBorder="1" applyAlignment="1">
      <alignment horizontal="center"/>
    </xf>
    <xf numFmtId="43" fontId="0" fillId="3" borderId="0" xfId="1" applyFont="1" applyFill="1" applyBorder="1" applyAlignment="1">
      <alignment horizontal="center"/>
    </xf>
    <xf numFmtId="43" fontId="0" fillId="3" borderId="6" xfId="1" applyFont="1" applyFill="1" applyBorder="1" applyAlignment="1">
      <alignment horizontal="center"/>
    </xf>
    <xf numFmtId="43" fontId="0" fillId="3" borderId="8" xfId="1" applyFont="1" applyFill="1" applyBorder="1" applyAlignment="1">
      <alignment horizontal="center"/>
    </xf>
    <xf numFmtId="43" fontId="0" fillId="3" borderId="9" xfId="1" applyFont="1" applyFill="1" applyBorder="1" applyAlignment="1">
      <alignment horizontal="center"/>
    </xf>
    <xf numFmtId="43" fontId="0" fillId="13" borderId="0" xfId="1" applyFont="1" applyFill="1" applyBorder="1" applyAlignment="1">
      <alignment horizontal="center"/>
    </xf>
    <xf numFmtId="165" fontId="0" fillId="13" borderId="3" xfId="2" applyNumberFormat="1" applyFont="1" applyFill="1" applyBorder="1" applyAlignment="1">
      <alignment horizontal="center"/>
    </xf>
    <xf numFmtId="165" fontId="0" fillId="13" borderId="0" xfId="2" applyNumberFormat="1" applyFont="1" applyFill="1" applyBorder="1" applyAlignment="1">
      <alignment horizontal="center"/>
    </xf>
    <xf numFmtId="165" fontId="0" fillId="13" borderId="8" xfId="2" applyNumberFormat="1" applyFont="1" applyFill="1" applyBorder="1" applyAlignment="1">
      <alignment horizontal="center"/>
    </xf>
    <xf numFmtId="43" fontId="0" fillId="3" borderId="3" xfId="1" applyFont="1" applyFill="1" applyBorder="1"/>
    <xf numFmtId="43" fontId="0" fillId="3" borderId="0" xfId="1" applyFont="1" applyFill="1" applyBorder="1"/>
    <xf numFmtId="43" fontId="0" fillId="9" borderId="0" xfId="1" applyFont="1" applyFill="1" applyBorder="1"/>
    <xf numFmtId="43" fontId="0" fillId="3" borderId="8" xfId="1" applyFont="1" applyFill="1" applyBorder="1"/>
    <xf numFmtId="165" fontId="0" fillId="0" borderId="0" xfId="2" applyNumberFormat="1" applyFont="1" applyFill="1"/>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xf numFmtId="0" fontId="0" fillId="8" borderId="0" xfId="0" applyFill="1" applyAlignment="1">
      <alignment horizontal="center"/>
    </xf>
    <xf numFmtId="0" fontId="0" fillId="12" borderId="0" xfId="0" applyFill="1" applyAlignment="1">
      <alignment horizontal="center"/>
    </xf>
  </cellXfs>
  <cellStyles count="5">
    <cellStyle name="Comma" xfId="1" builtinId="3"/>
    <cellStyle name="Comma 2" xfId="4" xr:uid="{00000000-0005-0000-0000-00000100000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a:extLst>
            <a:ext uri="{FF2B5EF4-FFF2-40B4-BE49-F238E27FC236}">
              <a16:creationId xmlns:a16="http://schemas.microsoft.com/office/drawing/2014/main" id="{00000000-0008-0000-0100-000002000000}"/>
            </a:ext>
          </a:extLst>
        </xdr:cNvPr>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734500</xdr:colOff>
      <xdr:row>15</xdr:row>
      <xdr:rowOff>73291</xdr:rowOff>
    </xdr:from>
    <xdr:ext cx="5694239" cy="3646182"/>
    <xdr:sp macro="" textlink="">
      <xdr:nvSpPr>
        <xdr:cNvPr id="2" name="Rectangle 1">
          <a:extLst>
            <a:ext uri="{FF2B5EF4-FFF2-40B4-BE49-F238E27FC236}">
              <a16:creationId xmlns:a16="http://schemas.microsoft.com/office/drawing/2014/main" id="{00000000-0008-0000-0200-000002000000}"/>
            </a:ext>
          </a:extLst>
        </xdr:cNvPr>
        <xdr:cNvSpPr/>
      </xdr:nvSpPr>
      <xdr:spPr>
        <a:xfrm rot="20395701">
          <a:off x="2544250" y="318796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0"/>
  <sheetViews>
    <sheetView tabSelected="1" workbookViewId="0"/>
  </sheetViews>
  <sheetFormatPr defaultRowHeight="15" x14ac:dyDescent="0.25"/>
  <cols>
    <col min="2" max="2" width="25.85546875" bestFit="1" customWidth="1"/>
    <col min="3" max="3" width="11.85546875" bestFit="1" customWidth="1"/>
    <col min="4" max="4" width="12.140625" bestFit="1" customWidth="1"/>
    <col min="8" max="8" width="18.42578125" bestFit="1" customWidth="1"/>
  </cols>
  <sheetData>
    <row r="1" spans="2:4" ht="18.75" x14ac:dyDescent="0.3">
      <c r="B1" s="27" t="s">
        <v>43</v>
      </c>
      <c r="C1" s="27"/>
    </row>
    <row r="2" spans="2:4" ht="15.75" x14ac:dyDescent="0.25">
      <c r="B2" s="26" t="s">
        <v>56</v>
      </c>
      <c r="C2" s="26"/>
    </row>
    <row r="3" spans="2:4" ht="15.75" x14ac:dyDescent="0.25">
      <c r="B3" s="26" t="s">
        <v>97</v>
      </c>
    </row>
    <row r="4" spans="2:4" ht="15.75" x14ac:dyDescent="0.25">
      <c r="B4" s="26"/>
    </row>
    <row r="5" spans="2:4" x14ac:dyDescent="0.25">
      <c r="B5" s="59" t="s">
        <v>109</v>
      </c>
      <c r="C5" s="96">
        <v>15000000</v>
      </c>
    </row>
    <row r="6" spans="2:4" x14ac:dyDescent="0.25">
      <c r="C6" s="11"/>
    </row>
    <row r="7" spans="2:4" x14ac:dyDescent="0.25">
      <c r="B7" s="59" t="s">
        <v>103</v>
      </c>
      <c r="C7" s="93">
        <v>0.1845</v>
      </c>
    </row>
    <row r="8" spans="2:4" hidden="1" x14ac:dyDescent="0.25">
      <c r="B8" t="s">
        <v>35</v>
      </c>
      <c r="C8" s="63">
        <f>ROUND(C7*0.0163,4)</f>
        <v>3.0000000000000001E-3</v>
      </c>
      <c r="D8" s="7"/>
    </row>
    <row r="9" spans="2:4" hidden="1" x14ac:dyDescent="0.25">
      <c r="B9" t="s">
        <v>24</v>
      </c>
      <c r="C9" s="63">
        <f>C8*1.5</f>
        <v>4.5000000000000005E-3</v>
      </c>
      <c r="D9" s="7"/>
    </row>
    <row r="10" spans="2:4" hidden="1" x14ac:dyDescent="0.25">
      <c r="B10" t="s">
        <v>22</v>
      </c>
      <c r="C10" s="63">
        <f>C8*2</f>
        <v>6.0000000000000001E-3</v>
      </c>
      <c r="D10" s="7"/>
    </row>
    <row r="11" spans="2:4" hidden="1" x14ac:dyDescent="0.25">
      <c r="B11" t="s">
        <v>23</v>
      </c>
      <c r="C11" s="63">
        <f>C8*2.5</f>
        <v>7.4999999999999997E-3</v>
      </c>
      <c r="D11" s="7"/>
    </row>
    <row r="12" spans="2:4" hidden="1" x14ac:dyDescent="0.25">
      <c r="B12" t="s">
        <v>36</v>
      </c>
      <c r="C12" s="63">
        <f>C8*3</f>
        <v>9.0000000000000011E-3</v>
      </c>
      <c r="D12" s="91"/>
    </row>
    <row r="14" spans="2:4" x14ac:dyDescent="0.25">
      <c r="B14" s="59" t="s">
        <v>102</v>
      </c>
      <c r="C14" s="94">
        <f>1-C7-C25-C26</f>
        <v>0.75549999999999995</v>
      </c>
    </row>
    <row r="15" spans="2:4" x14ac:dyDescent="0.25">
      <c r="B15" t="s">
        <v>25</v>
      </c>
      <c r="C15" s="63">
        <f>$C$14*D15</f>
        <v>0</v>
      </c>
      <c r="D15" s="97">
        <v>0</v>
      </c>
    </row>
    <row r="16" spans="2:4" x14ac:dyDescent="0.25">
      <c r="B16" t="s">
        <v>26</v>
      </c>
      <c r="C16" s="63">
        <f t="shared" ref="C16:C22" si="0">$C$14*D16</f>
        <v>0.15110000000000001</v>
      </c>
      <c r="D16" s="97">
        <v>0.2</v>
      </c>
    </row>
    <row r="17" spans="2:4" x14ac:dyDescent="0.25">
      <c r="B17" t="s">
        <v>27</v>
      </c>
      <c r="C17" s="63">
        <f t="shared" si="0"/>
        <v>0.15110000000000001</v>
      </c>
      <c r="D17" s="97">
        <v>0.2</v>
      </c>
    </row>
    <row r="18" spans="2:4" x14ac:dyDescent="0.25">
      <c r="B18" t="s">
        <v>28</v>
      </c>
      <c r="C18" s="63">
        <f t="shared" si="0"/>
        <v>0.15110000000000001</v>
      </c>
      <c r="D18" s="97">
        <v>0.2</v>
      </c>
    </row>
    <row r="19" spans="2:4" x14ac:dyDescent="0.25">
      <c r="B19" t="s">
        <v>101</v>
      </c>
      <c r="C19" s="63">
        <f t="shared" si="0"/>
        <v>0</v>
      </c>
      <c r="D19" s="97">
        <v>0</v>
      </c>
    </row>
    <row r="20" spans="2:4" x14ac:dyDescent="0.25">
      <c r="B20" t="s">
        <v>29</v>
      </c>
      <c r="C20" s="63">
        <f t="shared" si="0"/>
        <v>7.5550000000000006E-2</v>
      </c>
      <c r="D20" s="97">
        <v>0.1</v>
      </c>
    </row>
    <row r="21" spans="2:4" x14ac:dyDescent="0.25">
      <c r="B21" t="s">
        <v>38</v>
      </c>
      <c r="C21" s="63">
        <f t="shared" si="0"/>
        <v>7.5550000000000006E-2</v>
      </c>
      <c r="D21" s="97">
        <v>0.1</v>
      </c>
    </row>
    <row r="22" spans="2:4" x14ac:dyDescent="0.25">
      <c r="B22" t="s">
        <v>30</v>
      </c>
      <c r="C22" s="63">
        <f t="shared" si="0"/>
        <v>0.15110000000000001</v>
      </c>
      <c r="D22" s="97">
        <v>0.2</v>
      </c>
    </row>
    <row r="23" spans="2:4" x14ac:dyDescent="0.25">
      <c r="C23" s="58"/>
    </row>
    <row r="24" spans="2:4" x14ac:dyDescent="0.25">
      <c r="C24" s="58"/>
    </row>
    <row r="25" spans="2:4" x14ac:dyDescent="0.25">
      <c r="B25" s="59" t="s">
        <v>31</v>
      </c>
      <c r="C25" s="93">
        <f>IF($C$5&gt;=15000000,0.05,0)</f>
        <v>0.05</v>
      </c>
    </row>
    <row r="26" spans="2:4" x14ac:dyDescent="0.25">
      <c r="B26" s="59" t="s">
        <v>32</v>
      </c>
      <c r="C26" s="93">
        <f>IF($C$5&gt;=15000000,0.01,0)</f>
        <v>0.01</v>
      </c>
    </row>
    <row r="27" spans="2:4" x14ac:dyDescent="0.25">
      <c r="B27" s="117" t="s">
        <v>117</v>
      </c>
      <c r="C27" s="63">
        <f>$C$26*D27</f>
        <v>0.01</v>
      </c>
      <c r="D27" s="97">
        <v>1</v>
      </c>
    </row>
    <row r="28" spans="2:4" x14ac:dyDescent="0.25">
      <c r="B28" s="117" t="s">
        <v>118</v>
      </c>
      <c r="C28" s="63">
        <f t="shared" ref="C28:C30" si="1">$C$26*D28</f>
        <v>0</v>
      </c>
      <c r="D28" s="97">
        <v>0</v>
      </c>
    </row>
    <row r="29" spans="2:4" hidden="1" x14ac:dyDescent="0.25">
      <c r="B29" s="117" t="s">
        <v>119</v>
      </c>
      <c r="C29" s="63">
        <f t="shared" si="1"/>
        <v>0</v>
      </c>
      <c r="D29" s="97">
        <v>0</v>
      </c>
    </row>
    <row r="30" spans="2:4" hidden="1" x14ac:dyDescent="0.25">
      <c r="B30" s="117" t="s">
        <v>120</v>
      </c>
      <c r="C30" s="63">
        <f t="shared" si="1"/>
        <v>0</v>
      </c>
      <c r="D30" s="97">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Data'!C5</f>
        <v>15000000</v>
      </c>
    </row>
    <row r="4" spans="2:8" x14ac:dyDescent="0.25">
      <c r="B4" t="s">
        <v>42</v>
      </c>
      <c r="C4" s="16">
        <f>'County Data'!H9</f>
        <v>1133250</v>
      </c>
      <c r="D4" s="11"/>
    </row>
    <row r="6" spans="2:8" s="2" customFormat="1" ht="30" x14ac:dyDescent="0.25">
      <c r="B6" s="3" t="s">
        <v>7</v>
      </c>
      <c r="C6" s="3" t="s">
        <v>1</v>
      </c>
      <c r="D6" s="3" t="s">
        <v>14</v>
      </c>
      <c r="E6" s="3" t="s">
        <v>33</v>
      </c>
      <c r="F6" s="3" t="s">
        <v>34</v>
      </c>
      <c r="G6" s="15" t="s">
        <v>13</v>
      </c>
      <c r="H6" s="3" t="s">
        <v>6</v>
      </c>
    </row>
    <row r="7" spans="2:8" x14ac:dyDescent="0.25">
      <c r="B7" s="22" t="str">
        <f>+'County Data'!$B$12</f>
        <v>Clackamas</v>
      </c>
      <c r="C7" s="17">
        <f>VLOOKUP($B7,'County Data'!$B$10:$L$46,2,FALSE)</f>
        <v>413000</v>
      </c>
      <c r="D7" s="58">
        <f>VLOOKUP($B7,'County Data'!$B$10:$L$46,7,FALSE)</f>
        <v>0.152</v>
      </c>
      <c r="E7" s="60">
        <f t="shared" ref="E7:E40" si="0">C7*D7</f>
        <v>62776</v>
      </c>
      <c r="F7" s="7">
        <f t="shared" ref="F7:F40" si="1">E7/$E$41</f>
        <v>5.9615758789944823E-2</v>
      </c>
      <c r="G7" s="16">
        <f t="shared" ref="G7:G40" si="2">$C$4*F7</f>
        <v>67559.558648704973</v>
      </c>
      <c r="H7" s="12">
        <f t="shared" ref="H7:H40" si="3">G7/C7</f>
        <v>0.16358246646175539</v>
      </c>
    </row>
    <row r="8" spans="2:8" x14ac:dyDescent="0.25">
      <c r="B8" s="22" t="str">
        <f>+'County Data'!$B$44</f>
        <v>Washington</v>
      </c>
      <c r="C8" s="17">
        <f>VLOOKUP($B8,'County Data'!$B$10:$L$46,2,FALSE)</f>
        <v>595860</v>
      </c>
      <c r="D8" s="58">
        <f>VLOOKUP($B8,'County Data'!$B$10:$L$46,7,FALSE)</f>
        <v>0.185</v>
      </c>
      <c r="E8" s="60">
        <f t="shared" si="0"/>
        <v>110234.1</v>
      </c>
      <c r="F8" s="7">
        <f t="shared" si="1"/>
        <v>0.10468474442504551</v>
      </c>
      <c r="G8" s="16">
        <f t="shared" si="2"/>
        <v>118633.98661968282</v>
      </c>
      <c r="H8" s="12">
        <f t="shared" si="3"/>
        <v>0.19909708089095227</v>
      </c>
    </row>
    <row r="9" spans="2:8" x14ac:dyDescent="0.25">
      <c r="B9" s="22" t="str">
        <f>+'County Data'!$B$18</f>
        <v>Deschutes</v>
      </c>
      <c r="C9" s="17">
        <f>VLOOKUP($B9,'County Data'!$B$10:$L$46,2,FALSE)</f>
        <v>182930</v>
      </c>
      <c r="D9" s="58">
        <f>VLOOKUP($B9,'County Data'!$B$10:$L$46,7,FALSE)</f>
        <v>0.22700000000000004</v>
      </c>
      <c r="E9" s="60">
        <f t="shared" si="0"/>
        <v>41525.110000000008</v>
      </c>
      <c r="F9" s="7">
        <f t="shared" si="1"/>
        <v>3.943467155419151E-2</v>
      </c>
      <c r="G9" s="16">
        <f t="shared" si="2"/>
        <v>44689.341538787528</v>
      </c>
      <c r="H9" s="12">
        <f t="shared" si="3"/>
        <v>0.24429749925538474</v>
      </c>
    </row>
    <row r="10" spans="2:8" x14ac:dyDescent="0.25">
      <c r="B10" s="22" t="str">
        <f>+'County Data'!$B$14</f>
        <v>Columbia</v>
      </c>
      <c r="C10" s="17">
        <f>VLOOKUP($B10,'County Data'!$B$10:$L$46,2,FALSE)</f>
        <v>51345</v>
      </c>
      <c r="D10" s="58">
        <f>VLOOKUP($B10,'County Data'!$B$10:$L$46,7,FALSE)</f>
        <v>0.23400000000000001</v>
      </c>
      <c r="E10" s="60">
        <f t="shared" si="0"/>
        <v>12014.730000000001</v>
      </c>
      <c r="F10" s="7">
        <f t="shared" si="1"/>
        <v>1.1409889856096499E-2</v>
      </c>
      <c r="G10" s="16">
        <f t="shared" si="2"/>
        <v>12930.257679421356</v>
      </c>
      <c r="H10" s="12">
        <f t="shared" si="3"/>
        <v>0.25183090231612343</v>
      </c>
    </row>
    <row r="11" spans="2:8" x14ac:dyDescent="0.25">
      <c r="B11" s="22" t="str">
        <f>+'County Data'!$B$37</f>
        <v>Polk</v>
      </c>
      <c r="C11" s="17">
        <f>VLOOKUP($B11,'County Data'!$B$10:$L$46,2,FALSE)</f>
        <v>81000</v>
      </c>
      <c r="D11" s="58">
        <f>VLOOKUP($B11,'County Data'!$B$10:$L$46,7,FALSE)</f>
        <v>0.24299999999999999</v>
      </c>
      <c r="E11" s="60">
        <f t="shared" si="0"/>
        <v>19683</v>
      </c>
      <c r="F11" s="7">
        <f t="shared" si="1"/>
        <v>1.8692127250262584E-2</v>
      </c>
      <c r="G11" s="16">
        <f t="shared" si="2"/>
        <v>21182.853206360072</v>
      </c>
      <c r="H11" s="12">
        <f t="shared" si="3"/>
        <v>0.26151670625135892</v>
      </c>
    </row>
    <row r="12" spans="2:8" x14ac:dyDescent="0.25">
      <c r="B12" s="22" t="str">
        <f>+'County Data'!$B$23</f>
        <v>Hood River</v>
      </c>
      <c r="C12" s="17">
        <f>VLOOKUP($B12,'County Data'!$B$10:$L$46,2,FALSE)</f>
        <v>25145</v>
      </c>
      <c r="D12" s="58">
        <f>VLOOKUP($B12,'County Data'!$B$10:$L$46,7,FALSE)</f>
        <v>0.247</v>
      </c>
      <c r="E12" s="60">
        <f t="shared" si="0"/>
        <v>6210.8149999999996</v>
      </c>
      <c r="F12" s="7">
        <f t="shared" si="1"/>
        <v>5.8981529394827818E-3</v>
      </c>
      <c r="G12" s="16">
        <f t="shared" si="2"/>
        <v>6684.0818186688621</v>
      </c>
      <c r="H12" s="12">
        <f t="shared" si="3"/>
        <v>0.26582150800035242</v>
      </c>
    </row>
    <row r="13" spans="2:8" x14ac:dyDescent="0.25">
      <c r="B13" s="22" t="str">
        <f>+'County Data'!$B$46</f>
        <v>Yamhill</v>
      </c>
      <c r="C13" s="17">
        <f>VLOOKUP($B13,'County Data'!$B$10:$L$46,2,FALSE)</f>
        <v>106300</v>
      </c>
      <c r="D13" s="58">
        <f>VLOOKUP($B13,'County Data'!$B$10:$L$46,7,FALSE)</f>
        <v>0.247</v>
      </c>
      <c r="E13" s="60">
        <f t="shared" si="0"/>
        <v>26256.1</v>
      </c>
      <c r="F13" s="7">
        <f t="shared" si="1"/>
        <v>2.4934327200915481E-2</v>
      </c>
      <c r="G13" s="16">
        <f t="shared" si="2"/>
        <v>28256.826300437468</v>
      </c>
      <c r="H13" s="12">
        <f t="shared" si="3"/>
        <v>0.26582150800035248</v>
      </c>
    </row>
    <row r="14" spans="2:8" x14ac:dyDescent="0.25">
      <c r="B14" s="22" t="str">
        <f>+'County Data'!$B$35</f>
        <v>Multnomah</v>
      </c>
      <c r="C14" s="17">
        <f>VLOOKUP($B14,'County Data'!$B$10:$L$46,2,FALSE)</f>
        <v>803000</v>
      </c>
      <c r="D14" s="58">
        <f>VLOOKUP($B14,'County Data'!$B$10:$L$46,7,FALSE)</f>
        <v>0.25700000000000001</v>
      </c>
      <c r="E14" s="60">
        <f t="shared" si="0"/>
        <v>206371</v>
      </c>
      <c r="F14" s="7">
        <f t="shared" si="1"/>
        <v>0.19598196376385407</v>
      </c>
      <c r="G14" s="16">
        <f t="shared" si="2"/>
        <v>222096.56043538763</v>
      </c>
      <c r="H14" s="12">
        <f t="shared" si="3"/>
        <v>0.2765835123728364</v>
      </c>
    </row>
    <row r="15" spans="2:8" x14ac:dyDescent="0.25">
      <c r="B15" s="22" t="str">
        <f>+'County Data'!$B$42</f>
        <v>Wallowa</v>
      </c>
      <c r="C15" s="17">
        <f>VLOOKUP($B15,'County Data'!$B$10:$L$46,2,FALSE)</f>
        <v>7195</v>
      </c>
      <c r="D15" s="58">
        <f>VLOOKUP($B15,'County Data'!$B$10:$L$46,7,FALSE)</f>
        <v>0.25900000000000001</v>
      </c>
      <c r="E15" s="60">
        <f t="shared" si="0"/>
        <v>1863.5050000000001</v>
      </c>
      <c r="F15" s="7">
        <f t="shared" si="1"/>
        <v>1.7696932678707808E-3</v>
      </c>
      <c r="G15" s="16">
        <f t="shared" si="2"/>
        <v>2005.5048958145624</v>
      </c>
      <c r="H15" s="12">
        <f t="shared" si="3"/>
        <v>0.27873591324733321</v>
      </c>
    </row>
    <row r="16" spans="2:8" x14ac:dyDescent="0.25">
      <c r="B16" s="22" t="str">
        <f>+'County Data'!$B$13</f>
        <v>Clatsop</v>
      </c>
      <c r="C16" s="17">
        <f>VLOOKUP($B16,'County Data'!$B$10:$L$46,2,FALSE)</f>
        <v>38820</v>
      </c>
      <c r="D16" s="58">
        <f>VLOOKUP($B16,'County Data'!$B$10:$L$46,7,FALSE)</f>
        <v>0.25900000000000001</v>
      </c>
      <c r="E16" s="60">
        <f t="shared" si="0"/>
        <v>10054.380000000001</v>
      </c>
      <c r="F16" s="7">
        <f t="shared" si="1"/>
        <v>9.548226915739224E-3</v>
      </c>
      <c r="G16" s="16">
        <f t="shared" si="2"/>
        <v>10820.528152261475</v>
      </c>
      <c r="H16" s="12">
        <f t="shared" si="3"/>
        <v>0.27873591324733321</v>
      </c>
    </row>
    <row r="17" spans="2:8" x14ac:dyDescent="0.25">
      <c r="B17" s="22" t="str">
        <f>+'County Data'!$B$36</f>
        <v>Gilliam, Sherman, Wasco</v>
      </c>
      <c r="C17" s="17">
        <f>VLOOKUP($B17,'County Data'!$B$10:$L$46,2,FALSE)</f>
        <v>30895</v>
      </c>
      <c r="D17" s="58">
        <f>VLOOKUP($B17,'County Data'!$B$10:$L$46,7,FALSE)</f>
        <v>0.26</v>
      </c>
      <c r="E17" s="60">
        <f t="shared" si="0"/>
        <v>8032.7000000000007</v>
      </c>
      <c r="F17" s="7">
        <f t="shared" si="1"/>
        <v>7.6283214227091537E-3</v>
      </c>
      <c r="G17" s="16">
        <f t="shared" si="2"/>
        <v>8644.7952522851483</v>
      </c>
      <c r="H17" s="12">
        <f t="shared" si="3"/>
        <v>0.27981211368458159</v>
      </c>
    </row>
    <row r="18" spans="2:8" x14ac:dyDescent="0.25">
      <c r="B18" s="22" t="str">
        <f>+'County Data'!$B$34</f>
        <v>Morrow</v>
      </c>
      <c r="C18" s="17">
        <f>VLOOKUP($B18,'County Data'!$B$10:$L$46,2,FALSE)</f>
        <v>11890</v>
      </c>
      <c r="D18" s="58">
        <f>VLOOKUP($B18,'County Data'!$B$10:$L$46,7,FALSE)</f>
        <v>0.26700000000000002</v>
      </c>
      <c r="E18" s="60">
        <f t="shared" si="0"/>
        <v>3174.63</v>
      </c>
      <c r="F18" s="7">
        <f t="shared" si="1"/>
        <v>3.0148142017223547E-3</v>
      </c>
      <c r="G18" s="16">
        <f t="shared" si="2"/>
        <v>3416.5381941018586</v>
      </c>
      <c r="H18" s="12">
        <f t="shared" si="3"/>
        <v>0.28734551674532033</v>
      </c>
    </row>
    <row r="19" spans="2:8" x14ac:dyDescent="0.25">
      <c r="B19" s="22" t="str">
        <f>+'County Data'!$B$39</f>
        <v>Tillamook</v>
      </c>
      <c r="C19" s="17">
        <f>VLOOKUP($B19,'County Data'!$B$10:$L$46,2,FALSE)</f>
        <v>26175</v>
      </c>
      <c r="D19" s="58">
        <f>VLOOKUP($B19,'County Data'!$B$10:$L$46,7,FALSE)</f>
        <v>0.27400000000000002</v>
      </c>
      <c r="E19" s="60">
        <f t="shared" si="0"/>
        <v>7171.9500000000007</v>
      </c>
      <c r="F19" s="7">
        <f t="shared" si="1"/>
        <v>6.8109029127938195E-3</v>
      </c>
      <c r="G19" s="16">
        <f t="shared" si="2"/>
        <v>7718.4557259235962</v>
      </c>
      <c r="H19" s="12">
        <f t="shared" si="3"/>
        <v>0.29487891980605907</v>
      </c>
    </row>
    <row r="20" spans="2:8" x14ac:dyDescent="0.25">
      <c r="B20" s="22" t="str">
        <f>+'County Data'!$B$10</f>
        <v>Baker</v>
      </c>
      <c r="C20" s="17">
        <f>VLOOKUP($B20,'County Data'!$B$10:$L$46,2,FALSE)</f>
        <v>16750</v>
      </c>
      <c r="D20" s="58">
        <f>VLOOKUP($B20,'County Data'!$B$10:$L$46,7,FALSE)</f>
        <v>0.27600000000000002</v>
      </c>
      <c r="E20" s="60">
        <f t="shared" si="0"/>
        <v>4623</v>
      </c>
      <c r="F20" s="7">
        <f t="shared" si="1"/>
        <v>4.3902710093971405E-3</v>
      </c>
      <c r="G20" s="16">
        <f t="shared" si="2"/>
        <v>4975.2746213993096</v>
      </c>
      <c r="H20" s="12">
        <f t="shared" si="3"/>
        <v>0.29703132068055582</v>
      </c>
    </row>
    <row r="21" spans="2:8" x14ac:dyDescent="0.25">
      <c r="B21" s="22" t="str">
        <f>+'County Data'!$B$17</f>
        <v>Curry</v>
      </c>
      <c r="C21" s="17">
        <f>VLOOKUP($B21,'County Data'!$B$10:$L$46,2,FALSE)</f>
        <v>22805</v>
      </c>
      <c r="D21" s="58">
        <f>VLOOKUP($B21,'County Data'!$B$10:$L$46,7,FALSE)</f>
        <v>0.27700000000000002</v>
      </c>
      <c r="E21" s="60">
        <f t="shared" si="0"/>
        <v>6316.9850000000006</v>
      </c>
      <c r="F21" s="7">
        <f t="shared" si="1"/>
        <v>5.9989781770055373E-3</v>
      </c>
      <c r="G21" s="16">
        <f t="shared" si="2"/>
        <v>6798.3420190915249</v>
      </c>
      <c r="H21" s="12">
        <f t="shared" si="3"/>
        <v>0.2981075211178042</v>
      </c>
    </row>
    <row r="22" spans="2:8" x14ac:dyDescent="0.25">
      <c r="B22" s="22" t="str">
        <f>+'County Data'!$B$31</f>
        <v>Linn</v>
      </c>
      <c r="C22" s="17">
        <f>VLOOKUP($B22,'County Data'!$B$10:$L$46,2,FALSE)</f>
        <v>124010</v>
      </c>
      <c r="D22" s="58">
        <f>VLOOKUP($B22,'County Data'!$B$10:$L$46,7,FALSE)</f>
        <v>0.28600000000000003</v>
      </c>
      <c r="E22" s="60">
        <f t="shared" si="0"/>
        <v>35466.86</v>
      </c>
      <c r="F22" s="7">
        <f t="shared" si="1"/>
        <v>3.3681403255969515E-2</v>
      </c>
      <c r="G22" s="16">
        <f t="shared" si="2"/>
        <v>38169.450239827456</v>
      </c>
      <c r="H22" s="12">
        <f t="shared" si="3"/>
        <v>0.30779332505303975</v>
      </c>
    </row>
    <row r="23" spans="2:8" x14ac:dyDescent="0.25">
      <c r="B23" s="22" t="str">
        <f>+'County Data'!$B$22</f>
        <v>Harney</v>
      </c>
      <c r="C23" s="17">
        <f>VLOOKUP($B23,'County Data'!$B$10:$L$46,2,FALSE)</f>
        <v>7360</v>
      </c>
      <c r="D23" s="58">
        <f>VLOOKUP($B23,'County Data'!$B$10:$L$46,7,FALSE)</f>
        <v>0.28899999999999998</v>
      </c>
      <c r="E23" s="60">
        <f t="shared" si="0"/>
        <v>2127.04</v>
      </c>
      <c r="F23" s="7">
        <f t="shared" si="1"/>
        <v>2.019961507209192E-3</v>
      </c>
      <c r="G23" s="16">
        <f t="shared" si="2"/>
        <v>2289.121378044817</v>
      </c>
      <c r="H23" s="12">
        <f t="shared" si="3"/>
        <v>0.31102192636478493</v>
      </c>
    </row>
    <row r="24" spans="2:8" x14ac:dyDescent="0.25">
      <c r="B24" s="22" t="str">
        <f>+'County Data'!$B$21</f>
        <v>Grant</v>
      </c>
      <c r="C24" s="17">
        <f>VLOOKUP($B24,'County Data'!$B$10:$L$46,2,FALSE)</f>
        <v>7415</v>
      </c>
      <c r="D24" s="58">
        <f>VLOOKUP($B24,'County Data'!$B$10:$L$46,7,FALSE)</f>
        <v>0.28900000000000003</v>
      </c>
      <c r="E24" s="60">
        <f t="shared" si="0"/>
        <v>2142.9350000000004</v>
      </c>
      <c r="F24" s="7">
        <f t="shared" si="1"/>
        <v>2.0350563282549132E-3</v>
      </c>
      <c r="G24" s="16">
        <f t="shared" si="2"/>
        <v>2306.2275839948802</v>
      </c>
      <c r="H24" s="12">
        <f t="shared" si="3"/>
        <v>0.31102192636478493</v>
      </c>
    </row>
    <row r="25" spans="2:8" x14ac:dyDescent="0.25">
      <c r="B25" s="22" t="str">
        <f>+'County Data'!$B$19</f>
        <v>Douglas</v>
      </c>
      <c r="C25" s="17">
        <f>VLOOKUP($B25,'County Data'!$B$10:$L$46,2,FALSE)</f>
        <v>111180</v>
      </c>
      <c r="D25" s="58">
        <f>VLOOKUP($B25,'County Data'!$B$10:$L$46,7,FALSE)</f>
        <v>0.28900000000000003</v>
      </c>
      <c r="E25" s="60">
        <f t="shared" si="0"/>
        <v>32131.020000000004</v>
      </c>
      <c r="F25" s="7">
        <f t="shared" si="1"/>
        <v>3.0513494615695379E-2</v>
      </c>
      <c r="G25" s="16">
        <f t="shared" si="2"/>
        <v>34579.41777323679</v>
      </c>
      <c r="H25" s="12">
        <f t="shared" si="3"/>
        <v>0.31102192636478493</v>
      </c>
    </row>
    <row r="26" spans="2:8" x14ac:dyDescent="0.25">
      <c r="B26" s="22" t="str">
        <f>+'County Data'!$B$24</f>
        <v>Jackson</v>
      </c>
      <c r="C26" s="17">
        <f>VLOOKUP($B26,'County Data'!$B$10:$L$46,2,FALSE)</f>
        <v>216900</v>
      </c>
      <c r="D26" s="58">
        <f>VLOOKUP($B26,'County Data'!$B$10:$L$46,7,FALSE)</f>
        <v>0.29299999999999998</v>
      </c>
      <c r="E26" s="60">
        <f t="shared" si="0"/>
        <v>63551.7</v>
      </c>
      <c r="F26" s="7">
        <f t="shared" si="1"/>
        <v>6.0352408848778773E-2</v>
      </c>
      <c r="G26" s="16">
        <f t="shared" si="2"/>
        <v>68394.367327878543</v>
      </c>
      <c r="H26" s="12">
        <f t="shared" si="3"/>
        <v>0.31532672811377843</v>
      </c>
    </row>
    <row r="27" spans="2:8" x14ac:dyDescent="0.25">
      <c r="B27" s="22" t="str">
        <f>+'County Data'!$B$33</f>
        <v>Marion</v>
      </c>
      <c r="C27" s="17">
        <f>VLOOKUP($B27,'County Data'!$B$10:$L$46,2,FALSE)</f>
        <v>339200</v>
      </c>
      <c r="D27" s="58">
        <f>VLOOKUP($B27,'County Data'!$B$10:$L$46,7,FALSE)</f>
        <v>0.29599999999999999</v>
      </c>
      <c r="E27" s="60">
        <f t="shared" si="0"/>
        <v>100403.2</v>
      </c>
      <c r="F27" s="7">
        <f t="shared" si="1"/>
        <v>9.5348747179472851E-2</v>
      </c>
      <c r="G27" s="16">
        <f t="shared" si="2"/>
        <v>108053.9677411376</v>
      </c>
      <c r="H27" s="12">
        <f t="shared" si="3"/>
        <v>0.31855532942552361</v>
      </c>
    </row>
    <row r="28" spans="2:8" x14ac:dyDescent="0.25">
      <c r="B28" s="22" t="str">
        <f>+'County Data'!$B$40</f>
        <v>Umatilla</v>
      </c>
      <c r="C28" s="17">
        <f>VLOOKUP($B28,'County Data'!$B$10:$L$46,2,FALSE)</f>
        <v>80500</v>
      </c>
      <c r="D28" s="58">
        <f>VLOOKUP($B28,'County Data'!$B$10:$L$46,7,FALSE)</f>
        <v>0.29799999999999999</v>
      </c>
      <c r="E28" s="60">
        <f t="shared" si="0"/>
        <v>23989</v>
      </c>
      <c r="F28" s="7">
        <f t="shared" si="1"/>
        <v>2.2781356531349342E-2</v>
      </c>
      <c r="G28" s="16">
        <f t="shared" si="2"/>
        <v>25816.972289151643</v>
      </c>
      <c r="H28" s="12">
        <f t="shared" si="3"/>
        <v>0.32070773030002042</v>
      </c>
    </row>
    <row r="29" spans="2:8" x14ac:dyDescent="0.25">
      <c r="B29" s="22" t="str">
        <f>+'County Data'!$B$30</f>
        <v>Lincoln</v>
      </c>
      <c r="C29" s="17">
        <f>VLOOKUP($B29,'County Data'!$B$10:$L$46,2,FALSE)</f>
        <v>47960</v>
      </c>
      <c r="D29" s="58">
        <f>VLOOKUP($B29,'County Data'!$B$10:$L$46,7,FALSE)</f>
        <v>0.30000000000000004</v>
      </c>
      <c r="E29" s="60">
        <f t="shared" si="0"/>
        <v>14388.000000000002</v>
      </c>
      <c r="F29" s="7">
        <f t="shared" si="1"/>
        <v>1.3663685763185393E-2</v>
      </c>
      <c r="G29" s="16">
        <f t="shared" si="2"/>
        <v>15484.371891129847</v>
      </c>
      <c r="H29" s="12">
        <f t="shared" si="3"/>
        <v>0.32286013117451723</v>
      </c>
    </row>
    <row r="30" spans="2:8" x14ac:dyDescent="0.25">
      <c r="B30" s="22" t="str">
        <f>+'County Data'!$B$11</f>
        <v>Benton</v>
      </c>
      <c r="C30" s="17">
        <f>VLOOKUP($B30,'County Data'!$B$10:$L$46,2,FALSE)</f>
        <v>92575</v>
      </c>
      <c r="D30" s="58">
        <f>VLOOKUP($B30,'County Data'!$B$10:$L$46,7,FALSE)</f>
        <v>0.30299999999999999</v>
      </c>
      <c r="E30" s="60">
        <f t="shared" si="0"/>
        <v>28050.224999999999</v>
      </c>
      <c r="F30" s="7">
        <f t="shared" si="1"/>
        <v>2.6638133165599591E-2</v>
      </c>
      <c r="G30" s="16">
        <f t="shared" si="2"/>
        <v>30187.664409915735</v>
      </c>
      <c r="H30" s="12">
        <f t="shared" si="3"/>
        <v>0.3260887324862623</v>
      </c>
    </row>
    <row r="31" spans="2:8" x14ac:dyDescent="0.25">
      <c r="B31" s="22" t="str">
        <f>+'County Data'!$B$29</f>
        <v>Lane</v>
      </c>
      <c r="C31" s="17">
        <f>VLOOKUP($B31,'County Data'!$B$10:$L$46,2,FALSE)</f>
        <v>370600</v>
      </c>
      <c r="D31" s="58">
        <f>VLOOKUP($B31,'County Data'!$B$10:$L$46,7,FALSE)</f>
        <v>0.30499999999999999</v>
      </c>
      <c r="E31" s="60">
        <f t="shared" si="0"/>
        <v>113033</v>
      </c>
      <c r="F31" s="7">
        <f t="shared" si="1"/>
        <v>0.1073427434577519</v>
      </c>
      <c r="G31" s="16">
        <f t="shared" si="2"/>
        <v>121646.16402349733</v>
      </c>
      <c r="H31" s="12">
        <f t="shared" si="3"/>
        <v>0.32824113336075911</v>
      </c>
    </row>
    <row r="32" spans="2:8" x14ac:dyDescent="0.25">
      <c r="B32" s="22" t="str">
        <f>+'County Data'!$B$16</f>
        <v>Crook</v>
      </c>
      <c r="C32" s="17">
        <f>VLOOKUP($B32,'County Data'!$B$10:$L$46,2,FALSE)</f>
        <v>22105</v>
      </c>
      <c r="D32" s="58">
        <f>VLOOKUP($B32,'County Data'!$B$10:$L$46,7,FALSE)</f>
        <v>0.30599999999999999</v>
      </c>
      <c r="E32" s="60">
        <f t="shared" si="0"/>
        <v>6764.13</v>
      </c>
      <c r="F32" s="7">
        <f t="shared" si="1"/>
        <v>6.4236132041517379E-3</v>
      </c>
      <c r="G32" s="16">
        <f t="shared" si="2"/>
        <v>7279.5596636049568</v>
      </c>
      <c r="H32" s="12">
        <f t="shared" si="3"/>
        <v>0.32931733379800754</v>
      </c>
    </row>
    <row r="33" spans="2:8" x14ac:dyDescent="0.25">
      <c r="B33" s="22" t="str">
        <f>+'County Data'!$B$25</f>
        <v>Jefferson</v>
      </c>
      <c r="C33" s="17">
        <f>VLOOKUP($B33,'County Data'!$B$10:$L$46,2,FALSE)</f>
        <v>23190</v>
      </c>
      <c r="D33" s="58">
        <f>VLOOKUP($B33,'County Data'!$B$10:$L$46,7,FALSE)</f>
        <v>0.32</v>
      </c>
      <c r="E33" s="60">
        <f t="shared" si="0"/>
        <v>7420.8</v>
      </c>
      <c r="F33" s="7">
        <f t="shared" si="1"/>
        <v>7.0472254178097129E-3</v>
      </c>
      <c r="G33" s="16">
        <f t="shared" si="2"/>
        <v>7986.2682047328572</v>
      </c>
      <c r="H33" s="12">
        <f t="shared" si="3"/>
        <v>0.34438413991948502</v>
      </c>
    </row>
    <row r="34" spans="2:8" x14ac:dyDescent="0.25">
      <c r="B34" s="22" t="str">
        <f>+'County Data'!$B$15</f>
        <v>Coos</v>
      </c>
      <c r="C34" s="17">
        <f>VLOOKUP($B34,'County Data'!$B$10:$L$46,2,FALSE)</f>
        <v>63310</v>
      </c>
      <c r="D34" s="58">
        <f>VLOOKUP($B34,'County Data'!$B$10:$L$46,7,FALSE)</f>
        <v>0.32000000000000006</v>
      </c>
      <c r="E34" s="60">
        <f t="shared" si="0"/>
        <v>20259.200000000004</v>
      </c>
      <c r="F34" s="7">
        <f t="shared" si="1"/>
        <v>1.9239320448535276E-2</v>
      </c>
      <c r="G34" s="16">
        <f t="shared" si="2"/>
        <v>21802.959898302601</v>
      </c>
      <c r="H34" s="12">
        <f t="shared" si="3"/>
        <v>0.34438413991948508</v>
      </c>
    </row>
    <row r="35" spans="2:8" x14ac:dyDescent="0.25">
      <c r="B35" s="22" t="str">
        <f>+'County Data'!$B$27</f>
        <v>Klamath</v>
      </c>
      <c r="C35" s="17">
        <f>VLOOKUP($B35,'County Data'!$B$10:$L$46,2,FALSE)</f>
        <v>67690</v>
      </c>
      <c r="D35" s="58">
        <f>VLOOKUP($B35,'County Data'!$B$10:$L$46,7,FALSE)</f>
        <v>0.32500000000000007</v>
      </c>
      <c r="E35" s="60">
        <f t="shared" si="0"/>
        <v>21999.250000000004</v>
      </c>
      <c r="F35" s="7">
        <f t="shared" si="1"/>
        <v>2.0891773632593567E-2</v>
      </c>
      <c r="G35" s="16">
        <f t="shared" si="2"/>
        <v>23675.602469136658</v>
      </c>
      <c r="H35" s="12">
        <f t="shared" si="3"/>
        <v>0.34976514210572696</v>
      </c>
    </row>
    <row r="36" spans="2:8" x14ac:dyDescent="0.25">
      <c r="B36" s="22" t="str">
        <f>'County Data'!$B$45</f>
        <v>Wheeler</v>
      </c>
      <c r="C36" s="17">
        <f>VLOOKUP($B36,'County Data'!$B$10:$L$46,2,FALSE)</f>
        <v>1480</v>
      </c>
      <c r="D36" s="58">
        <f>VLOOKUP($B36,'County Data'!$B$10:$L$46,7,FALSE)</f>
        <v>0.32599999999999996</v>
      </c>
      <c r="E36" s="60">
        <f t="shared" si="0"/>
        <v>482.47999999999996</v>
      </c>
      <c r="F36" s="7">
        <f t="shared" si="1"/>
        <v>4.5819120843909416E-4</v>
      </c>
      <c r="G36" s="16">
        <f t="shared" si="2"/>
        <v>519.24518696360349</v>
      </c>
      <c r="H36" s="12">
        <f t="shared" si="3"/>
        <v>0.35084134254297533</v>
      </c>
    </row>
    <row r="37" spans="2:8" x14ac:dyDescent="0.25">
      <c r="B37" s="22" t="str">
        <f>+'County Data'!$B$41</f>
        <v>Union</v>
      </c>
      <c r="C37" s="17">
        <f>VLOOKUP($B37,'County Data'!$B$10:$L$46,2,FALSE)</f>
        <v>26900</v>
      </c>
      <c r="D37" s="58">
        <f>VLOOKUP($B37,'County Data'!$B$10:$L$46,7,FALSE)</f>
        <v>0.33100000000000002</v>
      </c>
      <c r="E37" s="60">
        <f t="shared" si="0"/>
        <v>8903.9</v>
      </c>
      <c r="F37" s="7">
        <f t="shared" si="1"/>
        <v>8.4556638634157907E-3</v>
      </c>
      <c r="G37" s="16">
        <f t="shared" si="2"/>
        <v>9582.3810732159454</v>
      </c>
      <c r="H37" s="12">
        <f t="shared" si="3"/>
        <v>0.35622234472921732</v>
      </c>
    </row>
    <row r="38" spans="2:8" x14ac:dyDescent="0.25">
      <c r="B38" s="22" t="str">
        <f>+'County Data'!$B$28</f>
        <v>Lake</v>
      </c>
      <c r="C38" s="17">
        <f>VLOOKUP($B38,'County Data'!$B$10:$L$46,2,FALSE)</f>
        <v>8120</v>
      </c>
      <c r="D38" s="58">
        <f>VLOOKUP($B38,'County Data'!$B$10:$L$46,7,FALSE)</f>
        <v>0.33500000000000002</v>
      </c>
      <c r="E38" s="60">
        <f t="shared" si="0"/>
        <v>2720.2000000000003</v>
      </c>
      <c r="F38" s="7">
        <f t="shared" si="1"/>
        <v>2.5832609127757092E-3</v>
      </c>
      <c r="G38" s="16">
        <f t="shared" si="2"/>
        <v>2927.4804294030723</v>
      </c>
      <c r="H38" s="12">
        <f t="shared" si="3"/>
        <v>0.36052714647821088</v>
      </c>
    </row>
    <row r="39" spans="2:8" x14ac:dyDescent="0.25">
      <c r="B39" s="22" t="str">
        <f>+'County Data'!$B$26</f>
        <v>Josephine</v>
      </c>
      <c r="C39" s="17">
        <f>VLOOKUP($B39,'County Data'!$B$10:$L$46,2,FALSE)</f>
        <v>85650</v>
      </c>
      <c r="D39" s="58">
        <f>VLOOKUP($B39,'County Data'!$B$10:$L$46,7,FALSE)</f>
        <v>0.35699999999999998</v>
      </c>
      <c r="E39" s="60">
        <f t="shared" si="0"/>
        <v>30577.05</v>
      </c>
      <c r="F39" s="7">
        <f t="shared" si="1"/>
        <v>2.9037753875813723E-2</v>
      </c>
      <c r="G39" s="16">
        <f t="shared" si="2"/>
        <v>32907.034579765903</v>
      </c>
      <c r="H39" s="12">
        <f t="shared" si="3"/>
        <v>0.38420355609767548</v>
      </c>
    </row>
    <row r="40" spans="2:8" x14ac:dyDescent="0.25">
      <c r="B40" s="22" t="str">
        <f>+'County Data'!$B$32</f>
        <v>Malheur</v>
      </c>
      <c r="C40" s="17">
        <f>VLOOKUP($B40,'County Data'!$B$10:$L$46,2,FALSE)</f>
        <v>31845</v>
      </c>
      <c r="D40" s="58">
        <f>VLOOKUP($B40,'County Data'!$B$10:$L$46,7,FALSE)</f>
        <v>0.38600000000000001</v>
      </c>
      <c r="E40" s="60">
        <f t="shared" si="0"/>
        <v>12292.17</v>
      </c>
      <c r="F40" s="7">
        <f t="shared" si="1"/>
        <v>1.1673363096167262E-2</v>
      </c>
      <c r="G40" s="16">
        <f t="shared" si="2"/>
        <v>13228.838728731551</v>
      </c>
      <c r="H40" s="12">
        <f t="shared" si="3"/>
        <v>0.41541336877787882</v>
      </c>
    </row>
    <row r="41" spans="2:8" x14ac:dyDescent="0.25">
      <c r="B41" s="5" t="s">
        <v>2</v>
      </c>
      <c r="C41" s="6">
        <f>SUM(C7:C40)</f>
        <v>4141100</v>
      </c>
      <c r="D41" s="6"/>
      <c r="E41" s="6">
        <f>SUM(E7:E40)</f>
        <v>1053010.165</v>
      </c>
      <c r="F41" s="10">
        <f>SUM(F7:F40)</f>
        <v>1</v>
      </c>
      <c r="G41" s="13">
        <f>SUM(G7:G40)</f>
        <v>1133250.0000000002</v>
      </c>
      <c r="H41" s="14">
        <f t="shared" ref="H41" si="4">G41/C41</f>
        <v>0.27365917268358653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Data'!C5</f>
        <v>15000000</v>
      </c>
    </row>
    <row r="4" spans="2:8" x14ac:dyDescent="0.25">
      <c r="B4" t="s">
        <v>42</v>
      </c>
      <c r="C4" s="16">
        <f>'County Data'!J9</f>
        <v>1133250</v>
      </c>
      <c r="D4" s="11"/>
    </row>
    <row r="6" spans="2:8" s="2" customFormat="1" ht="30" x14ac:dyDescent="0.25">
      <c r="B6" s="3" t="s">
        <v>7</v>
      </c>
      <c r="C6" s="3" t="s">
        <v>1</v>
      </c>
      <c r="D6" s="3" t="s">
        <v>14</v>
      </c>
      <c r="E6" s="3" t="s">
        <v>33</v>
      </c>
      <c r="F6" s="3" t="s">
        <v>34</v>
      </c>
      <c r="G6" s="15" t="s">
        <v>13</v>
      </c>
      <c r="H6" s="3" t="s">
        <v>6</v>
      </c>
    </row>
    <row r="7" spans="2:8" x14ac:dyDescent="0.25">
      <c r="B7" s="22" t="str">
        <f>+'County Data'!$B$11</f>
        <v>Benton</v>
      </c>
      <c r="C7" s="17">
        <f>VLOOKUP($B7,'County Data'!$B$10:$L$46,2,FALSE)</f>
        <v>92575</v>
      </c>
      <c r="D7" s="58">
        <f>VLOOKUP($B7,'County Data'!$B$10:$L$46,9,FALSE)</f>
        <v>0.05</v>
      </c>
      <c r="E7" s="60">
        <f t="shared" ref="E7:E40" si="0">C7*D7</f>
        <v>4628.75</v>
      </c>
      <c r="F7" s="7">
        <f t="shared" ref="F7:F40" si="1">E7/$E$41</f>
        <v>1.1115689455938544E-2</v>
      </c>
      <c r="G7" s="16">
        <f t="shared" ref="G7:G40" si="2">$C$4*F7</f>
        <v>12596.855075942354</v>
      </c>
      <c r="H7" s="12">
        <f t="shared" ref="H7:H40" si="3">G7/C7</f>
        <v>0.13607188847898843</v>
      </c>
    </row>
    <row r="8" spans="2:8" x14ac:dyDescent="0.25">
      <c r="B8" s="22" t="str">
        <f>+'County Data'!$B$12</f>
        <v>Clackamas</v>
      </c>
      <c r="C8" s="17">
        <f>VLOOKUP($B8,'County Data'!$B$10:$L$46,2,FALSE)</f>
        <v>413000</v>
      </c>
      <c r="D8" s="58">
        <f>VLOOKUP($B8,'County Data'!$B$10:$L$46,9,FALSE)</f>
        <v>6.7000000000000004E-2</v>
      </c>
      <c r="E8" s="60">
        <f t="shared" si="0"/>
        <v>27671</v>
      </c>
      <c r="F8" s="7">
        <f t="shared" si="1"/>
        <v>6.6450390048128638E-2</v>
      </c>
      <c r="G8" s="16">
        <f t="shared" si="2"/>
        <v>75304.904522041776</v>
      </c>
      <c r="H8" s="12">
        <f t="shared" si="3"/>
        <v>0.18233633056184451</v>
      </c>
    </row>
    <row r="9" spans="2:8" x14ac:dyDescent="0.25">
      <c r="B9" s="22" t="str">
        <f>+'County Data'!$B$42</f>
        <v>Wallowa</v>
      </c>
      <c r="C9" s="17">
        <f>VLOOKUP($B9,'County Data'!$B$10:$L$46,2,FALSE)</f>
        <v>7195</v>
      </c>
      <c r="D9" s="58">
        <f>VLOOKUP($B9,'County Data'!$B$10:$L$46,9,FALSE)</f>
        <v>6.8000000000000005E-2</v>
      </c>
      <c r="E9" s="60">
        <f t="shared" si="0"/>
        <v>489.26000000000005</v>
      </c>
      <c r="F9" s="7">
        <f t="shared" si="1"/>
        <v>1.1749310771185508E-3</v>
      </c>
      <c r="G9" s="16">
        <f t="shared" si="2"/>
        <v>1331.4906431445977</v>
      </c>
      <c r="H9" s="12">
        <f t="shared" si="3"/>
        <v>0.18505776833142429</v>
      </c>
    </row>
    <row r="10" spans="2:8" x14ac:dyDescent="0.25">
      <c r="B10" s="22" t="str">
        <f>+'County Data'!$B$18</f>
        <v>Deschutes</v>
      </c>
      <c r="C10" s="17">
        <f>VLOOKUP($B10,'County Data'!$B$10:$L$46,2,FALSE)</f>
        <v>182930</v>
      </c>
      <c r="D10" s="58">
        <f>VLOOKUP($B10,'County Data'!$B$10:$L$46,9,FALSE)</f>
        <v>7.0000000000000007E-2</v>
      </c>
      <c r="E10" s="60">
        <f t="shared" si="0"/>
        <v>12805.1</v>
      </c>
      <c r="F10" s="7">
        <f t="shared" si="1"/>
        <v>3.0750745893003219E-2</v>
      </c>
      <c r="G10" s="16">
        <f t="shared" si="2"/>
        <v>34848.282783245901</v>
      </c>
      <c r="H10" s="12">
        <f t="shared" si="3"/>
        <v>0.19050064387058382</v>
      </c>
    </row>
    <row r="11" spans="2:8" x14ac:dyDescent="0.25">
      <c r="B11" s="22" t="str">
        <f>+'County Data'!$B$41</f>
        <v>Union</v>
      </c>
      <c r="C11" s="17">
        <f>VLOOKUP($B11,'County Data'!$B$10:$L$46,2,FALSE)</f>
        <v>26900</v>
      </c>
      <c r="D11" s="58">
        <f>VLOOKUP($B11,'County Data'!$B$10:$L$46,9,FALSE)</f>
        <v>7.3999999999999996E-2</v>
      </c>
      <c r="E11" s="60">
        <f t="shared" si="0"/>
        <v>1990.6</v>
      </c>
      <c r="F11" s="7">
        <f t="shared" si="1"/>
        <v>4.7803168092878778E-3</v>
      </c>
      <c r="G11" s="16">
        <f t="shared" si="2"/>
        <v>5417.2940241254873</v>
      </c>
      <c r="H11" s="12">
        <f t="shared" si="3"/>
        <v>0.20138639494890287</v>
      </c>
    </row>
    <row r="12" spans="2:8" x14ac:dyDescent="0.25">
      <c r="B12" s="22" t="str">
        <f>+'County Data'!$B$13</f>
        <v>Clatsop</v>
      </c>
      <c r="C12" s="17">
        <f>VLOOKUP($B12,'County Data'!$B$10:$L$46,2,FALSE)</f>
        <v>38820</v>
      </c>
      <c r="D12" s="58">
        <f>VLOOKUP($B12,'County Data'!$B$10:$L$46,9,FALSE)</f>
        <v>8.1000000000000003E-2</v>
      </c>
      <c r="E12" s="60">
        <f t="shared" si="0"/>
        <v>3144.42</v>
      </c>
      <c r="F12" s="7">
        <f t="shared" si="1"/>
        <v>7.5511523065713796E-3</v>
      </c>
      <c r="G12" s="16">
        <f t="shared" si="2"/>
        <v>8557.343351422016</v>
      </c>
      <c r="H12" s="12">
        <f t="shared" si="3"/>
        <v>0.22043645933596126</v>
      </c>
    </row>
    <row r="13" spans="2:8" x14ac:dyDescent="0.25">
      <c r="B13" s="22" t="str">
        <f>'County Data'!$B$45</f>
        <v>Wheeler</v>
      </c>
      <c r="C13" s="17">
        <f>VLOOKUP($B13,'County Data'!$B$10:$L$46,2,FALSE)</f>
        <v>1480</v>
      </c>
      <c r="D13" s="58">
        <f>VLOOKUP($B13,'County Data'!$B$10:$L$46,9,FALSE)</f>
        <v>8.4000000000000005E-2</v>
      </c>
      <c r="E13" s="60">
        <f t="shared" si="0"/>
        <v>124.32000000000001</v>
      </c>
      <c r="F13" s="7">
        <f t="shared" si="1"/>
        <v>2.9854766689976341E-4</v>
      </c>
      <c r="G13" s="16">
        <f t="shared" si="2"/>
        <v>338.3291435141569</v>
      </c>
      <c r="H13" s="12">
        <f t="shared" si="3"/>
        <v>0.22860077264470061</v>
      </c>
    </row>
    <row r="14" spans="2:8" x14ac:dyDescent="0.25">
      <c r="B14" s="22" t="str">
        <f>+'County Data'!$B$29</f>
        <v>Lane</v>
      </c>
      <c r="C14" s="17">
        <f>VLOOKUP($B14,'County Data'!$B$10:$L$46,2,FALSE)</f>
        <v>370600</v>
      </c>
      <c r="D14" s="58">
        <f>VLOOKUP($B14,'County Data'!$B$10:$L$46,9,FALSE)</f>
        <v>8.8999999999999996E-2</v>
      </c>
      <c r="E14" s="60">
        <f t="shared" si="0"/>
        <v>32983.4</v>
      </c>
      <c r="F14" s="7">
        <f t="shared" si="1"/>
        <v>7.9207827513044199E-2</v>
      </c>
      <c r="G14" s="16">
        <f t="shared" si="2"/>
        <v>89762.270529157337</v>
      </c>
      <c r="H14" s="12">
        <f t="shared" si="3"/>
        <v>0.24220796149259941</v>
      </c>
    </row>
    <row r="15" spans="2:8" x14ac:dyDescent="0.25">
      <c r="B15" s="22" t="str">
        <f>+'County Data'!$B$37</f>
        <v>Polk</v>
      </c>
      <c r="C15" s="17">
        <f>VLOOKUP($B15,'County Data'!$B$10:$L$46,2,FALSE)</f>
        <v>81000</v>
      </c>
      <c r="D15" s="58">
        <f>VLOOKUP($B15,'County Data'!$B$10:$L$46,9,FALSE)</f>
        <v>0.09</v>
      </c>
      <c r="E15" s="60">
        <f t="shared" si="0"/>
        <v>7290</v>
      </c>
      <c r="F15" s="7">
        <f t="shared" si="1"/>
        <v>1.7506535486641529E-2</v>
      </c>
      <c r="G15" s="16">
        <f t="shared" si="2"/>
        <v>19839.281340236514</v>
      </c>
      <c r="H15" s="12">
        <f t="shared" si="3"/>
        <v>0.24492939926217919</v>
      </c>
    </row>
    <row r="16" spans="2:8" x14ac:dyDescent="0.25">
      <c r="B16" s="22" t="str">
        <f>+'County Data'!$B$44</f>
        <v>Washington</v>
      </c>
      <c r="C16" s="17">
        <f>VLOOKUP($B16,'County Data'!$B$10:$L$46,2,FALSE)</f>
        <v>595860</v>
      </c>
      <c r="D16" s="58">
        <f>VLOOKUP($B16,'County Data'!$B$10:$L$46,9,FALSE)</f>
        <v>9.1999999999999998E-2</v>
      </c>
      <c r="E16" s="60">
        <f t="shared" si="0"/>
        <v>54819.12</v>
      </c>
      <c r="F16" s="7">
        <f t="shared" si="1"/>
        <v>0.13164511243161323</v>
      </c>
      <c r="G16" s="16">
        <f t="shared" si="2"/>
        <v>149186.82366312569</v>
      </c>
      <c r="H16" s="12">
        <f t="shared" si="3"/>
        <v>0.25037227480133872</v>
      </c>
    </row>
    <row r="17" spans="2:8" x14ac:dyDescent="0.25">
      <c r="B17" s="22" t="str">
        <f>+'County Data'!$B$35</f>
        <v>Multnomah</v>
      </c>
      <c r="C17" s="17">
        <f>VLOOKUP($B17,'County Data'!$B$10:$L$46,2,FALSE)</f>
        <v>803000</v>
      </c>
      <c r="D17" s="58">
        <f>VLOOKUP($B17,'County Data'!$B$10:$L$46,9,FALSE)</f>
        <v>9.2999999999999999E-2</v>
      </c>
      <c r="E17" s="60">
        <f t="shared" si="0"/>
        <v>74679</v>
      </c>
      <c r="F17" s="7">
        <f t="shared" si="1"/>
        <v>0.17933752587200313</v>
      </c>
      <c r="G17" s="16">
        <f t="shared" si="2"/>
        <v>203234.25119444754</v>
      </c>
      <c r="H17" s="12">
        <f t="shared" si="3"/>
        <v>0.25309371257091851</v>
      </c>
    </row>
    <row r="18" spans="2:8" x14ac:dyDescent="0.25">
      <c r="B18" s="22" t="str">
        <f>+'County Data'!$B$10</f>
        <v>Baker</v>
      </c>
      <c r="C18" s="17">
        <f>VLOOKUP($B18,'County Data'!$B$10:$L$46,2,FALSE)</f>
        <v>16750</v>
      </c>
      <c r="D18" s="58">
        <f>VLOOKUP($B18,'County Data'!$B$10:$L$46,9,FALSE)</f>
        <v>9.6000000000000002E-2</v>
      </c>
      <c r="E18" s="60">
        <f t="shared" si="0"/>
        <v>1608</v>
      </c>
      <c r="F18" s="7">
        <f t="shared" si="1"/>
        <v>3.8615238768888315E-3</v>
      </c>
      <c r="G18" s="16">
        <f t="shared" si="2"/>
        <v>4376.0719334842679</v>
      </c>
      <c r="H18" s="12">
        <f t="shared" si="3"/>
        <v>0.2612580258796578</v>
      </c>
    </row>
    <row r="19" spans="2:8" x14ac:dyDescent="0.25">
      <c r="B19" s="22" t="str">
        <f>+'County Data'!$B$14</f>
        <v>Columbia</v>
      </c>
      <c r="C19" s="17">
        <f>VLOOKUP($B19,'County Data'!$B$10:$L$46,2,FALSE)</f>
        <v>51345</v>
      </c>
      <c r="D19" s="58">
        <f>VLOOKUP($B19,'County Data'!$B$10:$L$46,9,FALSE)</f>
        <v>9.6000000000000002E-2</v>
      </c>
      <c r="E19" s="60">
        <f t="shared" si="0"/>
        <v>4929.12</v>
      </c>
      <c r="F19" s="7">
        <f t="shared" si="1"/>
        <v>1.1837011549782509E-2</v>
      </c>
      <c r="G19" s="16">
        <f t="shared" si="2"/>
        <v>13414.293338791029</v>
      </c>
      <c r="H19" s="12">
        <f t="shared" si="3"/>
        <v>0.2612580258796578</v>
      </c>
    </row>
    <row r="20" spans="2:8" x14ac:dyDescent="0.25">
      <c r="B20" s="22" t="str">
        <f>+'County Data'!$B$39</f>
        <v>Tillamook</v>
      </c>
      <c r="C20" s="17">
        <f>VLOOKUP($B20,'County Data'!$B$10:$L$46,2,FALSE)</f>
        <v>26175</v>
      </c>
      <c r="D20" s="58">
        <f>VLOOKUP($B20,'County Data'!$B$10:$L$46,9,FALSE)</f>
        <v>0.10199999999999999</v>
      </c>
      <c r="E20" s="60">
        <f t="shared" si="0"/>
        <v>2669.85</v>
      </c>
      <c r="F20" s="7">
        <f t="shared" si="1"/>
        <v>6.4114984593977896E-3</v>
      </c>
      <c r="G20" s="16">
        <f t="shared" si="2"/>
        <v>7265.8306291125455</v>
      </c>
      <c r="H20" s="12">
        <f t="shared" si="3"/>
        <v>0.27758665249713643</v>
      </c>
    </row>
    <row r="21" spans="2:8" x14ac:dyDescent="0.25">
      <c r="B21" s="22" t="str">
        <f>+'County Data'!$B$17</f>
        <v>Curry</v>
      </c>
      <c r="C21" s="17">
        <f>VLOOKUP($B21,'County Data'!$B$10:$L$46,2,FALSE)</f>
        <v>22805</v>
      </c>
      <c r="D21" s="58">
        <f>VLOOKUP($B21,'County Data'!$B$10:$L$46,9,FALSE)</f>
        <v>0.10299999999999999</v>
      </c>
      <c r="E21" s="60">
        <f t="shared" si="0"/>
        <v>2348.915</v>
      </c>
      <c r="F21" s="7">
        <f t="shared" si="1"/>
        <v>5.6407906450760756E-3</v>
      </c>
      <c r="G21" s="16">
        <f t="shared" si="2"/>
        <v>6392.4259985324625</v>
      </c>
      <c r="H21" s="12">
        <f t="shared" si="3"/>
        <v>0.28030809026671616</v>
      </c>
    </row>
    <row r="22" spans="2:8" x14ac:dyDescent="0.25">
      <c r="B22" s="22" t="str">
        <f>+'County Data'!$B$31</f>
        <v>Linn</v>
      </c>
      <c r="C22" s="17">
        <f>VLOOKUP($B22,'County Data'!$B$10:$L$46,2,FALSE)</f>
        <v>124010</v>
      </c>
      <c r="D22" s="58">
        <f>VLOOKUP($B22,'County Data'!$B$10:$L$46,9,FALSE)</f>
        <v>0.10299999999999999</v>
      </c>
      <c r="E22" s="60">
        <f t="shared" si="0"/>
        <v>12773.029999999999</v>
      </c>
      <c r="F22" s="7">
        <f t="shared" si="1"/>
        <v>3.0673731545533173E-2</v>
      </c>
      <c r="G22" s="16">
        <f t="shared" si="2"/>
        <v>34761.006273975472</v>
      </c>
      <c r="H22" s="12">
        <f t="shared" si="3"/>
        <v>0.28030809026671616</v>
      </c>
    </row>
    <row r="23" spans="2:8" x14ac:dyDescent="0.25">
      <c r="B23" s="22" t="str">
        <f>+'County Data'!$B$21</f>
        <v>Grant</v>
      </c>
      <c r="C23" s="17">
        <f>VLOOKUP($B23,'County Data'!$B$10:$L$46,2,FALSE)</f>
        <v>7415</v>
      </c>
      <c r="D23" s="58">
        <f>VLOOKUP($B23,'County Data'!$B$10:$L$46,9,FALSE)</f>
        <v>0.104</v>
      </c>
      <c r="E23" s="60">
        <f t="shared" si="0"/>
        <v>771.16</v>
      </c>
      <c r="F23" s="7">
        <f t="shared" si="1"/>
        <v>1.8518984781726313E-3</v>
      </c>
      <c r="G23" s="16">
        <f t="shared" si="2"/>
        <v>2098.6639503891342</v>
      </c>
      <c r="H23" s="12">
        <f t="shared" si="3"/>
        <v>0.28302952803629594</v>
      </c>
    </row>
    <row r="24" spans="2:8" x14ac:dyDescent="0.25">
      <c r="B24" s="22" t="str">
        <f>+'County Data'!$B$22</f>
        <v>Harney</v>
      </c>
      <c r="C24" s="17">
        <f>VLOOKUP($B24,'County Data'!$B$10:$L$46,2,FALSE)</f>
        <v>7360</v>
      </c>
      <c r="D24" s="58">
        <f>VLOOKUP($B24,'County Data'!$B$10:$L$46,9,FALSE)</f>
        <v>0.104</v>
      </c>
      <c r="E24" s="60">
        <f t="shared" si="0"/>
        <v>765.43999999999994</v>
      </c>
      <c r="F24" s="7">
        <f t="shared" si="1"/>
        <v>1.8381622116453898E-3</v>
      </c>
      <c r="G24" s="16">
        <f t="shared" si="2"/>
        <v>2083.0973263471378</v>
      </c>
      <c r="H24" s="12">
        <f t="shared" si="3"/>
        <v>0.28302952803629589</v>
      </c>
    </row>
    <row r="25" spans="2:8" x14ac:dyDescent="0.25">
      <c r="B25" s="22" t="str">
        <f>+'County Data'!$B$30</f>
        <v>Lincoln</v>
      </c>
      <c r="C25" s="17">
        <f>VLOOKUP($B25,'County Data'!$B$10:$L$46,2,FALSE)</f>
        <v>47960</v>
      </c>
      <c r="D25" s="58">
        <f>VLOOKUP($B25,'County Data'!$B$10:$L$46,9,FALSE)</f>
        <v>0.107</v>
      </c>
      <c r="E25" s="60">
        <f t="shared" si="0"/>
        <v>5131.72</v>
      </c>
      <c r="F25" s="7">
        <f t="shared" si="1"/>
        <v>1.2323544346708926E-2</v>
      </c>
      <c r="G25" s="16">
        <f t="shared" si="2"/>
        <v>13965.65663090789</v>
      </c>
      <c r="H25" s="12">
        <f t="shared" si="3"/>
        <v>0.29119384134503523</v>
      </c>
    </row>
    <row r="26" spans="2:8" x14ac:dyDescent="0.25">
      <c r="B26" s="22" t="str">
        <f>+'County Data'!$B$19</f>
        <v>Douglas</v>
      </c>
      <c r="C26" s="17">
        <f>VLOOKUP($B26,'County Data'!$B$10:$L$46,2,FALSE)</f>
        <v>111180</v>
      </c>
      <c r="D26" s="58">
        <f>VLOOKUP($B26,'County Data'!$B$10:$L$46,9,FALSE)</f>
        <v>0.109</v>
      </c>
      <c r="E26" s="60">
        <f t="shared" si="0"/>
        <v>12118.62</v>
      </c>
      <c r="F26" s="7">
        <f t="shared" si="1"/>
        <v>2.9102201794118491E-2</v>
      </c>
      <c r="G26" s="16">
        <f t="shared" si="2"/>
        <v>32980.070183184776</v>
      </c>
      <c r="H26" s="12">
        <f t="shared" si="3"/>
        <v>0.2966367168841948</v>
      </c>
    </row>
    <row r="27" spans="2:8" x14ac:dyDescent="0.25">
      <c r="B27" s="22" t="str">
        <f>+'County Data'!$B$24</f>
        <v>Jackson</v>
      </c>
      <c r="C27" s="17">
        <f>VLOOKUP($B27,'County Data'!$B$10:$L$46,2,FALSE)</f>
        <v>216900</v>
      </c>
      <c r="D27" s="58">
        <f>VLOOKUP($B27,'County Data'!$B$10:$L$46,9,FALSE)</f>
        <v>0.111</v>
      </c>
      <c r="E27" s="60">
        <f t="shared" si="0"/>
        <v>24075.9</v>
      </c>
      <c r="F27" s="7">
        <f t="shared" si="1"/>
        <v>5.7816954420141675E-2</v>
      </c>
      <c r="G27" s="16">
        <f t="shared" si="2"/>
        <v>65521.06359662555</v>
      </c>
      <c r="H27" s="12">
        <f t="shared" si="3"/>
        <v>0.3020795924233543</v>
      </c>
    </row>
    <row r="28" spans="2:8" x14ac:dyDescent="0.25">
      <c r="B28" s="22" t="str">
        <f>+'County Data'!$B$15</f>
        <v>Coos</v>
      </c>
      <c r="C28" s="17">
        <f>VLOOKUP($B28,'County Data'!$B$10:$L$46,2,FALSE)</f>
        <v>63310</v>
      </c>
      <c r="D28" s="58">
        <f>VLOOKUP($B28,'County Data'!$B$10:$L$46,9,FALSE)</f>
        <v>0.111</v>
      </c>
      <c r="E28" s="60">
        <f t="shared" si="0"/>
        <v>7027.41</v>
      </c>
      <c r="F28" s="7">
        <f t="shared" si="1"/>
        <v>1.6875939992342874E-2</v>
      </c>
      <c r="G28" s="16">
        <f t="shared" si="2"/>
        <v>19124.658996322563</v>
      </c>
      <c r="H28" s="12">
        <f t="shared" si="3"/>
        <v>0.30207959242335436</v>
      </c>
    </row>
    <row r="29" spans="2:8" x14ac:dyDescent="0.25">
      <c r="B29" s="22" t="str">
        <f>+'County Data'!$B$26</f>
        <v>Josephine</v>
      </c>
      <c r="C29" s="17">
        <f>VLOOKUP($B29,'County Data'!$B$10:$L$46,2,FALSE)</f>
        <v>85650</v>
      </c>
      <c r="D29" s="58">
        <f>VLOOKUP($B29,'County Data'!$B$10:$L$46,9,FALSE)</f>
        <v>0.112</v>
      </c>
      <c r="E29" s="60">
        <f t="shared" si="0"/>
        <v>9592.8000000000011</v>
      </c>
      <c r="F29" s="7">
        <f t="shared" si="1"/>
        <v>2.3036583486454716E-2</v>
      </c>
      <c r="G29" s="16">
        <f t="shared" si="2"/>
        <v>26106.208236024806</v>
      </c>
      <c r="H29" s="12">
        <f t="shared" si="3"/>
        <v>0.30480103019293409</v>
      </c>
    </row>
    <row r="30" spans="2:8" x14ac:dyDescent="0.25">
      <c r="B30" s="22" t="str">
        <f>+'County Data'!$B$46</f>
        <v>Yamhill</v>
      </c>
      <c r="C30" s="17">
        <f>VLOOKUP($B30,'County Data'!$B$10:$L$46,2,FALSE)</f>
        <v>106300</v>
      </c>
      <c r="D30" s="58">
        <f>VLOOKUP($B30,'County Data'!$B$10:$L$46,9,FALSE)</f>
        <v>0.12</v>
      </c>
      <c r="E30" s="60">
        <f t="shared" si="0"/>
        <v>12756</v>
      </c>
      <c r="F30" s="7">
        <f t="shared" si="1"/>
        <v>3.0632834933827072E-2</v>
      </c>
      <c r="G30" s="16">
        <f t="shared" si="2"/>
        <v>34714.660188759532</v>
      </c>
      <c r="H30" s="12">
        <f t="shared" si="3"/>
        <v>0.32657253234957229</v>
      </c>
    </row>
    <row r="31" spans="2:8" x14ac:dyDescent="0.25">
      <c r="B31" s="22" t="str">
        <f>+'County Data'!$B$27</f>
        <v>Klamath</v>
      </c>
      <c r="C31" s="17">
        <f>VLOOKUP($B31,'County Data'!$B$10:$L$46,2,FALSE)</f>
        <v>67690</v>
      </c>
      <c r="D31" s="58">
        <f>VLOOKUP($B31,'County Data'!$B$10:$L$46,9,FALSE)</f>
        <v>0.124</v>
      </c>
      <c r="E31" s="60">
        <f t="shared" si="0"/>
        <v>8393.56</v>
      </c>
      <c r="F31" s="7">
        <f t="shared" si="1"/>
        <v>2.0156674348320285E-2</v>
      </c>
      <c r="G31" s="16">
        <f t="shared" si="2"/>
        <v>22842.551205233962</v>
      </c>
      <c r="H31" s="12">
        <f t="shared" si="3"/>
        <v>0.3374582834278913</v>
      </c>
    </row>
    <row r="32" spans="2:8" x14ac:dyDescent="0.25">
      <c r="B32" s="22" t="str">
        <f>+'County Data'!$B$16</f>
        <v>Crook</v>
      </c>
      <c r="C32" s="17">
        <f>VLOOKUP($B32,'County Data'!$B$10:$L$46,2,FALSE)</f>
        <v>22105</v>
      </c>
      <c r="D32" s="58">
        <f>VLOOKUP($B32,'County Data'!$B$10:$L$46,9,FALSE)</f>
        <v>0.124</v>
      </c>
      <c r="E32" s="60">
        <f t="shared" si="0"/>
        <v>2741.02</v>
      </c>
      <c r="F32" s="7">
        <f t="shared" si="1"/>
        <v>6.5824093140732735E-3</v>
      </c>
      <c r="G32" s="16">
        <f t="shared" si="2"/>
        <v>7459.5153551735375</v>
      </c>
      <c r="H32" s="12">
        <f t="shared" si="3"/>
        <v>0.3374582834278913</v>
      </c>
    </row>
    <row r="33" spans="2:8" x14ac:dyDescent="0.25">
      <c r="B33" s="22" t="str">
        <f>+'County Data'!$B$36</f>
        <v>Gilliam, Sherman, Wasco</v>
      </c>
      <c r="C33" s="17">
        <f>VLOOKUP($B33,'County Data'!$B$10:$L$46,2,FALSE)</f>
        <v>30895</v>
      </c>
      <c r="D33" s="58">
        <f>VLOOKUP($B33,'County Data'!$B$10:$L$46,9,FALSE)</f>
        <v>0.13450721447786745</v>
      </c>
      <c r="E33" s="60">
        <f t="shared" si="0"/>
        <v>4155.6003912937149</v>
      </c>
      <c r="F33" s="7">
        <f t="shared" si="1"/>
        <v>9.9794466006152046E-3</v>
      </c>
      <c r="G33" s="16">
        <f t="shared" si="2"/>
        <v>11309.20786014718</v>
      </c>
      <c r="H33" s="12">
        <f t="shared" si="3"/>
        <v>0.36605301376103511</v>
      </c>
    </row>
    <row r="34" spans="2:8" x14ac:dyDescent="0.25">
      <c r="B34" s="22" t="str">
        <f>+'County Data'!$B$33</f>
        <v>Marion</v>
      </c>
      <c r="C34" s="17">
        <f>VLOOKUP($B34,'County Data'!$B$10:$L$46,2,FALSE)</f>
        <v>339200</v>
      </c>
      <c r="D34" s="58">
        <f>VLOOKUP($B34,'County Data'!$B$10:$L$46,9,FALSE)</f>
        <v>0.14899999999999999</v>
      </c>
      <c r="E34" s="60">
        <f t="shared" si="0"/>
        <v>50540.799999999996</v>
      </c>
      <c r="F34" s="7">
        <f t="shared" si="1"/>
        <v>0.12137096141608397</v>
      </c>
      <c r="G34" s="16">
        <f t="shared" si="2"/>
        <v>137543.64202477716</v>
      </c>
      <c r="H34" s="12">
        <f t="shared" si="3"/>
        <v>0.40549422766738552</v>
      </c>
    </row>
    <row r="35" spans="2:8" x14ac:dyDescent="0.25">
      <c r="B35" s="22" t="str">
        <f>+'County Data'!$B$28</f>
        <v>Lake</v>
      </c>
      <c r="C35" s="17">
        <f>VLOOKUP($B35,'County Data'!$B$10:$L$46,2,FALSE)</f>
        <v>8120</v>
      </c>
      <c r="D35" s="58">
        <f>VLOOKUP($B35,'County Data'!$B$10:$L$46,9,FALSE)</f>
        <v>0.161</v>
      </c>
      <c r="E35" s="60">
        <f t="shared" si="0"/>
        <v>1307.32</v>
      </c>
      <c r="F35" s="7">
        <f t="shared" si="1"/>
        <v>3.1394573350337729E-3</v>
      </c>
      <c r="G35" s="16">
        <f t="shared" si="2"/>
        <v>3557.7900249270233</v>
      </c>
      <c r="H35" s="12">
        <f t="shared" si="3"/>
        <v>0.43815148090234279</v>
      </c>
    </row>
    <row r="36" spans="2:8" x14ac:dyDescent="0.25">
      <c r="B36" s="22" t="str">
        <f>+'County Data'!$B$25</f>
        <v>Jefferson</v>
      </c>
      <c r="C36" s="17">
        <f>VLOOKUP($B36,'County Data'!$B$10:$L$46,2,FALSE)</f>
        <v>23190</v>
      </c>
      <c r="D36" s="58">
        <f>VLOOKUP($B36,'County Data'!$B$10:$L$46,9,FALSE)</f>
        <v>0.16500000000000001</v>
      </c>
      <c r="E36" s="60">
        <f t="shared" si="0"/>
        <v>3826.3500000000004</v>
      </c>
      <c r="F36" s="7">
        <f t="shared" si="1"/>
        <v>9.1887698298094411E-3</v>
      </c>
      <c r="G36" s="16">
        <f t="shared" si="2"/>
        <v>10413.173409631549</v>
      </c>
      <c r="H36" s="12">
        <f t="shared" si="3"/>
        <v>0.44903723198066187</v>
      </c>
    </row>
    <row r="37" spans="2:8" x14ac:dyDescent="0.25">
      <c r="B37" s="22" t="str">
        <f>+'County Data'!$B$40</f>
        <v>Umatilla</v>
      </c>
      <c r="C37" s="17">
        <f>VLOOKUP($B37,'County Data'!$B$10:$L$46,2,FALSE)</f>
        <v>80500</v>
      </c>
      <c r="D37" s="58">
        <f>VLOOKUP($B37,'County Data'!$B$10:$L$46,9,FALSE)</f>
        <v>0.17399999999999999</v>
      </c>
      <c r="E37" s="60">
        <f t="shared" si="0"/>
        <v>14006.999999999998</v>
      </c>
      <c r="F37" s="7">
        <f t="shared" si="1"/>
        <v>3.3637042875361851E-2</v>
      </c>
      <c r="G37" s="16">
        <f t="shared" si="2"/>
        <v>38119.178838503816</v>
      </c>
      <c r="H37" s="12">
        <f t="shared" si="3"/>
        <v>0.47353017190687968</v>
      </c>
    </row>
    <row r="38" spans="2:8" x14ac:dyDescent="0.25">
      <c r="B38" s="22" t="str">
        <f>+'County Data'!$B$23</f>
        <v>Hood River</v>
      </c>
      <c r="C38" s="17">
        <f>VLOOKUP($B38,'County Data'!$B$10:$L$46,2,FALSE)</f>
        <v>25145</v>
      </c>
      <c r="D38" s="58">
        <f>VLOOKUP($B38,'County Data'!$B$10:$L$46,9,FALSE)</f>
        <v>0.19700000000000001</v>
      </c>
      <c r="E38" s="60">
        <f t="shared" si="0"/>
        <v>4953.5650000000005</v>
      </c>
      <c r="F38" s="7">
        <f t="shared" si="1"/>
        <v>1.1895714877624891E-2</v>
      </c>
      <c r="G38" s="16">
        <f t="shared" si="2"/>
        <v>13480.818885068407</v>
      </c>
      <c r="H38" s="12">
        <f t="shared" si="3"/>
        <v>0.5361232406072145</v>
      </c>
    </row>
    <row r="39" spans="2:8" x14ac:dyDescent="0.25">
      <c r="B39" s="22" t="str">
        <f>+'County Data'!$B$32</f>
        <v>Malheur</v>
      </c>
      <c r="C39" s="17">
        <f>VLOOKUP($B39,'County Data'!$B$10:$L$46,2,FALSE)</f>
        <v>31845</v>
      </c>
      <c r="D39" s="58">
        <f>VLOOKUP($B39,'County Data'!$B$10:$L$46,9,FALSE)</f>
        <v>0.19900000000000001</v>
      </c>
      <c r="E39" s="60">
        <f t="shared" si="0"/>
        <v>6337.1550000000007</v>
      </c>
      <c r="F39" s="7">
        <f t="shared" si="1"/>
        <v>1.5218330437839206E-2</v>
      </c>
      <c r="G39" s="16">
        <f t="shared" si="2"/>
        <v>17246.17296868128</v>
      </c>
      <c r="H39" s="12">
        <f t="shared" si="3"/>
        <v>0.54156611614637395</v>
      </c>
    </row>
    <row r="40" spans="2:8" x14ac:dyDescent="0.25">
      <c r="B40" s="22" t="str">
        <f>+'County Data'!$B$34</f>
        <v>Morrow</v>
      </c>
      <c r="C40" s="17">
        <f>VLOOKUP($B40,'County Data'!$B$10:$L$46,2,FALSE)</f>
        <v>11890</v>
      </c>
      <c r="D40" s="58">
        <f>VLOOKUP($B40,'County Data'!$B$10:$L$46,9,FALSE)</f>
        <v>0.249</v>
      </c>
      <c r="E40" s="60">
        <f t="shared" si="0"/>
        <v>2960.61</v>
      </c>
      <c r="F40" s="7">
        <f t="shared" si="1"/>
        <v>7.1097426648979124E-3</v>
      </c>
      <c r="G40" s="16">
        <f t="shared" si="2"/>
        <v>8057.1158749955594</v>
      </c>
      <c r="H40" s="12">
        <f t="shared" si="3"/>
        <v>0.67763800462536239</v>
      </c>
    </row>
    <row r="41" spans="2:8" x14ac:dyDescent="0.25">
      <c r="B41" s="5" t="s">
        <v>2</v>
      </c>
      <c r="C41" s="6">
        <f>SUM(C6:C40)</f>
        <v>4141100</v>
      </c>
      <c r="D41" s="6"/>
      <c r="E41" s="6">
        <f>SUM(E6:E40)</f>
        <v>416415.9153912937</v>
      </c>
      <c r="F41" s="10">
        <f>SUM(F6:F40)</f>
        <v>1</v>
      </c>
      <c r="G41" s="13">
        <f>SUM(G6:G40)</f>
        <v>1133249.9999999998</v>
      </c>
      <c r="H41" s="14">
        <f t="shared" ref="H41" si="4">G41/C41</f>
        <v>0.27365917268358642</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J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Data'!C5</f>
        <v>15000000</v>
      </c>
    </row>
    <row r="4" spans="2:10" x14ac:dyDescent="0.25">
      <c r="B4" t="s">
        <v>42</v>
      </c>
      <c r="C4" s="16">
        <f>'County Data'!K9</f>
        <v>2266500</v>
      </c>
      <c r="D4" s="11"/>
    </row>
    <row r="6" spans="2:10" s="2" customFormat="1" ht="30" x14ac:dyDescent="0.25">
      <c r="B6" s="3" t="s">
        <v>7</v>
      </c>
      <c r="C6" s="3" t="s">
        <v>1</v>
      </c>
      <c r="D6" s="3" t="s">
        <v>14</v>
      </c>
      <c r="E6" s="3" t="s">
        <v>33</v>
      </c>
      <c r="F6" s="3" t="s">
        <v>34</v>
      </c>
      <c r="G6" s="15" t="s">
        <v>13</v>
      </c>
      <c r="H6" s="3" t="s">
        <v>6</v>
      </c>
    </row>
    <row r="7" spans="2:10" x14ac:dyDescent="0.25">
      <c r="B7" s="22" t="str">
        <f>'County Data'!$B$45</f>
        <v>Wheeler</v>
      </c>
      <c r="C7" s="17">
        <f>VLOOKUP($B7,'County Data'!$B$10:$L$46,2,FALSE)</f>
        <v>1480</v>
      </c>
      <c r="D7" s="58">
        <f>VLOOKUP($B7,'County Data'!$B$10:$L$46,10,FALSE)</f>
        <v>1E-3</v>
      </c>
      <c r="E7" s="60">
        <f t="shared" ref="E7:E40" si="0">C7*D7</f>
        <v>1.48</v>
      </c>
      <c r="F7" s="7">
        <f t="shared" ref="F7:F40" si="1">E7/$E$41</f>
        <v>5.9848646586600966E-6</v>
      </c>
      <c r="G7" s="16">
        <f t="shared" ref="G7:G40" si="2">$C$4*F7</f>
        <v>13.56469574885311</v>
      </c>
      <c r="H7" s="12">
        <f t="shared" ref="H7:H40" si="3">G7/C7</f>
        <v>9.1653349654412901E-3</v>
      </c>
      <c r="J7" s="61"/>
    </row>
    <row r="8" spans="2:10" x14ac:dyDescent="0.25">
      <c r="B8" s="22" t="str">
        <f>+'County Data'!$B$16</f>
        <v>Crook</v>
      </c>
      <c r="C8" s="17">
        <f>VLOOKUP($B8,'County Data'!$B$10:$L$46,2,FALSE)</f>
        <v>22105</v>
      </c>
      <c r="D8" s="58">
        <f>VLOOKUP($B8,'County Data'!$B$10:$L$46,10,FALSE)</f>
        <v>7.0000000000000001E-3</v>
      </c>
      <c r="E8" s="60">
        <f t="shared" si="0"/>
        <v>154.73500000000001</v>
      </c>
      <c r="F8" s="7">
        <f t="shared" si="1"/>
        <v>6.2572164389038522E-4</v>
      </c>
      <c r="G8" s="16">
        <f t="shared" si="2"/>
        <v>1418.1981058775582</v>
      </c>
      <c r="H8" s="12">
        <f t="shared" si="3"/>
        <v>6.4157344758089041E-2</v>
      </c>
      <c r="J8" s="61"/>
    </row>
    <row r="9" spans="2:10" x14ac:dyDescent="0.25">
      <c r="B9" s="22" t="str">
        <f>+'County Data'!$B$42</f>
        <v>Wallowa</v>
      </c>
      <c r="C9" s="17">
        <f>VLOOKUP($B9,'County Data'!$B$10:$L$46,2,FALSE)</f>
        <v>7195</v>
      </c>
      <c r="D9" s="58">
        <f>VLOOKUP($B9,'County Data'!$B$10:$L$46,10,FALSE)</f>
        <v>8.0000000000000002E-3</v>
      </c>
      <c r="E9" s="60">
        <f t="shared" si="0"/>
        <v>57.56</v>
      </c>
      <c r="F9" s="7">
        <f t="shared" si="1"/>
        <v>2.3276270929221298E-4</v>
      </c>
      <c r="G9" s="16">
        <f t="shared" si="2"/>
        <v>527.55668061080075</v>
      </c>
      <c r="H9" s="12">
        <f t="shared" si="3"/>
        <v>7.3322679723530335E-2</v>
      </c>
      <c r="J9" s="61"/>
    </row>
    <row r="10" spans="2:10" x14ac:dyDescent="0.25">
      <c r="B10" s="22" t="str">
        <f>+'County Data'!$B$21</f>
        <v>Grant</v>
      </c>
      <c r="C10" s="17">
        <f>VLOOKUP($B10,'County Data'!$B$10:$L$46,2,FALSE)</f>
        <v>7415</v>
      </c>
      <c r="D10" s="58">
        <f>VLOOKUP($B10,'County Data'!$B$10:$L$46,10,FALSE)</f>
        <v>8.0000000000000002E-3</v>
      </c>
      <c r="E10" s="60">
        <f t="shared" si="0"/>
        <v>59.32</v>
      </c>
      <c r="F10" s="7">
        <f t="shared" si="1"/>
        <v>2.39879845643052E-4</v>
      </c>
      <c r="G10" s="16">
        <f t="shared" si="2"/>
        <v>543.68767014997741</v>
      </c>
      <c r="H10" s="12">
        <f t="shared" si="3"/>
        <v>7.3322679723530335E-2</v>
      </c>
      <c r="J10" s="61"/>
    </row>
    <row r="11" spans="2:10" x14ac:dyDescent="0.25">
      <c r="B11" s="22" t="str">
        <f>+'County Data'!$B$10</f>
        <v>Baker</v>
      </c>
      <c r="C11" s="17">
        <f>VLOOKUP($B11,'County Data'!$B$10:$L$46,2,FALSE)</f>
        <v>16750</v>
      </c>
      <c r="D11" s="58">
        <f>VLOOKUP($B11,'County Data'!$B$10:$L$46,10,FALSE)</f>
        <v>0.01</v>
      </c>
      <c r="E11" s="60">
        <f t="shared" si="0"/>
        <v>167.5</v>
      </c>
      <c r="F11" s="7">
        <f t="shared" si="1"/>
        <v>6.7734110157132853E-4</v>
      </c>
      <c r="G11" s="16">
        <f t="shared" si="2"/>
        <v>1535.1936067114161</v>
      </c>
      <c r="H11" s="12">
        <f t="shared" si="3"/>
        <v>9.1653349654412908E-2</v>
      </c>
      <c r="J11" s="61"/>
    </row>
    <row r="12" spans="2:10" x14ac:dyDescent="0.25">
      <c r="B12" s="22" t="str">
        <f>+'County Data'!$B$19</f>
        <v>Douglas</v>
      </c>
      <c r="C12" s="17">
        <f>VLOOKUP($B12,'County Data'!$B$10:$L$46,2,FALSE)</f>
        <v>111180</v>
      </c>
      <c r="D12" s="58">
        <f>VLOOKUP($B12,'County Data'!$B$10:$L$46,10,FALSE)</f>
        <v>1.2E-2</v>
      </c>
      <c r="E12" s="60">
        <f t="shared" si="0"/>
        <v>1334.16</v>
      </c>
      <c r="F12" s="7">
        <f t="shared" si="1"/>
        <v>5.3951128601337538E-3</v>
      </c>
      <c r="G12" s="16">
        <f t="shared" si="2"/>
        <v>12228.023297493153</v>
      </c>
      <c r="H12" s="12">
        <f t="shared" si="3"/>
        <v>0.10998401958529549</v>
      </c>
      <c r="J12" s="61"/>
    </row>
    <row r="13" spans="2:10" x14ac:dyDescent="0.25">
      <c r="B13" s="22" t="str">
        <f>+'County Data'!$B$17</f>
        <v>Curry</v>
      </c>
      <c r="C13" s="17">
        <f>VLOOKUP($B13,'County Data'!$B$10:$L$46,2,FALSE)</f>
        <v>22805</v>
      </c>
      <c r="D13" s="58">
        <f>VLOOKUP($B13,'County Data'!$B$10:$L$46,10,FALSE)</f>
        <v>1.2E-2</v>
      </c>
      <c r="E13" s="60">
        <f t="shared" si="0"/>
        <v>273.66000000000003</v>
      </c>
      <c r="F13" s="7">
        <f t="shared" si="1"/>
        <v>1.1066338260060286E-3</v>
      </c>
      <c r="G13" s="16">
        <f t="shared" si="2"/>
        <v>2508.1855666426641</v>
      </c>
      <c r="H13" s="12">
        <f t="shared" si="3"/>
        <v>0.10998401958529551</v>
      </c>
      <c r="J13" s="61"/>
    </row>
    <row r="14" spans="2:10" x14ac:dyDescent="0.25">
      <c r="B14" s="22" t="str">
        <f>+'County Data'!$B$26</f>
        <v>Josephine</v>
      </c>
      <c r="C14" s="17">
        <f>VLOOKUP($B14,'County Data'!$B$10:$L$46,2,FALSE)</f>
        <v>85650</v>
      </c>
      <c r="D14" s="58">
        <f>VLOOKUP($B14,'County Data'!$B$10:$L$46,10,FALSE)</f>
        <v>1.2E-2</v>
      </c>
      <c r="E14" s="60">
        <f t="shared" si="0"/>
        <v>1027.8</v>
      </c>
      <c r="F14" s="7">
        <f t="shared" si="1"/>
        <v>4.1562458757911135E-3</v>
      </c>
      <c r="G14" s="16">
        <f t="shared" si="2"/>
        <v>9420.1312774805592</v>
      </c>
      <c r="H14" s="12">
        <f t="shared" si="3"/>
        <v>0.10998401958529549</v>
      </c>
      <c r="J14" s="61"/>
    </row>
    <row r="15" spans="2:10" x14ac:dyDescent="0.25">
      <c r="B15" s="22" t="str">
        <f>+'County Data'!$B$14</f>
        <v>Columbia</v>
      </c>
      <c r="C15" s="17">
        <f>VLOOKUP($B15,'County Data'!$B$10:$L$46,2,FALSE)</f>
        <v>51345</v>
      </c>
      <c r="D15" s="58">
        <f>VLOOKUP($B15,'County Data'!$B$10:$L$46,10,FALSE)</f>
        <v>1.4E-2</v>
      </c>
      <c r="E15" s="60">
        <f t="shared" si="0"/>
        <v>718.83</v>
      </c>
      <c r="F15" s="7">
        <f t="shared" si="1"/>
        <v>2.9068245017463768E-3</v>
      </c>
      <c r="G15" s="16">
        <f t="shared" si="2"/>
        <v>6588.3177332081632</v>
      </c>
      <c r="H15" s="12">
        <f t="shared" si="3"/>
        <v>0.12831468951617808</v>
      </c>
      <c r="J15" s="61"/>
    </row>
    <row r="16" spans="2:10" x14ac:dyDescent="0.25">
      <c r="B16" s="22" t="str">
        <f>+'County Data'!$B$41</f>
        <v>Union</v>
      </c>
      <c r="C16" s="17">
        <f>VLOOKUP($B16,'County Data'!$B$10:$L$46,2,FALSE)</f>
        <v>26900</v>
      </c>
      <c r="D16" s="58">
        <f>VLOOKUP($B16,'County Data'!$B$10:$L$46,10,FALSE)</f>
        <v>1.4E-2</v>
      </c>
      <c r="E16" s="60">
        <f t="shared" si="0"/>
        <v>376.6</v>
      </c>
      <c r="F16" s="7">
        <f t="shared" si="1"/>
        <v>1.5229054259806706E-3</v>
      </c>
      <c r="G16" s="16">
        <f t="shared" si="2"/>
        <v>3451.6651479851898</v>
      </c>
      <c r="H16" s="12">
        <f t="shared" si="3"/>
        <v>0.12831468951617805</v>
      </c>
      <c r="J16" s="61"/>
    </row>
    <row r="17" spans="2:10" x14ac:dyDescent="0.25">
      <c r="B17" s="22" t="str">
        <f>+'County Data'!$B$15</f>
        <v>Coos</v>
      </c>
      <c r="C17" s="17">
        <f>VLOOKUP($B17,'County Data'!$B$10:$L$46,2,FALSE)</f>
        <v>63310</v>
      </c>
      <c r="D17" s="58">
        <f>VLOOKUP($B17,'County Data'!$B$10:$L$46,10,FALSE)</f>
        <v>1.4999999999999999E-2</v>
      </c>
      <c r="E17" s="60">
        <f t="shared" si="0"/>
        <v>949.65</v>
      </c>
      <c r="F17" s="7">
        <f t="shared" si="1"/>
        <v>3.8402207588490275E-3</v>
      </c>
      <c r="G17" s="16">
        <f t="shared" si="2"/>
        <v>8703.8603499313213</v>
      </c>
      <c r="H17" s="12">
        <f t="shared" si="3"/>
        <v>0.13748002448161936</v>
      </c>
      <c r="J17" s="61"/>
    </row>
    <row r="18" spans="2:10" x14ac:dyDescent="0.25">
      <c r="B18" s="22" t="str">
        <f>+'County Data'!$B$22</f>
        <v>Harney</v>
      </c>
      <c r="C18" s="17">
        <f>VLOOKUP($B18,'County Data'!$B$10:$L$46,2,FALSE)</f>
        <v>7360</v>
      </c>
      <c r="D18" s="58">
        <f>VLOOKUP($B18,'County Data'!$B$10:$L$46,10,FALSE)</f>
        <v>1.7000000000000001E-2</v>
      </c>
      <c r="E18" s="60">
        <f t="shared" si="0"/>
        <v>125.12</v>
      </c>
      <c r="F18" s="7">
        <f t="shared" si="1"/>
        <v>5.0596369330510225E-4</v>
      </c>
      <c r="G18" s="16">
        <f t="shared" si="2"/>
        <v>1146.7667108760143</v>
      </c>
      <c r="H18" s="12">
        <f t="shared" si="3"/>
        <v>0.15581069441250195</v>
      </c>
      <c r="J18" s="61"/>
    </row>
    <row r="19" spans="2:10" x14ac:dyDescent="0.25">
      <c r="B19" s="22" t="str">
        <f>+'County Data'!$B$18</f>
        <v>Deschutes</v>
      </c>
      <c r="C19" s="17">
        <f>VLOOKUP($B19,'County Data'!$B$10:$L$46,2,FALSE)</f>
        <v>182930</v>
      </c>
      <c r="D19" s="58">
        <f>VLOOKUP($B19,'County Data'!$B$10:$L$46,10,FALSE)</f>
        <v>0.02</v>
      </c>
      <c r="E19" s="60">
        <f t="shared" si="0"/>
        <v>3658.6</v>
      </c>
      <c r="F19" s="7">
        <f t="shared" si="1"/>
        <v>1.4794747189306642E-2</v>
      </c>
      <c r="G19" s="16">
        <f t="shared" si="2"/>
        <v>33532.294504563506</v>
      </c>
      <c r="H19" s="12">
        <f t="shared" si="3"/>
        <v>0.18330669930882582</v>
      </c>
      <c r="J19" s="61"/>
    </row>
    <row r="20" spans="2:10" x14ac:dyDescent="0.25">
      <c r="B20" s="22" t="str">
        <f>+'County Data'!$B$31</f>
        <v>Linn</v>
      </c>
      <c r="C20" s="17">
        <f>VLOOKUP($B20,'County Data'!$B$10:$L$46,2,FALSE)</f>
        <v>124010</v>
      </c>
      <c r="D20" s="58">
        <f>VLOOKUP($B20,'County Data'!$B$10:$L$46,10,FALSE)</f>
        <v>2.1000000000000001E-2</v>
      </c>
      <c r="E20" s="60">
        <f t="shared" si="0"/>
        <v>2604.21</v>
      </c>
      <c r="F20" s="7">
        <f t="shared" si="1"/>
        <v>1.0530975941033251E-2</v>
      </c>
      <c r="G20" s="16">
        <f t="shared" si="2"/>
        <v>23868.456970351865</v>
      </c>
      <c r="H20" s="12">
        <f t="shared" si="3"/>
        <v>0.19247203427426712</v>
      </c>
      <c r="J20" s="61"/>
    </row>
    <row r="21" spans="2:10" x14ac:dyDescent="0.25">
      <c r="B21" s="22" t="str">
        <f>+'County Data'!$B$39</f>
        <v>Tillamook</v>
      </c>
      <c r="C21" s="17">
        <f>VLOOKUP($B21,'County Data'!$B$10:$L$46,2,FALSE)</f>
        <v>26175</v>
      </c>
      <c r="D21" s="58">
        <f>VLOOKUP($B21,'County Data'!$B$10:$L$46,10,FALSE)</f>
        <v>2.4E-2</v>
      </c>
      <c r="E21" s="60">
        <f t="shared" si="0"/>
        <v>628.20000000000005</v>
      </c>
      <c r="F21" s="7">
        <f t="shared" si="1"/>
        <v>2.5403324179528873E-3</v>
      </c>
      <c r="G21" s="16">
        <f t="shared" si="2"/>
        <v>5757.6634252902195</v>
      </c>
      <c r="H21" s="12">
        <f t="shared" si="3"/>
        <v>0.21996803917059099</v>
      </c>
      <c r="J21" s="61"/>
    </row>
    <row r="22" spans="2:10" x14ac:dyDescent="0.25">
      <c r="B22" s="22" t="str">
        <f>+'County Data'!$B$28</f>
        <v>Lake</v>
      </c>
      <c r="C22" s="17">
        <f>VLOOKUP($B22,'County Data'!$B$10:$L$46,2,FALSE)</f>
        <v>8120</v>
      </c>
      <c r="D22" s="58">
        <f>VLOOKUP($B22,'County Data'!$B$10:$L$46,10,FALSE)</f>
        <v>2.5000000000000001E-2</v>
      </c>
      <c r="E22" s="60">
        <f t="shared" si="0"/>
        <v>203</v>
      </c>
      <c r="F22" s="7">
        <f t="shared" si="1"/>
        <v>8.2089697682972951E-4</v>
      </c>
      <c r="G22" s="16">
        <f t="shared" si="2"/>
        <v>1860.5629979845819</v>
      </c>
      <c r="H22" s="12">
        <f t="shared" si="3"/>
        <v>0.22913337413603224</v>
      </c>
      <c r="J22" s="61"/>
    </row>
    <row r="23" spans="2:10" x14ac:dyDescent="0.25">
      <c r="B23" s="22" t="str">
        <f>+'County Data'!$B$29</f>
        <v>Lane</v>
      </c>
      <c r="C23" s="17">
        <f>VLOOKUP($B23,'County Data'!$B$10:$L$46,2,FALSE)</f>
        <v>370600</v>
      </c>
      <c r="D23" s="58">
        <f>VLOOKUP($B23,'County Data'!$B$10:$L$46,10,FALSE)</f>
        <v>2.8000000000000001E-2</v>
      </c>
      <c r="E23" s="60">
        <f t="shared" si="0"/>
        <v>10376.800000000001</v>
      </c>
      <c r="F23" s="7">
        <f t="shared" si="1"/>
        <v>4.1961988912151423E-2</v>
      </c>
      <c r="G23" s="16">
        <f t="shared" si="2"/>
        <v>95106.847869391204</v>
      </c>
      <c r="H23" s="12">
        <f t="shared" si="3"/>
        <v>0.25662937903235616</v>
      </c>
      <c r="J23" s="61"/>
    </row>
    <row r="24" spans="2:10" x14ac:dyDescent="0.25">
      <c r="B24" s="22" t="str">
        <f>+'County Data'!$B$13</f>
        <v>Clatsop</v>
      </c>
      <c r="C24" s="17">
        <f>VLOOKUP($B24,'County Data'!$B$10:$L$46,2,FALSE)</f>
        <v>38820</v>
      </c>
      <c r="D24" s="58">
        <f>VLOOKUP($B24,'County Data'!$B$10:$L$46,10,FALSE)</f>
        <v>2.9000000000000001E-2</v>
      </c>
      <c r="E24" s="60">
        <f t="shared" si="0"/>
        <v>1125.78</v>
      </c>
      <c r="F24" s="7">
        <f t="shared" si="1"/>
        <v>4.5524600915043002E-3</v>
      </c>
      <c r="G24" s="16">
        <f t="shared" si="2"/>
        <v>10318.150797394497</v>
      </c>
      <c r="H24" s="12">
        <f t="shared" si="3"/>
        <v>0.26579471399779747</v>
      </c>
      <c r="J24" s="61"/>
    </row>
    <row r="25" spans="2:10" x14ac:dyDescent="0.25">
      <c r="B25" s="22" t="str">
        <f>+'County Data'!$B$27</f>
        <v>Klamath</v>
      </c>
      <c r="C25" s="17">
        <f>VLOOKUP($B25,'County Data'!$B$10:$L$46,2,FALSE)</f>
        <v>67690</v>
      </c>
      <c r="D25" s="58">
        <f>VLOOKUP($B25,'County Data'!$B$10:$L$46,10,FALSE)</f>
        <v>0.03</v>
      </c>
      <c r="E25" s="60">
        <f t="shared" si="0"/>
        <v>2030.6999999999998</v>
      </c>
      <c r="F25" s="7">
        <f t="shared" si="1"/>
        <v>8.2118004475277423E-3</v>
      </c>
      <c r="G25" s="16">
        <f t="shared" si="2"/>
        <v>18612.045714321626</v>
      </c>
      <c r="H25" s="12">
        <f t="shared" si="3"/>
        <v>0.27496004896323867</v>
      </c>
      <c r="J25" s="61"/>
    </row>
    <row r="26" spans="2:10" x14ac:dyDescent="0.25">
      <c r="B26" s="22" t="str">
        <f>+'County Data'!$B$30</f>
        <v>Lincoln</v>
      </c>
      <c r="C26" s="17">
        <f>VLOOKUP($B26,'County Data'!$B$10:$L$46,2,FALSE)</f>
        <v>47960</v>
      </c>
      <c r="D26" s="58">
        <f>VLOOKUP($B26,'County Data'!$B$10:$L$46,10,FALSE)</f>
        <v>3.1E-2</v>
      </c>
      <c r="E26" s="60">
        <f t="shared" si="0"/>
        <v>1486.76</v>
      </c>
      <c r="F26" s="7">
        <f t="shared" si="1"/>
        <v>6.0122009323712745E-3</v>
      </c>
      <c r="G26" s="16">
        <f t="shared" si="2"/>
        <v>13626.653413219494</v>
      </c>
      <c r="H26" s="12">
        <f t="shared" si="3"/>
        <v>0.28412538392868003</v>
      </c>
      <c r="J26" s="61"/>
    </row>
    <row r="27" spans="2:10" x14ac:dyDescent="0.25">
      <c r="B27" s="22" t="str">
        <f>+'County Data'!$B$24</f>
        <v>Jackson</v>
      </c>
      <c r="C27" s="17">
        <f>VLOOKUP($B27,'County Data'!$B$10:$L$46,2,FALSE)</f>
        <v>216900</v>
      </c>
      <c r="D27" s="58">
        <f>VLOOKUP($B27,'County Data'!$B$10:$L$46,10,FALSE)</f>
        <v>3.5000000000000003E-2</v>
      </c>
      <c r="E27" s="60">
        <f t="shared" si="0"/>
        <v>7591.5000000000009</v>
      </c>
      <c r="F27" s="7">
        <f t="shared" si="1"/>
        <v>3.0698716254201442E-2</v>
      </c>
      <c r="G27" s="16">
        <f t="shared" si="2"/>
        <v>69578.640390147571</v>
      </c>
      <c r="H27" s="12">
        <f t="shared" si="3"/>
        <v>0.32078672379044526</v>
      </c>
      <c r="J27" s="61"/>
    </row>
    <row r="28" spans="2:10" x14ac:dyDescent="0.25">
      <c r="B28" s="22" t="str">
        <f>+'County Data'!$B$11</f>
        <v>Benton</v>
      </c>
      <c r="C28" s="17">
        <f>VLOOKUP($B28,'County Data'!$B$10:$L$46,2,FALSE)</f>
        <v>92575</v>
      </c>
      <c r="D28" s="58">
        <f>VLOOKUP($B28,'County Data'!$B$10:$L$46,10,FALSE)</f>
        <v>3.9E-2</v>
      </c>
      <c r="E28" s="60">
        <f t="shared" si="0"/>
        <v>3610.4250000000002</v>
      </c>
      <c r="F28" s="7">
        <f t="shared" si="1"/>
        <v>1.4599935800839785E-2</v>
      </c>
      <c r="G28" s="16">
        <f t="shared" si="2"/>
        <v>33090.754492603373</v>
      </c>
      <c r="H28" s="12">
        <f t="shared" si="3"/>
        <v>0.35744806365221038</v>
      </c>
      <c r="J28" s="61"/>
    </row>
    <row r="29" spans="2:10" x14ac:dyDescent="0.25">
      <c r="B29" s="22" t="str">
        <f>+'County Data'!$B$12</f>
        <v>Clackamas</v>
      </c>
      <c r="C29" s="17">
        <f>VLOOKUP($B29,'County Data'!$B$10:$L$46,2,FALSE)</f>
        <v>413000</v>
      </c>
      <c r="D29" s="58">
        <f>VLOOKUP($B29,'County Data'!$B$10:$L$46,10,FALSE)</f>
        <v>4.3999999999999997E-2</v>
      </c>
      <c r="E29" s="60">
        <f t="shared" si="0"/>
        <v>18172</v>
      </c>
      <c r="F29" s="7">
        <f t="shared" si="1"/>
        <v>7.3484432822413029E-2</v>
      </c>
      <c r="G29" s="16">
        <f t="shared" si="2"/>
        <v>166552.46699199913</v>
      </c>
      <c r="H29" s="12">
        <f t="shared" si="3"/>
        <v>0.40327473847941675</v>
      </c>
      <c r="J29" s="61"/>
    </row>
    <row r="30" spans="2:10" x14ac:dyDescent="0.25">
      <c r="B30" s="22" t="str">
        <f>+'County Data'!$B$37</f>
        <v>Polk</v>
      </c>
      <c r="C30" s="17">
        <f>VLOOKUP($B30,'County Data'!$B$10:$L$46,2,FALSE)</f>
        <v>81000</v>
      </c>
      <c r="D30" s="58">
        <f>VLOOKUP($B30,'County Data'!$B$10:$L$46,10,FALSE)</f>
        <v>4.3999999999999997E-2</v>
      </c>
      <c r="E30" s="60">
        <f t="shared" si="0"/>
        <v>3564</v>
      </c>
      <c r="F30" s="7">
        <f t="shared" si="1"/>
        <v>1.4412201110449045E-2</v>
      </c>
      <c r="G30" s="16">
        <f t="shared" si="2"/>
        <v>32665.253816832763</v>
      </c>
      <c r="H30" s="12">
        <f t="shared" si="3"/>
        <v>0.40327473847941681</v>
      </c>
      <c r="J30" s="61"/>
    </row>
    <row r="31" spans="2:10" x14ac:dyDescent="0.25">
      <c r="B31" s="22" t="str">
        <f>+'County Data'!$B$25</f>
        <v>Jefferson</v>
      </c>
      <c r="C31" s="17">
        <f>VLOOKUP($B31,'County Data'!$B$10:$L$46,2,FALSE)</f>
        <v>23190</v>
      </c>
      <c r="D31" s="58">
        <f>VLOOKUP($B31,'County Data'!$B$10:$L$46,10,FALSE)</f>
        <v>4.5999999999999999E-2</v>
      </c>
      <c r="E31" s="60">
        <f t="shared" si="0"/>
        <v>1066.74</v>
      </c>
      <c r="F31" s="7">
        <f t="shared" si="1"/>
        <v>4.3137125175534271E-3</v>
      </c>
      <c r="G31" s="16">
        <f t="shared" si="2"/>
        <v>9777.029421034842</v>
      </c>
      <c r="H31" s="12">
        <f t="shared" si="3"/>
        <v>0.42160540841029936</v>
      </c>
      <c r="J31" s="61"/>
    </row>
    <row r="32" spans="2:10" x14ac:dyDescent="0.25">
      <c r="B32" s="22" t="str">
        <f>+'County Data'!$B$46</f>
        <v>Yamhill</v>
      </c>
      <c r="C32" s="17">
        <f>VLOOKUP($B32,'County Data'!$B$10:$L$46,2,FALSE)</f>
        <v>106300</v>
      </c>
      <c r="D32" s="58">
        <f>VLOOKUP($B32,'County Data'!$B$10:$L$46,10,FALSE)</f>
        <v>5.3999999999999999E-2</v>
      </c>
      <c r="E32" s="60">
        <f t="shared" si="0"/>
        <v>5740.2</v>
      </c>
      <c r="F32" s="7">
        <f t="shared" si="1"/>
        <v>2.3212378455162629E-2</v>
      </c>
      <c r="G32" s="16">
        <f t="shared" si="2"/>
        <v>52610.855768626097</v>
      </c>
      <c r="H32" s="12">
        <f t="shared" si="3"/>
        <v>0.49492808813382971</v>
      </c>
      <c r="J32" s="61"/>
    </row>
    <row r="33" spans="2:10" x14ac:dyDescent="0.25">
      <c r="B33" s="22" t="str">
        <f>+'County Data'!$B$36</f>
        <v>Gilliam, Sherman, Wasco</v>
      </c>
      <c r="C33" s="17">
        <f>VLOOKUP($B33,'County Data'!$B$10:$L$46,2,FALSE)</f>
        <v>30895</v>
      </c>
      <c r="D33" s="58">
        <f>VLOOKUP($B33,'County Data'!$B$10:$L$46,10,FALSE)</f>
        <v>5.5513058682111247E-2</v>
      </c>
      <c r="E33" s="60">
        <f t="shared" si="0"/>
        <v>1715.0759479838271</v>
      </c>
      <c r="F33" s="7">
        <f t="shared" si="1"/>
        <v>6.9354712351394386E-3</v>
      </c>
      <c r="G33" s="16">
        <f t="shared" si="2"/>
        <v>15719.245554443538</v>
      </c>
      <c r="H33" s="12">
        <f t="shared" si="3"/>
        <v>0.50879577777774843</v>
      </c>
      <c r="J33" s="61"/>
    </row>
    <row r="34" spans="2:10" x14ac:dyDescent="0.25">
      <c r="B34" s="22" t="str">
        <f>+'County Data'!$B$35</f>
        <v>Multnomah</v>
      </c>
      <c r="C34" s="17">
        <f>VLOOKUP($B34,'County Data'!$B$10:$L$46,2,FALSE)</f>
        <v>803000</v>
      </c>
      <c r="D34" s="58">
        <f>VLOOKUP($B34,'County Data'!$B$10:$L$46,10,FALSE)</f>
        <v>8.5999999999999993E-2</v>
      </c>
      <c r="E34" s="60">
        <f t="shared" si="0"/>
        <v>69058</v>
      </c>
      <c r="F34" s="7">
        <f t="shared" si="1"/>
        <v>0.27925863756604663</v>
      </c>
      <c r="G34" s="16">
        <f t="shared" si="2"/>
        <v>632939.70204344473</v>
      </c>
      <c r="H34" s="12">
        <f t="shared" si="3"/>
        <v>0.78821880702795111</v>
      </c>
      <c r="J34" s="61"/>
    </row>
    <row r="35" spans="2:10" x14ac:dyDescent="0.25">
      <c r="B35" s="22" t="str">
        <f>+'County Data'!$B$32</f>
        <v>Malheur</v>
      </c>
      <c r="C35" s="17">
        <f>VLOOKUP($B35,'County Data'!$B$10:$L$46,2,FALSE)</f>
        <v>31845</v>
      </c>
      <c r="D35" s="58">
        <f>VLOOKUP($B35,'County Data'!$B$10:$L$46,10,FALSE)</f>
        <v>9.1999999999999998E-2</v>
      </c>
      <c r="E35" s="60">
        <f t="shared" si="0"/>
        <v>2929.74</v>
      </c>
      <c r="F35" s="7">
        <f t="shared" si="1"/>
        <v>1.1847363098015427E-2</v>
      </c>
      <c r="G35" s="16">
        <f t="shared" si="2"/>
        <v>26852.048461651964</v>
      </c>
      <c r="H35" s="12">
        <f t="shared" si="3"/>
        <v>0.84321081682059862</v>
      </c>
      <c r="J35" s="61"/>
    </row>
    <row r="36" spans="2:10" x14ac:dyDescent="0.25">
      <c r="B36" s="22" t="str">
        <f>+'County Data'!$B$44</f>
        <v>Washington</v>
      </c>
      <c r="C36" s="17">
        <f>VLOOKUP($B36,'County Data'!$B$10:$L$46,2,FALSE)</f>
        <v>595860</v>
      </c>
      <c r="D36" s="58">
        <f>VLOOKUP($B36,'County Data'!$B$10:$L$46,10,FALSE)</f>
        <v>9.5000000000000001E-2</v>
      </c>
      <c r="E36" s="60">
        <f t="shared" si="0"/>
        <v>56606.7</v>
      </c>
      <c r="F36" s="7">
        <f t="shared" si="1"/>
        <v>0.22890772856309088</v>
      </c>
      <c r="G36" s="16">
        <f t="shared" si="2"/>
        <v>518819.3667882455</v>
      </c>
      <c r="H36" s="12">
        <f t="shared" si="3"/>
        <v>0.8707068217169226</v>
      </c>
      <c r="J36" s="61"/>
    </row>
    <row r="37" spans="2:10" x14ac:dyDescent="0.25">
      <c r="B37" s="22" t="str">
        <f>+'County Data'!$B$40</f>
        <v>Umatilla</v>
      </c>
      <c r="C37" s="17">
        <f>VLOOKUP($B37,'County Data'!$B$10:$L$46,2,FALSE)</f>
        <v>80500</v>
      </c>
      <c r="D37" s="58">
        <f>VLOOKUP($B37,'County Data'!$B$10:$L$46,10,FALSE)</f>
        <v>0.104</v>
      </c>
      <c r="E37" s="60">
        <f t="shared" si="0"/>
        <v>8372</v>
      </c>
      <c r="F37" s="7">
        <f t="shared" si="1"/>
        <v>3.3854923596150222E-2</v>
      </c>
      <c r="G37" s="16">
        <f t="shared" si="2"/>
        <v>76732.18433067447</v>
      </c>
      <c r="H37" s="12">
        <f t="shared" si="3"/>
        <v>0.95319483640589409</v>
      </c>
      <c r="J37" s="61"/>
    </row>
    <row r="38" spans="2:10" x14ac:dyDescent="0.25">
      <c r="B38" s="22" t="str">
        <f>+'County Data'!$B$33</f>
        <v>Marion</v>
      </c>
      <c r="C38" s="17">
        <f>VLOOKUP($B38,'County Data'!$B$10:$L$46,2,FALSE)</f>
        <v>339200</v>
      </c>
      <c r="D38" s="58">
        <f>VLOOKUP($B38,'County Data'!$B$10:$L$46,10,FALSE)</f>
        <v>0.106</v>
      </c>
      <c r="E38" s="60">
        <f t="shared" si="0"/>
        <v>35955.199999999997</v>
      </c>
      <c r="F38" s="7">
        <f t="shared" si="1"/>
        <v>0.14539662552368615</v>
      </c>
      <c r="G38" s="16">
        <f t="shared" si="2"/>
        <v>329541.45174943464</v>
      </c>
      <c r="H38" s="12">
        <f t="shared" si="3"/>
        <v>0.97152550633677659</v>
      </c>
      <c r="J38" s="61"/>
    </row>
    <row r="39" spans="2:10" x14ac:dyDescent="0.25">
      <c r="B39" s="22" t="str">
        <f>+'County Data'!$B$23</f>
        <v>Hood River</v>
      </c>
      <c r="C39" s="17">
        <f>VLOOKUP($B39,'County Data'!$B$10:$L$46,2,FALSE)</f>
        <v>25145</v>
      </c>
      <c r="D39" s="58">
        <f>VLOOKUP($B39,'County Data'!$B$10:$L$46,10,FALSE)</f>
        <v>0.14499999999999999</v>
      </c>
      <c r="E39" s="60">
        <f t="shared" si="0"/>
        <v>3646.0249999999996</v>
      </c>
      <c r="F39" s="7">
        <f t="shared" si="1"/>
        <v>1.474389605884539E-2</v>
      </c>
      <c r="G39" s="16">
        <f t="shared" si="2"/>
        <v>33417.040417373079</v>
      </c>
      <c r="H39" s="12">
        <f t="shared" si="3"/>
        <v>1.3289735699889871</v>
      </c>
      <c r="J39" s="61"/>
    </row>
    <row r="40" spans="2:10" x14ac:dyDescent="0.25">
      <c r="B40" s="22" t="str">
        <f>+'County Data'!$B$34</f>
        <v>Morrow</v>
      </c>
      <c r="C40" s="17">
        <f>VLOOKUP($B40,'County Data'!$B$10:$L$46,2,FALSE)</f>
        <v>11890</v>
      </c>
      <c r="D40" s="58">
        <f>VLOOKUP($B40,'County Data'!$B$10:$L$46,10,FALSE)</f>
        <v>0.16</v>
      </c>
      <c r="E40" s="60">
        <f t="shared" si="0"/>
        <v>1902.4</v>
      </c>
      <c r="F40" s="7">
        <f t="shared" si="1"/>
        <v>7.6929773828614658E-3</v>
      </c>
      <c r="G40" s="16">
        <f t="shared" si="2"/>
        <v>17436.133238255512</v>
      </c>
      <c r="H40" s="12">
        <f t="shared" si="3"/>
        <v>1.4664535944706065</v>
      </c>
      <c r="J40" s="61"/>
    </row>
    <row r="41" spans="2:10" x14ac:dyDescent="0.25">
      <c r="B41" s="5" t="s">
        <v>2</v>
      </c>
      <c r="C41" s="6">
        <f>SUM(C7:C40)</f>
        <v>4141100</v>
      </c>
      <c r="D41" s="6"/>
      <c r="E41" s="6">
        <f>SUM(E7:E40)</f>
        <v>247290.47094798385</v>
      </c>
      <c r="F41" s="62">
        <f>SUM(F7:F40)</f>
        <v>0.99999999999999989</v>
      </c>
      <c r="G41" s="13">
        <f>SUM(G7:G40)</f>
        <v>2266500</v>
      </c>
      <c r="H41" s="14">
        <f t="shared" ref="H41" si="4">G41/C41</f>
        <v>0.54731834536717294</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L41"/>
  <sheetViews>
    <sheetView workbookViewId="0"/>
  </sheetViews>
  <sheetFormatPr defaultRowHeight="15" x14ac:dyDescent="0.25"/>
  <cols>
    <col min="2" max="2" width="17.42578125" bestFit="1" customWidth="1"/>
    <col min="3" max="3" width="11.85546875" bestFit="1" customWidth="1"/>
    <col min="4" max="5" width="12.5703125" bestFit="1" customWidth="1"/>
    <col min="7" max="7" width="9" bestFit="1" customWidth="1"/>
    <col min="9" max="9" width="9.7109375" bestFit="1" customWidth="1"/>
    <col min="10" max="11" width="10.7109375" bestFit="1" customWidth="1"/>
    <col min="12" max="12" width="11.5703125" customWidth="1"/>
  </cols>
  <sheetData>
    <row r="3" spans="2:12" x14ac:dyDescent="0.25">
      <c r="B3" t="s">
        <v>0</v>
      </c>
      <c r="C3" s="1">
        <f>'County Data'!C5</f>
        <v>15000000</v>
      </c>
    </row>
    <row r="4" spans="2:12" x14ac:dyDescent="0.25">
      <c r="B4" t="s">
        <v>42</v>
      </c>
      <c r="C4" s="16">
        <f>'County Data'!L9</f>
        <v>750000</v>
      </c>
    </row>
    <row r="6" spans="2:12" s="2" customFormat="1" ht="30" x14ac:dyDescent="0.25">
      <c r="B6" s="3" t="s">
        <v>7</v>
      </c>
      <c r="C6" s="3" t="s">
        <v>1</v>
      </c>
      <c r="D6" s="3" t="s">
        <v>125</v>
      </c>
      <c r="E6" s="3" t="s">
        <v>126</v>
      </c>
      <c r="F6" s="3" t="s">
        <v>127</v>
      </c>
      <c r="G6" s="3" t="s">
        <v>112</v>
      </c>
      <c r="H6" s="3" t="s">
        <v>33</v>
      </c>
      <c r="I6" s="3" t="s">
        <v>34</v>
      </c>
      <c r="J6" s="3" t="s">
        <v>122</v>
      </c>
      <c r="K6" s="15" t="s">
        <v>113</v>
      </c>
      <c r="L6" s="3" t="s">
        <v>124</v>
      </c>
    </row>
    <row r="7" spans="2:12" x14ac:dyDescent="0.25">
      <c r="B7" s="22" t="str">
        <f>'County Data'!$B$45</f>
        <v>Wheeler</v>
      </c>
      <c r="C7" s="17">
        <f>VLOOKUP($B7,'County Data'!$B$10:$P$46,2,FALSE)</f>
        <v>1480</v>
      </c>
      <c r="D7" s="91">
        <v>22900</v>
      </c>
      <c r="E7" s="91">
        <f>VLOOKUP($B7,'County Data'!$B$10:$P$46,11,FALSE)</f>
        <v>25190</v>
      </c>
      <c r="F7" s="70">
        <f>IFERROR((E7-D7)/D7,-1)</f>
        <v>0.1</v>
      </c>
      <c r="G7" s="121">
        <f>IF(F7&lt;0,0,$C$4*Input!$C$8)</f>
        <v>2250</v>
      </c>
      <c r="H7" s="60">
        <f>IF(F7&lt;0,0,C7*F7)</f>
        <v>148</v>
      </c>
      <c r="I7" s="70">
        <f>H7/$H$41</f>
        <v>8.7292847883239791E-4</v>
      </c>
      <c r="J7" s="121">
        <f>($C$4-$G$41)*I7</f>
        <v>607.55822126734893</v>
      </c>
      <c r="K7" s="123">
        <f>G7+J7</f>
        <v>2857.5582212673489</v>
      </c>
      <c r="L7" s="90">
        <f>K7/C7</f>
        <v>1.9307825819373978</v>
      </c>
    </row>
    <row r="8" spans="2:12" x14ac:dyDescent="0.25">
      <c r="B8" s="22" t="str">
        <f>+'County Data'!$B$42</f>
        <v>Wallowa</v>
      </c>
      <c r="C8" s="17">
        <f>VLOOKUP($B8,'County Data'!$B$10:$P$46,2,FALSE)</f>
        <v>7195</v>
      </c>
      <c r="D8" s="138">
        <v>0</v>
      </c>
      <c r="E8" s="138">
        <f>VLOOKUP($B8,'County Data'!$B$10:$P$46,11,FALSE)</f>
        <v>0</v>
      </c>
      <c r="F8" s="58">
        <f>IFERROR((E8-D8)/D8,-1)</f>
        <v>-1</v>
      </c>
      <c r="G8" s="121">
        <f>IF(F8&lt;0,0,$C$4*Input!$C$8)</f>
        <v>0</v>
      </c>
      <c r="H8" s="60">
        <f t="shared" ref="H8:H40" si="0">IF(F8&lt;0,0,C8*F8)</f>
        <v>0</v>
      </c>
      <c r="I8" s="70">
        <f t="shared" ref="I8:I40" si="1">H8/$H$41</f>
        <v>0</v>
      </c>
      <c r="J8" s="121">
        <f t="shared" ref="J8:J40" si="2">($C$4-$G$41)*I8</f>
        <v>0</v>
      </c>
      <c r="K8" s="123">
        <f t="shared" ref="K8:K40" si="3">G8+J8</f>
        <v>0</v>
      </c>
      <c r="L8" s="90">
        <f t="shared" ref="L8:L40" si="4">K8/C8</f>
        <v>0</v>
      </c>
    </row>
    <row r="9" spans="2:12" x14ac:dyDescent="0.25">
      <c r="B9" s="22" t="str">
        <f>+'County Data'!$B$22</f>
        <v>Harney</v>
      </c>
      <c r="C9" s="17">
        <f>VLOOKUP($B9,'County Data'!$B$10:$P$46,2,FALSE)</f>
        <v>7360</v>
      </c>
      <c r="D9" s="91">
        <v>96952</v>
      </c>
      <c r="E9" s="91">
        <f>VLOOKUP($B9,'County Data'!$B$10:$P$46,11,FALSE)</f>
        <v>101800</v>
      </c>
      <c r="F9" s="70">
        <f t="shared" ref="F9:F41" si="5">IFERROR((E9-D9)/D9,-1)</f>
        <v>5.0004125752949914E-2</v>
      </c>
      <c r="G9" s="121">
        <f>IF(F9&lt;0,0,$C$4*Input!$C$8)</f>
        <v>2250</v>
      </c>
      <c r="H9" s="60">
        <f t="shared" si="0"/>
        <v>368.03036554171138</v>
      </c>
      <c r="I9" s="70">
        <f t="shared" si="1"/>
        <v>2.1707039672733612E-3</v>
      </c>
      <c r="J9" s="121">
        <f t="shared" si="2"/>
        <v>1510.8099612222593</v>
      </c>
      <c r="K9" s="123">
        <f t="shared" si="3"/>
        <v>3760.8099612222595</v>
      </c>
      <c r="L9" s="90">
        <f t="shared" si="4"/>
        <v>0.51097961429650263</v>
      </c>
    </row>
    <row r="10" spans="2:12" x14ac:dyDescent="0.25">
      <c r="B10" s="22" t="str">
        <f>+'County Data'!$B$21</f>
        <v>Grant</v>
      </c>
      <c r="C10" s="17">
        <f>VLOOKUP($B10,'County Data'!$B$10:$P$46,2,FALSE)</f>
        <v>7415</v>
      </c>
      <c r="D10" s="91">
        <v>73636</v>
      </c>
      <c r="E10" s="91">
        <f>VLOOKUP($B10,'County Data'!$B$10:$P$46,11,FALSE)</f>
        <v>66272</v>
      </c>
      <c r="F10" s="70">
        <f t="shared" si="5"/>
        <v>-0.10000543212559074</v>
      </c>
      <c r="G10" s="121">
        <f>IF(F10&lt;0,0,$C$4*Input!$C$8)</f>
        <v>0</v>
      </c>
      <c r="H10" s="60">
        <f t="shared" si="0"/>
        <v>0</v>
      </c>
      <c r="I10" s="70">
        <f t="shared" si="1"/>
        <v>0</v>
      </c>
      <c r="J10" s="121">
        <f t="shared" si="2"/>
        <v>0</v>
      </c>
      <c r="K10" s="123">
        <f t="shared" si="3"/>
        <v>0</v>
      </c>
      <c r="L10" s="90">
        <f t="shared" si="4"/>
        <v>0</v>
      </c>
    </row>
    <row r="11" spans="2:12" x14ac:dyDescent="0.25">
      <c r="B11" s="22" t="str">
        <f>+'County Data'!$B$28</f>
        <v>Lake</v>
      </c>
      <c r="C11" s="17">
        <f>VLOOKUP($B11,'County Data'!$B$10:$P$46,2,FALSE)</f>
        <v>8120</v>
      </c>
      <c r="D11" s="91">
        <v>151267</v>
      </c>
      <c r="E11" s="91">
        <f>VLOOKUP($B11,'County Data'!$B$10:$P$46,11,FALSE)</f>
        <v>166394</v>
      </c>
      <c r="F11" s="70">
        <f t="shared" si="5"/>
        <v>0.10000198324816384</v>
      </c>
      <c r="G11" s="121">
        <f>IF(F11&lt;0,0,$C$4*Input!$C$8)</f>
        <v>2250</v>
      </c>
      <c r="H11" s="60">
        <f t="shared" si="0"/>
        <v>812.01610397509035</v>
      </c>
      <c r="I11" s="70">
        <f t="shared" si="1"/>
        <v>4.7894052866917962E-3</v>
      </c>
      <c r="J11" s="121">
        <f t="shared" si="2"/>
        <v>3333.4260795374903</v>
      </c>
      <c r="K11" s="123">
        <f t="shared" si="3"/>
        <v>5583.4260795374903</v>
      </c>
      <c r="L11" s="90">
        <f t="shared" si="4"/>
        <v>0.68761404920412439</v>
      </c>
    </row>
    <row r="12" spans="2:12" x14ac:dyDescent="0.25">
      <c r="B12" s="22" t="str">
        <f>+'County Data'!$B$34</f>
        <v>Morrow</v>
      </c>
      <c r="C12" s="17">
        <f>VLOOKUP($B12,'County Data'!$B$10:$P$46,2,FALSE)</f>
        <v>11890</v>
      </c>
      <c r="D12" s="91">
        <v>621474</v>
      </c>
      <c r="E12" s="91">
        <f>VLOOKUP($B12,'County Data'!$B$10:$P$46,11,FALSE)</f>
        <v>745769</v>
      </c>
      <c r="F12" s="70">
        <f t="shared" si="5"/>
        <v>0.20000032181555463</v>
      </c>
      <c r="G12" s="121">
        <f>IF(F12&lt;0,0,$C$4*Input!$C$8)</f>
        <v>2250</v>
      </c>
      <c r="H12" s="60">
        <f t="shared" si="0"/>
        <v>2378.0038263869446</v>
      </c>
      <c r="I12" s="70">
        <f t="shared" si="1"/>
        <v>1.4025859883956602E-2</v>
      </c>
      <c r="J12" s="121">
        <f t="shared" si="2"/>
        <v>9761.9984792337946</v>
      </c>
      <c r="K12" s="123">
        <f t="shared" si="3"/>
        <v>12011.998479233795</v>
      </c>
      <c r="L12" s="90">
        <f t="shared" si="4"/>
        <v>1.0102605953939272</v>
      </c>
    </row>
    <row r="13" spans="2:12" x14ac:dyDescent="0.25">
      <c r="B13" s="22" t="str">
        <f>+'County Data'!$B$10</f>
        <v>Baker</v>
      </c>
      <c r="C13" s="17">
        <f>VLOOKUP($B13,'County Data'!$B$10:$P$46,2,FALSE)</f>
        <v>16750</v>
      </c>
      <c r="D13" s="91">
        <v>246676</v>
      </c>
      <c r="E13" s="91">
        <f>VLOOKUP($B13,'County Data'!$B$10:$P$46,11,FALSE)</f>
        <v>234342</v>
      </c>
      <c r="F13" s="70">
        <f t="shared" si="5"/>
        <v>-5.0000810780132646E-2</v>
      </c>
      <c r="G13" s="121">
        <f>IF(F13&lt;0,0,$C$4*Input!$C$8)</f>
        <v>0</v>
      </c>
      <c r="H13" s="60">
        <f t="shared" si="0"/>
        <v>0</v>
      </c>
      <c r="I13" s="70">
        <f t="shared" si="1"/>
        <v>0</v>
      </c>
      <c r="J13" s="121">
        <f t="shared" si="2"/>
        <v>0</v>
      </c>
      <c r="K13" s="123">
        <f t="shared" si="3"/>
        <v>0</v>
      </c>
      <c r="L13" s="90">
        <f t="shared" si="4"/>
        <v>0</v>
      </c>
    </row>
    <row r="14" spans="2:12" x14ac:dyDescent="0.25">
      <c r="B14" s="22" t="str">
        <f>+'County Data'!$B$16</f>
        <v>Crook</v>
      </c>
      <c r="C14" s="17">
        <f>VLOOKUP($B14,'County Data'!$B$10:$P$46,2,FALSE)</f>
        <v>22105</v>
      </c>
      <c r="D14" s="91">
        <v>622139</v>
      </c>
      <c r="E14" s="91">
        <f>VLOOKUP($B14,'County Data'!$B$10:$P$46,11,FALSE)</f>
        <v>684353</v>
      </c>
      <c r="F14" s="70">
        <f t="shared" si="5"/>
        <v>0.10000016073578412</v>
      </c>
      <c r="G14" s="121">
        <f>IF(F14&lt;0,0,$C$4*Input!$C$8)</f>
        <v>2250</v>
      </c>
      <c r="H14" s="60">
        <f t="shared" si="0"/>
        <v>2210.5035530645077</v>
      </c>
      <c r="I14" s="70">
        <f t="shared" si="1"/>
        <v>1.3037915567771698E-2</v>
      </c>
      <c r="J14" s="121">
        <f t="shared" si="2"/>
        <v>9074.3892351691029</v>
      </c>
      <c r="K14" s="123">
        <f t="shared" si="3"/>
        <v>11324.389235169103</v>
      </c>
      <c r="L14" s="90">
        <f t="shared" si="4"/>
        <v>0.51229989754214444</v>
      </c>
    </row>
    <row r="15" spans="2:12" x14ac:dyDescent="0.25">
      <c r="B15" s="22" t="str">
        <f>+'County Data'!$B$17</f>
        <v>Curry</v>
      </c>
      <c r="C15" s="17">
        <f>VLOOKUP($B15,'County Data'!$B$10:$P$46,2,FALSE)</f>
        <v>22805</v>
      </c>
      <c r="D15" s="91">
        <v>144795</v>
      </c>
      <c r="E15" s="91">
        <f>VLOOKUP($B15,'County Data'!$B$10:$P$46,11,FALSE)</f>
        <v>144795</v>
      </c>
      <c r="F15" s="70">
        <f t="shared" si="5"/>
        <v>0</v>
      </c>
      <c r="G15" s="121">
        <f>IF(F15&lt;0,0,$C$4*Input!$C$8)</f>
        <v>2250</v>
      </c>
      <c r="H15" s="60">
        <f t="shared" si="0"/>
        <v>0</v>
      </c>
      <c r="I15" s="70">
        <f t="shared" si="1"/>
        <v>0</v>
      </c>
      <c r="J15" s="121">
        <f t="shared" si="2"/>
        <v>0</v>
      </c>
      <c r="K15" s="123">
        <f t="shared" si="3"/>
        <v>2250</v>
      </c>
      <c r="L15" s="90">
        <f t="shared" si="4"/>
        <v>9.86625739969305E-2</v>
      </c>
    </row>
    <row r="16" spans="2:12" x14ac:dyDescent="0.25">
      <c r="B16" s="22" t="str">
        <f>+'County Data'!$B$25</f>
        <v>Jefferson</v>
      </c>
      <c r="C16" s="17">
        <f>VLOOKUP($B16,'County Data'!$B$10:$P$46,2,FALSE)</f>
        <v>23190</v>
      </c>
      <c r="D16" s="91">
        <v>566944</v>
      </c>
      <c r="E16" s="91">
        <f>VLOOKUP($B16,'County Data'!$B$10:$P$46,11,FALSE)</f>
        <v>595291</v>
      </c>
      <c r="F16" s="70">
        <f t="shared" si="5"/>
        <v>4.9999647231472599E-2</v>
      </c>
      <c r="G16" s="121">
        <f>IF(F16&lt;0,0,$C$4*Input!$C$8)</f>
        <v>2250</v>
      </c>
      <c r="H16" s="60">
        <f t="shared" si="0"/>
        <v>1159.4918192978496</v>
      </c>
      <c r="I16" s="70">
        <f t="shared" si="1"/>
        <v>6.8388745272856856E-3</v>
      </c>
      <c r="J16" s="121">
        <f t="shared" si="2"/>
        <v>4759.8566709908373</v>
      </c>
      <c r="K16" s="123">
        <f t="shared" si="3"/>
        <v>7009.8566709908373</v>
      </c>
      <c r="L16" s="90">
        <f t="shared" si="4"/>
        <v>0.30227928723548242</v>
      </c>
    </row>
    <row r="17" spans="2:12" x14ac:dyDescent="0.25">
      <c r="B17" s="22" t="str">
        <f>+'County Data'!$B$23</f>
        <v>Hood River</v>
      </c>
      <c r="C17" s="17">
        <f>VLOOKUP($B17,'County Data'!$B$10:$P$46,2,FALSE)</f>
        <v>25145</v>
      </c>
      <c r="D17" s="91">
        <v>822751</v>
      </c>
      <c r="E17" s="91">
        <f>VLOOKUP($B17,'County Data'!$B$10:$P$46,11,FALSE)</f>
        <v>740476</v>
      </c>
      <c r="F17" s="70">
        <f t="shared" si="5"/>
        <v>-9.9999878456543956E-2</v>
      </c>
      <c r="G17" s="121">
        <f>IF(F17&lt;0,0,$C$4*Input!$C$8)</f>
        <v>0</v>
      </c>
      <c r="H17" s="60">
        <f t="shared" si="0"/>
        <v>0</v>
      </c>
      <c r="I17" s="70">
        <f t="shared" si="1"/>
        <v>0</v>
      </c>
      <c r="J17" s="121">
        <f t="shared" si="2"/>
        <v>0</v>
      </c>
      <c r="K17" s="123">
        <f t="shared" si="3"/>
        <v>0</v>
      </c>
      <c r="L17" s="90">
        <f t="shared" si="4"/>
        <v>0</v>
      </c>
    </row>
    <row r="18" spans="2:12" x14ac:dyDescent="0.25">
      <c r="B18" s="22" t="str">
        <f>+'County Data'!$B$39</f>
        <v>Tillamook</v>
      </c>
      <c r="C18" s="17">
        <f>VLOOKUP($B18,'County Data'!$B$10:$P$46,2,FALSE)</f>
        <v>26175</v>
      </c>
      <c r="D18" s="91">
        <v>146840</v>
      </c>
      <c r="E18" s="91">
        <f>VLOOKUP($B18,'County Data'!$B$10:$P$46,11,FALSE)</f>
        <v>161524</v>
      </c>
      <c r="F18" s="70">
        <f t="shared" si="5"/>
        <v>0.1</v>
      </c>
      <c r="G18" s="121">
        <f>IF(F18&lt;0,0,$C$4*Input!$C$8)</f>
        <v>2250</v>
      </c>
      <c r="H18" s="60">
        <f t="shared" si="0"/>
        <v>2617.5</v>
      </c>
      <c r="I18" s="70">
        <f t="shared" si="1"/>
        <v>1.5438447927998658E-2</v>
      </c>
      <c r="J18" s="121">
        <f t="shared" si="2"/>
        <v>10745.159757887066</v>
      </c>
      <c r="K18" s="123">
        <f t="shared" si="3"/>
        <v>12995.159757887066</v>
      </c>
      <c r="L18" s="90">
        <f t="shared" si="4"/>
        <v>0.49647219705394713</v>
      </c>
    </row>
    <row r="19" spans="2:12" x14ac:dyDescent="0.25">
      <c r="B19" s="22" t="str">
        <f>+'County Data'!$B$41</f>
        <v>Union</v>
      </c>
      <c r="C19" s="17">
        <f>VLOOKUP($B19,'County Data'!$B$10:$P$46,2,FALSE)</f>
        <v>26900</v>
      </c>
      <c r="D19" s="91">
        <v>145000</v>
      </c>
      <c r="E19" s="91">
        <f>VLOOKUP($B19,'County Data'!$B$10:$P$46,11,FALSE)</f>
        <v>174000</v>
      </c>
      <c r="F19" s="70">
        <f t="shared" si="5"/>
        <v>0.2</v>
      </c>
      <c r="G19" s="121">
        <f>IF(F19&lt;0,0,$C$4*Input!$C$8)</f>
        <v>2250</v>
      </c>
      <c r="H19" s="60">
        <f t="shared" si="0"/>
        <v>5380</v>
      </c>
      <c r="I19" s="70">
        <f t="shared" si="1"/>
        <v>3.1732129838637164E-2</v>
      </c>
      <c r="J19" s="121">
        <f t="shared" si="2"/>
        <v>22085.562367691466</v>
      </c>
      <c r="K19" s="123">
        <f t="shared" si="3"/>
        <v>24335.562367691466</v>
      </c>
      <c r="L19" s="90">
        <f t="shared" si="4"/>
        <v>0.90466774601083511</v>
      </c>
    </row>
    <row r="20" spans="2:12" x14ac:dyDescent="0.25">
      <c r="B20" s="22" t="str">
        <f>+'County Data'!$B$36</f>
        <v>Gilliam, Sherman, Wasco</v>
      </c>
      <c r="C20" s="17">
        <f>VLOOKUP($B20,'County Data'!$B$10:$P$46,2,FALSE)</f>
        <v>30895</v>
      </c>
      <c r="D20" s="91">
        <v>545643</v>
      </c>
      <c r="E20" s="91">
        <f>VLOOKUP($B20,'County Data'!$B$10:$P$46,11,FALSE)</f>
        <v>518361</v>
      </c>
      <c r="F20" s="70">
        <f t="shared" si="5"/>
        <v>-4.9999725094979686E-2</v>
      </c>
      <c r="G20" s="121">
        <f>IF(F20&lt;0,0,$C$4*Input!$C$8)</f>
        <v>0</v>
      </c>
      <c r="H20" s="60">
        <f t="shared" si="0"/>
        <v>0</v>
      </c>
      <c r="I20" s="70">
        <f t="shared" si="1"/>
        <v>0</v>
      </c>
      <c r="J20" s="121">
        <f t="shared" si="2"/>
        <v>0</v>
      </c>
      <c r="K20" s="123">
        <f t="shared" si="3"/>
        <v>0</v>
      </c>
      <c r="L20" s="90">
        <f t="shared" si="4"/>
        <v>0</v>
      </c>
    </row>
    <row r="21" spans="2:12" x14ac:dyDescent="0.25">
      <c r="B21" s="22" t="str">
        <f>+'County Data'!$B$32</f>
        <v>Malheur</v>
      </c>
      <c r="C21" s="17">
        <f>VLOOKUP($B21,'County Data'!$B$10:$P$46,2,FALSE)</f>
        <v>31845</v>
      </c>
      <c r="D21" s="91">
        <v>489035</v>
      </c>
      <c r="E21" s="91">
        <f>VLOOKUP($B21,'County Data'!$B$10:$P$46,11,FALSE)</f>
        <v>537939</v>
      </c>
      <c r="F21" s="70">
        <f t="shared" si="5"/>
        <v>0.10000102242170805</v>
      </c>
      <c r="G21" s="121">
        <f>IF(F21&lt;0,0,$C$4*Input!$C$8)</f>
        <v>2250</v>
      </c>
      <c r="H21" s="60">
        <f t="shared" si="0"/>
        <v>3184.5325590192929</v>
      </c>
      <c r="I21" s="70">
        <f t="shared" si="1"/>
        <v>1.8782899746871317E-2</v>
      </c>
      <c r="J21" s="121">
        <f t="shared" si="2"/>
        <v>13072.898223822436</v>
      </c>
      <c r="K21" s="123">
        <f t="shared" si="3"/>
        <v>15322.898223822436</v>
      </c>
      <c r="L21" s="90">
        <f t="shared" si="4"/>
        <v>0.48117124270128547</v>
      </c>
    </row>
    <row r="22" spans="2:12" x14ac:dyDescent="0.25">
      <c r="B22" s="22" t="str">
        <f>+'County Data'!$B$13</f>
        <v>Clatsop</v>
      </c>
      <c r="C22" s="17">
        <f>VLOOKUP($B22,'County Data'!$B$10:$P$46,2,FALSE)</f>
        <v>38820</v>
      </c>
      <c r="D22" s="91">
        <v>431075</v>
      </c>
      <c r="E22" s="91">
        <f>VLOOKUP($B22,'County Data'!$B$10:$P$46,11,FALSE)</f>
        <v>431075</v>
      </c>
      <c r="F22" s="70">
        <f t="shared" si="5"/>
        <v>0</v>
      </c>
      <c r="G22" s="121">
        <f>IF(F22&lt;0,0,$C$4*Input!$C$8)</f>
        <v>2250</v>
      </c>
      <c r="H22" s="60">
        <f t="shared" si="0"/>
        <v>0</v>
      </c>
      <c r="I22" s="70">
        <f t="shared" si="1"/>
        <v>0</v>
      </c>
      <c r="J22" s="121">
        <f t="shared" si="2"/>
        <v>0</v>
      </c>
      <c r="K22" s="123">
        <f t="shared" si="3"/>
        <v>2250</v>
      </c>
      <c r="L22" s="90">
        <f t="shared" si="4"/>
        <v>5.7959814528593508E-2</v>
      </c>
    </row>
    <row r="23" spans="2:12" x14ac:dyDescent="0.25">
      <c r="B23" s="22" t="str">
        <f>+'County Data'!$B$30</f>
        <v>Lincoln</v>
      </c>
      <c r="C23" s="17">
        <f>VLOOKUP($B23,'County Data'!$B$10:$P$46,2,FALSE)</f>
        <v>47960</v>
      </c>
      <c r="D23" s="91">
        <v>307500</v>
      </c>
      <c r="E23" s="91">
        <f>VLOOKUP($B23,'County Data'!$B$10:$P$46,11,FALSE)</f>
        <v>322875</v>
      </c>
      <c r="F23" s="70">
        <f t="shared" si="5"/>
        <v>0.05</v>
      </c>
      <c r="G23" s="121">
        <f>IF(F23&lt;0,0,$C$4*Input!$C$8)</f>
        <v>2250</v>
      </c>
      <c r="H23" s="60">
        <f t="shared" si="0"/>
        <v>2398</v>
      </c>
      <c r="I23" s="70">
        <f t="shared" si="1"/>
        <v>1.4143800623243852E-2</v>
      </c>
      <c r="J23" s="121">
        <f t="shared" si="2"/>
        <v>9844.0852337777214</v>
      </c>
      <c r="K23" s="123">
        <f t="shared" si="3"/>
        <v>12094.085233777721</v>
      </c>
      <c r="L23" s="90">
        <f t="shared" si="4"/>
        <v>0.25217025091279655</v>
      </c>
    </row>
    <row r="24" spans="2:12" x14ac:dyDescent="0.25">
      <c r="B24" s="22" t="str">
        <f>+'County Data'!$B$14</f>
        <v>Columbia</v>
      </c>
      <c r="C24" s="17">
        <f>VLOOKUP($B24,'County Data'!$B$10:$P$46,2,FALSE)</f>
        <v>51345</v>
      </c>
      <c r="D24" s="91">
        <v>144489</v>
      </c>
      <c r="E24" s="91">
        <f>VLOOKUP($B24,'County Data'!$B$10:$P$46,11,FALSE)</f>
        <v>130040</v>
      </c>
      <c r="F24" s="70">
        <f t="shared" si="5"/>
        <v>-0.10000069209420787</v>
      </c>
      <c r="G24" s="121">
        <f>IF(F24&lt;0,0,$C$4*Input!$C$8)</f>
        <v>0</v>
      </c>
      <c r="H24" s="60">
        <f t="shared" si="0"/>
        <v>0</v>
      </c>
      <c r="I24" s="70">
        <f t="shared" si="1"/>
        <v>0</v>
      </c>
      <c r="J24" s="121">
        <f t="shared" si="2"/>
        <v>0</v>
      </c>
      <c r="K24" s="123">
        <f t="shared" si="3"/>
        <v>0</v>
      </c>
      <c r="L24" s="90">
        <f t="shared" si="4"/>
        <v>0</v>
      </c>
    </row>
    <row r="25" spans="2:12" x14ac:dyDescent="0.25">
      <c r="B25" s="22" t="str">
        <f>+'County Data'!$B$15</f>
        <v>Coos</v>
      </c>
      <c r="C25" s="17">
        <f>VLOOKUP($B25,'County Data'!$B$10:$P$46,2,FALSE)</f>
        <v>63310</v>
      </c>
      <c r="D25" s="91">
        <v>52178</v>
      </c>
      <c r="E25" s="91">
        <f>VLOOKUP($B25,'County Data'!$B$10:$P$46,11,FALSE)</f>
        <v>57396</v>
      </c>
      <c r="F25" s="70">
        <f t="shared" si="5"/>
        <v>0.10000383303307908</v>
      </c>
      <c r="G25" s="121">
        <f>IF(F25&lt;0,0,$C$4*Input!$C$8)</f>
        <v>2250</v>
      </c>
      <c r="H25" s="60">
        <f t="shared" si="0"/>
        <v>6331.2426693242369</v>
      </c>
      <c r="I25" s="70">
        <f t="shared" si="1"/>
        <v>3.7342716435486326E-2</v>
      </c>
      <c r="J25" s="121">
        <f t="shared" si="2"/>
        <v>25990.530639098484</v>
      </c>
      <c r="K25" s="123">
        <f t="shared" si="3"/>
        <v>28240.530639098484</v>
      </c>
      <c r="L25" s="90">
        <f t="shared" si="4"/>
        <v>0.44606745599586928</v>
      </c>
    </row>
    <row r="26" spans="2:12" x14ac:dyDescent="0.25">
      <c r="B26" s="22" t="str">
        <f>+'County Data'!$B$27</f>
        <v>Klamath</v>
      </c>
      <c r="C26" s="17">
        <f>VLOOKUP($B26,'County Data'!$B$10:$P$46,2,FALSE)</f>
        <v>67690</v>
      </c>
      <c r="D26" s="91">
        <v>232280</v>
      </c>
      <c r="E26" s="91">
        <f>VLOOKUP($B26,'County Data'!$B$10:$P$46,11,FALSE)</f>
        <v>278736</v>
      </c>
      <c r="F26" s="70">
        <f t="shared" si="5"/>
        <v>0.2</v>
      </c>
      <c r="G26" s="121">
        <f>IF(F26&lt;0,0,$C$4*Input!$C$8)</f>
        <v>2250</v>
      </c>
      <c r="H26" s="60">
        <f t="shared" si="0"/>
        <v>13538</v>
      </c>
      <c r="I26" s="70">
        <f t="shared" si="1"/>
        <v>7.9849363151574343E-2</v>
      </c>
      <c r="J26" s="121">
        <f t="shared" si="2"/>
        <v>55575.156753495743</v>
      </c>
      <c r="K26" s="123">
        <f t="shared" si="3"/>
        <v>57825.156753495743</v>
      </c>
      <c r="L26" s="90">
        <f t="shared" si="4"/>
        <v>0.85426439287185318</v>
      </c>
    </row>
    <row r="27" spans="2:12" x14ac:dyDescent="0.25">
      <c r="B27" s="22" t="str">
        <f>+'County Data'!$B$40</f>
        <v>Umatilla</v>
      </c>
      <c r="C27" s="17">
        <f>VLOOKUP($B27,'County Data'!$B$10:$P$46,2,FALSE)</f>
        <v>80500</v>
      </c>
      <c r="D27" s="91">
        <v>386278</v>
      </c>
      <c r="E27" s="91">
        <f>VLOOKUP($B27,'County Data'!$B$10:$P$46,11,FALSE)</f>
        <v>366964</v>
      </c>
      <c r="F27" s="70">
        <f t="shared" si="5"/>
        <v>-5.0000258880909601E-2</v>
      </c>
      <c r="G27" s="121">
        <f>IF(F27&lt;0,0,$C$4*Input!$C$8)</f>
        <v>0</v>
      </c>
      <c r="H27" s="60">
        <f t="shared" si="0"/>
        <v>0</v>
      </c>
      <c r="I27" s="70">
        <f t="shared" si="1"/>
        <v>0</v>
      </c>
      <c r="J27" s="121">
        <f t="shared" si="2"/>
        <v>0</v>
      </c>
      <c r="K27" s="123">
        <f t="shared" si="3"/>
        <v>0</v>
      </c>
      <c r="L27" s="90">
        <f t="shared" si="4"/>
        <v>0</v>
      </c>
    </row>
    <row r="28" spans="2:12" x14ac:dyDescent="0.25">
      <c r="B28" s="22" t="str">
        <f>+'County Data'!$B$37</f>
        <v>Polk</v>
      </c>
      <c r="C28" s="17">
        <f>VLOOKUP($B28,'County Data'!$B$10:$P$46,2,FALSE)</f>
        <v>81000</v>
      </c>
      <c r="D28" s="91">
        <v>251759</v>
      </c>
      <c r="E28" s="91">
        <f>VLOOKUP($B28,'County Data'!$B$10:$P$46,11,FALSE)</f>
        <v>276935</v>
      </c>
      <c r="F28" s="70">
        <f t="shared" si="5"/>
        <v>0.10000039720526377</v>
      </c>
      <c r="G28" s="121">
        <f>IF(F28&lt;0,0,$C$4*Input!$C$8)</f>
        <v>2250</v>
      </c>
      <c r="H28" s="60">
        <f t="shared" si="0"/>
        <v>8100.032173626365</v>
      </c>
      <c r="I28" s="70">
        <f t="shared" si="1"/>
        <v>4.7775329485250977E-2</v>
      </c>
      <c r="J28" s="121">
        <f t="shared" si="2"/>
        <v>33251.629321734683</v>
      </c>
      <c r="K28" s="123">
        <f t="shared" si="3"/>
        <v>35501.629321734683</v>
      </c>
      <c r="L28" s="90">
        <f t="shared" si="4"/>
        <v>0.43829172002141586</v>
      </c>
    </row>
    <row r="29" spans="2:12" x14ac:dyDescent="0.25">
      <c r="B29" s="22" t="str">
        <f>+'County Data'!$B$26</f>
        <v>Josephine</v>
      </c>
      <c r="C29" s="17">
        <f>VLOOKUP($B29,'County Data'!$B$10:$P$46,2,FALSE)</f>
        <v>85650</v>
      </c>
      <c r="D29" s="91">
        <v>364715</v>
      </c>
      <c r="E29" s="91">
        <f>VLOOKUP($B29,'County Data'!$B$10:$P$46,11,FALSE)</f>
        <v>364715</v>
      </c>
      <c r="F29" s="70">
        <f t="shared" si="5"/>
        <v>0</v>
      </c>
      <c r="G29" s="121">
        <f>IF(F29&lt;0,0,$C$4*Input!$C$8)</f>
        <v>2250</v>
      </c>
      <c r="H29" s="60">
        <f t="shared" si="0"/>
        <v>0</v>
      </c>
      <c r="I29" s="70">
        <f t="shared" si="1"/>
        <v>0</v>
      </c>
      <c r="J29" s="121">
        <f t="shared" si="2"/>
        <v>0</v>
      </c>
      <c r="K29" s="123">
        <f t="shared" si="3"/>
        <v>2250</v>
      </c>
      <c r="L29" s="90">
        <f t="shared" si="4"/>
        <v>2.6269702276707531E-2</v>
      </c>
    </row>
    <row r="30" spans="2:12" x14ac:dyDescent="0.25">
      <c r="B30" s="22" t="str">
        <f>+'County Data'!$B$11</f>
        <v>Benton</v>
      </c>
      <c r="C30" s="17">
        <f>VLOOKUP($B30,'County Data'!$B$10:$P$46,2,FALSE)</f>
        <v>92575</v>
      </c>
      <c r="D30" s="91">
        <v>2090815</v>
      </c>
      <c r="E30" s="91">
        <f>VLOOKUP($B30,'County Data'!$B$10:$P$46,11,FALSE)</f>
        <v>2195356</v>
      </c>
      <c r="F30" s="70">
        <f t="shared" si="5"/>
        <v>5.0000119570598071E-2</v>
      </c>
      <c r="G30" s="121">
        <f>IF(F30&lt;0,0,$C$4*Input!$C$8)</f>
        <v>2250</v>
      </c>
      <c r="H30" s="60">
        <f t="shared" si="0"/>
        <v>4628.7610692481167</v>
      </c>
      <c r="I30" s="70">
        <f t="shared" si="1"/>
        <v>2.7301198372009339E-2</v>
      </c>
      <c r="J30" s="121">
        <f t="shared" si="2"/>
        <v>19001.634066918501</v>
      </c>
      <c r="K30" s="123">
        <f t="shared" si="3"/>
        <v>21251.634066918501</v>
      </c>
      <c r="L30" s="90">
        <f t="shared" si="4"/>
        <v>0.22956126456298678</v>
      </c>
    </row>
    <row r="31" spans="2:12" x14ac:dyDescent="0.25">
      <c r="B31" s="22" t="str">
        <f>+'County Data'!$B$46</f>
        <v>Yamhill</v>
      </c>
      <c r="C31" s="17">
        <f>VLOOKUP($B31,'County Data'!$B$10:$P$46,2,FALSE)</f>
        <v>106300</v>
      </c>
      <c r="D31" s="91">
        <v>650791</v>
      </c>
      <c r="E31" s="91">
        <f>VLOOKUP($B31,'County Data'!$B$10:$P$46,11,FALSE)</f>
        <v>585712</v>
      </c>
      <c r="F31" s="70">
        <f t="shared" si="5"/>
        <v>-9.9999846340837528E-2</v>
      </c>
      <c r="G31" s="121">
        <f>IF(F31&lt;0,0,$C$4*Input!$C$8)</f>
        <v>0</v>
      </c>
      <c r="H31" s="60">
        <f t="shared" si="0"/>
        <v>0</v>
      </c>
      <c r="I31" s="70">
        <f t="shared" si="1"/>
        <v>0</v>
      </c>
      <c r="J31" s="121">
        <f t="shared" si="2"/>
        <v>0</v>
      </c>
      <c r="K31" s="123">
        <f t="shared" si="3"/>
        <v>0</v>
      </c>
      <c r="L31" s="90">
        <f t="shared" si="4"/>
        <v>0</v>
      </c>
    </row>
    <row r="32" spans="2:12" x14ac:dyDescent="0.25">
      <c r="B32" s="22" t="str">
        <f>+'County Data'!$B$19</f>
        <v>Douglas</v>
      </c>
      <c r="C32" s="17">
        <f>VLOOKUP($B32,'County Data'!$B$10:$P$46,2,FALSE)</f>
        <v>111180</v>
      </c>
      <c r="D32" s="91">
        <v>671902</v>
      </c>
      <c r="E32" s="91">
        <f>VLOOKUP($B32,'County Data'!$B$10:$P$46,11,FALSE)</f>
        <v>739092</v>
      </c>
      <c r="F32" s="70">
        <f t="shared" si="5"/>
        <v>9.9999702337543267E-2</v>
      </c>
      <c r="G32" s="121">
        <f>IF(F32&lt;0,0,$C$4*Input!$C$8)</f>
        <v>2250</v>
      </c>
      <c r="H32" s="60">
        <f t="shared" si="0"/>
        <v>11117.966905888061</v>
      </c>
      <c r="I32" s="70">
        <f t="shared" si="1"/>
        <v>6.5575607695039229E-2</v>
      </c>
      <c r="J32" s="121">
        <f t="shared" si="2"/>
        <v>45640.622955747305</v>
      </c>
      <c r="K32" s="123">
        <f t="shared" si="3"/>
        <v>47890.622955747305</v>
      </c>
      <c r="L32" s="90">
        <f t="shared" si="4"/>
        <v>0.43074854250537242</v>
      </c>
    </row>
    <row r="33" spans="2:12" x14ac:dyDescent="0.25">
      <c r="B33" s="22" t="str">
        <f>+'County Data'!$B$31</f>
        <v>Linn</v>
      </c>
      <c r="C33" s="17">
        <f>VLOOKUP($B33,'County Data'!$B$10:$P$46,2,FALSE)</f>
        <v>124010</v>
      </c>
      <c r="D33" s="91">
        <v>651346</v>
      </c>
      <c r="E33" s="91">
        <f>VLOOKUP($B33,'County Data'!$B$10:$P$46,11,FALSE)</f>
        <v>781615</v>
      </c>
      <c r="F33" s="70">
        <f t="shared" si="5"/>
        <v>0.1999996929435354</v>
      </c>
      <c r="G33" s="121">
        <f>IF(F33&lt;0,0,$C$4*Input!$C$8)</f>
        <v>2250</v>
      </c>
      <c r="H33" s="60">
        <f t="shared" si="0"/>
        <v>24801.961921927825</v>
      </c>
      <c r="I33" s="70">
        <f t="shared" si="1"/>
        <v>0.14628607359842913</v>
      </c>
      <c r="J33" s="121">
        <f t="shared" si="2"/>
        <v>101815.10722450668</v>
      </c>
      <c r="K33" s="123">
        <f t="shared" si="3"/>
        <v>104065.10722450668</v>
      </c>
      <c r="L33" s="90">
        <f t="shared" si="4"/>
        <v>0.83916706091852811</v>
      </c>
    </row>
    <row r="34" spans="2:12" x14ac:dyDescent="0.25">
      <c r="B34" s="22" t="str">
        <f>+'County Data'!$B$18</f>
        <v>Deschutes</v>
      </c>
      <c r="C34" s="17">
        <f>VLOOKUP($B34,'County Data'!$B$10:$P$46,2,FALSE)</f>
        <v>182930</v>
      </c>
      <c r="D34" s="91">
        <v>2968217</v>
      </c>
      <c r="E34" s="91">
        <f>VLOOKUP($B34,'County Data'!$B$10:$P$46,11,FALSE)</f>
        <v>2819806</v>
      </c>
      <c r="F34" s="70">
        <f t="shared" si="5"/>
        <v>-5.0000050535388751E-2</v>
      </c>
      <c r="G34" s="121">
        <f>IF(F34&lt;0,0,$C$4*Input!$C$8)</f>
        <v>0</v>
      </c>
      <c r="H34" s="60">
        <f t="shared" si="0"/>
        <v>0</v>
      </c>
      <c r="I34" s="70">
        <f t="shared" si="1"/>
        <v>0</v>
      </c>
      <c r="J34" s="121">
        <f t="shared" si="2"/>
        <v>0</v>
      </c>
      <c r="K34" s="123">
        <f t="shared" si="3"/>
        <v>0</v>
      </c>
      <c r="L34" s="90">
        <f t="shared" si="4"/>
        <v>0</v>
      </c>
    </row>
    <row r="35" spans="2:12" x14ac:dyDescent="0.25">
      <c r="B35" s="22" t="str">
        <f>+'County Data'!$B$24</f>
        <v>Jackson</v>
      </c>
      <c r="C35" s="17">
        <f>VLOOKUP($B35,'County Data'!$B$10:$P$46,2,FALSE)</f>
        <v>216900</v>
      </c>
      <c r="D35" s="91">
        <v>670465</v>
      </c>
      <c r="E35" s="91">
        <f>VLOOKUP($B35,'County Data'!$B$10:$P$46,11,FALSE)</f>
        <v>737512</v>
      </c>
      <c r="F35" s="70">
        <f t="shared" si="5"/>
        <v>0.1000007457510832</v>
      </c>
      <c r="G35" s="121">
        <f>IF(F35&lt;0,0,$C$4*Input!$C$8)</f>
        <v>2250</v>
      </c>
      <c r="H35" s="60">
        <f t="shared" si="0"/>
        <v>21690.161753409946</v>
      </c>
      <c r="I35" s="70">
        <f t="shared" si="1"/>
        <v>0.12793216152049189</v>
      </c>
      <c r="J35" s="121">
        <f t="shared" si="2"/>
        <v>89040.784418262352</v>
      </c>
      <c r="K35" s="123">
        <f t="shared" si="3"/>
        <v>91290.784418262352</v>
      </c>
      <c r="L35" s="90">
        <f t="shared" si="4"/>
        <v>0.42088881705054104</v>
      </c>
    </row>
    <row r="36" spans="2:12" x14ac:dyDescent="0.25">
      <c r="B36" s="22" t="str">
        <f>+'County Data'!$B$33</f>
        <v>Marion</v>
      </c>
      <c r="C36" s="17">
        <f>VLOOKUP($B36,'County Data'!$B$10:$P$46,2,FALSE)</f>
        <v>339200</v>
      </c>
      <c r="D36" s="91">
        <v>2152253</v>
      </c>
      <c r="E36" s="91">
        <f>VLOOKUP($B36,'County Data'!$B$10:$P$46,11,FALSE)</f>
        <v>2152253</v>
      </c>
      <c r="F36" s="70">
        <f t="shared" si="5"/>
        <v>0</v>
      </c>
      <c r="G36" s="121">
        <f>IF(F36&lt;0,0,$C$4*Input!$C$8)</f>
        <v>2250</v>
      </c>
      <c r="H36" s="60">
        <f t="shared" si="0"/>
        <v>0</v>
      </c>
      <c r="I36" s="70">
        <f t="shared" si="1"/>
        <v>0</v>
      </c>
      <c r="J36" s="121">
        <f t="shared" si="2"/>
        <v>0</v>
      </c>
      <c r="K36" s="123">
        <f t="shared" si="3"/>
        <v>2250</v>
      </c>
      <c r="L36" s="90">
        <f t="shared" si="4"/>
        <v>6.6332547169811323E-3</v>
      </c>
    </row>
    <row r="37" spans="2:12" x14ac:dyDescent="0.25">
      <c r="B37" s="22" t="str">
        <f>+'County Data'!$B$29</f>
        <v>Lane</v>
      </c>
      <c r="C37" s="17">
        <f>VLOOKUP($B37,'County Data'!$B$10:$P$46,2,FALSE)</f>
        <v>370600</v>
      </c>
      <c r="D37" s="91">
        <v>1716536</v>
      </c>
      <c r="E37" s="91">
        <f>VLOOKUP($B37,'County Data'!$B$10:$P$46,11,FALSE)</f>
        <v>1802363</v>
      </c>
      <c r="F37" s="70">
        <f t="shared" si="5"/>
        <v>5.0000116513722985E-2</v>
      </c>
      <c r="G37" s="121">
        <f>IF(F37&lt;0,0,$C$4*Input!$C$8)</f>
        <v>2250</v>
      </c>
      <c r="H37" s="60">
        <f t="shared" si="0"/>
        <v>18530.04317998574</v>
      </c>
      <c r="I37" s="70">
        <f t="shared" si="1"/>
        <v>0.10929325949867298</v>
      </c>
      <c r="J37" s="121">
        <f t="shared" si="2"/>
        <v>76068.108611076401</v>
      </c>
      <c r="K37" s="123">
        <f t="shared" si="3"/>
        <v>78318.108611076401</v>
      </c>
      <c r="L37" s="90">
        <f t="shared" si="4"/>
        <v>0.21132786997052455</v>
      </c>
    </row>
    <row r="38" spans="2:12" x14ac:dyDescent="0.25">
      <c r="B38" s="22" t="str">
        <f>+'County Data'!$B$12</f>
        <v>Clackamas</v>
      </c>
      <c r="C38" s="17">
        <f>VLOOKUP($B38,'County Data'!$B$10:$P$46,2,FALSE)</f>
        <v>413000</v>
      </c>
      <c r="D38" s="91">
        <v>1965745</v>
      </c>
      <c r="E38" s="91">
        <f>VLOOKUP($B38,'County Data'!$B$10:$P$46,11,FALSE)</f>
        <v>1769171</v>
      </c>
      <c r="F38" s="70">
        <f t="shared" si="5"/>
        <v>-9.9999745643509205E-2</v>
      </c>
      <c r="G38" s="121">
        <f>IF(F38&lt;0,0,$C$4*Input!$C$8)</f>
        <v>0</v>
      </c>
      <c r="H38" s="60">
        <f t="shared" si="0"/>
        <v>0</v>
      </c>
      <c r="I38" s="70">
        <f t="shared" si="1"/>
        <v>0</v>
      </c>
      <c r="J38" s="121">
        <f t="shared" si="2"/>
        <v>0</v>
      </c>
      <c r="K38" s="123">
        <f t="shared" si="3"/>
        <v>0</v>
      </c>
      <c r="L38" s="90">
        <f t="shared" si="4"/>
        <v>0</v>
      </c>
    </row>
    <row r="39" spans="2:12" x14ac:dyDescent="0.25">
      <c r="B39" s="22" t="str">
        <f>+'County Data'!$B$44</f>
        <v>Washington</v>
      </c>
      <c r="C39" s="17">
        <f>VLOOKUP($B39,'County Data'!$B$10:$P$46,2,FALSE)</f>
        <v>595860</v>
      </c>
      <c r="D39" s="91">
        <v>4800731</v>
      </c>
      <c r="E39" s="91">
        <f>VLOOKUP($B39,'County Data'!$B$10:$P$46,11,FALSE)</f>
        <v>4800731</v>
      </c>
      <c r="F39" s="70">
        <f t="shared" si="5"/>
        <v>0</v>
      </c>
      <c r="G39" s="121">
        <f>IF(F39&lt;0,0,$C$4*Input!$C$8)</f>
        <v>2250</v>
      </c>
      <c r="H39" s="60">
        <f t="shared" si="0"/>
        <v>0</v>
      </c>
      <c r="I39" s="70">
        <f t="shared" si="1"/>
        <v>0</v>
      </c>
      <c r="J39" s="121">
        <f t="shared" si="2"/>
        <v>0</v>
      </c>
      <c r="K39" s="123">
        <f t="shared" si="3"/>
        <v>2250</v>
      </c>
      <c r="L39" s="90">
        <f t="shared" si="4"/>
        <v>3.7760547779679791E-3</v>
      </c>
    </row>
    <row r="40" spans="2:12" x14ac:dyDescent="0.25">
      <c r="B40" s="22" t="str">
        <f>+'County Data'!$B$35</f>
        <v>Multnomah</v>
      </c>
      <c r="C40" s="17">
        <f>VLOOKUP($B40,'County Data'!$B$10:$P$46,2,FALSE)</f>
        <v>803000</v>
      </c>
      <c r="D40" s="91">
        <v>43542723</v>
      </c>
      <c r="E40" s="91">
        <f>VLOOKUP($B40,'County Data'!$B$10:$P$46,11,FALSE)</f>
        <v>45719859</v>
      </c>
      <c r="F40" s="70">
        <f t="shared" si="5"/>
        <v>4.99999965551075E-2</v>
      </c>
      <c r="G40" s="121">
        <f>IF(F40&lt;0,0,$C$4*Input!$C$8)</f>
        <v>2250</v>
      </c>
      <c r="H40" s="60">
        <f t="shared" si="0"/>
        <v>40149.997233751325</v>
      </c>
      <c r="I40" s="70">
        <f t="shared" si="1"/>
        <v>0.2368113243944833</v>
      </c>
      <c r="J40" s="121">
        <f t="shared" si="2"/>
        <v>164820.68177856036</v>
      </c>
      <c r="K40" s="123">
        <f t="shared" si="3"/>
        <v>167070.68177856036</v>
      </c>
      <c r="L40" s="90">
        <f t="shared" si="4"/>
        <v>0.20805813421987593</v>
      </c>
    </row>
    <row r="41" spans="2:12" x14ac:dyDescent="0.25">
      <c r="B41" s="5" t="s">
        <v>2</v>
      </c>
      <c r="C41" s="6">
        <f>SUM(C7:C40)</f>
        <v>4141100</v>
      </c>
      <c r="D41" s="120">
        <f>SUM(D7:D40)</f>
        <v>68747850</v>
      </c>
      <c r="E41" s="120">
        <f>SUM(E7:E40)</f>
        <v>71228712</v>
      </c>
      <c r="F41" s="24">
        <f t="shared" si="5"/>
        <v>3.6086393974502473E-2</v>
      </c>
      <c r="G41" s="120">
        <f>SUM(G7:G40)</f>
        <v>54000</v>
      </c>
      <c r="H41" s="6">
        <f>SUM(H7:H40)</f>
        <v>169544.245134447</v>
      </c>
      <c r="I41" s="24">
        <f>SUM(I7:I40)</f>
        <v>1</v>
      </c>
      <c r="J41" s="120">
        <f>SUM(J7:J40)</f>
        <v>696000.00000000012</v>
      </c>
      <c r="K41" s="120">
        <f t="shared" ref="K41" si="6">SUM(K7:K40)</f>
        <v>750000.00000000012</v>
      </c>
      <c r="L41" s="119">
        <f>K41/C41</f>
        <v>0.18111129893023595</v>
      </c>
    </row>
  </sheetData>
  <sortState xmlns:xlrd2="http://schemas.microsoft.com/office/spreadsheetml/2017/richdata2" ref="B7:H40">
    <sortCondition ref="C7:C40"/>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Y42"/>
  <sheetViews>
    <sheetView workbookViewId="0"/>
  </sheetViews>
  <sheetFormatPr defaultRowHeight="15" x14ac:dyDescent="0.25"/>
  <cols>
    <col min="2" max="2" width="17.42578125" bestFit="1" customWidth="1"/>
    <col min="3" max="3" width="11.85546875" bestFit="1" customWidth="1"/>
    <col min="4" max="4" width="5.7109375" bestFit="1" customWidth="1"/>
    <col min="5" max="5" width="11.5703125" bestFit="1" customWidth="1"/>
    <col min="6" max="6" width="10.7109375" bestFit="1" customWidth="1"/>
    <col min="7" max="7" width="11.5703125" bestFit="1" customWidth="1"/>
    <col min="8" max="8" width="10" bestFit="1" customWidth="1"/>
    <col min="9" max="10" width="0" hidden="1" customWidth="1"/>
    <col min="11" max="12" width="10.7109375" hidden="1" customWidth="1"/>
    <col min="13" max="15" width="0" hidden="1" customWidth="1"/>
    <col min="16" max="17" width="10.7109375" hidden="1" customWidth="1"/>
    <col min="18" max="20" width="0" hidden="1" customWidth="1"/>
    <col min="21" max="22" width="10.7109375" hidden="1" customWidth="1"/>
    <col min="23" max="23" width="0" hidden="1" customWidth="1"/>
    <col min="24" max="24" width="11.140625" bestFit="1" customWidth="1"/>
    <col min="25" max="25" width="10.5703125" bestFit="1" customWidth="1"/>
  </cols>
  <sheetData>
    <row r="2" spans="2:25" x14ac:dyDescent="0.25">
      <c r="B2" t="s">
        <v>0</v>
      </c>
      <c r="C2" s="1">
        <f>'County Data'!C5</f>
        <v>15000000</v>
      </c>
    </row>
    <row r="3" spans="2:25" x14ac:dyDescent="0.25">
      <c r="B3" t="s">
        <v>42</v>
      </c>
      <c r="C3" s="16">
        <f>$C$2*Input!$C$26</f>
        <v>150000</v>
      </c>
    </row>
    <row r="4" spans="2:25" x14ac:dyDescent="0.25">
      <c r="D4" s="25"/>
      <c r="E4" s="118">
        <f>Input!$D$27</f>
        <v>1</v>
      </c>
      <c r="J4" s="118">
        <f>Input!$D$28</f>
        <v>0</v>
      </c>
      <c r="O4" s="118">
        <f>Input!$D$29</f>
        <v>0</v>
      </c>
      <c r="T4" s="118">
        <f>Input!$D$30</f>
        <v>0</v>
      </c>
    </row>
    <row r="5" spans="2:25" x14ac:dyDescent="0.25">
      <c r="D5" s="143" t="s">
        <v>110</v>
      </c>
      <c r="E5" s="143"/>
      <c r="F5" s="143"/>
      <c r="G5" s="143"/>
      <c r="H5" s="143"/>
      <c r="I5" s="144" t="s">
        <v>114</v>
      </c>
      <c r="J5" s="144"/>
      <c r="K5" s="144"/>
      <c r="L5" s="144"/>
      <c r="M5" s="144"/>
      <c r="N5" s="143" t="s">
        <v>115</v>
      </c>
      <c r="O5" s="143"/>
      <c r="P5" s="143"/>
      <c r="Q5" s="143"/>
      <c r="R5" s="143"/>
      <c r="S5" s="144" t="s">
        <v>116</v>
      </c>
      <c r="T5" s="144"/>
      <c r="U5" s="144"/>
      <c r="V5" s="144"/>
      <c r="W5" s="144"/>
    </row>
    <row r="6" spans="2:25" s="2" customFormat="1" ht="30" x14ac:dyDescent="0.25">
      <c r="B6" s="3" t="s">
        <v>7</v>
      </c>
      <c r="C6" s="3" t="s">
        <v>1</v>
      </c>
      <c r="D6" s="3" t="s">
        <v>111</v>
      </c>
      <c r="E6" s="3" t="s">
        <v>112</v>
      </c>
      <c r="F6" s="3" t="s">
        <v>121</v>
      </c>
      <c r="G6" s="3" t="s">
        <v>122</v>
      </c>
      <c r="H6" s="3" t="s">
        <v>113</v>
      </c>
      <c r="I6" s="3" t="s">
        <v>111</v>
      </c>
      <c r="J6" s="3" t="s">
        <v>112</v>
      </c>
      <c r="K6" s="3" t="s">
        <v>121</v>
      </c>
      <c r="L6" s="3" t="s">
        <v>122</v>
      </c>
      <c r="M6" s="3" t="s">
        <v>113</v>
      </c>
      <c r="N6" s="3" t="s">
        <v>111</v>
      </c>
      <c r="O6" s="3" t="s">
        <v>112</v>
      </c>
      <c r="P6" s="3" t="s">
        <v>121</v>
      </c>
      <c r="Q6" s="3" t="s">
        <v>122</v>
      </c>
      <c r="R6" s="3" t="s">
        <v>113</v>
      </c>
      <c r="S6" s="3" t="s">
        <v>111</v>
      </c>
      <c r="T6" s="3" t="s">
        <v>112</v>
      </c>
      <c r="U6" s="3" t="s">
        <v>121</v>
      </c>
      <c r="V6" s="3" t="s">
        <v>122</v>
      </c>
      <c r="W6" s="3" t="s">
        <v>113</v>
      </c>
      <c r="X6" s="15" t="s">
        <v>123</v>
      </c>
      <c r="Y6" s="3" t="s">
        <v>124</v>
      </c>
    </row>
    <row r="7" spans="2:25" x14ac:dyDescent="0.25">
      <c r="B7" s="22" t="str">
        <f>'County Data'!$B$45</f>
        <v>Wheeler</v>
      </c>
      <c r="C7" s="17">
        <f>VLOOKUP($B7,'County Data'!$B$10:$P$46,2,FALSE)</f>
        <v>1480</v>
      </c>
      <c r="D7" s="55" t="str">
        <f>VLOOKUP($B7,'County Data'!$B$9:$P$46,12,FALSE)</f>
        <v>Y</v>
      </c>
      <c r="E7" s="121">
        <f>IF(D7="Y",$C$3*Input!$C$8*E$4,0)</f>
        <v>450</v>
      </c>
      <c r="F7" s="17">
        <f>IF(D7="Y",$C7,0)</f>
        <v>1480</v>
      </c>
      <c r="G7" s="121">
        <f>ROUND(($C$3*E$4-E$41)*(F7/F$41),2)</f>
        <v>48.14</v>
      </c>
      <c r="H7" s="122">
        <f>E7+G7</f>
        <v>498.14</v>
      </c>
      <c r="I7" s="55">
        <f>VLOOKUP($B7,'County Data'!$B$9:$P$46,13,FALSE)</f>
        <v>0</v>
      </c>
      <c r="J7" s="91">
        <f>IF(I7="Y",$C$3*Input!$C$8*J$4,0)</f>
        <v>0</v>
      </c>
      <c r="K7" s="17">
        <f>IF(I7="Y",$C7,0)</f>
        <v>0</v>
      </c>
      <c r="L7" s="121">
        <f>ROUND(($C$3*J$4-J$41)*(K7/K$41),2)</f>
        <v>0</v>
      </c>
      <c r="M7" s="122">
        <f>J7+L7</f>
        <v>0</v>
      </c>
      <c r="N7" s="55">
        <f>VLOOKUP($B7,'County Data'!$B$9:$P$46,14,FALSE)</f>
        <v>0</v>
      </c>
      <c r="O7" s="91">
        <f>IF(N7="Y",$C$3*Input!$C$8*O$4,0)</f>
        <v>0</v>
      </c>
      <c r="P7" s="17">
        <f>IF(N7="Y",$C7,0)</f>
        <v>0</v>
      </c>
      <c r="Q7" s="121">
        <f>ROUND(($C$3*O$4-O$41)*(P7/P$41),2)</f>
        <v>0</v>
      </c>
      <c r="R7" s="122">
        <f>O7+Q7</f>
        <v>0</v>
      </c>
      <c r="S7" s="55">
        <f>VLOOKUP($B7,'County Data'!$B$9:$P$46,15,FALSE)</f>
        <v>0</v>
      </c>
      <c r="T7" s="91">
        <f>IF(S7="Y",$C$3*Input!$C$8*T$4,0)</f>
        <v>0</v>
      </c>
      <c r="U7" s="17">
        <f>IF(S7="Y",$C7,0)</f>
        <v>0</v>
      </c>
      <c r="V7" s="121">
        <f>ROUND(($C$3*T$4-T$41)*(U7/U$41),2)</f>
        <v>0</v>
      </c>
      <c r="W7" s="122">
        <f>T7+V7</f>
        <v>0</v>
      </c>
      <c r="X7" s="123">
        <f>H7+M7+R7+W7</f>
        <v>498.14</v>
      </c>
      <c r="Y7" s="90">
        <f>X7/C7</f>
        <v>0.33658108108108109</v>
      </c>
    </row>
    <row r="8" spans="2:25" x14ac:dyDescent="0.25">
      <c r="B8" s="22" t="str">
        <f>+'County Data'!$B$42</f>
        <v>Wallowa</v>
      </c>
      <c r="C8" s="17">
        <f>VLOOKUP($B8,'County Data'!$B$10:$P$46,2,FALSE)</f>
        <v>7195</v>
      </c>
      <c r="D8" s="55" t="str">
        <f>VLOOKUP($B8,'County Data'!$B$9:$P$46,12,FALSE)</f>
        <v>Y</v>
      </c>
      <c r="E8" s="121">
        <f>IF(D8="Y",$C$3*Input!$C$8*E$4,0)</f>
        <v>450</v>
      </c>
      <c r="F8" s="17">
        <f t="shared" ref="F8:F40" si="0">IF(D8="Y",$C8,0)</f>
        <v>7195</v>
      </c>
      <c r="G8" s="121">
        <f t="shared" ref="G8:G40" si="1">ROUND(($C$3*E$4-E$41)*(F8/F$41),2)</f>
        <v>234.04</v>
      </c>
      <c r="H8" s="122">
        <f t="shared" ref="H8:H40" si="2">E8+G8</f>
        <v>684.04</v>
      </c>
      <c r="I8" s="55">
        <f>VLOOKUP($B8,'County Data'!$B$9:$P$46,13,FALSE)</f>
        <v>0</v>
      </c>
      <c r="J8" s="91">
        <f>IF(I8="Y",$C$3*Input!$C$8*J$4,0)</f>
        <v>0</v>
      </c>
      <c r="K8" s="17">
        <f t="shared" ref="K8:K40" si="3">IF(I8="Y",$C8,0)</f>
        <v>0</v>
      </c>
      <c r="L8" s="121">
        <f t="shared" ref="L8:L40" si="4">ROUND(($C$3*J$4-J$41)*(K8/K$41),2)</f>
        <v>0</v>
      </c>
      <c r="M8" s="122">
        <f t="shared" ref="M8:M40" si="5">J8+L8</f>
        <v>0</v>
      </c>
      <c r="N8" s="55">
        <f>VLOOKUP($B8,'County Data'!$B$9:$P$46,14,FALSE)</f>
        <v>0</v>
      </c>
      <c r="O8" s="91">
        <f>IF(N8="Y",$C$3*Input!$C$8*O$4,0)</f>
        <v>0</v>
      </c>
      <c r="P8" s="17">
        <f t="shared" ref="P8:P40" si="6">IF(N8="Y",$C8,0)</f>
        <v>0</v>
      </c>
      <c r="Q8" s="121">
        <f t="shared" ref="Q8:Q40" si="7">ROUND(($C$3*O$4-O$41)*(P8/P$41),2)</f>
        <v>0</v>
      </c>
      <c r="R8" s="122">
        <f t="shared" ref="R8:R40" si="8">O8+Q8</f>
        <v>0</v>
      </c>
      <c r="S8" s="55">
        <f>VLOOKUP($B8,'County Data'!$B$9:$P$46,15,FALSE)</f>
        <v>0</v>
      </c>
      <c r="T8" s="91">
        <f>IF(S8="Y",$C$3*Input!$C$8*T$4,0)</f>
        <v>0</v>
      </c>
      <c r="U8" s="17">
        <f t="shared" ref="U8:U40" si="9">IF(S8="Y",$C8,0)</f>
        <v>0</v>
      </c>
      <c r="V8" s="121">
        <f t="shared" ref="V8:V40" si="10">ROUND(($C$3*T$4-T$41)*(U8/U$41),2)</f>
        <v>0</v>
      </c>
      <c r="W8" s="122">
        <f t="shared" ref="W8:W40" si="11">T8+V8</f>
        <v>0</v>
      </c>
      <c r="X8" s="123">
        <f t="shared" ref="X8:X40" si="12">H8+M8+R8+W8</f>
        <v>684.04</v>
      </c>
      <c r="Y8" s="90">
        <f t="shared" ref="Y8:Y41" si="13">X8/C8</f>
        <v>9.5071577484364136E-2</v>
      </c>
    </row>
    <row r="9" spans="2:25" x14ac:dyDescent="0.25">
      <c r="B9" s="22" t="str">
        <f>+'County Data'!$B$22</f>
        <v>Harney</v>
      </c>
      <c r="C9" s="17">
        <f>VLOOKUP($B9,'County Data'!$B$10:$P$46,2,FALSE)</f>
        <v>7360</v>
      </c>
      <c r="D9" s="55" t="str">
        <f>VLOOKUP($B9,'County Data'!$B$9:$P$46,12,FALSE)</f>
        <v>Y</v>
      </c>
      <c r="E9" s="121">
        <f>IF(D9="Y",$C$3*Input!$C$8*E$4,0)</f>
        <v>450</v>
      </c>
      <c r="F9" s="17">
        <f t="shared" si="0"/>
        <v>7360</v>
      </c>
      <c r="G9" s="121">
        <f t="shared" si="1"/>
        <v>239.4</v>
      </c>
      <c r="H9" s="122">
        <f t="shared" si="2"/>
        <v>689.4</v>
      </c>
      <c r="I9" s="55">
        <f>VLOOKUP($B9,'County Data'!$B$9:$P$46,13,FALSE)</f>
        <v>0</v>
      </c>
      <c r="J9" s="91">
        <f>IF(I9="Y",$C$3*Input!$C$8*J$4,0)</f>
        <v>0</v>
      </c>
      <c r="K9" s="17">
        <f t="shared" si="3"/>
        <v>0</v>
      </c>
      <c r="L9" s="121">
        <f t="shared" si="4"/>
        <v>0</v>
      </c>
      <c r="M9" s="122">
        <f t="shared" si="5"/>
        <v>0</v>
      </c>
      <c r="N9" s="55">
        <f>VLOOKUP($B9,'County Data'!$B$9:$P$46,14,FALSE)</f>
        <v>0</v>
      </c>
      <c r="O9" s="91">
        <f>IF(N9="Y",$C$3*Input!$C$8*O$4,0)</f>
        <v>0</v>
      </c>
      <c r="P9" s="17">
        <f t="shared" si="6"/>
        <v>0</v>
      </c>
      <c r="Q9" s="121">
        <f t="shared" si="7"/>
        <v>0</v>
      </c>
      <c r="R9" s="122">
        <f t="shared" si="8"/>
        <v>0</v>
      </c>
      <c r="S9" s="55">
        <f>VLOOKUP($B9,'County Data'!$B$9:$P$46,15,FALSE)</f>
        <v>0</v>
      </c>
      <c r="T9" s="91">
        <f>IF(S9="Y",$C$3*Input!$C$8*T$4,0)</f>
        <v>0</v>
      </c>
      <c r="U9" s="17">
        <f t="shared" si="9"/>
        <v>0</v>
      </c>
      <c r="V9" s="121">
        <f t="shared" si="10"/>
        <v>0</v>
      </c>
      <c r="W9" s="122">
        <f t="shared" si="11"/>
        <v>0</v>
      </c>
      <c r="X9" s="123">
        <f t="shared" si="12"/>
        <v>689.4</v>
      </c>
      <c r="Y9" s="90">
        <f t="shared" si="13"/>
        <v>9.3668478260869562E-2</v>
      </c>
    </row>
    <row r="10" spans="2:25" x14ac:dyDescent="0.25">
      <c r="B10" s="22" t="str">
        <f>+'County Data'!$B$21</f>
        <v>Grant</v>
      </c>
      <c r="C10" s="17">
        <f>VLOOKUP($B10,'County Data'!$B$10:$P$46,2,FALSE)</f>
        <v>7415</v>
      </c>
      <c r="D10" s="55" t="str">
        <f>VLOOKUP($B10,'County Data'!$B$9:$P$46,12,FALSE)</f>
        <v>Y</v>
      </c>
      <c r="E10" s="121">
        <f>IF(D10="Y",$C$3*Input!$C$8*E$4,0)</f>
        <v>450</v>
      </c>
      <c r="F10" s="17">
        <f t="shared" si="0"/>
        <v>7415</v>
      </c>
      <c r="G10" s="121">
        <f t="shared" si="1"/>
        <v>241.19</v>
      </c>
      <c r="H10" s="122">
        <f t="shared" si="2"/>
        <v>691.19</v>
      </c>
      <c r="I10" s="55">
        <f>VLOOKUP($B10,'County Data'!$B$9:$P$46,13,FALSE)</f>
        <v>0</v>
      </c>
      <c r="J10" s="91">
        <f>IF(I10="Y",$C$3*Input!$C$8*J$4,0)</f>
        <v>0</v>
      </c>
      <c r="K10" s="17">
        <f t="shared" si="3"/>
        <v>0</v>
      </c>
      <c r="L10" s="121">
        <f t="shared" si="4"/>
        <v>0</v>
      </c>
      <c r="M10" s="122">
        <f t="shared" si="5"/>
        <v>0</v>
      </c>
      <c r="N10" s="55">
        <f>VLOOKUP($B10,'County Data'!$B$9:$P$46,14,FALSE)</f>
        <v>0</v>
      </c>
      <c r="O10" s="91">
        <f>IF(N10="Y",$C$3*Input!$C$8*O$4,0)</f>
        <v>0</v>
      </c>
      <c r="P10" s="17">
        <f t="shared" si="6"/>
        <v>0</v>
      </c>
      <c r="Q10" s="121">
        <f t="shared" si="7"/>
        <v>0</v>
      </c>
      <c r="R10" s="122">
        <f t="shared" si="8"/>
        <v>0</v>
      </c>
      <c r="S10" s="55">
        <f>VLOOKUP($B10,'County Data'!$B$9:$P$46,15,FALSE)</f>
        <v>0</v>
      </c>
      <c r="T10" s="91">
        <f>IF(S10="Y",$C$3*Input!$C$8*T$4,0)</f>
        <v>0</v>
      </c>
      <c r="U10" s="17">
        <f t="shared" si="9"/>
        <v>0</v>
      </c>
      <c r="V10" s="121">
        <f t="shared" si="10"/>
        <v>0</v>
      </c>
      <c r="W10" s="122">
        <f t="shared" si="11"/>
        <v>0</v>
      </c>
      <c r="X10" s="123">
        <f t="shared" si="12"/>
        <v>691.19</v>
      </c>
      <c r="Y10" s="90">
        <f t="shared" si="13"/>
        <v>9.3215104517869185E-2</v>
      </c>
    </row>
    <row r="11" spans="2:25" x14ac:dyDescent="0.25">
      <c r="B11" s="22" t="str">
        <f>+'County Data'!$B$28</f>
        <v>Lake</v>
      </c>
      <c r="C11" s="17">
        <f>VLOOKUP($B11,'County Data'!$B$10:$P$46,2,FALSE)</f>
        <v>8120</v>
      </c>
      <c r="D11" s="55" t="str">
        <f>VLOOKUP($B11,'County Data'!$B$9:$P$46,12,FALSE)</f>
        <v>Y</v>
      </c>
      <c r="E11" s="121">
        <f>IF(D11="Y",$C$3*Input!$C$8*E$4,0)</f>
        <v>450</v>
      </c>
      <c r="F11" s="17">
        <f t="shared" si="0"/>
        <v>8120</v>
      </c>
      <c r="G11" s="121">
        <f t="shared" si="1"/>
        <v>264.12</v>
      </c>
      <c r="H11" s="122">
        <f t="shared" si="2"/>
        <v>714.12</v>
      </c>
      <c r="I11" s="55">
        <f>VLOOKUP($B11,'County Data'!$B$9:$P$46,13,FALSE)</f>
        <v>0</v>
      </c>
      <c r="J11" s="91">
        <f>IF(I11="Y",$C$3*Input!$C$8*J$4,0)</f>
        <v>0</v>
      </c>
      <c r="K11" s="17">
        <f t="shared" si="3"/>
        <v>0</v>
      </c>
      <c r="L11" s="121">
        <f t="shared" si="4"/>
        <v>0</v>
      </c>
      <c r="M11" s="122">
        <f t="shared" si="5"/>
        <v>0</v>
      </c>
      <c r="N11" s="55">
        <f>VLOOKUP($B11,'County Data'!$B$9:$P$46,14,FALSE)</f>
        <v>0</v>
      </c>
      <c r="O11" s="91">
        <f>IF(N11="Y",$C$3*Input!$C$8*O$4,0)</f>
        <v>0</v>
      </c>
      <c r="P11" s="17">
        <f t="shared" si="6"/>
        <v>0</v>
      </c>
      <c r="Q11" s="121">
        <f t="shared" si="7"/>
        <v>0</v>
      </c>
      <c r="R11" s="122">
        <f t="shared" si="8"/>
        <v>0</v>
      </c>
      <c r="S11" s="55">
        <f>VLOOKUP($B11,'County Data'!$B$9:$P$46,15,FALSE)</f>
        <v>0</v>
      </c>
      <c r="T11" s="91">
        <f>IF(S11="Y",$C$3*Input!$C$8*T$4,0)</f>
        <v>0</v>
      </c>
      <c r="U11" s="17">
        <f t="shared" si="9"/>
        <v>0</v>
      </c>
      <c r="V11" s="121">
        <f t="shared" si="10"/>
        <v>0</v>
      </c>
      <c r="W11" s="122">
        <f t="shared" si="11"/>
        <v>0</v>
      </c>
      <c r="X11" s="123">
        <f t="shared" si="12"/>
        <v>714.12</v>
      </c>
      <c r="Y11" s="90">
        <f t="shared" si="13"/>
        <v>8.7945812807881774E-2</v>
      </c>
    </row>
    <row r="12" spans="2:25" x14ac:dyDescent="0.25">
      <c r="B12" s="22" t="str">
        <f>+'County Data'!$B$34</f>
        <v>Morrow</v>
      </c>
      <c r="C12" s="17">
        <f>VLOOKUP($B12,'County Data'!$B$10:$P$46,2,FALSE)</f>
        <v>11890</v>
      </c>
      <c r="D12" s="55" t="str">
        <f>VLOOKUP($B12,'County Data'!$B$9:$P$46,12,FALSE)</f>
        <v>Y</v>
      </c>
      <c r="E12" s="121">
        <f>IF(D12="Y",$C$3*Input!$C$8*E$4,0)</f>
        <v>450</v>
      </c>
      <c r="F12" s="17">
        <f t="shared" si="0"/>
        <v>11890</v>
      </c>
      <c r="G12" s="121">
        <f t="shared" si="1"/>
        <v>386.75</v>
      </c>
      <c r="H12" s="122">
        <f t="shared" si="2"/>
        <v>836.75</v>
      </c>
      <c r="I12" s="55">
        <f>VLOOKUP($B12,'County Data'!$B$9:$P$46,13,FALSE)</f>
        <v>0</v>
      </c>
      <c r="J12" s="91">
        <f>IF(I12="Y",$C$3*Input!$C$8*J$4,0)</f>
        <v>0</v>
      </c>
      <c r="K12" s="17">
        <f t="shared" si="3"/>
        <v>0</v>
      </c>
      <c r="L12" s="121">
        <f t="shared" si="4"/>
        <v>0</v>
      </c>
      <c r="M12" s="122">
        <f t="shared" si="5"/>
        <v>0</v>
      </c>
      <c r="N12" s="55">
        <f>VLOOKUP($B12,'County Data'!$B$9:$P$46,14,FALSE)</f>
        <v>0</v>
      </c>
      <c r="O12" s="91">
        <f>IF(N12="Y",$C$3*Input!$C$8*O$4,0)</f>
        <v>0</v>
      </c>
      <c r="P12" s="17">
        <f t="shared" si="6"/>
        <v>0</v>
      </c>
      <c r="Q12" s="121">
        <f t="shared" si="7"/>
        <v>0</v>
      </c>
      <c r="R12" s="122">
        <f t="shared" si="8"/>
        <v>0</v>
      </c>
      <c r="S12" s="55">
        <f>VLOOKUP($B12,'County Data'!$B$9:$P$46,15,FALSE)</f>
        <v>0</v>
      </c>
      <c r="T12" s="91">
        <f>IF(S12="Y",$C$3*Input!$C$8*T$4,0)</f>
        <v>0</v>
      </c>
      <c r="U12" s="17">
        <f t="shared" si="9"/>
        <v>0</v>
      </c>
      <c r="V12" s="121">
        <f t="shared" si="10"/>
        <v>0</v>
      </c>
      <c r="W12" s="122">
        <f t="shared" si="11"/>
        <v>0</v>
      </c>
      <c r="X12" s="123">
        <f t="shared" si="12"/>
        <v>836.75</v>
      </c>
      <c r="Y12" s="90">
        <f t="shared" si="13"/>
        <v>7.0374264087468455E-2</v>
      </c>
    </row>
    <row r="13" spans="2:25" x14ac:dyDescent="0.25">
      <c r="B13" s="22" t="str">
        <f>+'County Data'!$B$10</f>
        <v>Baker</v>
      </c>
      <c r="C13" s="17">
        <f>VLOOKUP($B13,'County Data'!$B$10:$P$46,2,FALSE)</f>
        <v>16750</v>
      </c>
      <c r="D13" s="55" t="str">
        <f>VLOOKUP($B13,'County Data'!$B$9:$P$46,12,FALSE)</f>
        <v>Y</v>
      </c>
      <c r="E13" s="121">
        <f>IF(D13="Y",$C$3*Input!$C$8*E$4,0)</f>
        <v>450</v>
      </c>
      <c r="F13" s="17">
        <f t="shared" si="0"/>
        <v>16750</v>
      </c>
      <c r="G13" s="121">
        <f t="shared" si="1"/>
        <v>544.84</v>
      </c>
      <c r="H13" s="122">
        <f t="shared" si="2"/>
        <v>994.84</v>
      </c>
      <c r="I13" s="55">
        <f>VLOOKUP($B13,'County Data'!$B$9:$P$46,13,FALSE)</f>
        <v>0</v>
      </c>
      <c r="J13" s="91">
        <f>IF(I13="Y",$C$3*Input!$C$8*J$4,0)</f>
        <v>0</v>
      </c>
      <c r="K13" s="17">
        <f t="shared" si="3"/>
        <v>0</v>
      </c>
      <c r="L13" s="121">
        <f t="shared" si="4"/>
        <v>0</v>
      </c>
      <c r="M13" s="122">
        <f t="shared" si="5"/>
        <v>0</v>
      </c>
      <c r="N13" s="55">
        <f>VLOOKUP($B13,'County Data'!$B$9:$P$46,14,FALSE)</f>
        <v>0</v>
      </c>
      <c r="O13" s="91">
        <f>IF(N13="Y",$C$3*Input!$C$8*O$4,0)</f>
        <v>0</v>
      </c>
      <c r="P13" s="17">
        <f t="shared" si="6"/>
        <v>0</v>
      </c>
      <c r="Q13" s="121">
        <f t="shared" si="7"/>
        <v>0</v>
      </c>
      <c r="R13" s="122">
        <f t="shared" si="8"/>
        <v>0</v>
      </c>
      <c r="S13" s="55">
        <f>VLOOKUP($B13,'County Data'!$B$9:$P$46,15,FALSE)</f>
        <v>0</v>
      </c>
      <c r="T13" s="91">
        <f>IF(S13="Y",$C$3*Input!$C$8*T$4,0)</f>
        <v>0</v>
      </c>
      <c r="U13" s="17">
        <f t="shared" si="9"/>
        <v>0</v>
      </c>
      <c r="V13" s="121">
        <f t="shared" si="10"/>
        <v>0</v>
      </c>
      <c r="W13" s="122">
        <f t="shared" si="11"/>
        <v>0</v>
      </c>
      <c r="X13" s="123">
        <f t="shared" si="12"/>
        <v>994.84</v>
      </c>
      <c r="Y13" s="90">
        <f t="shared" si="13"/>
        <v>5.9393432835820895E-2</v>
      </c>
    </row>
    <row r="14" spans="2:25" x14ac:dyDescent="0.25">
      <c r="B14" s="22" t="str">
        <f>+'County Data'!$B$16</f>
        <v>Crook</v>
      </c>
      <c r="C14" s="17">
        <f>VLOOKUP($B14,'County Data'!$B$10:$P$46,2,FALSE)</f>
        <v>22105</v>
      </c>
      <c r="D14" s="55" t="str">
        <f>VLOOKUP($B14,'County Data'!$B$9:$P$46,12,FALSE)</f>
        <v>Y</v>
      </c>
      <c r="E14" s="121">
        <f>IF(D14="Y",$C$3*Input!$C$8*E$4,0)</f>
        <v>450</v>
      </c>
      <c r="F14" s="17">
        <f t="shared" si="0"/>
        <v>22105</v>
      </c>
      <c r="G14" s="121">
        <f t="shared" si="1"/>
        <v>719.02</v>
      </c>
      <c r="H14" s="122">
        <f t="shared" si="2"/>
        <v>1169.02</v>
      </c>
      <c r="I14" s="55">
        <f>VLOOKUP($B14,'County Data'!$B$9:$P$46,13,FALSE)</f>
        <v>0</v>
      </c>
      <c r="J14" s="91">
        <f>IF(I14="Y",$C$3*Input!$C$8*J$4,0)</f>
        <v>0</v>
      </c>
      <c r="K14" s="17">
        <f t="shared" si="3"/>
        <v>0</v>
      </c>
      <c r="L14" s="121">
        <f t="shared" si="4"/>
        <v>0</v>
      </c>
      <c r="M14" s="122">
        <f t="shared" si="5"/>
        <v>0</v>
      </c>
      <c r="N14" s="55">
        <f>VLOOKUP($B14,'County Data'!$B$9:$P$46,14,FALSE)</f>
        <v>0</v>
      </c>
      <c r="O14" s="91">
        <f>IF(N14="Y",$C$3*Input!$C$8*O$4,0)</f>
        <v>0</v>
      </c>
      <c r="P14" s="17">
        <f t="shared" si="6"/>
        <v>0</v>
      </c>
      <c r="Q14" s="121">
        <f t="shared" si="7"/>
        <v>0</v>
      </c>
      <c r="R14" s="122">
        <f t="shared" si="8"/>
        <v>0</v>
      </c>
      <c r="S14" s="55">
        <f>VLOOKUP($B14,'County Data'!$B$9:$P$46,15,FALSE)</f>
        <v>0</v>
      </c>
      <c r="T14" s="91">
        <f>IF(S14="Y",$C$3*Input!$C$8*T$4,0)</f>
        <v>0</v>
      </c>
      <c r="U14" s="17">
        <f t="shared" si="9"/>
        <v>0</v>
      </c>
      <c r="V14" s="121">
        <f t="shared" si="10"/>
        <v>0</v>
      </c>
      <c r="W14" s="122">
        <f t="shared" si="11"/>
        <v>0</v>
      </c>
      <c r="X14" s="123">
        <f t="shared" si="12"/>
        <v>1169.02</v>
      </c>
      <c r="Y14" s="90">
        <f t="shared" si="13"/>
        <v>5.2884867676996156E-2</v>
      </c>
    </row>
    <row r="15" spans="2:25" x14ac:dyDescent="0.25">
      <c r="B15" s="22" t="str">
        <f>+'County Data'!$B$25</f>
        <v>Jefferson</v>
      </c>
      <c r="C15" s="17">
        <f>VLOOKUP($B15,'County Data'!$B$10:$P$46,2,FALSE)</f>
        <v>23190</v>
      </c>
      <c r="D15" s="55" t="str">
        <f>VLOOKUP($B15,'County Data'!$B$9:$P$46,12,FALSE)</f>
        <v>Y</v>
      </c>
      <c r="E15" s="121">
        <f>IF(D15="Y",$C$3*Input!$C$8*E$4,0)</f>
        <v>450</v>
      </c>
      <c r="F15" s="17">
        <f t="shared" si="0"/>
        <v>23190</v>
      </c>
      <c r="G15" s="121">
        <f t="shared" si="1"/>
        <v>754.31</v>
      </c>
      <c r="H15" s="122">
        <f t="shared" si="2"/>
        <v>1204.31</v>
      </c>
      <c r="I15" s="55">
        <f>VLOOKUP($B15,'County Data'!$B$9:$P$46,13,FALSE)</f>
        <v>0</v>
      </c>
      <c r="J15" s="91">
        <f>IF(I15="Y",$C$3*Input!$C$8*J$4,0)</f>
        <v>0</v>
      </c>
      <c r="K15" s="17">
        <f t="shared" si="3"/>
        <v>0</v>
      </c>
      <c r="L15" s="121">
        <f t="shared" si="4"/>
        <v>0</v>
      </c>
      <c r="M15" s="122">
        <f t="shared" si="5"/>
        <v>0</v>
      </c>
      <c r="N15" s="55">
        <f>VLOOKUP($B15,'County Data'!$B$9:$P$46,14,FALSE)</f>
        <v>0</v>
      </c>
      <c r="O15" s="91">
        <f>IF(N15="Y",$C$3*Input!$C$8*O$4,0)</f>
        <v>0</v>
      </c>
      <c r="P15" s="17">
        <f t="shared" si="6"/>
        <v>0</v>
      </c>
      <c r="Q15" s="121">
        <f t="shared" si="7"/>
        <v>0</v>
      </c>
      <c r="R15" s="122">
        <f t="shared" si="8"/>
        <v>0</v>
      </c>
      <c r="S15" s="55">
        <f>VLOOKUP($B15,'County Data'!$B$9:$P$46,15,FALSE)</f>
        <v>0</v>
      </c>
      <c r="T15" s="91">
        <f>IF(S15="Y",$C$3*Input!$C$8*T$4,0)</f>
        <v>0</v>
      </c>
      <c r="U15" s="17">
        <f t="shared" si="9"/>
        <v>0</v>
      </c>
      <c r="V15" s="121">
        <f t="shared" si="10"/>
        <v>0</v>
      </c>
      <c r="W15" s="122">
        <f t="shared" si="11"/>
        <v>0</v>
      </c>
      <c r="X15" s="123">
        <f t="shared" si="12"/>
        <v>1204.31</v>
      </c>
      <c r="Y15" s="90">
        <f t="shared" si="13"/>
        <v>5.1932298404484691E-2</v>
      </c>
    </row>
    <row r="16" spans="2:25" x14ac:dyDescent="0.25">
      <c r="B16" s="22" t="str">
        <f>+'County Data'!$B$17</f>
        <v>Curry</v>
      </c>
      <c r="C16" s="17">
        <f>VLOOKUP($B16,'County Data'!$B$10:$P$46,2,FALSE)</f>
        <v>22805</v>
      </c>
      <c r="D16" s="55" t="str">
        <f>VLOOKUP($B16,'County Data'!$B$9:$P$46,12,FALSE)</f>
        <v>Y</v>
      </c>
      <c r="E16" s="121">
        <f>IF(D16="Y",$C$3*Input!$C$8*E$4,0)</f>
        <v>450</v>
      </c>
      <c r="F16" s="17">
        <f t="shared" si="0"/>
        <v>22805</v>
      </c>
      <c r="G16" s="121">
        <f t="shared" si="1"/>
        <v>741.79</v>
      </c>
      <c r="H16" s="122">
        <f t="shared" si="2"/>
        <v>1191.79</v>
      </c>
      <c r="I16" s="55">
        <f>VLOOKUP($B16,'County Data'!$B$9:$P$46,13,FALSE)</f>
        <v>0</v>
      </c>
      <c r="J16" s="91">
        <f>IF(I16="Y",$C$3*Input!$C$8*J$4,0)</f>
        <v>0</v>
      </c>
      <c r="K16" s="17">
        <f t="shared" si="3"/>
        <v>0</v>
      </c>
      <c r="L16" s="121">
        <f t="shared" si="4"/>
        <v>0</v>
      </c>
      <c r="M16" s="122">
        <f t="shared" si="5"/>
        <v>0</v>
      </c>
      <c r="N16" s="55">
        <f>VLOOKUP($B16,'County Data'!$B$9:$P$46,14,FALSE)</f>
        <v>0</v>
      </c>
      <c r="O16" s="91">
        <f>IF(N16="Y",$C$3*Input!$C$8*O$4,0)</f>
        <v>0</v>
      </c>
      <c r="P16" s="17">
        <f t="shared" si="6"/>
        <v>0</v>
      </c>
      <c r="Q16" s="121">
        <f t="shared" si="7"/>
        <v>0</v>
      </c>
      <c r="R16" s="122">
        <f t="shared" si="8"/>
        <v>0</v>
      </c>
      <c r="S16" s="55">
        <f>VLOOKUP($B16,'County Data'!$B$9:$P$46,15,FALSE)</f>
        <v>0</v>
      </c>
      <c r="T16" s="91">
        <f>IF(S16="Y",$C$3*Input!$C$8*T$4,0)</f>
        <v>0</v>
      </c>
      <c r="U16" s="17">
        <f t="shared" si="9"/>
        <v>0</v>
      </c>
      <c r="V16" s="121">
        <f t="shared" si="10"/>
        <v>0</v>
      </c>
      <c r="W16" s="122">
        <f t="shared" si="11"/>
        <v>0</v>
      </c>
      <c r="X16" s="123">
        <f t="shared" si="12"/>
        <v>1191.79</v>
      </c>
      <c r="Y16" s="90">
        <f t="shared" si="13"/>
        <v>5.2260030695023017E-2</v>
      </c>
    </row>
    <row r="17" spans="2:25" x14ac:dyDescent="0.25">
      <c r="B17" s="22" t="str">
        <f>+'County Data'!$B$23</f>
        <v>Hood River</v>
      </c>
      <c r="C17" s="17">
        <f>VLOOKUP($B17,'County Data'!$B$10:$P$46,2,FALSE)</f>
        <v>25145</v>
      </c>
      <c r="D17" s="55" t="str">
        <f>VLOOKUP($B17,'County Data'!$B$9:$P$46,12,FALSE)</f>
        <v>Y</v>
      </c>
      <c r="E17" s="121">
        <f>IF(D17="Y",$C$3*Input!$C$8*E$4,0)</f>
        <v>450</v>
      </c>
      <c r="F17" s="17">
        <f t="shared" si="0"/>
        <v>25145</v>
      </c>
      <c r="G17" s="121">
        <f t="shared" si="1"/>
        <v>817.91</v>
      </c>
      <c r="H17" s="122">
        <f t="shared" si="2"/>
        <v>1267.9099999999999</v>
      </c>
      <c r="I17" s="55">
        <f>VLOOKUP($B17,'County Data'!$B$9:$P$46,13,FALSE)</f>
        <v>0</v>
      </c>
      <c r="J17" s="91">
        <f>IF(I17="Y",$C$3*Input!$C$8*J$4,0)</f>
        <v>0</v>
      </c>
      <c r="K17" s="17">
        <f t="shared" si="3"/>
        <v>0</v>
      </c>
      <c r="L17" s="121">
        <f t="shared" si="4"/>
        <v>0</v>
      </c>
      <c r="M17" s="122">
        <f t="shared" si="5"/>
        <v>0</v>
      </c>
      <c r="N17" s="55">
        <f>VLOOKUP($B17,'County Data'!$B$9:$P$46,14,FALSE)</f>
        <v>0</v>
      </c>
      <c r="O17" s="91">
        <f>IF(N17="Y",$C$3*Input!$C$8*O$4,0)</f>
        <v>0</v>
      </c>
      <c r="P17" s="17">
        <f t="shared" si="6"/>
        <v>0</v>
      </c>
      <c r="Q17" s="121">
        <f t="shared" si="7"/>
        <v>0</v>
      </c>
      <c r="R17" s="122">
        <f t="shared" si="8"/>
        <v>0</v>
      </c>
      <c r="S17" s="55">
        <f>VLOOKUP($B17,'County Data'!$B$9:$P$46,15,FALSE)</f>
        <v>0</v>
      </c>
      <c r="T17" s="91">
        <f>IF(S17="Y",$C$3*Input!$C$8*T$4,0)</f>
        <v>0</v>
      </c>
      <c r="U17" s="17">
        <f t="shared" si="9"/>
        <v>0</v>
      </c>
      <c r="V17" s="121">
        <f t="shared" si="10"/>
        <v>0</v>
      </c>
      <c r="W17" s="122">
        <f t="shared" si="11"/>
        <v>0</v>
      </c>
      <c r="X17" s="123">
        <f t="shared" si="12"/>
        <v>1267.9099999999999</v>
      </c>
      <c r="Y17" s="90">
        <f t="shared" si="13"/>
        <v>5.0423941141379991E-2</v>
      </c>
    </row>
    <row r="18" spans="2:25" x14ac:dyDescent="0.25">
      <c r="B18" s="22" t="str">
        <f>+'County Data'!$B$39</f>
        <v>Tillamook</v>
      </c>
      <c r="C18" s="17">
        <f>VLOOKUP($B18,'County Data'!$B$10:$P$46,2,FALSE)</f>
        <v>26175</v>
      </c>
      <c r="D18" s="55" t="str">
        <f>VLOOKUP($B18,'County Data'!$B$9:$P$46,12,FALSE)</f>
        <v>Y</v>
      </c>
      <c r="E18" s="121">
        <f>IF(D18="Y",$C$3*Input!$C$8*E$4,0)</f>
        <v>450</v>
      </c>
      <c r="F18" s="17">
        <f t="shared" si="0"/>
        <v>26175</v>
      </c>
      <c r="G18" s="121">
        <f t="shared" si="1"/>
        <v>851.41</v>
      </c>
      <c r="H18" s="122">
        <f t="shared" si="2"/>
        <v>1301.4099999999999</v>
      </c>
      <c r="I18" s="55">
        <f>VLOOKUP($B18,'County Data'!$B$9:$P$46,13,FALSE)</f>
        <v>0</v>
      </c>
      <c r="J18" s="91">
        <f>IF(I18="Y",$C$3*Input!$C$8*J$4,0)</f>
        <v>0</v>
      </c>
      <c r="K18" s="17">
        <f t="shared" si="3"/>
        <v>0</v>
      </c>
      <c r="L18" s="121">
        <f t="shared" si="4"/>
        <v>0</v>
      </c>
      <c r="M18" s="122">
        <f t="shared" si="5"/>
        <v>0</v>
      </c>
      <c r="N18" s="55">
        <f>VLOOKUP($B18,'County Data'!$B$9:$P$46,14,FALSE)</f>
        <v>0</v>
      </c>
      <c r="O18" s="91">
        <f>IF(N18="Y",$C$3*Input!$C$8*O$4,0)</f>
        <v>0</v>
      </c>
      <c r="P18" s="17">
        <f t="shared" si="6"/>
        <v>0</v>
      </c>
      <c r="Q18" s="121">
        <f t="shared" si="7"/>
        <v>0</v>
      </c>
      <c r="R18" s="122">
        <f t="shared" si="8"/>
        <v>0</v>
      </c>
      <c r="S18" s="55">
        <f>VLOOKUP($B18,'County Data'!$B$9:$P$46,15,FALSE)</f>
        <v>0</v>
      </c>
      <c r="T18" s="91">
        <f>IF(S18="Y",$C$3*Input!$C$8*T$4,0)</f>
        <v>0</v>
      </c>
      <c r="U18" s="17">
        <f t="shared" si="9"/>
        <v>0</v>
      </c>
      <c r="V18" s="121">
        <f t="shared" si="10"/>
        <v>0</v>
      </c>
      <c r="W18" s="122">
        <f t="shared" si="11"/>
        <v>0</v>
      </c>
      <c r="X18" s="123">
        <f t="shared" si="12"/>
        <v>1301.4099999999999</v>
      </c>
      <c r="Y18" s="90">
        <f t="shared" si="13"/>
        <v>4.9719579751671433E-2</v>
      </c>
    </row>
    <row r="19" spans="2:25" x14ac:dyDescent="0.25">
      <c r="B19" s="22" t="str">
        <f>+'County Data'!$B$41</f>
        <v>Union</v>
      </c>
      <c r="C19" s="17">
        <f>VLOOKUP($B19,'County Data'!$B$10:$P$46,2,FALSE)</f>
        <v>26900</v>
      </c>
      <c r="D19" s="55" t="str">
        <f>VLOOKUP($B19,'County Data'!$B$9:$P$46,12,FALSE)</f>
        <v>Y</v>
      </c>
      <c r="E19" s="121">
        <f>IF(D19="Y",$C$3*Input!$C$8*E$4,0)</f>
        <v>450</v>
      </c>
      <c r="F19" s="17">
        <f t="shared" si="0"/>
        <v>26900</v>
      </c>
      <c r="G19" s="121">
        <f t="shared" si="1"/>
        <v>874.99</v>
      </c>
      <c r="H19" s="122">
        <f t="shared" si="2"/>
        <v>1324.99</v>
      </c>
      <c r="I19" s="55">
        <f>VLOOKUP($B19,'County Data'!$B$9:$P$46,13,FALSE)</f>
        <v>0</v>
      </c>
      <c r="J19" s="91">
        <f>IF(I19="Y",$C$3*Input!$C$8*J$4,0)</f>
        <v>0</v>
      </c>
      <c r="K19" s="17">
        <f t="shared" si="3"/>
        <v>0</v>
      </c>
      <c r="L19" s="121">
        <f t="shared" si="4"/>
        <v>0</v>
      </c>
      <c r="M19" s="122">
        <f t="shared" si="5"/>
        <v>0</v>
      </c>
      <c r="N19" s="55">
        <f>VLOOKUP($B19,'County Data'!$B$9:$P$46,14,FALSE)</f>
        <v>0</v>
      </c>
      <c r="O19" s="91">
        <f>IF(N19="Y",$C$3*Input!$C$8*O$4,0)</f>
        <v>0</v>
      </c>
      <c r="P19" s="17">
        <f t="shared" si="6"/>
        <v>0</v>
      </c>
      <c r="Q19" s="121">
        <f t="shared" si="7"/>
        <v>0</v>
      </c>
      <c r="R19" s="122">
        <f t="shared" si="8"/>
        <v>0</v>
      </c>
      <c r="S19" s="55">
        <f>VLOOKUP($B19,'County Data'!$B$9:$P$46,15,FALSE)</f>
        <v>0</v>
      </c>
      <c r="T19" s="91">
        <f>IF(S19="Y",$C$3*Input!$C$8*T$4,0)</f>
        <v>0</v>
      </c>
      <c r="U19" s="17">
        <f t="shared" si="9"/>
        <v>0</v>
      </c>
      <c r="V19" s="121">
        <f t="shared" si="10"/>
        <v>0</v>
      </c>
      <c r="W19" s="122">
        <f t="shared" si="11"/>
        <v>0</v>
      </c>
      <c r="X19" s="123">
        <f t="shared" si="12"/>
        <v>1324.99</v>
      </c>
      <c r="Y19" s="90">
        <f t="shared" si="13"/>
        <v>4.9256133828996282E-2</v>
      </c>
    </row>
    <row r="20" spans="2:25" x14ac:dyDescent="0.25">
      <c r="B20" s="22" t="str">
        <f>+'County Data'!$B$36</f>
        <v>Gilliam, Sherman, Wasco</v>
      </c>
      <c r="C20" s="17">
        <f>VLOOKUP($B20,'County Data'!$B$10:$P$46,2,FALSE)</f>
        <v>30895</v>
      </c>
      <c r="D20" s="55" t="str">
        <f>VLOOKUP($B20,'County Data'!$B$9:$P$46,12,FALSE)</f>
        <v>Y</v>
      </c>
      <c r="E20" s="121">
        <f>IF(D20="Y",$C$3*Input!$C$8*E$4,0)</f>
        <v>450</v>
      </c>
      <c r="F20" s="17">
        <f t="shared" si="0"/>
        <v>30895</v>
      </c>
      <c r="G20" s="121">
        <f t="shared" si="1"/>
        <v>1004.94</v>
      </c>
      <c r="H20" s="122">
        <f t="shared" si="2"/>
        <v>1454.94</v>
      </c>
      <c r="I20" s="55">
        <f>VLOOKUP($B20,'County Data'!$B$9:$P$46,13,FALSE)</f>
        <v>0</v>
      </c>
      <c r="J20" s="91">
        <f>IF(I20="Y",$C$3*Input!$C$8*J$4,0)</f>
        <v>0</v>
      </c>
      <c r="K20" s="17">
        <f t="shared" si="3"/>
        <v>0</v>
      </c>
      <c r="L20" s="121">
        <f t="shared" si="4"/>
        <v>0</v>
      </c>
      <c r="M20" s="122">
        <f t="shared" si="5"/>
        <v>0</v>
      </c>
      <c r="N20" s="55">
        <f>VLOOKUP($B20,'County Data'!$B$9:$P$46,14,FALSE)</f>
        <v>0</v>
      </c>
      <c r="O20" s="91">
        <f>IF(N20="Y",$C$3*Input!$C$8*O$4,0)</f>
        <v>0</v>
      </c>
      <c r="P20" s="17">
        <f t="shared" si="6"/>
        <v>0</v>
      </c>
      <c r="Q20" s="121">
        <f t="shared" si="7"/>
        <v>0</v>
      </c>
      <c r="R20" s="122">
        <f t="shared" si="8"/>
        <v>0</v>
      </c>
      <c r="S20" s="55">
        <f>VLOOKUP($B20,'County Data'!$B$9:$P$46,15,FALSE)</f>
        <v>0</v>
      </c>
      <c r="T20" s="91">
        <f>IF(S20="Y",$C$3*Input!$C$8*T$4,0)</f>
        <v>0</v>
      </c>
      <c r="U20" s="17">
        <f t="shared" si="9"/>
        <v>0</v>
      </c>
      <c r="V20" s="121">
        <f t="shared" si="10"/>
        <v>0</v>
      </c>
      <c r="W20" s="122">
        <f t="shared" si="11"/>
        <v>0</v>
      </c>
      <c r="X20" s="123">
        <f t="shared" si="12"/>
        <v>1454.94</v>
      </c>
      <c r="Y20" s="90">
        <f t="shared" si="13"/>
        <v>4.7093057128985275E-2</v>
      </c>
    </row>
    <row r="21" spans="2:25" x14ac:dyDescent="0.25">
      <c r="B21" s="22" t="str">
        <f>+'County Data'!$B$32</f>
        <v>Malheur</v>
      </c>
      <c r="C21" s="17">
        <f>VLOOKUP($B21,'County Data'!$B$10:$P$46,2,FALSE)</f>
        <v>31845</v>
      </c>
      <c r="D21" s="55" t="str">
        <f>VLOOKUP($B21,'County Data'!$B$9:$P$46,12,FALSE)</f>
        <v>Y</v>
      </c>
      <c r="E21" s="121">
        <f>IF(D21="Y",$C$3*Input!$C$8*E$4,0)</f>
        <v>450</v>
      </c>
      <c r="F21" s="17">
        <f t="shared" si="0"/>
        <v>31845</v>
      </c>
      <c r="G21" s="121">
        <f t="shared" si="1"/>
        <v>1035.8399999999999</v>
      </c>
      <c r="H21" s="122">
        <f t="shared" si="2"/>
        <v>1485.84</v>
      </c>
      <c r="I21" s="55">
        <f>VLOOKUP($B21,'County Data'!$B$9:$P$46,13,FALSE)</f>
        <v>0</v>
      </c>
      <c r="J21" s="91">
        <f>IF(I21="Y",$C$3*Input!$C$8*J$4,0)</f>
        <v>0</v>
      </c>
      <c r="K21" s="17">
        <f t="shared" si="3"/>
        <v>0</v>
      </c>
      <c r="L21" s="121">
        <f t="shared" si="4"/>
        <v>0</v>
      </c>
      <c r="M21" s="122">
        <f t="shared" si="5"/>
        <v>0</v>
      </c>
      <c r="N21" s="55">
        <f>VLOOKUP($B21,'County Data'!$B$9:$P$46,14,FALSE)</f>
        <v>0</v>
      </c>
      <c r="O21" s="91">
        <f>IF(N21="Y",$C$3*Input!$C$8*O$4,0)</f>
        <v>0</v>
      </c>
      <c r="P21" s="17">
        <f t="shared" si="6"/>
        <v>0</v>
      </c>
      <c r="Q21" s="121">
        <f t="shared" si="7"/>
        <v>0</v>
      </c>
      <c r="R21" s="122">
        <f t="shared" si="8"/>
        <v>0</v>
      </c>
      <c r="S21" s="55">
        <f>VLOOKUP($B21,'County Data'!$B$9:$P$46,15,FALSE)</f>
        <v>0</v>
      </c>
      <c r="T21" s="91">
        <f>IF(S21="Y",$C$3*Input!$C$8*T$4,0)</f>
        <v>0</v>
      </c>
      <c r="U21" s="17">
        <f t="shared" si="9"/>
        <v>0</v>
      </c>
      <c r="V21" s="121">
        <f t="shared" si="10"/>
        <v>0</v>
      </c>
      <c r="W21" s="122">
        <f t="shared" si="11"/>
        <v>0</v>
      </c>
      <c r="X21" s="123">
        <f t="shared" si="12"/>
        <v>1485.84</v>
      </c>
      <c r="Y21" s="90">
        <f t="shared" si="13"/>
        <v>4.6658502119642016E-2</v>
      </c>
    </row>
    <row r="22" spans="2:25" x14ac:dyDescent="0.25">
      <c r="B22" s="22" t="str">
        <f>+'County Data'!$B$13</f>
        <v>Clatsop</v>
      </c>
      <c r="C22" s="17">
        <f>VLOOKUP($B22,'County Data'!$B$10:$P$46,2,FALSE)</f>
        <v>38820</v>
      </c>
      <c r="D22" s="55" t="str">
        <f>VLOOKUP($B22,'County Data'!$B$9:$P$46,12,FALSE)</f>
        <v>Y</v>
      </c>
      <c r="E22" s="121">
        <f>IF(D22="Y",$C$3*Input!$C$8*E$4,0)</f>
        <v>450</v>
      </c>
      <c r="F22" s="17">
        <f t="shared" si="0"/>
        <v>38820</v>
      </c>
      <c r="G22" s="121">
        <f t="shared" si="1"/>
        <v>1262.72</v>
      </c>
      <c r="H22" s="122">
        <f t="shared" si="2"/>
        <v>1712.72</v>
      </c>
      <c r="I22" s="55">
        <f>VLOOKUP($B22,'County Data'!$B$9:$P$46,13,FALSE)</f>
        <v>0</v>
      </c>
      <c r="J22" s="91">
        <f>IF(I22="Y",$C$3*Input!$C$8*J$4,0)</f>
        <v>0</v>
      </c>
      <c r="K22" s="17">
        <f t="shared" si="3"/>
        <v>0</v>
      </c>
      <c r="L22" s="121">
        <f t="shared" si="4"/>
        <v>0</v>
      </c>
      <c r="M22" s="122">
        <f t="shared" si="5"/>
        <v>0</v>
      </c>
      <c r="N22" s="55">
        <f>VLOOKUP($B22,'County Data'!$B$9:$P$46,14,FALSE)</f>
        <v>0</v>
      </c>
      <c r="O22" s="91">
        <f>IF(N22="Y",$C$3*Input!$C$8*O$4,0)</f>
        <v>0</v>
      </c>
      <c r="P22" s="17">
        <f t="shared" si="6"/>
        <v>0</v>
      </c>
      <c r="Q22" s="121">
        <f t="shared" si="7"/>
        <v>0</v>
      </c>
      <c r="R22" s="122">
        <f t="shared" si="8"/>
        <v>0</v>
      </c>
      <c r="S22" s="55">
        <f>VLOOKUP($B22,'County Data'!$B$9:$P$46,15,FALSE)</f>
        <v>0</v>
      </c>
      <c r="T22" s="91">
        <f>IF(S22="Y",$C$3*Input!$C$8*T$4,0)</f>
        <v>0</v>
      </c>
      <c r="U22" s="17">
        <f t="shared" si="9"/>
        <v>0</v>
      </c>
      <c r="V22" s="121">
        <f t="shared" si="10"/>
        <v>0</v>
      </c>
      <c r="W22" s="122">
        <f t="shared" si="11"/>
        <v>0</v>
      </c>
      <c r="X22" s="123">
        <f t="shared" si="12"/>
        <v>1712.72</v>
      </c>
      <c r="Y22" s="90">
        <f t="shared" si="13"/>
        <v>4.4119526017516744E-2</v>
      </c>
    </row>
    <row r="23" spans="2:25" x14ac:dyDescent="0.25">
      <c r="B23" s="22" t="str">
        <f>+'County Data'!$B$30</f>
        <v>Lincoln</v>
      </c>
      <c r="C23" s="17">
        <f>VLOOKUP($B23,'County Data'!$B$10:$P$46,2,FALSE)</f>
        <v>47960</v>
      </c>
      <c r="D23" s="55" t="str">
        <f>VLOOKUP($B23,'County Data'!$B$9:$P$46,12,FALSE)</f>
        <v>Y</v>
      </c>
      <c r="E23" s="121">
        <f>IF(D23="Y",$C$3*Input!$C$8*E$4,0)</f>
        <v>450</v>
      </c>
      <c r="F23" s="17">
        <f t="shared" si="0"/>
        <v>47960</v>
      </c>
      <c r="G23" s="121">
        <f t="shared" si="1"/>
        <v>1560.02</v>
      </c>
      <c r="H23" s="122">
        <f t="shared" si="2"/>
        <v>2010.02</v>
      </c>
      <c r="I23" s="55">
        <f>VLOOKUP($B23,'County Data'!$B$9:$P$46,13,FALSE)</f>
        <v>0</v>
      </c>
      <c r="J23" s="91">
        <f>IF(I23="Y",$C$3*Input!$C$8*J$4,0)</f>
        <v>0</v>
      </c>
      <c r="K23" s="17">
        <f t="shared" si="3"/>
        <v>0</v>
      </c>
      <c r="L23" s="121">
        <f t="shared" si="4"/>
        <v>0</v>
      </c>
      <c r="M23" s="122">
        <f t="shared" si="5"/>
        <v>0</v>
      </c>
      <c r="N23" s="55">
        <f>VLOOKUP($B23,'County Data'!$B$9:$P$46,14,FALSE)</f>
        <v>0</v>
      </c>
      <c r="O23" s="91">
        <f>IF(N23="Y",$C$3*Input!$C$8*O$4,0)</f>
        <v>0</v>
      </c>
      <c r="P23" s="17">
        <f t="shared" si="6"/>
        <v>0</v>
      </c>
      <c r="Q23" s="121">
        <f t="shared" si="7"/>
        <v>0</v>
      </c>
      <c r="R23" s="122">
        <f t="shared" si="8"/>
        <v>0</v>
      </c>
      <c r="S23" s="55">
        <f>VLOOKUP($B23,'County Data'!$B$9:$P$46,15,FALSE)</f>
        <v>0</v>
      </c>
      <c r="T23" s="91">
        <f>IF(S23="Y",$C$3*Input!$C$8*T$4,0)</f>
        <v>0</v>
      </c>
      <c r="U23" s="17">
        <f t="shared" si="9"/>
        <v>0</v>
      </c>
      <c r="V23" s="121">
        <f t="shared" si="10"/>
        <v>0</v>
      </c>
      <c r="W23" s="122">
        <f t="shared" si="11"/>
        <v>0</v>
      </c>
      <c r="X23" s="123">
        <f t="shared" si="12"/>
        <v>2010.02</v>
      </c>
      <c r="Y23" s="90">
        <f t="shared" si="13"/>
        <v>4.1910341951626358E-2</v>
      </c>
    </row>
    <row r="24" spans="2:25" x14ac:dyDescent="0.25">
      <c r="B24" s="22" t="str">
        <f>+'County Data'!$B$14</f>
        <v>Columbia</v>
      </c>
      <c r="C24" s="17">
        <f>VLOOKUP($B24,'County Data'!$B$10:$P$46,2,FALSE)</f>
        <v>51345</v>
      </c>
      <c r="D24" s="55" t="str">
        <f>VLOOKUP($B24,'County Data'!$B$9:$P$46,12,FALSE)</f>
        <v>Y</v>
      </c>
      <c r="E24" s="121">
        <f>IF(D24="Y",$C$3*Input!$C$8*E$4,0)</f>
        <v>450</v>
      </c>
      <c r="F24" s="17">
        <f t="shared" si="0"/>
        <v>51345</v>
      </c>
      <c r="G24" s="121">
        <f t="shared" si="1"/>
        <v>1670.13</v>
      </c>
      <c r="H24" s="122">
        <f t="shared" si="2"/>
        <v>2120.13</v>
      </c>
      <c r="I24" s="55">
        <f>VLOOKUP($B24,'County Data'!$B$9:$P$46,13,FALSE)</f>
        <v>0</v>
      </c>
      <c r="J24" s="91">
        <f>IF(I24="Y",$C$3*Input!$C$8*J$4,0)</f>
        <v>0</v>
      </c>
      <c r="K24" s="17">
        <f t="shared" si="3"/>
        <v>0</v>
      </c>
      <c r="L24" s="121">
        <f t="shared" si="4"/>
        <v>0</v>
      </c>
      <c r="M24" s="122">
        <f t="shared" si="5"/>
        <v>0</v>
      </c>
      <c r="N24" s="55">
        <f>VLOOKUP($B24,'County Data'!$B$9:$P$46,14,FALSE)</f>
        <v>0</v>
      </c>
      <c r="O24" s="91">
        <f>IF(N24="Y",$C$3*Input!$C$8*O$4,0)</f>
        <v>0</v>
      </c>
      <c r="P24" s="17">
        <f t="shared" si="6"/>
        <v>0</v>
      </c>
      <c r="Q24" s="121">
        <f t="shared" si="7"/>
        <v>0</v>
      </c>
      <c r="R24" s="122">
        <f t="shared" si="8"/>
        <v>0</v>
      </c>
      <c r="S24" s="55">
        <f>VLOOKUP($B24,'County Data'!$B$9:$P$46,15,FALSE)</f>
        <v>0</v>
      </c>
      <c r="T24" s="91">
        <f>IF(S24="Y",$C$3*Input!$C$8*T$4,0)</f>
        <v>0</v>
      </c>
      <c r="U24" s="17">
        <f t="shared" si="9"/>
        <v>0</v>
      </c>
      <c r="V24" s="121">
        <f t="shared" si="10"/>
        <v>0</v>
      </c>
      <c r="W24" s="122">
        <f t="shared" si="11"/>
        <v>0</v>
      </c>
      <c r="X24" s="123">
        <f t="shared" si="12"/>
        <v>2120.13</v>
      </c>
      <c r="Y24" s="90">
        <f t="shared" si="13"/>
        <v>4.1291849255039439E-2</v>
      </c>
    </row>
    <row r="25" spans="2:25" x14ac:dyDescent="0.25">
      <c r="B25" s="22" t="str">
        <f>+'County Data'!$B$15</f>
        <v>Coos</v>
      </c>
      <c r="C25" s="17">
        <f>VLOOKUP($B25,'County Data'!$B$10:$P$46,2,FALSE)</f>
        <v>63310</v>
      </c>
      <c r="D25" s="55" t="str">
        <f>VLOOKUP($B25,'County Data'!$B$9:$P$46,12,FALSE)</f>
        <v>Y</v>
      </c>
      <c r="E25" s="121">
        <f>IF(D25="Y",$C$3*Input!$C$8*E$4,0)</f>
        <v>450</v>
      </c>
      <c r="F25" s="17">
        <f t="shared" si="0"/>
        <v>63310</v>
      </c>
      <c r="G25" s="121">
        <f t="shared" si="1"/>
        <v>2059.3200000000002</v>
      </c>
      <c r="H25" s="122">
        <f t="shared" si="2"/>
        <v>2509.3200000000002</v>
      </c>
      <c r="I25" s="55">
        <f>VLOOKUP($B25,'County Data'!$B$9:$P$46,13,FALSE)</f>
        <v>0</v>
      </c>
      <c r="J25" s="91">
        <f>IF(I25="Y",$C$3*Input!$C$8*J$4,0)</f>
        <v>0</v>
      </c>
      <c r="K25" s="17">
        <f t="shared" si="3"/>
        <v>0</v>
      </c>
      <c r="L25" s="121">
        <f t="shared" si="4"/>
        <v>0</v>
      </c>
      <c r="M25" s="122">
        <f t="shared" si="5"/>
        <v>0</v>
      </c>
      <c r="N25" s="55">
        <f>VLOOKUP($B25,'County Data'!$B$9:$P$46,14,FALSE)</f>
        <v>0</v>
      </c>
      <c r="O25" s="91">
        <f>IF(N25="Y",$C$3*Input!$C$8*O$4,0)</f>
        <v>0</v>
      </c>
      <c r="P25" s="17">
        <f t="shared" si="6"/>
        <v>0</v>
      </c>
      <c r="Q25" s="121">
        <f t="shared" si="7"/>
        <v>0</v>
      </c>
      <c r="R25" s="122">
        <f t="shared" si="8"/>
        <v>0</v>
      </c>
      <c r="S25" s="55">
        <f>VLOOKUP($B25,'County Data'!$B$9:$P$46,15,FALSE)</f>
        <v>0</v>
      </c>
      <c r="T25" s="91">
        <f>IF(S25="Y",$C$3*Input!$C$8*T$4,0)</f>
        <v>0</v>
      </c>
      <c r="U25" s="17">
        <f t="shared" si="9"/>
        <v>0</v>
      </c>
      <c r="V25" s="121">
        <f t="shared" si="10"/>
        <v>0</v>
      </c>
      <c r="W25" s="122">
        <f t="shared" si="11"/>
        <v>0</v>
      </c>
      <c r="X25" s="123">
        <f t="shared" si="12"/>
        <v>2509.3200000000002</v>
      </c>
      <c r="Y25" s="90">
        <f t="shared" si="13"/>
        <v>3.9635444637498025E-2</v>
      </c>
    </row>
    <row r="26" spans="2:25" x14ac:dyDescent="0.25">
      <c r="B26" s="22" t="str">
        <f>+'County Data'!$B$27</f>
        <v>Klamath</v>
      </c>
      <c r="C26" s="17">
        <f>VLOOKUP($B26,'County Data'!$B$10:$P$46,2,FALSE)</f>
        <v>67690</v>
      </c>
      <c r="D26" s="55" t="str">
        <f>VLOOKUP($B26,'County Data'!$B$9:$P$46,12,FALSE)</f>
        <v>Y</v>
      </c>
      <c r="E26" s="121">
        <f>IF(D26="Y",$C$3*Input!$C$8*E$4,0)</f>
        <v>450</v>
      </c>
      <c r="F26" s="17">
        <f t="shared" si="0"/>
        <v>67690</v>
      </c>
      <c r="G26" s="121">
        <f t="shared" si="1"/>
        <v>2201.79</v>
      </c>
      <c r="H26" s="122">
        <f t="shared" si="2"/>
        <v>2651.79</v>
      </c>
      <c r="I26" s="55">
        <f>VLOOKUP($B26,'County Data'!$B$9:$P$46,13,FALSE)</f>
        <v>0</v>
      </c>
      <c r="J26" s="91">
        <f>IF(I26="Y",$C$3*Input!$C$8*J$4,0)</f>
        <v>0</v>
      </c>
      <c r="K26" s="17">
        <f t="shared" si="3"/>
        <v>0</v>
      </c>
      <c r="L26" s="121">
        <f t="shared" si="4"/>
        <v>0</v>
      </c>
      <c r="M26" s="122">
        <f t="shared" si="5"/>
        <v>0</v>
      </c>
      <c r="N26" s="55">
        <f>VLOOKUP($B26,'County Data'!$B$9:$P$46,14,FALSE)</f>
        <v>0</v>
      </c>
      <c r="O26" s="91">
        <f>IF(N26="Y",$C$3*Input!$C$8*O$4,0)</f>
        <v>0</v>
      </c>
      <c r="P26" s="17">
        <f t="shared" si="6"/>
        <v>0</v>
      </c>
      <c r="Q26" s="121">
        <f t="shared" si="7"/>
        <v>0</v>
      </c>
      <c r="R26" s="122">
        <f t="shared" si="8"/>
        <v>0</v>
      </c>
      <c r="S26" s="55">
        <f>VLOOKUP($B26,'County Data'!$B$9:$P$46,15,FALSE)</f>
        <v>0</v>
      </c>
      <c r="T26" s="91">
        <f>IF(S26="Y",$C$3*Input!$C$8*T$4,0)</f>
        <v>0</v>
      </c>
      <c r="U26" s="17">
        <f t="shared" si="9"/>
        <v>0</v>
      </c>
      <c r="V26" s="121">
        <f t="shared" si="10"/>
        <v>0</v>
      </c>
      <c r="W26" s="122">
        <f t="shared" si="11"/>
        <v>0</v>
      </c>
      <c r="X26" s="123">
        <f t="shared" si="12"/>
        <v>2651.79</v>
      </c>
      <c r="Y26" s="90">
        <f t="shared" si="13"/>
        <v>3.9175505983158519E-2</v>
      </c>
    </row>
    <row r="27" spans="2:25" x14ac:dyDescent="0.25">
      <c r="B27" s="22" t="str">
        <f>+'County Data'!$B$37</f>
        <v>Polk</v>
      </c>
      <c r="C27" s="17">
        <f>VLOOKUP($B27,'County Data'!$B$10:$P$46,2,FALSE)</f>
        <v>81000</v>
      </c>
      <c r="D27" s="55" t="str">
        <f>VLOOKUP($B27,'County Data'!$B$9:$P$46,12,FALSE)</f>
        <v>Y</v>
      </c>
      <c r="E27" s="121">
        <f>IF(D27="Y",$C$3*Input!$C$8*E$4,0)</f>
        <v>450</v>
      </c>
      <c r="F27" s="17">
        <f t="shared" si="0"/>
        <v>81000</v>
      </c>
      <c r="G27" s="121">
        <f t="shared" si="1"/>
        <v>2634.73</v>
      </c>
      <c r="H27" s="122">
        <f t="shared" si="2"/>
        <v>3084.73</v>
      </c>
      <c r="I27" s="55">
        <f>VLOOKUP($B27,'County Data'!$B$9:$P$46,13,FALSE)</f>
        <v>0</v>
      </c>
      <c r="J27" s="91">
        <f>IF(I27="Y",$C$3*Input!$C$8*J$4,0)</f>
        <v>0</v>
      </c>
      <c r="K27" s="17">
        <f t="shared" si="3"/>
        <v>0</v>
      </c>
      <c r="L27" s="121">
        <f t="shared" si="4"/>
        <v>0</v>
      </c>
      <c r="M27" s="122">
        <f t="shared" si="5"/>
        <v>0</v>
      </c>
      <c r="N27" s="55">
        <f>VLOOKUP($B27,'County Data'!$B$9:$P$46,14,FALSE)</f>
        <v>0</v>
      </c>
      <c r="O27" s="91">
        <f>IF(N27="Y",$C$3*Input!$C$8*O$4,0)</f>
        <v>0</v>
      </c>
      <c r="P27" s="17">
        <f t="shared" si="6"/>
        <v>0</v>
      </c>
      <c r="Q27" s="121">
        <f t="shared" si="7"/>
        <v>0</v>
      </c>
      <c r="R27" s="122">
        <f t="shared" si="8"/>
        <v>0</v>
      </c>
      <c r="S27" s="55">
        <f>VLOOKUP($B27,'County Data'!$B$9:$P$46,15,FALSE)</f>
        <v>0</v>
      </c>
      <c r="T27" s="91">
        <f>IF(S27="Y",$C$3*Input!$C$8*T$4,0)</f>
        <v>0</v>
      </c>
      <c r="U27" s="17">
        <f t="shared" si="9"/>
        <v>0</v>
      </c>
      <c r="V27" s="121">
        <f t="shared" si="10"/>
        <v>0</v>
      </c>
      <c r="W27" s="122">
        <f t="shared" si="11"/>
        <v>0</v>
      </c>
      <c r="X27" s="123">
        <f t="shared" si="12"/>
        <v>3084.73</v>
      </c>
      <c r="Y27" s="90">
        <f t="shared" si="13"/>
        <v>3.8083086419753089E-2</v>
      </c>
    </row>
    <row r="28" spans="2:25" x14ac:dyDescent="0.25">
      <c r="B28" s="22" t="str">
        <f>+'County Data'!$B$40</f>
        <v>Umatilla</v>
      </c>
      <c r="C28" s="17">
        <f>VLOOKUP($B28,'County Data'!$B$10:$P$46,2,FALSE)</f>
        <v>80500</v>
      </c>
      <c r="D28" s="55" t="str">
        <f>VLOOKUP($B28,'County Data'!$B$9:$P$46,12,FALSE)</f>
        <v>Y</v>
      </c>
      <c r="E28" s="121">
        <f>IF(D28="Y",$C$3*Input!$C$8*E$4,0)</f>
        <v>450</v>
      </c>
      <c r="F28" s="17">
        <f t="shared" si="0"/>
        <v>80500</v>
      </c>
      <c r="G28" s="121">
        <f t="shared" si="1"/>
        <v>2618.4699999999998</v>
      </c>
      <c r="H28" s="122">
        <f t="shared" si="2"/>
        <v>3068.47</v>
      </c>
      <c r="I28" s="55">
        <f>VLOOKUP($B28,'County Data'!$B$9:$P$46,13,FALSE)</f>
        <v>0</v>
      </c>
      <c r="J28" s="91">
        <f>IF(I28="Y",$C$3*Input!$C$8*J$4,0)</f>
        <v>0</v>
      </c>
      <c r="K28" s="17">
        <f t="shared" si="3"/>
        <v>0</v>
      </c>
      <c r="L28" s="121">
        <f t="shared" si="4"/>
        <v>0</v>
      </c>
      <c r="M28" s="122">
        <f t="shared" si="5"/>
        <v>0</v>
      </c>
      <c r="N28" s="55">
        <f>VLOOKUP($B28,'County Data'!$B$9:$P$46,14,FALSE)</f>
        <v>0</v>
      </c>
      <c r="O28" s="91">
        <f>IF(N28="Y",$C$3*Input!$C$8*O$4,0)</f>
        <v>0</v>
      </c>
      <c r="P28" s="17">
        <f t="shared" si="6"/>
        <v>0</v>
      </c>
      <c r="Q28" s="121">
        <f t="shared" si="7"/>
        <v>0</v>
      </c>
      <c r="R28" s="122">
        <f t="shared" si="8"/>
        <v>0</v>
      </c>
      <c r="S28" s="55">
        <f>VLOOKUP($B28,'County Data'!$B$9:$P$46,15,FALSE)</f>
        <v>0</v>
      </c>
      <c r="T28" s="91">
        <f>IF(S28="Y",$C$3*Input!$C$8*T$4,0)</f>
        <v>0</v>
      </c>
      <c r="U28" s="17">
        <f t="shared" si="9"/>
        <v>0</v>
      </c>
      <c r="V28" s="121">
        <f t="shared" si="10"/>
        <v>0</v>
      </c>
      <c r="W28" s="122">
        <f t="shared" si="11"/>
        <v>0</v>
      </c>
      <c r="X28" s="123">
        <f t="shared" si="12"/>
        <v>3068.47</v>
      </c>
      <c r="Y28" s="90">
        <f t="shared" si="13"/>
        <v>3.8117639751552794E-2</v>
      </c>
    </row>
    <row r="29" spans="2:25" x14ac:dyDescent="0.25">
      <c r="B29" s="22" t="str">
        <f>+'County Data'!$B$26</f>
        <v>Josephine</v>
      </c>
      <c r="C29" s="17">
        <f>VLOOKUP($B29,'County Data'!$B$10:$P$46,2,FALSE)</f>
        <v>85650</v>
      </c>
      <c r="D29" s="55" t="str">
        <f>VLOOKUP($B29,'County Data'!$B$9:$P$46,12,FALSE)</f>
        <v>Y</v>
      </c>
      <c r="E29" s="121">
        <f>IF(D29="Y",$C$3*Input!$C$8*E$4,0)</f>
        <v>450</v>
      </c>
      <c r="F29" s="17">
        <f t="shared" si="0"/>
        <v>85650</v>
      </c>
      <c r="G29" s="121">
        <f t="shared" si="1"/>
        <v>2785.99</v>
      </c>
      <c r="H29" s="122">
        <f t="shared" si="2"/>
        <v>3235.99</v>
      </c>
      <c r="I29" s="55">
        <f>VLOOKUP($B29,'County Data'!$B$9:$P$46,13,FALSE)</f>
        <v>0</v>
      </c>
      <c r="J29" s="91">
        <f>IF(I29="Y",$C$3*Input!$C$8*J$4,0)</f>
        <v>0</v>
      </c>
      <c r="K29" s="17">
        <f t="shared" si="3"/>
        <v>0</v>
      </c>
      <c r="L29" s="121">
        <f t="shared" si="4"/>
        <v>0</v>
      </c>
      <c r="M29" s="122">
        <f t="shared" si="5"/>
        <v>0</v>
      </c>
      <c r="N29" s="55">
        <f>VLOOKUP($B29,'County Data'!$B$9:$P$46,14,FALSE)</f>
        <v>0</v>
      </c>
      <c r="O29" s="91">
        <f>IF(N29="Y",$C$3*Input!$C$8*O$4,0)</f>
        <v>0</v>
      </c>
      <c r="P29" s="17">
        <f t="shared" si="6"/>
        <v>0</v>
      </c>
      <c r="Q29" s="121">
        <f t="shared" si="7"/>
        <v>0</v>
      </c>
      <c r="R29" s="122">
        <f t="shared" si="8"/>
        <v>0</v>
      </c>
      <c r="S29" s="55">
        <f>VLOOKUP($B29,'County Data'!$B$9:$P$46,15,FALSE)</f>
        <v>0</v>
      </c>
      <c r="T29" s="91">
        <f>IF(S29="Y",$C$3*Input!$C$8*T$4,0)</f>
        <v>0</v>
      </c>
      <c r="U29" s="17">
        <f t="shared" si="9"/>
        <v>0</v>
      </c>
      <c r="V29" s="121">
        <f t="shared" si="10"/>
        <v>0</v>
      </c>
      <c r="W29" s="122">
        <f t="shared" si="11"/>
        <v>0</v>
      </c>
      <c r="X29" s="123">
        <f t="shared" si="12"/>
        <v>3235.99</v>
      </c>
      <c r="Y29" s="90">
        <f t="shared" si="13"/>
        <v>3.778155283129013E-2</v>
      </c>
    </row>
    <row r="30" spans="2:25" x14ac:dyDescent="0.25">
      <c r="B30" s="22" t="str">
        <f>+'County Data'!$B$11</f>
        <v>Benton</v>
      </c>
      <c r="C30" s="17">
        <f>VLOOKUP($B30,'County Data'!$B$10:$P$46,2,FALSE)</f>
        <v>92575</v>
      </c>
      <c r="D30" s="55" t="str">
        <f>VLOOKUP($B30,'County Data'!$B$9:$P$46,12,FALSE)</f>
        <v>Y</v>
      </c>
      <c r="E30" s="121">
        <f>IF(D30="Y",$C$3*Input!$C$8*E$4,0)</f>
        <v>450</v>
      </c>
      <c r="F30" s="17">
        <f t="shared" si="0"/>
        <v>92575</v>
      </c>
      <c r="G30" s="121">
        <f t="shared" si="1"/>
        <v>3011.24</v>
      </c>
      <c r="H30" s="122">
        <f t="shared" si="2"/>
        <v>3461.24</v>
      </c>
      <c r="I30" s="55">
        <f>VLOOKUP($B30,'County Data'!$B$9:$P$46,13,FALSE)</f>
        <v>0</v>
      </c>
      <c r="J30" s="91">
        <f>IF(I30="Y",$C$3*Input!$C$8*J$4,0)</f>
        <v>0</v>
      </c>
      <c r="K30" s="17">
        <f t="shared" si="3"/>
        <v>0</v>
      </c>
      <c r="L30" s="121">
        <f t="shared" si="4"/>
        <v>0</v>
      </c>
      <c r="M30" s="122">
        <f t="shared" si="5"/>
        <v>0</v>
      </c>
      <c r="N30" s="55">
        <f>VLOOKUP($B30,'County Data'!$B$9:$P$46,14,FALSE)</f>
        <v>0</v>
      </c>
      <c r="O30" s="91">
        <f>IF(N30="Y",$C$3*Input!$C$8*O$4,0)</f>
        <v>0</v>
      </c>
      <c r="P30" s="17">
        <f t="shared" si="6"/>
        <v>0</v>
      </c>
      <c r="Q30" s="121">
        <f t="shared" si="7"/>
        <v>0</v>
      </c>
      <c r="R30" s="122">
        <f t="shared" si="8"/>
        <v>0</v>
      </c>
      <c r="S30" s="55">
        <f>VLOOKUP($B30,'County Data'!$B$9:$P$46,15,FALSE)</f>
        <v>0</v>
      </c>
      <c r="T30" s="91">
        <f>IF(S30="Y",$C$3*Input!$C$8*T$4,0)</f>
        <v>0</v>
      </c>
      <c r="U30" s="17">
        <f t="shared" si="9"/>
        <v>0</v>
      </c>
      <c r="V30" s="121">
        <f t="shared" si="10"/>
        <v>0</v>
      </c>
      <c r="W30" s="122">
        <f t="shared" si="11"/>
        <v>0</v>
      </c>
      <c r="X30" s="123">
        <f t="shared" si="12"/>
        <v>3461.24</v>
      </c>
      <c r="Y30" s="90">
        <f t="shared" si="13"/>
        <v>3.7388495814204697E-2</v>
      </c>
    </row>
    <row r="31" spans="2:25" x14ac:dyDescent="0.25">
      <c r="B31" s="22" t="str">
        <f>+'County Data'!$B$46</f>
        <v>Yamhill</v>
      </c>
      <c r="C31" s="17">
        <f>VLOOKUP($B31,'County Data'!$B$10:$P$46,2,FALSE)</f>
        <v>106300</v>
      </c>
      <c r="D31" s="55" t="str">
        <f>VLOOKUP($B31,'County Data'!$B$9:$P$46,12,FALSE)</f>
        <v>Y</v>
      </c>
      <c r="E31" s="121">
        <f>IF(D31="Y",$C$3*Input!$C$8*E$4,0)</f>
        <v>450</v>
      </c>
      <c r="F31" s="17">
        <f t="shared" si="0"/>
        <v>106300</v>
      </c>
      <c r="G31" s="121">
        <f t="shared" si="1"/>
        <v>3457.68</v>
      </c>
      <c r="H31" s="122">
        <f t="shared" si="2"/>
        <v>3907.68</v>
      </c>
      <c r="I31" s="55">
        <f>VLOOKUP($B31,'County Data'!$B$9:$P$46,13,FALSE)</f>
        <v>0</v>
      </c>
      <c r="J31" s="91">
        <f>IF(I31="Y",$C$3*Input!$C$8*J$4,0)</f>
        <v>0</v>
      </c>
      <c r="K31" s="17">
        <f t="shared" si="3"/>
        <v>0</v>
      </c>
      <c r="L31" s="121">
        <f t="shared" si="4"/>
        <v>0</v>
      </c>
      <c r="M31" s="122">
        <f t="shared" si="5"/>
        <v>0</v>
      </c>
      <c r="N31" s="55">
        <f>VLOOKUP($B31,'County Data'!$B$9:$P$46,14,FALSE)</f>
        <v>0</v>
      </c>
      <c r="O31" s="91">
        <f>IF(N31="Y",$C$3*Input!$C$8*O$4,0)</f>
        <v>0</v>
      </c>
      <c r="P31" s="17">
        <f t="shared" si="6"/>
        <v>0</v>
      </c>
      <c r="Q31" s="121">
        <f t="shared" si="7"/>
        <v>0</v>
      </c>
      <c r="R31" s="122">
        <f t="shared" si="8"/>
        <v>0</v>
      </c>
      <c r="S31" s="55">
        <f>VLOOKUP($B31,'County Data'!$B$9:$P$46,15,FALSE)</f>
        <v>0</v>
      </c>
      <c r="T31" s="91">
        <f>IF(S31="Y",$C$3*Input!$C$8*T$4,0)</f>
        <v>0</v>
      </c>
      <c r="U31" s="17">
        <f t="shared" si="9"/>
        <v>0</v>
      </c>
      <c r="V31" s="121">
        <f t="shared" si="10"/>
        <v>0</v>
      </c>
      <c r="W31" s="122">
        <f t="shared" si="11"/>
        <v>0</v>
      </c>
      <c r="X31" s="123">
        <f t="shared" si="12"/>
        <v>3907.68</v>
      </c>
      <c r="Y31" s="90">
        <f t="shared" si="13"/>
        <v>3.6760865475070556E-2</v>
      </c>
    </row>
    <row r="32" spans="2:25" x14ac:dyDescent="0.25">
      <c r="B32" s="22" t="str">
        <f>+'County Data'!$B$19</f>
        <v>Douglas</v>
      </c>
      <c r="C32" s="17">
        <f>VLOOKUP($B32,'County Data'!$B$10:$P$46,2,FALSE)</f>
        <v>111180</v>
      </c>
      <c r="D32" s="55" t="str">
        <f>VLOOKUP($B32,'County Data'!$B$9:$P$46,12,FALSE)</f>
        <v>Y</v>
      </c>
      <c r="E32" s="121">
        <f>IF(D32="Y",$C$3*Input!$C$8*E$4,0)</f>
        <v>450</v>
      </c>
      <c r="F32" s="17">
        <f t="shared" si="0"/>
        <v>111180</v>
      </c>
      <c r="G32" s="121">
        <f t="shared" si="1"/>
        <v>3616.42</v>
      </c>
      <c r="H32" s="122">
        <f t="shared" si="2"/>
        <v>4066.42</v>
      </c>
      <c r="I32" s="55">
        <f>VLOOKUP($B32,'County Data'!$B$9:$P$46,13,FALSE)</f>
        <v>0</v>
      </c>
      <c r="J32" s="91">
        <f>IF(I32="Y",$C$3*Input!$C$8*J$4,0)</f>
        <v>0</v>
      </c>
      <c r="K32" s="17">
        <f t="shared" si="3"/>
        <v>0</v>
      </c>
      <c r="L32" s="121">
        <f t="shared" si="4"/>
        <v>0</v>
      </c>
      <c r="M32" s="122">
        <f t="shared" si="5"/>
        <v>0</v>
      </c>
      <c r="N32" s="55">
        <f>VLOOKUP($B32,'County Data'!$B$9:$P$46,14,FALSE)</f>
        <v>0</v>
      </c>
      <c r="O32" s="91">
        <f>IF(N32="Y",$C$3*Input!$C$8*O$4,0)</f>
        <v>0</v>
      </c>
      <c r="P32" s="17">
        <f t="shared" si="6"/>
        <v>0</v>
      </c>
      <c r="Q32" s="121">
        <f t="shared" si="7"/>
        <v>0</v>
      </c>
      <c r="R32" s="122">
        <f t="shared" si="8"/>
        <v>0</v>
      </c>
      <c r="S32" s="55">
        <f>VLOOKUP($B32,'County Data'!$B$9:$P$46,15,FALSE)</f>
        <v>0</v>
      </c>
      <c r="T32" s="91">
        <f>IF(S32="Y",$C$3*Input!$C$8*T$4,0)</f>
        <v>0</v>
      </c>
      <c r="U32" s="17">
        <f t="shared" si="9"/>
        <v>0</v>
      </c>
      <c r="V32" s="121">
        <f t="shared" si="10"/>
        <v>0</v>
      </c>
      <c r="W32" s="122">
        <f t="shared" si="11"/>
        <v>0</v>
      </c>
      <c r="X32" s="123">
        <f t="shared" si="12"/>
        <v>4066.42</v>
      </c>
      <c r="Y32" s="90">
        <f t="shared" si="13"/>
        <v>3.6575103435869762E-2</v>
      </c>
    </row>
    <row r="33" spans="2:25" x14ac:dyDescent="0.25">
      <c r="B33" s="22" t="str">
        <f>+'County Data'!$B$31</f>
        <v>Linn</v>
      </c>
      <c r="C33" s="17">
        <f>VLOOKUP($B33,'County Data'!$B$10:$P$46,2,FALSE)</f>
        <v>124010</v>
      </c>
      <c r="D33" s="55" t="str">
        <f>VLOOKUP($B33,'County Data'!$B$9:$P$46,12,FALSE)</f>
        <v>Y</v>
      </c>
      <c r="E33" s="121">
        <f>IF(D33="Y",$C$3*Input!$C$8*E$4,0)</f>
        <v>450</v>
      </c>
      <c r="F33" s="17">
        <f t="shared" si="0"/>
        <v>124010</v>
      </c>
      <c r="G33" s="121">
        <f t="shared" si="1"/>
        <v>4033.75</v>
      </c>
      <c r="H33" s="122">
        <f t="shared" si="2"/>
        <v>4483.75</v>
      </c>
      <c r="I33" s="55">
        <f>VLOOKUP($B33,'County Data'!$B$9:$P$46,13,FALSE)</f>
        <v>0</v>
      </c>
      <c r="J33" s="91">
        <f>IF(I33="Y",$C$3*Input!$C$8*J$4,0)</f>
        <v>0</v>
      </c>
      <c r="K33" s="17">
        <f t="shared" si="3"/>
        <v>0</v>
      </c>
      <c r="L33" s="121">
        <f t="shared" si="4"/>
        <v>0</v>
      </c>
      <c r="M33" s="122">
        <f t="shared" si="5"/>
        <v>0</v>
      </c>
      <c r="N33" s="55">
        <f>VLOOKUP($B33,'County Data'!$B$9:$P$46,14,FALSE)</f>
        <v>0</v>
      </c>
      <c r="O33" s="91">
        <f>IF(N33="Y",$C$3*Input!$C$8*O$4,0)</f>
        <v>0</v>
      </c>
      <c r="P33" s="17">
        <f t="shared" si="6"/>
        <v>0</v>
      </c>
      <c r="Q33" s="121">
        <f t="shared" si="7"/>
        <v>0</v>
      </c>
      <c r="R33" s="122">
        <f t="shared" si="8"/>
        <v>0</v>
      </c>
      <c r="S33" s="55">
        <f>VLOOKUP($B33,'County Data'!$B$9:$P$46,15,FALSE)</f>
        <v>0</v>
      </c>
      <c r="T33" s="91">
        <f>IF(S33="Y",$C$3*Input!$C$8*T$4,0)</f>
        <v>0</v>
      </c>
      <c r="U33" s="17">
        <f t="shared" si="9"/>
        <v>0</v>
      </c>
      <c r="V33" s="121">
        <f t="shared" si="10"/>
        <v>0</v>
      </c>
      <c r="W33" s="122">
        <f t="shared" si="11"/>
        <v>0</v>
      </c>
      <c r="X33" s="123">
        <f t="shared" si="12"/>
        <v>4483.75</v>
      </c>
      <c r="Y33" s="90">
        <f t="shared" si="13"/>
        <v>3.6156358358196923E-2</v>
      </c>
    </row>
    <row r="34" spans="2:25" x14ac:dyDescent="0.25">
      <c r="B34" s="22" t="str">
        <f>+'County Data'!$B$18</f>
        <v>Deschutes</v>
      </c>
      <c r="C34" s="17">
        <f>VLOOKUP($B34,'County Data'!$B$10:$P$46,2,FALSE)</f>
        <v>182930</v>
      </c>
      <c r="D34" s="55" t="str">
        <f>VLOOKUP($B34,'County Data'!$B$9:$P$46,12,FALSE)</f>
        <v>Y</v>
      </c>
      <c r="E34" s="121">
        <f>IF(D34="Y",$C$3*Input!$C$8*E$4,0)</f>
        <v>450</v>
      </c>
      <c r="F34" s="17">
        <f t="shared" si="0"/>
        <v>182930</v>
      </c>
      <c r="G34" s="121">
        <f t="shared" si="1"/>
        <v>5950.27</v>
      </c>
      <c r="H34" s="122">
        <f t="shared" si="2"/>
        <v>6400.27</v>
      </c>
      <c r="I34" s="55">
        <f>VLOOKUP($B34,'County Data'!$B$9:$P$46,13,FALSE)</f>
        <v>0</v>
      </c>
      <c r="J34" s="91">
        <f>IF(I34="Y",$C$3*Input!$C$8*J$4,0)</f>
        <v>0</v>
      </c>
      <c r="K34" s="17">
        <f t="shared" si="3"/>
        <v>0</v>
      </c>
      <c r="L34" s="121">
        <f t="shared" si="4"/>
        <v>0</v>
      </c>
      <c r="M34" s="122">
        <f t="shared" si="5"/>
        <v>0</v>
      </c>
      <c r="N34" s="55">
        <f>VLOOKUP($B34,'County Data'!$B$9:$P$46,14,FALSE)</f>
        <v>0</v>
      </c>
      <c r="O34" s="91">
        <f>IF(N34="Y",$C$3*Input!$C$8*O$4,0)</f>
        <v>0</v>
      </c>
      <c r="P34" s="17">
        <f t="shared" si="6"/>
        <v>0</v>
      </c>
      <c r="Q34" s="121">
        <f t="shared" si="7"/>
        <v>0</v>
      </c>
      <c r="R34" s="122">
        <f t="shared" si="8"/>
        <v>0</v>
      </c>
      <c r="S34" s="55">
        <f>VLOOKUP($B34,'County Data'!$B$9:$P$46,15,FALSE)</f>
        <v>0</v>
      </c>
      <c r="T34" s="91">
        <f>IF(S34="Y",$C$3*Input!$C$8*T$4,0)</f>
        <v>0</v>
      </c>
      <c r="U34" s="17">
        <f t="shared" si="9"/>
        <v>0</v>
      </c>
      <c r="V34" s="121">
        <f t="shared" si="10"/>
        <v>0</v>
      </c>
      <c r="W34" s="122">
        <f t="shared" si="11"/>
        <v>0</v>
      </c>
      <c r="X34" s="123">
        <f t="shared" si="12"/>
        <v>6400.27</v>
      </c>
      <c r="Y34" s="90">
        <f t="shared" si="13"/>
        <v>3.4987536216038922E-2</v>
      </c>
    </row>
    <row r="35" spans="2:25" x14ac:dyDescent="0.25">
      <c r="B35" s="22" t="str">
        <f>+'County Data'!$B$24</f>
        <v>Jackson</v>
      </c>
      <c r="C35" s="17">
        <f>VLOOKUP($B35,'County Data'!$B$10:$P$46,2,FALSE)</f>
        <v>216900</v>
      </c>
      <c r="D35" s="55" t="str">
        <f>VLOOKUP($B35,'County Data'!$B$9:$P$46,12,FALSE)</f>
        <v>Y</v>
      </c>
      <c r="E35" s="121">
        <f>IF(D35="Y",$C$3*Input!$C$8*E$4,0)</f>
        <v>450</v>
      </c>
      <c r="F35" s="17">
        <f t="shared" si="0"/>
        <v>216900</v>
      </c>
      <c r="G35" s="121">
        <f t="shared" si="1"/>
        <v>7055.23</v>
      </c>
      <c r="H35" s="122">
        <f t="shared" si="2"/>
        <v>7505.23</v>
      </c>
      <c r="I35" s="55">
        <f>VLOOKUP($B35,'County Data'!$B$9:$P$46,13,FALSE)</f>
        <v>0</v>
      </c>
      <c r="J35" s="91">
        <f>IF(I35="Y",$C$3*Input!$C$8*J$4,0)</f>
        <v>0</v>
      </c>
      <c r="K35" s="17">
        <f t="shared" si="3"/>
        <v>0</v>
      </c>
      <c r="L35" s="121">
        <f t="shared" si="4"/>
        <v>0</v>
      </c>
      <c r="M35" s="122">
        <f t="shared" si="5"/>
        <v>0</v>
      </c>
      <c r="N35" s="55">
        <f>VLOOKUP($B35,'County Data'!$B$9:$P$46,14,FALSE)</f>
        <v>0</v>
      </c>
      <c r="O35" s="91">
        <f>IF(N35="Y",$C$3*Input!$C$8*O$4,0)</f>
        <v>0</v>
      </c>
      <c r="P35" s="17">
        <f t="shared" si="6"/>
        <v>0</v>
      </c>
      <c r="Q35" s="121">
        <f t="shared" si="7"/>
        <v>0</v>
      </c>
      <c r="R35" s="122">
        <f t="shared" si="8"/>
        <v>0</v>
      </c>
      <c r="S35" s="55">
        <f>VLOOKUP($B35,'County Data'!$B$9:$P$46,15,FALSE)</f>
        <v>0</v>
      </c>
      <c r="T35" s="91">
        <f>IF(S35="Y",$C$3*Input!$C$8*T$4,0)</f>
        <v>0</v>
      </c>
      <c r="U35" s="17">
        <f t="shared" si="9"/>
        <v>0</v>
      </c>
      <c r="V35" s="121">
        <f t="shared" si="10"/>
        <v>0</v>
      </c>
      <c r="W35" s="122">
        <f t="shared" si="11"/>
        <v>0</v>
      </c>
      <c r="X35" s="123">
        <f t="shared" si="12"/>
        <v>7505.23</v>
      </c>
      <c r="Y35" s="90">
        <f t="shared" si="13"/>
        <v>3.4602259105578605E-2</v>
      </c>
    </row>
    <row r="36" spans="2:25" x14ac:dyDescent="0.25">
      <c r="B36" s="22" t="str">
        <f>+'County Data'!$B$33</f>
        <v>Marion</v>
      </c>
      <c r="C36" s="17">
        <f>VLOOKUP($B36,'County Data'!$B$10:$P$46,2,FALSE)</f>
        <v>339200</v>
      </c>
      <c r="D36" s="55" t="str">
        <f>VLOOKUP($B36,'County Data'!$B$9:$P$46,12,FALSE)</f>
        <v>Y</v>
      </c>
      <c r="E36" s="121">
        <f>IF(D36="Y",$C$3*Input!$C$8*E$4,0)</f>
        <v>450</v>
      </c>
      <c r="F36" s="17">
        <f t="shared" si="0"/>
        <v>339200</v>
      </c>
      <c r="G36" s="121">
        <f t="shared" si="1"/>
        <v>11033.36</v>
      </c>
      <c r="H36" s="122">
        <f t="shared" si="2"/>
        <v>11483.36</v>
      </c>
      <c r="I36" s="55">
        <f>VLOOKUP($B36,'County Data'!$B$9:$P$46,13,FALSE)</f>
        <v>0</v>
      </c>
      <c r="J36" s="91">
        <f>IF(I36="Y",$C$3*Input!$C$8*J$4,0)</f>
        <v>0</v>
      </c>
      <c r="K36" s="17">
        <f t="shared" si="3"/>
        <v>0</v>
      </c>
      <c r="L36" s="121">
        <f t="shared" si="4"/>
        <v>0</v>
      </c>
      <c r="M36" s="122">
        <f t="shared" si="5"/>
        <v>0</v>
      </c>
      <c r="N36" s="55">
        <f>VLOOKUP($B36,'County Data'!$B$9:$P$46,14,FALSE)</f>
        <v>0</v>
      </c>
      <c r="O36" s="91">
        <f>IF(N36="Y",$C$3*Input!$C$8*O$4,0)</f>
        <v>0</v>
      </c>
      <c r="P36" s="17">
        <f t="shared" si="6"/>
        <v>0</v>
      </c>
      <c r="Q36" s="121">
        <f t="shared" si="7"/>
        <v>0</v>
      </c>
      <c r="R36" s="122">
        <f t="shared" si="8"/>
        <v>0</v>
      </c>
      <c r="S36" s="55">
        <f>VLOOKUP($B36,'County Data'!$B$9:$P$46,15,FALSE)</f>
        <v>0</v>
      </c>
      <c r="T36" s="91">
        <f>IF(S36="Y",$C$3*Input!$C$8*T$4,0)</f>
        <v>0</v>
      </c>
      <c r="U36" s="17">
        <f t="shared" si="9"/>
        <v>0</v>
      </c>
      <c r="V36" s="121">
        <f t="shared" si="10"/>
        <v>0</v>
      </c>
      <c r="W36" s="122">
        <f t="shared" si="11"/>
        <v>0</v>
      </c>
      <c r="X36" s="123">
        <f t="shared" si="12"/>
        <v>11483.36</v>
      </c>
      <c r="Y36" s="90">
        <f t="shared" si="13"/>
        <v>3.385424528301887E-2</v>
      </c>
    </row>
    <row r="37" spans="2:25" x14ac:dyDescent="0.25">
      <c r="B37" s="22" t="str">
        <f>+'County Data'!$B$29</f>
        <v>Lane</v>
      </c>
      <c r="C37" s="17">
        <f>VLOOKUP($B37,'County Data'!$B$10:$P$46,2,FALSE)</f>
        <v>370600</v>
      </c>
      <c r="D37" s="55" t="str">
        <f>VLOOKUP($B37,'County Data'!$B$9:$P$46,12,FALSE)</f>
        <v>Y</v>
      </c>
      <c r="E37" s="121">
        <f>IF(D37="Y",$C$3*Input!$C$8*E$4,0)</f>
        <v>450</v>
      </c>
      <c r="F37" s="17">
        <f t="shared" si="0"/>
        <v>370600</v>
      </c>
      <c r="G37" s="121">
        <f t="shared" si="1"/>
        <v>12054.72</v>
      </c>
      <c r="H37" s="122">
        <f t="shared" si="2"/>
        <v>12504.72</v>
      </c>
      <c r="I37" s="55">
        <f>VLOOKUP($B37,'County Data'!$B$9:$P$46,13,FALSE)</f>
        <v>0</v>
      </c>
      <c r="J37" s="91">
        <f>IF(I37="Y",$C$3*Input!$C$8*J$4,0)</f>
        <v>0</v>
      </c>
      <c r="K37" s="17">
        <f t="shared" si="3"/>
        <v>0</v>
      </c>
      <c r="L37" s="121">
        <f t="shared" si="4"/>
        <v>0</v>
      </c>
      <c r="M37" s="122">
        <f t="shared" si="5"/>
        <v>0</v>
      </c>
      <c r="N37" s="55">
        <f>VLOOKUP($B37,'County Data'!$B$9:$P$46,14,FALSE)</f>
        <v>0</v>
      </c>
      <c r="O37" s="91">
        <f>IF(N37="Y",$C$3*Input!$C$8*O$4,0)</f>
        <v>0</v>
      </c>
      <c r="P37" s="17">
        <f t="shared" si="6"/>
        <v>0</v>
      </c>
      <c r="Q37" s="121">
        <f t="shared" si="7"/>
        <v>0</v>
      </c>
      <c r="R37" s="122">
        <f t="shared" si="8"/>
        <v>0</v>
      </c>
      <c r="S37" s="55">
        <f>VLOOKUP($B37,'County Data'!$B$9:$P$46,15,FALSE)</f>
        <v>0</v>
      </c>
      <c r="T37" s="91">
        <f>IF(S37="Y",$C$3*Input!$C$8*T$4,0)</f>
        <v>0</v>
      </c>
      <c r="U37" s="17">
        <f t="shared" si="9"/>
        <v>0</v>
      </c>
      <c r="V37" s="121">
        <f t="shared" si="10"/>
        <v>0</v>
      </c>
      <c r="W37" s="122">
        <f t="shared" si="11"/>
        <v>0</v>
      </c>
      <c r="X37" s="123">
        <f t="shared" si="12"/>
        <v>12504.72</v>
      </c>
      <c r="Y37" s="90">
        <f t="shared" si="13"/>
        <v>3.3741824069077171E-2</v>
      </c>
    </row>
    <row r="38" spans="2:25" x14ac:dyDescent="0.25">
      <c r="B38" s="22" t="str">
        <f>+'County Data'!$B$12</f>
        <v>Clackamas</v>
      </c>
      <c r="C38" s="17">
        <f>VLOOKUP($B38,'County Data'!$B$10:$P$46,2,FALSE)</f>
        <v>413000</v>
      </c>
      <c r="D38" s="55" t="str">
        <f>VLOOKUP($B38,'County Data'!$B$9:$P$46,12,FALSE)</f>
        <v>Y</v>
      </c>
      <c r="E38" s="121">
        <f>IF(D38="Y",$C$3*Input!$C$8*E$4,0)</f>
        <v>450</v>
      </c>
      <c r="F38" s="17">
        <f t="shared" si="0"/>
        <v>413000</v>
      </c>
      <c r="G38" s="121">
        <f t="shared" si="1"/>
        <v>13433.89</v>
      </c>
      <c r="H38" s="122">
        <f t="shared" si="2"/>
        <v>13883.89</v>
      </c>
      <c r="I38" s="55">
        <f>VLOOKUP($B38,'County Data'!$B$9:$P$46,13,FALSE)</f>
        <v>0</v>
      </c>
      <c r="J38" s="91">
        <f>IF(I38="Y",$C$3*Input!$C$8*J$4,0)</f>
        <v>0</v>
      </c>
      <c r="K38" s="17">
        <f t="shared" si="3"/>
        <v>0</v>
      </c>
      <c r="L38" s="121">
        <f t="shared" si="4"/>
        <v>0</v>
      </c>
      <c r="M38" s="122">
        <f t="shared" si="5"/>
        <v>0</v>
      </c>
      <c r="N38" s="55">
        <f>VLOOKUP($B38,'County Data'!$B$9:$P$46,14,FALSE)</f>
        <v>0</v>
      </c>
      <c r="O38" s="91">
        <f>IF(N38="Y",$C$3*Input!$C$8*O$4,0)</f>
        <v>0</v>
      </c>
      <c r="P38" s="17">
        <f t="shared" si="6"/>
        <v>0</v>
      </c>
      <c r="Q38" s="121">
        <f t="shared" si="7"/>
        <v>0</v>
      </c>
      <c r="R38" s="122">
        <f t="shared" si="8"/>
        <v>0</v>
      </c>
      <c r="S38" s="55">
        <f>VLOOKUP($B38,'County Data'!$B$9:$P$46,15,FALSE)</f>
        <v>0</v>
      </c>
      <c r="T38" s="91">
        <f>IF(S38="Y",$C$3*Input!$C$8*T$4,0)</f>
        <v>0</v>
      </c>
      <c r="U38" s="17">
        <f t="shared" si="9"/>
        <v>0</v>
      </c>
      <c r="V38" s="121">
        <f t="shared" si="10"/>
        <v>0</v>
      </c>
      <c r="W38" s="122">
        <f t="shared" si="11"/>
        <v>0</v>
      </c>
      <c r="X38" s="123">
        <f t="shared" si="12"/>
        <v>13883.89</v>
      </c>
      <c r="Y38" s="90">
        <f t="shared" si="13"/>
        <v>3.3617167070217918E-2</v>
      </c>
    </row>
    <row r="39" spans="2:25" x14ac:dyDescent="0.25">
      <c r="B39" s="22" t="str">
        <f>+'County Data'!$B$44</f>
        <v>Washington</v>
      </c>
      <c r="C39" s="17">
        <f>VLOOKUP($B39,'County Data'!$B$10:$P$46,2,FALSE)</f>
        <v>595860</v>
      </c>
      <c r="D39" s="55" t="str">
        <f>VLOOKUP($B39,'County Data'!$B$9:$P$46,12,FALSE)</f>
        <v>Y</v>
      </c>
      <c r="E39" s="121">
        <f>IF(D39="Y",$C$3*Input!$C$8*E$4,0)</f>
        <v>450</v>
      </c>
      <c r="F39" s="17">
        <f t="shared" si="0"/>
        <v>595860</v>
      </c>
      <c r="G39" s="121">
        <f t="shared" si="1"/>
        <v>19381.89</v>
      </c>
      <c r="H39" s="122">
        <f t="shared" si="2"/>
        <v>19831.89</v>
      </c>
      <c r="I39" s="55">
        <f>VLOOKUP($B39,'County Data'!$B$9:$P$46,13,FALSE)</f>
        <v>0</v>
      </c>
      <c r="J39" s="91">
        <f>IF(I39="Y",$C$3*Input!$C$8*J$4,0)</f>
        <v>0</v>
      </c>
      <c r="K39" s="17">
        <f t="shared" si="3"/>
        <v>0</v>
      </c>
      <c r="L39" s="121">
        <f t="shared" si="4"/>
        <v>0</v>
      </c>
      <c r="M39" s="122">
        <f t="shared" si="5"/>
        <v>0</v>
      </c>
      <c r="N39" s="55">
        <f>VLOOKUP($B39,'County Data'!$B$9:$P$46,14,FALSE)</f>
        <v>0</v>
      </c>
      <c r="O39" s="91">
        <f>IF(N39="Y",$C$3*Input!$C$8*O$4,0)</f>
        <v>0</v>
      </c>
      <c r="P39" s="17">
        <f t="shared" si="6"/>
        <v>0</v>
      </c>
      <c r="Q39" s="121">
        <f t="shared" si="7"/>
        <v>0</v>
      </c>
      <c r="R39" s="122">
        <f t="shared" si="8"/>
        <v>0</v>
      </c>
      <c r="S39" s="55">
        <f>VLOOKUP($B39,'County Data'!$B$9:$P$46,15,FALSE)</f>
        <v>0</v>
      </c>
      <c r="T39" s="91">
        <f>IF(S39="Y",$C$3*Input!$C$8*T$4,0)</f>
        <v>0</v>
      </c>
      <c r="U39" s="17">
        <f t="shared" si="9"/>
        <v>0</v>
      </c>
      <c r="V39" s="121">
        <f t="shared" si="10"/>
        <v>0</v>
      </c>
      <c r="W39" s="122">
        <f t="shared" si="11"/>
        <v>0</v>
      </c>
      <c r="X39" s="123">
        <f t="shared" si="12"/>
        <v>19831.89</v>
      </c>
      <c r="Y39" s="90">
        <f t="shared" si="13"/>
        <v>3.3282801329171281E-2</v>
      </c>
    </row>
    <row r="40" spans="2:25" x14ac:dyDescent="0.25">
      <c r="B40" s="22" t="str">
        <f>+'County Data'!$B$35</f>
        <v>Multnomah</v>
      </c>
      <c r="C40" s="17">
        <f>VLOOKUP($B40,'County Data'!$B$10:$P$46,2,FALSE)</f>
        <v>803000</v>
      </c>
      <c r="D40" s="55" t="str">
        <f>VLOOKUP($B40,'County Data'!$B$9:$P$46,12,FALSE)</f>
        <v>Y</v>
      </c>
      <c r="E40" s="121">
        <f>IF(D40="Y",$C$3*Input!$C$8*E$4,0)</f>
        <v>450</v>
      </c>
      <c r="F40" s="17">
        <f t="shared" si="0"/>
        <v>803000</v>
      </c>
      <c r="G40" s="121">
        <f t="shared" si="1"/>
        <v>26119.65</v>
      </c>
      <c r="H40" s="122">
        <f t="shared" si="2"/>
        <v>26569.65</v>
      </c>
      <c r="I40" s="55">
        <f>VLOOKUP($B40,'County Data'!$B$9:$P$46,13,FALSE)</f>
        <v>0</v>
      </c>
      <c r="J40" s="91">
        <f>IF(I40="Y",$C$3*Input!$C$8*J$4,0)</f>
        <v>0</v>
      </c>
      <c r="K40" s="17">
        <f t="shared" si="3"/>
        <v>0</v>
      </c>
      <c r="L40" s="121">
        <f t="shared" si="4"/>
        <v>0</v>
      </c>
      <c r="M40" s="122">
        <f t="shared" si="5"/>
        <v>0</v>
      </c>
      <c r="N40" s="55">
        <f>VLOOKUP($B40,'County Data'!$B$9:$P$46,14,FALSE)</f>
        <v>0</v>
      </c>
      <c r="O40" s="91">
        <f>IF(N40="Y",$C$3*Input!$C$8*O$4,0)</f>
        <v>0</v>
      </c>
      <c r="P40" s="17">
        <f t="shared" si="6"/>
        <v>0</v>
      </c>
      <c r="Q40" s="121">
        <f t="shared" si="7"/>
        <v>0</v>
      </c>
      <c r="R40" s="122">
        <f t="shared" si="8"/>
        <v>0</v>
      </c>
      <c r="S40" s="55">
        <f>VLOOKUP($B40,'County Data'!$B$9:$P$46,15,FALSE)</f>
        <v>0</v>
      </c>
      <c r="T40" s="91">
        <f>IF(S40="Y",$C$3*Input!$C$8*T$4,0)</f>
        <v>0</v>
      </c>
      <c r="U40" s="17">
        <f t="shared" si="9"/>
        <v>0</v>
      </c>
      <c r="V40" s="121">
        <f t="shared" si="10"/>
        <v>0</v>
      </c>
      <c r="W40" s="122">
        <f t="shared" si="11"/>
        <v>0</v>
      </c>
      <c r="X40" s="123">
        <f t="shared" si="12"/>
        <v>26569.65</v>
      </c>
      <c r="Y40" s="90">
        <f t="shared" si="13"/>
        <v>3.3087982565379828E-2</v>
      </c>
    </row>
    <row r="41" spans="2:25" x14ac:dyDescent="0.25">
      <c r="B41" s="5" t="s">
        <v>2</v>
      </c>
      <c r="C41" s="6">
        <f t="shared" ref="C41:H41" si="14">SUM(C7:C40)</f>
        <v>4141100</v>
      </c>
      <c r="D41" s="6">
        <f>COUNTIF(D7:D40,"Y")</f>
        <v>34</v>
      </c>
      <c r="E41" s="120">
        <f t="shared" si="14"/>
        <v>15300</v>
      </c>
      <c r="F41" s="6">
        <f t="shared" si="14"/>
        <v>4141100</v>
      </c>
      <c r="G41" s="120">
        <f t="shared" si="14"/>
        <v>134699.96</v>
      </c>
      <c r="H41" s="120">
        <f t="shared" si="14"/>
        <v>149999.96</v>
      </c>
      <c r="I41" s="6">
        <f>COUNTIF(I7:I40,"Y")</f>
        <v>0</v>
      </c>
      <c r="J41" s="120">
        <f t="shared" ref="J41:M41" si="15">SUM(J7:J40)</f>
        <v>0</v>
      </c>
      <c r="K41" s="116">
        <f>SUM(K7:K40)+0.001</f>
        <v>1E-3</v>
      </c>
      <c r="L41" s="120">
        <f t="shared" si="15"/>
        <v>0</v>
      </c>
      <c r="M41" s="120">
        <f t="shared" si="15"/>
        <v>0</v>
      </c>
      <c r="N41" s="6">
        <f>COUNTIF(N7:N40,"Y")</f>
        <v>0</v>
      </c>
      <c r="O41" s="120">
        <f t="shared" ref="O41" si="16">SUM(O7:O40)</f>
        <v>0</v>
      </c>
      <c r="P41" s="116">
        <f>SUM(P7:P40)+0.001</f>
        <v>1E-3</v>
      </c>
      <c r="Q41" s="120">
        <f t="shared" ref="Q41:R41" si="17">SUM(Q7:Q40)</f>
        <v>0</v>
      </c>
      <c r="R41" s="120">
        <f t="shared" si="17"/>
        <v>0</v>
      </c>
      <c r="S41" s="6">
        <f>COUNTIF(S7:S40,"Y")</f>
        <v>0</v>
      </c>
      <c r="T41" s="120">
        <f t="shared" ref="T41" si="18">SUM(T7:T40)</f>
        <v>0</v>
      </c>
      <c r="U41" s="116">
        <f>SUM(U7:U40)+0.001</f>
        <v>1E-3</v>
      </c>
      <c r="V41" s="120">
        <f t="shared" ref="V41:X41" si="19">SUM(V7:V40)</f>
        <v>0</v>
      </c>
      <c r="W41" s="120">
        <f t="shared" si="19"/>
        <v>0</v>
      </c>
      <c r="X41" s="120">
        <f t="shared" si="19"/>
        <v>149999.96</v>
      </c>
      <c r="Y41" s="119">
        <f t="shared" si="13"/>
        <v>3.6222250126777905E-2</v>
      </c>
    </row>
    <row r="42" spans="2:25" x14ac:dyDescent="0.25">
      <c r="E42" s="70"/>
    </row>
  </sheetData>
  <sortState xmlns:xlrd2="http://schemas.microsoft.com/office/spreadsheetml/2017/richdata2" ref="B7:H40">
    <sortCondition ref="C7:C40"/>
  </sortState>
  <mergeCells count="4">
    <mergeCell ref="D5:H5"/>
    <mergeCell ref="I5:M5"/>
    <mergeCell ref="N5:R5"/>
    <mergeCell ref="S5:W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2"/>
  <sheetViews>
    <sheetView topLeftCell="A5" zoomScale="80" zoomScaleNormal="80" workbookViewId="0">
      <selection activeCell="A5" sqref="A5"/>
    </sheetView>
  </sheetViews>
  <sheetFormatPr defaultRowHeight="15" x14ac:dyDescent="0.25"/>
  <cols>
    <col min="1" max="1" width="3" bestFit="1" customWidth="1"/>
    <col min="2" max="2" width="22" customWidth="1"/>
    <col min="3" max="4" width="14.28515625" customWidth="1"/>
    <col min="5" max="5" width="14.28515625" hidden="1" customWidth="1"/>
    <col min="6" max="11" width="14.28515625" customWidth="1"/>
    <col min="12" max="12" width="16.42578125" bestFit="1" customWidth="1"/>
    <col min="13" max="14" width="14.28515625" customWidth="1"/>
    <col min="15" max="15" width="13.42578125" bestFit="1" customWidth="1"/>
    <col min="16" max="16" width="11.5703125" bestFit="1" customWidth="1"/>
    <col min="17" max="17" width="11" customWidth="1"/>
    <col min="18" max="18" width="10.140625" bestFit="1" customWidth="1"/>
    <col min="19" max="19" width="11.85546875" customWidth="1"/>
  </cols>
  <sheetData>
    <row r="1" spans="2:22" ht="15" hidden="1" customHeight="1" x14ac:dyDescent="0.25"/>
    <row r="2" spans="2:22" hidden="1" x14ac:dyDescent="0.25"/>
    <row r="3" spans="2:22" hidden="1" x14ac:dyDescent="0.25"/>
    <row r="4" spans="2:22" hidden="1" x14ac:dyDescent="0.25"/>
    <row r="5" spans="2:22" ht="18.75" x14ac:dyDescent="0.3">
      <c r="B5" s="27" t="str">
        <f>Input!$B$1</f>
        <v>PHAB Funding and Incentives Subcommittee</v>
      </c>
      <c r="C5" s="27"/>
    </row>
    <row r="6" spans="2:22" ht="15.75" x14ac:dyDescent="0.25">
      <c r="B6" s="26" t="str">
        <f>Input!$B$2</f>
        <v>Subcommittee Members: Carrie Brogoitti, Bob Dannenhoffer, Jeff Luck, Alejandro Queral, Akiko Saito</v>
      </c>
      <c r="C6" s="26"/>
    </row>
    <row r="7" spans="2:22" ht="15.75" x14ac:dyDescent="0.25">
      <c r="B7" s="26" t="str">
        <f>Input!$B$3</f>
        <v>April, 2018</v>
      </c>
      <c r="C7" s="26"/>
    </row>
    <row r="8" spans="2:22" ht="15.75" x14ac:dyDescent="0.25">
      <c r="B8" s="26"/>
      <c r="C8" s="26"/>
    </row>
    <row r="9" spans="2:22" ht="34.5" customHeight="1" x14ac:dyDescent="0.25">
      <c r="B9" s="139" t="s">
        <v>58</v>
      </c>
      <c r="C9" s="140"/>
      <c r="D9" s="140"/>
      <c r="E9" s="140"/>
      <c r="F9" s="140"/>
      <c r="G9" s="140"/>
      <c r="H9" s="140"/>
      <c r="I9" s="140"/>
      <c r="J9" s="140"/>
      <c r="K9" s="140"/>
      <c r="L9" s="140"/>
      <c r="M9" s="140"/>
      <c r="N9" s="140"/>
      <c r="O9" s="140"/>
      <c r="P9" s="140"/>
      <c r="Q9" s="140"/>
      <c r="R9" s="140"/>
      <c r="S9" s="140"/>
    </row>
    <row r="10" spans="2:22" s="2" customFormat="1" ht="32.25" x14ac:dyDescent="0.25">
      <c r="B10" s="42" t="s">
        <v>7</v>
      </c>
      <c r="C10" s="42" t="s">
        <v>55</v>
      </c>
      <c r="D10" s="42" t="s">
        <v>20</v>
      </c>
      <c r="E10" s="42" t="s">
        <v>1</v>
      </c>
      <c r="F10" s="42" t="s">
        <v>16</v>
      </c>
      <c r="G10" s="42" t="s">
        <v>17</v>
      </c>
      <c r="H10" s="42" t="s">
        <v>57</v>
      </c>
      <c r="I10" s="42" t="s">
        <v>98</v>
      </c>
      <c r="J10" s="42" t="s">
        <v>99</v>
      </c>
      <c r="K10" s="42" t="s">
        <v>39</v>
      </c>
      <c r="L10" s="42" t="s">
        <v>50</v>
      </c>
      <c r="M10" s="42" t="s">
        <v>52</v>
      </c>
      <c r="N10" s="42" t="s">
        <v>53</v>
      </c>
      <c r="O10" s="4" t="s">
        <v>40</v>
      </c>
      <c r="P10" s="4" t="s">
        <v>5</v>
      </c>
      <c r="Q10" s="4" t="s">
        <v>15</v>
      </c>
      <c r="R10" s="4" t="s">
        <v>12</v>
      </c>
      <c r="S10" s="4" t="s">
        <v>37</v>
      </c>
    </row>
    <row r="11" spans="2:22" x14ac:dyDescent="0.25">
      <c r="B11" s="36" t="s">
        <v>94</v>
      </c>
      <c r="C11" s="40">
        <f>VLOOKUP($B11,'County Data'!$B$10:$C$46,2,FALSE)</f>
        <v>1480</v>
      </c>
      <c r="D11" s="41">
        <f>VLOOKUP($B11,Floor!$B$6:$M$45,4,FALSE)</f>
        <v>45000</v>
      </c>
      <c r="E11" s="41">
        <f>VLOOKUP($B11,Population!$B$7:$F$40,4,FALSE)</f>
        <v>0</v>
      </c>
      <c r="F11" s="41">
        <f>VLOOKUP($B11,Burden!$B$6:$H$40,6,FALSE)</f>
        <v>798.98371645300449</v>
      </c>
      <c r="G11" s="41">
        <f>VLOOKUP($B11,'Health Status'!$B$6:$H$40,6,FALSE)</f>
        <v>1484.1632325566436</v>
      </c>
      <c r="H11" s="41">
        <f>VLOOKUP($B11,Ethnicity!$B$6:$H$40,6,FALSE)</f>
        <v>200.46229343518903</v>
      </c>
      <c r="I11" s="41">
        <f>VLOOKUP($B11,Poverty!$B$6:$H$40,6,FALSE)</f>
        <v>519.24518696360349</v>
      </c>
      <c r="J11" s="41">
        <f>VLOOKUP($B11,Rurality!$B$6:$H$40,6,FALSE)</f>
        <v>0</v>
      </c>
      <c r="K11" s="41">
        <f>VLOOKUP($B11,Education!$B$6:$H$40,6,FALSE)</f>
        <v>338.3291435141569</v>
      </c>
      <c r="L11" s="41">
        <f>VLOOKUP($B11,Language!$B$6:$H$40,6,FALSE)</f>
        <v>13.56469574885311</v>
      </c>
      <c r="M11" s="41">
        <f>VLOOKUP($B11,Matching!$B$7:$L$40,10,FALSE)</f>
        <v>2857.5582212673489</v>
      </c>
      <c r="N11" s="41">
        <f>VLOOKUP($B11,Incentives!$B$7:$Y$40,23,FALSE)</f>
        <v>498.14</v>
      </c>
      <c r="O11" s="49">
        <f>SUM(D11:N11)</f>
        <v>51710.446489938797</v>
      </c>
      <c r="P11" s="50">
        <f t="shared" ref="P11:P44" si="0">O11/$O$45</f>
        <v>3.4473631085222213E-3</v>
      </c>
      <c r="Q11" s="50">
        <f>C11/$C$45</f>
        <v>3.5739296322233224E-4</v>
      </c>
      <c r="R11" s="51">
        <f>O11/C11</f>
        <v>34.939490871580269</v>
      </c>
      <c r="U11" s="70"/>
      <c r="V11" s="25"/>
    </row>
    <row r="12" spans="2:22" x14ac:dyDescent="0.25">
      <c r="B12" s="36" t="s">
        <v>92</v>
      </c>
      <c r="C12" s="40">
        <f>VLOOKUP($B12,'County Data'!$B$10:$C$46,2,FALSE)</f>
        <v>7195</v>
      </c>
      <c r="D12" s="41">
        <f>VLOOKUP($B12,Floor!$B$6:$M$45,4,FALSE)</f>
        <v>45000</v>
      </c>
      <c r="E12" s="41">
        <f>VLOOKUP($B12,Population!$B$7:$F$40,4,FALSE)</f>
        <v>0</v>
      </c>
      <c r="F12" s="41">
        <f>VLOOKUP($B12,Burden!$B$6:$H$40,6,FALSE)</f>
        <v>4703.4030716230945</v>
      </c>
      <c r="G12" s="41">
        <f>VLOOKUP($B12,'Health Status'!$B$6:$H$40,6,FALSE)</f>
        <v>2890.7962812838741</v>
      </c>
      <c r="H12" s="41">
        <f>VLOOKUP($B12,Ethnicity!$B$6:$H$40,6,FALSE)</f>
        <v>1077.1283864363384</v>
      </c>
      <c r="I12" s="41">
        <f>VLOOKUP($B12,Poverty!$B$6:$H$40,6,FALSE)</f>
        <v>2005.5048958145624</v>
      </c>
      <c r="J12" s="41">
        <f>VLOOKUP($B12,Rurality!$B$6:$H$40,6,FALSE)</f>
        <v>0</v>
      </c>
      <c r="K12" s="41">
        <f>VLOOKUP($B12,Education!$B$6:$H$40,6,FALSE)</f>
        <v>1331.4906431445977</v>
      </c>
      <c r="L12" s="41">
        <f>VLOOKUP($B12,Language!$B$6:$H$40,6,FALSE)</f>
        <v>527.55668061080075</v>
      </c>
      <c r="M12" s="41">
        <f>VLOOKUP($B12,Matching!$B$7:$L$40,10,FALSE)</f>
        <v>0</v>
      </c>
      <c r="N12" s="41">
        <f>VLOOKUP($B12,Incentives!$B$7:$Y$40,23,FALSE)</f>
        <v>684.04</v>
      </c>
      <c r="O12" s="49">
        <f t="shared" ref="O12:O44" si="1">SUM(D12:N12)</f>
        <v>58219.91995891327</v>
      </c>
      <c r="P12" s="50">
        <f t="shared" si="0"/>
        <v>3.8813280076110926E-3</v>
      </c>
      <c r="Q12" s="50">
        <f t="shared" ref="Q12:Q44" si="2">C12/$C$45</f>
        <v>1.7374610610707299E-3</v>
      </c>
      <c r="R12" s="51">
        <f t="shared" ref="R12:R44" si="3">O12/C12</f>
        <v>8.0917192437683489</v>
      </c>
      <c r="U12" s="70"/>
      <c r="V12" s="25"/>
    </row>
    <row r="13" spans="2:22" x14ac:dyDescent="0.25">
      <c r="B13" s="36" t="s">
        <v>74</v>
      </c>
      <c r="C13" s="40">
        <f>VLOOKUP($B13,'County Data'!$B$10:$C$46,2,FALSE)</f>
        <v>7360</v>
      </c>
      <c r="D13" s="41">
        <f>VLOOKUP($B13,Floor!$B$6:$M$45,4,FALSE)</f>
        <v>45000</v>
      </c>
      <c r="E13" s="41">
        <f>VLOOKUP($B13,Population!$B$7:$F$40,4,FALSE)</f>
        <v>0</v>
      </c>
      <c r="F13" s="41">
        <f>VLOOKUP($B13,Burden!$B$6:$H$40,6,FALSE)</f>
        <v>6655.6565023079356</v>
      </c>
      <c r="G13" s="41">
        <f>VLOOKUP($B13,'Health Status'!$B$6:$H$40,6,FALSE)</f>
        <v>6395.0070652568293</v>
      </c>
      <c r="H13" s="41">
        <f>VLOOKUP($B13,Ethnicity!$B$6:$H$40,6,FALSE)</f>
        <v>2238.6381863373958</v>
      </c>
      <c r="I13" s="41">
        <f>VLOOKUP($B13,Poverty!$B$6:$H$40,6,FALSE)</f>
        <v>2289.121378044817</v>
      </c>
      <c r="J13" s="41">
        <f>VLOOKUP($B13,Rurality!$B$6:$H$40,6,FALSE)</f>
        <v>0</v>
      </c>
      <c r="K13" s="41">
        <f>VLOOKUP($B13,Education!$B$6:$H$40,6,FALSE)</f>
        <v>2083.0973263471378</v>
      </c>
      <c r="L13" s="41">
        <f>VLOOKUP($B13,Language!$B$6:$H$40,6,FALSE)</f>
        <v>1146.7667108760143</v>
      </c>
      <c r="M13" s="41">
        <f>VLOOKUP($B13,Matching!$B$7:$L$40,10,FALSE)</f>
        <v>3760.8099612222595</v>
      </c>
      <c r="N13" s="41">
        <f>VLOOKUP($B13,Incentives!$B$7:$Y$40,23,FALSE)</f>
        <v>689.4</v>
      </c>
      <c r="O13" s="49">
        <f t="shared" si="1"/>
        <v>70258.497130392381</v>
      </c>
      <c r="P13" s="50">
        <f t="shared" si="0"/>
        <v>4.6838998211832248E-3</v>
      </c>
      <c r="Q13" s="50">
        <f t="shared" si="2"/>
        <v>1.777305546835382E-3</v>
      </c>
      <c r="R13" s="51">
        <f t="shared" si="3"/>
        <v>9.5459914579337468</v>
      </c>
      <c r="U13" s="70"/>
      <c r="V13" s="25"/>
    </row>
    <row r="14" spans="2:22" x14ac:dyDescent="0.25">
      <c r="B14" s="36" t="s">
        <v>73</v>
      </c>
      <c r="C14" s="40">
        <f>VLOOKUP($B14,'County Data'!$B$10:$C$46,2,FALSE)</f>
        <v>7415</v>
      </c>
      <c r="D14" s="41">
        <f>VLOOKUP($B14,Floor!$B$6:$M$45,4,FALSE)</f>
        <v>45000</v>
      </c>
      <c r="E14" s="41">
        <f>VLOOKUP($B14,Population!$B$7:$F$40,4,FALSE)</f>
        <v>0</v>
      </c>
      <c r="F14" s="41">
        <f>VLOOKUP($B14,Burden!$B$6:$H$40,6,FALSE)</f>
        <v>4097.8137278974054</v>
      </c>
      <c r="G14" s="41">
        <f>VLOOKUP($B14,'Health Status'!$B$6:$H$40,6,FALSE)</f>
        <v>4456.6708072255096</v>
      </c>
      <c r="H14" s="41">
        <f>VLOOKUP($B14,Ethnicity!$B$6:$H$40,6,FALSE)</f>
        <v>1409.6044626096962</v>
      </c>
      <c r="I14" s="41">
        <f>VLOOKUP($B14,Poverty!$B$6:$H$40,6,FALSE)</f>
        <v>2306.2275839948802</v>
      </c>
      <c r="J14" s="41">
        <f>VLOOKUP($B14,Rurality!$B$6:$H$40,6,FALSE)</f>
        <v>0</v>
      </c>
      <c r="K14" s="41">
        <f>VLOOKUP($B14,Education!$B$6:$H$40,6,FALSE)</f>
        <v>2098.6639503891342</v>
      </c>
      <c r="L14" s="41">
        <f>VLOOKUP($B14,Language!$B$6:$H$40,6,FALSE)</f>
        <v>543.68767014997741</v>
      </c>
      <c r="M14" s="41">
        <f>VLOOKUP($B14,Matching!$B$7:$L$40,10,FALSE)</f>
        <v>0</v>
      </c>
      <c r="N14" s="41">
        <f>VLOOKUP($B14,Incentives!$B$7:$Y$40,23,FALSE)</f>
        <v>691.19</v>
      </c>
      <c r="O14" s="49">
        <f t="shared" si="1"/>
        <v>60603.858202266609</v>
      </c>
      <c r="P14" s="50">
        <f t="shared" si="0"/>
        <v>4.0402572242584592E-3</v>
      </c>
      <c r="Q14" s="50">
        <f t="shared" si="2"/>
        <v>1.7905870420902659E-3</v>
      </c>
      <c r="R14" s="51">
        <f t="shared" si="3"/>
        <v>8.1731433853360222</v>
      </c>
      <c r="U14" s="70"/>
      <c r="V14" s="25"/>
    </row>
    <row r="15" spans="2:22" x14ac:dyDescent="0.25">
      <c r="B15" s="36" t="s">
        <v>80</v>
      </c>
      <c r="C15" s="40">
        <f>VLOOKUP($B15,'County Data'!$B$10:$C$46,2,FALSE)</f>
        <v>8120</v>
      </c>
      <c r="D15" s="41">
        <f>VLOOKUP($B15,Floor!$B$6:$M$45,4,FALSE)</f>
        <v>45000</v>
      </c>
      <c r="E15" s="41">
        <f>VLOOKUP($B15,Population!$B$7:$F$40,4,FALSE)</f>
        <v>0</v>
      </c>
      <c r="F15" s="41">
        <f>VLOOKUP($B15,Burden!$B$6:$H$40,6,FALSE)</f>
        <v>5820.909215227759</v>
      </c>
      <c r="G15" s="41">
        <f>VLOOKUP($B15,'Health Status'!$B$6:$H$40,6,FALSE)</f>
        <v>3527.6805278454808</v>
      </c>
      <c r="H15" s="41">
        <f>VLOOKUP($B15,Ethnicity!$B$6:$H$40,6,FALSE)</f>
        <v>2778.5271511130591</v>
      </c>
      <c r="I15" s="41">
        <f>VLOOKUP($B15,Poverty!$B$6:$H$40,6,FALSE)</f>
        <v>2927.4804294030723</v>
      </c>
      <c r="J15" s="41">
        <f>VLOOKUP($B15,Rurality!$B$6:$H$40,6,FALSE)</f>
        <v>0</v>
      </c>
      <c r="K15" s="41">
        <f>VLOOKUP($B15,Education!$B$6:$H$40,6,FALSE)</f>
        <v>3557.7900249270233</v>
      </c>
      <c r="L15" s="41">
        <f>VLOOKUP($B15,Language!$B$6:$H$40,6,FALSE)</f>
        <v>1860.5629979845819</v>
      </c>
      <c r="M15" s="41">
        <f>VLOOKUP($B15,Matching!$B$7:$L$40,10,FALSE)</f>
        <v>5583.4260795374903</v>
      </c>
      <c r="N15" s="41">
        <f>VLOOKUP($B15,Incentives!$B$7:$Y$40,23,FALSE)</f>
        <v>714.12</v>
      </c>
      <c r="O15" s="49">
        <f t="shared" si="1"/>
        <v>71770.496426038459</v>
      </c>
      <c r="P15" s="50">
        <f t="shared" si="0"/>
        <v>4.7846997744950964E-3</v>
      </c>
      <c r="Q15" s="50">
        <f t="shared" si="2"/>
        <v>1.9608316630846875E-3</v>
      </c>
      <c r="R15" s="51">
        <f t="shared" si="3"/>
        <v>8.8387310869505491</v>
      </c>
      <c r="U15" s="70"/>
      <c r="V15" s="25"/>
    </row>
    <row r="16" spans="2:22" x14ac:dyDescent="0.25">
      <c r="B16" s="36" t="s">
        <v>86</v>
      </c>
      <c r="C16" s="40">
        <f>VLOOKUP($B16,'County Data'!$B$10:$C$46,2,FALSE)</f>
        <v>11890</v>
      </c>
      <c r="D16" s="41">
        <f>VLOOKUP($B16,Floor!$B$6:$M$45,4,FALSE)</f>
        <v>45000</v>
      </c>
      <c r="E16" s="41">
        <f>VLOOKUP($B16,Population!$B$7:$F$40,4,FALSE)</f>
        <v>0</v>
      </c>
      <c r="F16" s="41">
        <f>VLOOKUP($B16,Burden!$B$6:$H$40,6,FALSE)</f>
        <v>6561.0020437841013</v>
      </c>
      <c r="G16" s="41">
        <f>VLOOKUP($B16,'Health Status'!$B$6:$H$40,6,FALSE)</f>
        <v>9670.808407297136</v>
      </c>
      <c r="H16" s="41">
        <f>VLOOKUP($B16,Ethnicity!$B$6:$H$40,6,FALSE)</f>
        <v>10962.502460294279</v>
      </c>
      <c r="I16" s="41">
        <f>VLOOKUP($B16,Poverty!$B$6:$H$40,6,FALSE)</f>
        <v>3416.5381941018586</v>
      </c>
      <c r="J16" s="41">
        <f>VLOOKUP($B16,Rurality!$B$6:$H$40,6,FALSE)</f>
        <v>0</v>
      </c>
      <c r="K16" s="41">
        <f>VLOOKUP($B16,Education!$B$6:$H$40,6,FALSE)</f>
        <v>8057.1158749955594</v>
      </c>
      <c r="L16" s="41">
        <f>VLOOKUP($B16,Language!$B$6:$H$40,6,FALSE)</f>
        <v>17436.133238255512</v>
      </c>
      <c r="M16" s="41">
        <f>VLOOKUP($B16,Matching!$B$7:$L$40,10,FALSE)</f>
        <v>12011.998479233795</v>
      </c>
      <c r="N16" s="41">
        <f>VLOOKUP($B16,Incentives!$B$7:$Y$40,23,FALSE)</f>
        <v>836.75</v>
      </c>
      <c r="O16" s="49">
        <f t="shared" si="1"/>
        <v>113952.84869796224</v>
      </c>
      <c r="P16" s="50">
        <f t="shared" si="0"/>
        <v>7.5968566001224334E-3</v>
      </c>
      <c r="Q16" s="50">
        <f t="shared" si="2"/>
        <v>2.8712177923740068E-3</v>
      </c>
      <c r="R16" s="51">
        <f t="shared" si="3"/>
        <v>9.5839233555897589</v>
      </c>
      <c r="U16" s="70"/>
      <c r="V16" s="25"/>
    </row>
    <row r="17" spans="1:22" x14ac:dyDescent="0.25">
      <c r="B17" s="36" t="s">
        <v>63</v>
      </c>
      <c r="C17" s="40">
        <f>VLOOKUP($B17,'County Data'!$B$10:$C$46,2,FALSE)</f>
        <v>16750</v>
      </c>
      <c r="D17" s="41">
        <f>VLOOKUP($B17,Floor!$B$6:$M$45,4,FALSE)</f>
        <v>45000</v>
      </c>
      <c r="E17" s="41">
        <f>VLOOKUP($B17,Population!$B$7:$F$40,4,FALSE)</f>
        <v>0</v>
      </c>
      <c r="F17" s="41">
        <f>VLOOKUP($B17,Burden!$B$6:$H$40,6,FALSE)</f>
        <v>11526.504491986299</v>
      </c>
      <c r="G17" s="41">
        <f>VLOOKUP($B17,'Health Status'!$B$6:$H$40,6,FALSE)</f>
        <v>7276.9271972182032</v>
      </c>
      <c r="H17" s="41">
        <f>VLOOKUP($B17,Ethnicity!$B$6:$H$40,6,FALSE)</f>
        <v>3423.0196028140044</v>
      </c>
      <c r="I17" s="41">
        <f>VLOOKUP($B17,Poverty!$B$6:$H$40,6,FALSE)</f>
        <v>4975.2746213993096</v>
      </c>
      <c r="J17" s="41">
        <f>VLOOKUP($B17,Rurality!$B$6:$H$40,6,FALSE)</f>
        <v>0</v>
      </c>
      <c r="K17" s="41">
        <f>VLOOKUP($B17,Education!$B$6:$H$40,6,FALSE)</f>
        <v>4376.0719334842679</v>
      </c>
      <c r="L17" s="41">
        <f>VLOOKUP($B17,Language!$B$6:$H$40,6,FALSE)</f>
        <v>1535.1936067114161</v>
      </c>
      <c r="M17" s="41">
        <f>VLOOKUP($B17,Matching!$B$7:$L$40,10,FALSE)</f>
        <v>0</v>
      </c>
      <c r="N17" s="41">
        <f>VLOOKUP($B17,Incentives!$B$7:$Y$40,23,FALSE)</f>
        <v>994.84</v>
      </c>
      <c r="O17" s="49">
        <f t="shared" si="1"/>
        <v>79107.8314536135</v>
      </c>
      <c r="P17" s="50">
        <f t="shared" si="0"/>
        <v>5.2738554443045142E-3</v>
      </c>
      <c r="Q17" s="50">
        <f t="shared" si="2"/>
        <v>4.0448190094419358E-3</v>
      </c>
      <c r="R17" s="51">
        <f t="shared" si="3"/>
        <v>4.7228556091709555</v>
      </c>
      <c r="S17" s="51">
        <f>SUM(O11:O17)/SUM(C11:C17)</f>
        <v>8.3976731167434853</v>
      </c>
      <c r="U17" s="70"/>
      <c r="V17" s="25"/>
    </row>
    <row r="18" spans="1:22" x14ac:dyDescent="0.25">
      <c r="B18" s="37" t="s">
        <v>69</v>
      </c>
      <c r="C18" s="38">
        <f>VLOOKUP($B18,'County Data'!$B$10:$C$46,2,FALSE)</f>
        <v>22105</v>
      </c>
      <c r="D18" s="39">
        <f>VLOOKUP($B18,Floor!$B$6:$M$45,4,FALSE)</f>
        <v>67500.000000000015</v>
      </c>
      <c r="E18" s="39">
        <f>VLOOKUP($B18,Population!$B$7:$F$40,4,FALSE)</f>
        <v>0</v>
      </c>
      <c r="F18" s="39">
        <f>VLOOKUP($B18,Burden!$B$6:$H$40,6,FALSE)</f>
        <v>14887.998010048797</v>
      </c>
      <c r="G18" s="39">
        <f>VLOOKUP($B18,'Health Status'!$B$6:$H$40,6,FALSE)</f>
        <v>17184.98090687599</v>
      </c>
      <c r="H18" s="39">
        <f>VLOOKUP($B18,Ethnicity!$B$6:$H$40,6,FALSE)</f>
        <v>5988.1337788984456</v>
      </c>
      <c r="I18" s="39">
        <f>VLOOKUP($B18,Poverty!$B$6:$H$40,6,FALSE)</f>
        <v>7279.5596636049568</v>
      </c>
      <c r="J18" s="39">
        <f>VLOOKUP($B18,Rurality!$B$6:$H$40,6,FALSE)</f>
        <v>0</v>
      </c>
      <c r="K18" s="39">
        <f>VLOOKUP($B18,Education!$B$6:$H$40,6,FALSE)</f>
        <v>7459.5153551735375</v>
      </c>
      <c r="L18" s="39">
        <f>VLOOKUP($B18,Language!$B$6:$H$40,6,FALSE)</f>
        <v>1418.1981058775582</v>
      </c>
      <c r="M18" s="39">
        <f>VLOOKUP($B18,Matching!$B$7:$L$40,10,FALSE)</f>
        <v>11324.389235169103</v>
      </c>
      <c r="N18" s="39">
        <f>VLOOKUP($B18,Incentives!$B$7:$Y$40,23,FALSE)</f>
        <v>1169.02</v>
      </c>
      <c r="O18" s="46">
        <f t="shared" si="1"/>
        <v>134211.7950556484</v>
      </c>
      <c r="P18" s="47">
        <f t="shared" si="0"/>
        <v>8.947453027569767E-3</v>
      </c>
      <c r="Q18" s="47">
        <f t="shared" si="2"/>
        <v>5.3379536838038203E-3</v>
      </c>
      <c r="R18" s="48">
        <f t="shared" si="3"/>
        <v>6.0715582472584666</v>
      </c>
      <c r="U18" s="70"/>
      <c r="V18" s="25"/>
    </row>
    <row r="19" spans="1:22" x14ac:dyDescent="0.25">
      <c r="A19" s="73"/>
      <c r="B19" s="37" t="s">
        <v>70</v>
      </c>
      <c r="C19" s="38">
        <f>VLOOKUP($B19,'County Data'!$B$10:$C$46,2,FALSE)</f>
        <v>22805</v>
      </c>
      <c r="D19" s="39">
        <f>VLOOKUP($B19,Floor!$B$6:$M$45,4,FALSE)</f>
        <v>67500.000000000015</v>
      </c>
      <c r="E19" s="39">
        <f>VLOOKUP($B19,Population!$B$7:$F$40,4,FALSE)</f>
        <v>0</v>
      </c>
      <c r="F19" s="39">
        <f>VLOOKUP($B19,Burden!$B$6:$H$40,6,FALSE)</f>
        <v>21121.660873097931</v>
      </c>
      <c r="G19" s="39">
        <f>VLOOKUP($B19,'Health Status'!$B$6:$H$40,6,FALSE)</f>
        <v>17654.686101051277</v>
      </c>
      <c r="H19" s="39">
        <f>VLOOKUP($B19,Ethnicity!$B$6:$H$40,6,FALSE)</f>
        <v>6882.2417072933176</v>
      </c>
      <c r="I19" s="39">
        <f>VLOOKUP($B19,Poverty!$B$6:$H$40,6,FALSE)</f>
        <v>6798.3420190915249</v>
      </c>
      <c r="J19" s="39">
        <f>VLOOKUP($B19,Rurality!$B$6:$H$40,6,FALSE)</f>
        <v>0</v>
      </c>
      <c r="K19" s="39">
        <f>VLOOKUP($B19,Education!$B$6:$H$40,6,FALSE)</f>
        <v>6392.4259985324625</v>
      </c>
      <c r="L19" s="39">
        <f>VLOOKUP($B19,Language!$B$6:$H$40,6,FALSE)</f>
        <v>2508.1855666426641</v>
      </c>
      <c r="M19" s="39">
        <f>VLOOKUP($B19,Matching!$B$7:$L$40,10,FALSE)</f>
        <v>2250</v>
      </c>
      <c r="N19" s="39">
        <f>VLOOKUP($B19,Incentives!$B$7:$Y$40,23,FALSE)</f>
        <v>1191.79</v>
      </c>
      <c r="O19" s="46">
        <f>SUM(D19:N19)</f>
        <v>132299.33226570921</v>
      </c>
      <c r="P19" s="47">
        <f t="shared" si="0"/>
        <v>8.8199555079004951E-3</v>
      </c>
      <c r="Q19" s="47">
        <f t="shared" si="2"/>
        <v>5.5069908961387073E-3</v>
      </c>
      <c r="R19" s="48">
        <f>O19/C19</f>
        <v>5.801330070848902</v>
      </c>
      <c r="U19" s="70"/>
      <c r="V19" s="25"/>
    </row>
    <row r="20" spans="1:22" x14ac:dyDescent="0.25">
      <c r="A20" s="73"/>
      <c r="B20" s="37" t="s">
        <v>77</v>
      </c>
      <c r="C20" s="38">
        <f>VLOOKUP($B20,'County Data'!$B$10:$C$46,2,FALSE)</f>
        <v>23190</v>
      </c>
      <c r="D20" s="39">
        <f>VLOOKUP($B20,Floor!$B$6:$M$45,4,FALSE)</f>
        <v>67500.000000000015</v>
      </c>
      <c r="E20" s="39">
        <f>VLOOKUP($B20,Population!$B$7:$F$40,4,FALSE)</f>
        <v>0</v>
      </c>
      <c r="F20" s="39">
        <f>VLOOKUP($B20,Burden!$B$6:$H$40,6,FALSE)</f>
        <v>18017.24759105725</v>
      </c>
      <c r="G20" s="39">
        <f>VLOOKUP($B20,'Health Status'!$B$6:$H$40,6,FALSE)</f>
        <v>14316.739751749363</v>
      </c>
      <c r="H20" s="39">
        <f>VLOOKUP($B20,Ethnicity!$B$6:$H$40,6,FALSE)</f>
        <v>21987.191954955546</v>
      </c>
      <c r="I20" s="39">
        <f>VLOOKUP($B20,Poverty!$B$6:$H$40,6,FALSE)</f>
        <v>7986.2682047328572</v>
      </c>
      <c r="J20" s="39">
        <f>VLOOKUP($B20,Rurality!$B$6:$H$40,6,FALSE)</f>
        <v>0</v>
      </c>
      <c r="K20" s="39">
        <f>VLOOKUP($B20,Education!$B$6:$H$40,6,FALSE)</f>
        <v>10413.173409631549</v>
      </c>
      <c r="L20" s="39">
        <f>VLOOKUP($B20,Language!$B$6:$H$40,6,FALSE)</f>
        <v>9777.029421034842</v>
      </c>
      <c r="M20" s="39">
        <f>VLOOKUP($B20,Matching!$B$7:$L$40,10,FALSE)</f>
        <v>7009.8566709908373</v>
      </c>
      <c r="N20" s="39">
        <f>VLOOKUP($B20,Incentives!$B$7:$Y$40,23,FALSE)</f>
        <v>1204.31</v>
      </c>
      <c r="O20" s="46">
        <f t="shared" si="1"/>
        <v>158211.81700415228</v>
      </c>
      <c r="P20" s="47">
        <f t="shared" si="0"/>
        <v>1.054745449507003E-2</v>
      </c>
      <c r="Q20" s="47">
        <f t="shared" si="2"/>
        <v>5.5999613629228945E-3</v>
      </c>
      <c r="R20" s="48">
        <f t="shared" si="3"/>
        <v>6.8224155672338203</v>
      </c>
      <c r="U20" s="70"/>
      <c r="V20" s="25"/>
    </row>
    <row r="21" spans="1:22" x14ac:dyDescent="0.25">
      <c r="B21" s="37" t="s">
        <v>75</v>
      </c>
      <c r="C21" s="38">
        <f>VLOOKUP($B21,'County Data'!$B$10:$C$46,2,FALSE)</f>
        <v>25145</v>
      </c>
      <c r="D21" s="39">
        <f>VLOOKUP($B21,Floor!$B$6:$M$45,4,FALSE)</f>
        <v>67500.000000000015</v>
      </c>
      <c r="E21" s="39">
        <f>VLOOKUP($B21,Population!$B$7:$F$40,4,FALSE)</f>
        <v>0</v>
      </c>
      <c r="F21" s="39">
        <f>VLOOKUP($B21,Burden!$B$6:$H$40,6,FALSE)</f>
        <v>10888.498544864857</v>
      </c>
      <c r="G21" s="39">
        <f>VLOOKUP($B21,'Health Status'!$B$6:$H$40,6,FALSE)</f>
        <v>16262.915590197388</v>
      </c>
      <c r="H21" s="39">
        <f>VLOOKUP($B21,Ethnicity!$B$6:$H$40,6,FALSE)</f>
        <v>21211.731280131313</v>
      </c>
      <c r="I21" s="39">
        <f>VLOOKUP($B21,Poverty!$B$6:$H$40,6,FALSE)</f>
        <v>6684.0818186688621</v>
      </c>
      <c r="J21" s="39">
        <f>VLOOKUP($B21,Rurality!$B$6:$H$40,6,FALSE)</f>
        <v>0</v>
      </c>
      <c r="K21" s="39">
        <f>VLOOKUP($B21,Education!$B$6:$H$40,6,FALSE)</f>
        <v>13480.818885068407</v>
      </c>
      <c r="L21" s="39">
        <f>VLOOKUP($B21,Language!$B$6:$H$40,6,FALSE)</f>
        <v>33417.040417373079</v>
      </c>
      <c r="M21" s="39">
        <f>VLOOKUP($B21,Matching!$B$7:$L$40,10,FALSE)</f>
        <v>0</v>
      </c>
      <c r="N21" s="39">
        <f>VLOOKUP($B21,Incentives!$B$7:$Y$40,23,FALSE)</f>
        <v>1267.9099999999999</v>
      </c>
      <c r="O21" s="46">
        <f t="shared" si="1"/>
        <v>170712.99653630392</v>
      </c>
      <c r="P21" s="47">
        <f t="shared" si="0"/>
        <v>1.1380866466102571E-2</v>
      </c>
      <c r="Q21" s="47">
        <f t="shared" si="2"/>
        <v>6.0720581488010435E-3</v>
      </c>
      <c r="R21" s="48">
        <f t="shared" si="3"/>
        <v>6.7891428330206374</v>
      </c>
      <c r="U21" s="70"/>
      <c r="V21" s="25"/>
    </row>
    <row r="22" spans="1:22" x14ac:dyDescent="0.25">
      <c r="B22" s="37" t="s">
        <v>89</v>
      </c>
      <c r="C22" s="38">
        <f>VLOOKUP($B22,'County Data'!$B$10:$C$46,2,FALSE)</f>
        <v>26175</v>
      </c>
      <c r="D22" s="39">
        <f>VLOOKUP($B22,Floor!$B$6:$M$45,4,FALSE)</f>
        <v>67500.000000000015</v>
      </c>
      <c r="E22" s="39">
        <f>VLOOKUP($B22,Population!$B$7:$F$40,4,FALSE)</f>
        <v>0</v>
      </c>
      <c r="F22" s="39">
        <f>VLOOKUP($B22,Burden!$B$6:$H$40,6,FALSE)</f>
        <v>17959.525415409102</v>
      </c>
      <c r="G22" s="39">
        <f>VLOOKUP($B22,'Health Status'!$B$6:$H$40,6,FALSE)</f>
        <v>16587.082240428317</v>
      </c>
      <c r="H22" s="39">
        <f>VLOOKUP($B22,Ethnicity!$B$6:$H$40,6,FALSE)</f>
        <v>9267.6384432105788</v>
      </c>
      <c r="I22" s="39">
        <f>VLOOKUP($B22,Poverty!$B$6:$H$40,6,FALSE)</f>
        <v>7718.4557259235962</v>
      </c>
      <c r="J22" s="39">
        <f>VLOOKUP($B22,Rurality!$B$6:$H$40,6,FALSE)</f>
        <v>0</v>
      </c>
      <c r="K22" s="39">
        <f>VLOOKUP($B22,Education!$B$6:$H$40,6,FALSE)</f>
        <v>7265.8306291125455</v>
      </c>
      <c r="L22" s="39">
        <f>VLOOKUP($B22,Language!$B$6:$H$40,6,FALSE)</f>
        <v>5757.6634252902195</v>
      </c>
      <c r="M22" s="39">
        <f>VLOOKUP($B22,Matching!$B$7:$L$40,10,FALSE)</f>
        <v>12995.159757887066</v>
      </c>
      <c r="N22" s="39">
        <f>VLOOKUP($B22,Incentives!$B$7:$Y$40,23,FALSE)</f>
        <v>1301.4099999999999</v>
      </c>
      <c r="O22" s="46">
        <f t="shared" si="1"/>
        <v>146352.76563726147</v>
      </c>
      <c r="P22" s="47">
        <f t="shared" si="0"/>
        <v>9.7568510685023674E-3</v>
      </c>
      <c r="Q22" s="47">
        <f t="shared" si="2"/>
        <v>6.3207843326652342E-3</v>
      </c>
      <c r="R22" s="48">
        <f t="shared" si="3"/>
        <v>5.5913186489880218</v>
      </c>
      <c r="U22" s="70"/>
      <c r="V22" s="25"/>
    </row>
    <row r="23" spans="1:22" x14ac:dyDescent="0.25">
      <c r="B23" s="37" t="s">
        <v>91</v>
      </c>
      <c r="C23" s="38">
        <f>VLOOKUP($B23,'County Data'!$B$10:$C$46,2,FALSE)</f>
        <v>26900</v>
      </c>
      <c r="D23" s="39">
        <f>VLOOKUP($B23,Floor!$B$6:$M$45,4,FALSE)</f>
        <v>67500.000000000015</v>
      </c>
      <c r="E23" s="39">
        <f>VLOOKUP($B23,Population!$B$7:$F$40,4,FALSE)</f>
        <v>0</v>
      </c>
      <c r="F23" s="39">
        <f>VLOOKUP($B23,Burden!$B$6:$H$40,6,FALSE)</f>
        <v>16652.523150096789</v>
      </c>
      <c r="G23" s="39">
        <f>VLOOKUP($B23,'Health Status'!$B$6:$H$40,6,FALSE)</f>
        <v>12653.082792568481</v>
      </c>
      <c r="H23" s="39">
        <f>VLOOKUP($B23,Ethnicity!$B$6:$H$40,6,FALSE)</f>
        <v>6583.936420351798</v>
      </c>
      <c r="I23" s="39">
        <f>VLOOKUP($B23,Poverty!$B$6:$H$40,6,FALSE)</f>
        <v>9582.3810732159454</v>
      </c>
      <c r="J23" s="39">
        <f>VLOOKUP($B23,Rurality!$B$6:$H$40,6,FALSE)</f>
        <v>0</v>
      </c>
      <c r="K23" s="39">
        <f>VLOOKUP($B23,Education!$B$6:$H$40,6,FALSE)</f>
        <v>5417.2940241254873</v>
      </c>
      <c r="L23" s="39">
        <f>VLOOKUP($B23,Language!$B$6:$H$40,6,FALSE)</f>
        <v>3451.6651479851898</v>
      </c>
      <c r="M23" s="39">
        <f>VLOOKUP($B23,Matching!$B$7:$L$40,10,FALSE)</f>
        <v>24335.562367691466</v>
      </c>
      <c r="N23" s="39">
        <f>VLOOKUP($B23,Incentives!$B$7:$Y$40,23,FALSE)</f>
        <v>1324.99</v>
      </c>
      <c r="O23" s="46">
        <f t="shared" si="1"/>
        <v>147501.43497603518</v>
      </c>
      <c r="P23" s="47">
        <f t="shared" si="0"/>
        <v>9.8334290246248224E-3</v>
      </c>
      <c r="Q23" s="47">
        <f t="shared" si="2"/>
        <v>6.4958585882977952E-3</v>
      </c>
      <c r="R23" s="48">
        <f t="shared" si="3"/>
        <v>5.4833247202987057</v>
      </c>
      <c r="U23" s="70"/>
      <c r="V23" s="25"/>
    </row>
    <row r="24" spans="1:22" x14ac:dyDescent="0.25">
      <c r="B24" s="89" t="s">
        <v>100</v>
      </c>
      <c r="C24" s="38">
        <f>VLOOKUP($B24,'County Data'!$B$10:$C$46,2,FALSE)</f>
        <v>30895</v>
      </c>
      <c r="D24" s="39">
        <f>VLOOKUP($B24,Floor!$B$6:$M$45,4,FALSE)</f>
        <v>157500</v>
      </c>
      <c r="E24" s="39">
        <f>VLOOKUP($B24,Population!$B$7:$F$40,4,FALSE)</f>
        <v>0</v>
      </c>
      <c r="F24" s="39">
        <f>VLOOKUP($B24,Burden!$B$6:$H$40,6,FALSE)</f>
        <v>21559.809277018234</v>
      </c>
      <c r="G24" s="39">
        <f>VLOOKUP($B24,'Health Status'!$B$6:$H$40,6,FALSE)</f>
        <v>15844.167668730717</v>
      </c>
      <c r="H24" s="39">
        <f>VLOOKUP($B24,Ethnicity!$B$6:$H$40,6,FALSE)</f>
        <v>16586.379962119398</v>
      </c>
      <c r="I24" s="39">
        <f>VLOOKUP($B24,Poverty!$B$6:$H$40,6,FALSE)</f>
        <v>8644.7952522851483</v>
      </c>
      <c r="J24" s="39">
        <f>VLOOKUP($B24,Rurality!$B$6:$H$40,6,FALSE)</f>
        <v>0</v>
      </c>
      <c r="K24" s="39">
        <f>VLOOKUP($B24,Education!$B$6:$H$40,6,FALSE)</f>
        <v>11309.20786014718</v>
      </c>
      <c r="L24" s="39">
        <f>VLOOKUP($B24,Language!$B$6:$H$40,6,FALSE)</f>
        <v>15719.245554443538</v>
      </c>
      <c r="M24" s="39">
        <f>VLOOKUP($B24,Matching!$B$7:$L$40,10,FALSE)</f>
        <v>0</v>
      </c>
      <c r="N24" s="39">
        <f>VLOOKUP($B24,Incentives!$B$7:$Y$40,23,FALSE)</f>
        <v>1454.94</v>
      </c>
      <c r="O24" s="46">
        <f t="shared" si="1"/>
        <v>248618.5455747442</v>
      </c>
      <c r="P24" s="47">
        <f t="shared" si="0"/>
        <v>1.6574569749181797E-2</v>
      </c>
      <c r="Q24" s="47">
        <f t="shared" si="2"/>
        <v>7.4605781072661853E-3</v>
      </c>
      <c r="R24" s="48">
        <f t="shared" si="3"/>
        <v>8.0472097612799551</v>
      </c>
      <c r="U24" s="70"/>
      <c r="V24" s="25"/>
    </row>
    <row r="25" spans="1:22" x14ac:dyDescent="0.25">
      <c r="B25" s="37" t="s">
        <v>84</v>
      </c>
      <c r="C25" s="38">
        <f>VLOOKUP($B25,'County Data'!$B$10:$C$46,2,FALSE)</f>
        <v>31845</v>
      </c>
      <c r="D25" s="39">
        <f>VLOOKUP($B25,Floor!$B$6:$M$45,4,FALSE)</f>
        <v>67500.000000000015</v>
      </c>
      <c r="E25" s="39">
        <f>VLOOKUP($B25,Population!$B$7:$F$40,4,FALSE)</f>
        <v>0</v>
      </c>
      <c r="F25" s="39">
        <f>VLOOKUP($B25,Burden!$B$6:$H$40,6,FALSE)</f>
        <v>19644.78297438136</v>
      </c>
      <c r="G25" s="39">
        <f>VLOOKUP($B25,'Health Status'!$B$6:$H$40,6,FALSE)</f>
        <v>29854.151171757931</v>
      </c>
      <c r="H25" s="39">
        <f>VLOOKUP($B25,Ethnicity!$B$6:$H$40,6,FALSE)</f>
        <v>28755.503308304458</v>
      </c>
      <c r="I25" s="39">
        <f>VLOOKUP($B25,Poverty!$B$6:$H$40,6,FALSE)</f>
        <v>13228.838728731551</v>
      </c>
      <c r="J25" s="39">
        <f>VLOOKUP($B25,Rurality!$B$6:$H$40,6,FALSE)</f>
        <v>0</v>
      </c>
      <c r="K25" s="39">
        <f>VLOOKUP($B25,Education!$B$6:$H$40,6,FALSE)</f>
        <v>17246.17296868128</v>
      </c>
      <c r="L25" s="39">
        <f>VLOOKUP($B25,Language!$B$6:$H$40,6,FALSE)</f>
        <v>26852.048461651964</v>
      </c>
      <c r="M25" s="39">
        <f>VLOOKUP($B25,Matching!$B$7:$L$40,10,FALSE)</f>
        <v>15322.898223822436</v>
      </c>
      <c r="N25" s="39">
        <f>VLOOKUP($B25,Incentives!$B$7:$Y$40,23,FALSE)</f>
        <v>1485.84</v>
      </c>
      <c r="O25" s="46">
        <f t="shared" si="1"/>
        <v>219890.23583733101</v>
      </c>
      <c r="P25" s="47">
        <f t="shared" si="0"/>
        <v>1.4659349094913664E-2</v>
      </c>
      <c r="Q25" s="47">
        <f t="shared" si="2"/>
        <v>7.6899857525778176E-3</v>
      </c>
      <c r="R25" s="48">
        <f t="shared" si="3"/>
        <v>6.9050160413669657</v>
      </c>
      <c r="U25" s="70"/>
      <c r="V25" s="25"/>
    </row>
    <row r="26" spans="1:22" x14ac:dyDescent="0.25">
      <c r="B26" s="37" t="s">
        <v>66</v>
      </c>
      <c r="C26" s="38">
        <f>VLOOKUP($B26,'County Data'!$B$10:$C$46,2,FALSE)</f>
        <v>38820</v>
      </c>
      <c r="D26" s="39">
        <f>VLOOKUP($B26,Floor!$B$6:$M$45,4,FALSE)</f>
        <v>67500.000000000015</v>
      </c>
      <c r="E26" s="39">
        <f>VLOOKUP($B26,Population!$B$7:$F$40,4,FALSE)</f>
        <v>0</v>
      </c>
      <c r="F26" s="39">
        <f>VLOOKUP($B26,Burden!$B$6:$H$40,6,FALSE)</f>
        <v>27912.181932943324</v>
      </c>
      <c r="G26" s="39">
        <f>VLOOKUP($B26,'Health Status'!$B$6:$H$40,6,FALSE)</f>
        <v>19654.808052241795</v>
      </c>
      <c r="H26" s="39">
        <f>VLOOKUP($B26,Ethnicity!$B$6:$H$40,6,FALSE)</f>
        <v>12730.068514690096</v>
      </c>
      <c r="I26" s="39">
        <f>VLOOKUP($B26,Poverty!$B$6:$H$40,6,FALSE)</f>
        <v>10820.528152261475</v>
      </c>
      <c r="J26" s="39">
        <f>VLOOKUP($B26,Rurality!$B$6:$H$40,6,FALSE)</f>
        <v>0</v>
      </c>
      <c r="K26" s="39">
        <f>VLOOKUP($B26,Education!$B$6:$H$40,6,FALSE)</f>
        <v>8557.343351422016</v>
      </c>
      <c r="L26" s="39">
        <f>VLOOKUP($B26,Language!$B$6:$H$40,6,FALSE)</f>
        <v>10318.150797394497</v>
      </c>
      <c r="M26" s="39">
        <f>VLOOKUP($B26,Matching!$B$7:$L$40,10,FALSE)</f>
        <v>2250</v>
      </c>
      <c r="N26" s="39">
        <f>VLOOKUP($B26,Incentives!$B$7:$Y$40,23,FALSE)</f>
        <v>1712.72</v>
      </c>
      <c r="O26" s="46">
        <f t="shared" si="1"/>
        <v>161455.80080095321</v>
      </c>
      <c r="P26" s="47">
        <f t="shared" si="0"/>
        <v>1.0763720082100133E-2</v>
      </c>
      <c r="Q26" s="47">
        <f t="shared" si="2"/>
        <v>9.3743208326290111E-3</v>
      </c>
      <c r="R26" s="48">
        <f t="shared" si="3"/>
        <v>4.1590881195505718</v>
      </c>
      <c r="U26" s="70"/>
      <c r="V26" s="25"/>
    </row>
    <row r="27" spans="1:22" x14ac:dyDescent="0.25">
      <c r="B27" s="37" t="s">
        <v>82</v>
      </c>
      <c r="C27" s="38">
        <f>VLOOKUP($B27,'County Data'!$B$10:$C$46,2,FALSE)</f>
        <v>47960</v>
      </c>
      <c r="D27" s="39">
        <f>VLOOKUP($B27,Floor!$B$6:$M$45,4,FALSE)</f>
        <v>67500.000000000015</v>
      </c>
      <c r="E27" s="39">
        <f>VLOOKUP($B27,Population!$B$7:$F$40,4,FALSE)</f>
        <v>0</v>
      </c>
      <c r="F27" s="39">
        <f>VLOOKUP($B27,Burden!$B$6:$H$40,6,FALSE)</f>
        <v>40094.528279585364</v>
      </c>
      <c r="G27" s="39">
        <f>VLOOKUP($B27,'Health Status'!$B$6:$H$40,6,FALSE)</f>
        <v>32272.155424077431</v>
      </c>
      <c r="H27" s="39">
        <f>VLOOKUP($B27,Ethnicity!$B$6:$H$40,6,FALSE)</f>
        <v>19488.185661793905</v>
      </c>
      <c r="I27" s="39">
        <f>VLOOKUP($B27,Poverty!$B$6:$H$40,6,FALSE)</f>
        <v>15484.371891129847</v>
      </c>
      <c r="J27" s="39">
        <f>VLOOKUP($B27,Rurality!$B$6:$H$40,6,FALSE)</f>
        <v>0</v>
      </c>
      <c r="K27" s="39">
        <f>VLOOKUP($B27,Education!$B$6:$H$40,6,FALSE)</f>
        <v>13965.65663090789</v>
      </c>
      <c r="L27" s="39">
        <f>VLOOKUP($B27,Language!$B$6:$H$40,6,FALSE)</f>
        <v>13626.653413219494</v>
      </c>
      <c r="M27" s="39">
        <f>VLOOKUP($B27,Matching!$B$7:$L$40,10,FALSE)</f>
        <v>12094.085233777721</v>
      </c>
      <c r="N27" s="39">
        <f>VLOOKUP($B27,Incentives!$B$7:$Y$40,23,FALSE)</f>
        <v>2010.02</v>
      </c>
      <c r="O27" s="46">
        <f t="shared" si="1"/>
        <v>216535.65653449169</v>
      </c>
      <c r="P27" s="47">
        <f t="shared" si="0"/>
        <v>1.4435710474128007E-2</v>
      </c>
      <c r="Q27" s="47">
        <f t="shared" si="2"/>
        <v>1.158146386225882E-2</v>
      </c>
      <c r="R27" s="48">
        <f t="shared" si="3"/>
        <v>4.5149219460903192</v>
      </c>
      <c r="U27" s="70"/>
      <c r="V27" s="25"/>
    </row>
    <row r="28" spans="1:22" x14ac:dyDescent="0.25">
      <c r="B28" s="37" t="s">
        <v>67</v>
      </c>
      <c r="C28" s="38">
        <f>VLOOKUP($B28,'County Data'!$B$10:$C$46,2,FALSE)</f>
        <v>51345</v>
      </c>
      <c r="D28" s="39">
        <f>VLOOKUP($B28,Floor!$B$6:$M$45,4,FALSE)</f>
        <v>67500.000000000015</v>
      </c>
      <c r="E28" s="39">
        <f>VLOOKUP($B28,Population!$B$7:$F$40,4,FALSE)</f>
        <v>0</v>
      </c>
      <c r="F28" s="39">
        <f>VLOOKUP($B28,Burden!$B$6:$H$40,6,FALSE)</f>
        <v>31446.908335515171</v>
      </c>
      <c r="G28" s="39">
        <f>VLOOKUP($B28,'Health Status'!$B$6:$H$40,6,FALSE)</f>
        <v>32369.57854321424</v>
      </c>
      <c r="H28" s="39">
        <f>VLOOKUP($B28,Ethnicity!$B$6:$H$40,6,FALSE)</f>
        <v>12933.025893569886</v>
      </c>
      <c r="I28" s="39">
        <f>VLOOKUP($B28,Poverty!$B$6:$H$40,6,FALSE)</f>
        <v>12930.257679421356</v>
      </c>
      <c r="J28" s="39">
        <f>VLOOKUP($B28,Rurality!$B$6:$H$40,6,FALSE)</f>
        <v>0</v>
      </c>
      <c r="K28" s="39">
        <f>VLOOKUP($B28,Education!$B$6:$H$40,6,FALSE)</f>
        <v>13414.293338791029</v>
      </c>
      <c r="L28" s="39">
        <f>VLOOKUP($B28,Language!$B$6:$H$40,6,FALSE)</f>
        <v>6588.3177332081632</v>
      </c>
      <c r="M28" s="39">
        <f>VLOOKUP($B28,Matching!$B$7:$L$40,10,FALSE)</f>
        <v>0</v>
      </c>
      <c r="N28" s="39">
        <f>VLOOKUP($B28,Incentives!$B$7:$Y$40,23,FALSE)</f>
        <v>2120.13</v>
      </c>
      <c r="O28" s="46">
        <f t="shared" si="1"/>
        <v>179302.51152371988</v>
      </c>
      <c r="P28" s="47">
        <f t="shared" si="0"/>
        <v>1.1953500800123994E-2</v>
      </c>
      <c r="Q28" s="47">
        <f t="shared" si="2"/>
        <v>1.2398879524763951E-2</v>
      </c>
      <c r="R28" s="48">
        <f t="shared" si="3"/>
        <v>3.4921124067332725</v>
      </c>
      <c r="U28" s="70"/>
      <c r="V28" s="25"/>
    </row>
    <row r="29" spans="1:22" x14ac:dyDescent="0.25">
      <c r="B29" s="37" t="s">
        <v>68</v>
      </c>
      <c r="C29" s="38">
        <f>VLOOKUP($B29,'County Data'!$B$10:$C$46,2,FALSE)</f>
        <v>63310</v>
      </c>
      <c r="D29" s="39">
        <f>VLOOKUP($B29,Floor!$B$6:$M$45,4,FALSE)</f>
        <v>67500.000000000015</v>
      </c>
      <c r="E29" s="39">
        <f>VLOOKUP($B29,Population!$B$7:$F$40,4,FALSE)</f>
        <v>0</v>
      </c>
      <c r="F29" s="39">
        <f>VLOOKUP($B29,Burden!$B$6:$H$40,6,FALSE)</f>
        <v>51628.891075438121</v>
      </c>
      <c r="G29" s="39">
        <f>VLOOKUP($B29,'Health Status'!$B$6:$H$40,6,FALSE)</f>
        <v>45496.351650003169</v>
      </c>
      <c r="H29" s="39">
        <f>VLOOKUP($B29,Ethnicity!$B$6:$H$40,6,FALSE)</f>
        <v>21663.615016867949</v>
      </c>
      <c r="I29" s="39">
        <f>VLOOKUP($B29,Poverty!$B$6:$H$40,6,FALSE)</f>
        <v>21802.959898302601</v>
      </c>
      <c r="J29" s="39">
        <f>VLOOKUP($B29,Rurality!$B$6:$H$40,6,FALSE)</f>
        <v>0</v>
      </c>
      <c r="K29" s="39">
        <f>VLOOKUP($B29,Education!$B$6:$H$40,6,FALSE)</f>
        <v>19124.658996322563</v>
      </c>
      <c r="L29" s="39">
        <f>VLOOKUP($B29,Language!$B$6:$H$40,6,FALSE)</f>
        <v>8703.8603499313213</v>
      </c>
      <c r="M29" s="39">
        <f>VLOOKUP($B29,Matching!$B$7:$L$40,10,FALSE)</f>
        <v>28240.530639098484</v>
      </c>
      <c r="N29" s="39">
        <f>VLOOKUP($B29,Incentives!$B$7:$Y$40,23,FALSE)</f>
        <v>2509.3200000000002</v>
      </c>
      <c r="O29" s="46">
        <f t="shared" si="1"/>
        <v>266670.18762596423</v>
      </c>
      <c r="P29" s="47">
        <f t="shared" si="0"/>
        <v>1.7778012555805647E-2</v>
      </c>
      <c r="Q29" s="47">
        <f t="shared" si="2"/>
        <v>1.5288208447030983E-2</v>
      </c>
      <c r="R29" s="48">
        <f t="shared" si="3"/>
        <v>4.2121337486331418</v>
      </c>
      <c r="U29" s="70"/>
      <c r="V29" s="25"/>
    </row>
    <row r="30" spans="1:22" x14ac:dyDescent="0.25">
      <c r="B30" s="37" t="s">
        <v>79</v>
      </c>
      <c r="C30" s="38">
        <f>VLOOKUP($B30,'County Data'!$B$10:$C$46,2,FALSE)</f>
        <v>67690</v>
      </c>
      <c r="D30" s="39">
        <f>VLOOKUP($B30,Floor!$B$6:$M$45,4,FALSE)</f>
        <v>67500.000000000015</v>
      </c>
      <c r="E30" s="39">
        <f>VLOOKUP($B30,Population!$B$7:$F$40,4,FALSE)</f>
        <v>0</v>
      </c>
      <c r="F30" s="39">
        <f>VLOOKUP($B30,Burden!$B$6:$H$40,6,FALSE)</f>
        <v>53270.251050882754</v>
      </c>
      <c r="G30" s="39">
        <f>VLOOKUP($B30,'Health Status'!$B$6:$H$40,6,FALSE)</f>
        <v>47538.399023963873</v>
      </c>
      <c r="H30" s="39">
        <f>VLOOKUP($B30,Ethnicity!$B$6:$H$40,6,FALSE)</f>
        <v>33295.917224087032</v>
      </c>
      <c r="I30" s="39">
        <f>VLOOKUP($B30,Poverty!$B$6:$H$40,6,FALSE)</f>
        <v>23675.602469136658</v>
      </c>
      <c r="J30" s="39">
        <f>VLOOKUP($B30,Rurality!$B$6:$H$40,6,FALSE)</f>
        <v>0</v>
      </c>
      <c r="K30" s="39">
        <f>VLOOKUP($B30,Education!$B$6:$H$40,6,FALSE)</f>
        <v>22842.551205233962</v>
      </c>
      <c r="L30" s="39">
        <f>VLOOKUP($B30,Language!$B$6:$H$40,6,FALSE)</f>
        <v>18612.045714321626</v>
      </c>
      <c r="M30" s="39">
        <f>VLOOKUP($B30,Matching!$B$7:$L$40,10,FALSE)</f>
        <v>57825.156753495743</v>
      </c>
      <c r="N30" s="39">
        <f>VLOOKUP($B30,Incentives!$B$7:$Y$40,23,FALSE)</f>
        <v>2651.79</v>
      </c>
      <c r="O30" s="46">
        <f t="shared" si="1"/>
        <v>327211.71344112162</v>
      </c>
      <c r="P30" s="47">
        <f t="shared" si="0"/>
        <v>2.1814114287579078E-2</v>
      </c>
      <c r="Q30" s="47">
        <f t="shared" si="2"/>
        <v>1.634589843278356E-2</v>
      </c>
      <c r="R30" s="48">
        <f t="shared" si="3"/>
        <v>4.8339741976823998</v>
      </c>
      <c r="S30" s="48">
        <f>SUM(O18:O30)/SUM(C18:C30)</f>
        <v>5.2468705476195119</v>
      </c>
      <c r="U30" s="70"/>
      <c r="V30" s="25"/>
    </row>
    <row r="31" spans="1:22" x14ac:dyDescent="0.25">
      <c r="A31" s="73"/>
      <c r="B31" s="83" t="s">
        <v>90</v>
      </c>
      <c r="C31" s="84">
        <f>VLOOKUP($B31,'County Data'!$B$10:$C$46,2,FALSE)</f>
        <v>80500</v>
      </c>
      <c r="D31" s="85">
        <f>VLOOKUP($B31,Floor!$B$6:$M$45,4,FALSE)</f>
        <v>90000</v>
      </c>
      <c r="E31" s="85">
        <f>VLOOKUP($B31,Population!$B$7:$F$40,4,FALSE)</f>
        <v>0</v>
      </c>
      <c r="F31" s="85">
        <f>VLOOKUP($B31,Burden!$B$6:$H$40,6,FALSE)</f>
        <v>46313.153141383045</v>
      </c>
      <c r="G31" s="85">
        <f>VLOOKUP($B31,'Health Status'!$B$6:$H$40,6,FALSE)</f>
        <v>57849.570491632519</v>
      </c>
      <c r="H31" s="85">
        <f>VLOOKUP($B31,Ethnicity!$B$6:$H$40,6,FALSE)</f>
        <v>62360.50221218184</v>
      </c>
      <c r="I31" s="85">
        <f>VLOOKUP($B31,Poverty!$B$6:$H$40,6,FALSE)</f>
        <v>25816.972289151643</v>
      </c>
      <c r="J31" s="85">
        <f>VLOOKUP($B31,Rurality!$B$6:$H$40,6,FALSE)</f>
        <v>0</v>
      </c>
      <c r="K31" s="85">
        <f>VLOOKUP($B31,Education!$B$6:$H$40,6,FALSE)</f>
        <v>38119.178838503816</v>
      </c>
      <c r="L31" s="85">
        <f>VLOOKUP($B31,Language!$B$6:$H$40,6,FALSE)</f>
        <v>76732.18433067447</v>
      </c>
      <c r="M31" s="85">
        <f>VLOOKUP($B31,Matching!$B$7:$L$40,10,FALSE)</f>
        <v>0</v>
      </c>
      <c r="N31" s="85">
        <f>VLOOKUP($B31,Incentives!$B$7:$Y$40,23,FALSE)</f>
        <v>3068.47</v>
      </c>
      <c r="O31" s="86">
        <f>SUM(D31:N31)</f>
        <v>400260.03130352736</v>
      </c>
      <c r="P31" s="87">
        <f t="shared" si="0"/>
        <v>2.6684002158059161E-2</v>
      </c>
      <c r="Q31" s="87">
        <f t="shared" si="2"/>
        <v>1.9439279418511989E-2</v>
      </c>
      <c r="R31" s="88">
        <f>O31/C31</f>
        <v>4.972174301907172</v>
      </c>
      <c r="U31" s="70"/>
      <c r="V31" s="25"/>
    </row>
    <row r="32" spans="1:22" x14ac:dyDescent="0.25">
      <c r="A32" s="73"/>
      <c r="B32" s="83" t="s">
        <v>88</v>
      </c>
      <c r="C32" s="84">
        <f>VLOOKUP($B32,'County Data'!$B$10:$C$46,2,FALSE)</f>
        <v>81000</v>
      </c>
      <c r="D32" s="85">
        <f>VLOOKUP($B32,Floor!$B$6:$M$45,4,FALSE)</f>
        <v>90000</v>
      </c>
      <c r="E32" s="85">
        <f>VLOOKUP($B32,Population!$B$7:$F$40,4,FALSE)</f>
        <v>0</v>
      </c>
      <c r="F32" s="85">
        <f>VLOOKUP($B32,Burden!$B$6:$H$40,6,FALSE)</f>
        <v>40570.434626604612</v>
      </c>
      <c r="G32" s="85">
        <f>VLOOKUP($B32,'Health Status'!$B$6:$H$40,6,FALSE)</f>
        <v>38364.946664270137</v>
      </c>
      <c r="H32" s="85">
        <f>VLOOKUP($B32,Ethnicity!$B$6:$H$40,6,FALSE)</f>
        <v>39842.950142577181</v>
      </c>
      <c r="I32" s="85">
        <f>VLOOKUP($B32,Poverty!$B$6:$H$40,6,FALSE)</f>
        <v>21182.853206360072</v>
      </c>
      <c r="J32" s="85">
        <f>VLOOKUP($B32,Rurality!$B$6:$H$40,6,FALSE)</f>
        <v>0</v>
      </c>
      <c r="K32" s="85">
        <f>VLOOKUP($B32,Education!$B$6:$H$40,6,FALSE)</f>
        <v>19839.281340236514</v>
      </c>
      <c r="L32" s="85">
        <f>VLOOKUP($B32,Language!$B$6:$H$40,6,FALSE)</f>
        <v>32665.253816832763</v>
      </c>
      <c r="M32" s="85">
        <f>VLOOKUP($B32,Matching!$B$7:$L$40,10,FALSE)</f>
        <v>35501.629321734683</v>
      </c>
      <c r="N32" s="85">
        <f>VLOOKUP($B32,Incentives!$B$7:$Y$40,23,FALSE)</f>
        <v>3084.73</v>
      </c>
      <c r="O32" s="86">
        <f t="shared" si="1"/>
        <v>321052.07911861595</v>
      </c>
      <c r="P32" s="87">
        <f t="shared" si="0"/>
        <v>2.1403471998316988E-2</v>
      </c>
      <c r="Q32" s="87">
        <f t="shared" si="2"/>
        <v>1.956002028446548E-2</v>
      </c>
      <c r="R32" s="88">
        <f t="shared" si="3"/>
        <v>3.9636059150446412</v>
      </c>
      <c r="U32" s="70"/>
      <c r="V32" s="25"/>
    </row>
    <row r="33" spans="2:22" x14ac:dyDescent="0.25">
      <c r="B33" s="83" t="s">
        <v>78</v>
      </c>
      <c r="C33" s="84">
        <f>VLOOKUP($B33,'County Data'!$B$10:$C$46,2,FALSE)</f>
        <v>85650</v>
      </c>
      <c r="D33" s="85">
        <f>VLOOKUP($B33,Floor!$B$6:$M$45,4,FALSE)</f>
        <v>90000</v>
      </c>
      <c r="E33" s="85">
        <f>VLOOKUP($B33,Population!$B$7:$F$40,4,FALSE)</f>
        <v>0</v>
      </c>
      <c r="F33" s="85">
        <f>VLOOKUP($B33,Burden!$B$6:$H$40,6,FALSE)</f>
        <v>70653.137416758371</v>
      </c>
      <c r="G33" s="85">
        <f>VLOOKUP($B33,'Health Status'!$B$6:$H$40,6,FALSE)</f>
        <v>53437.029989169401</v>
      </c>
      <c r="H33" s="85">
        <f>VLOOKUP($B33,Ethnicity!$B$6:$H$40,6,FALSE)</f>
        <v>25033.90514728595</v>
      </c>
      <c r="I33" s="85">
        <f>VLOOKUP($B33,Poverty!$B$6:$H$40,6,FALSE)</f>
        <v>32907.034579765903</v>
      </c>
      <c r="J33" s="85">
        <f>VLOOKUP($B33,Rurality!$B$6:$H$40,6,FALSE)</f>
        <v>0</v>
      </c>
      <c r="K33" s="85">
        <f>VLOOKUP($B33,Education!$B$6:$H$40,6,FALSE)</f>
        <v>26106.208236024806</v>
      </c>
      <c r="L33" s="85">
        <f>VLOOKUP($B33,Language!$B$6:$H$40,6,FALSE)</f>
        <v>9420.1312774805592</v>
      </c>
      <c r="M33" s="85">
        <f>VLOOKUP($B33,Matching!$B$7:$L$40,10,FALSE)</f>
        <v>2250</v>
      </c>
      <c r="N33" s="85">
        <f>VLOOKUP($B33,Incentives!$B$7:$Y$40,23,FALSE)</f>
        <v>3235.99</v>
      </c>
      <c r="O33" s="86">
        <f t="shared" si="1"/>
        <v>313043.43664648506</v>
      </c>
      <c r="P33" s="87">
        <f t="shared" si="0"/>
        <v>2.086956249875117E-2</v>
      </c>
      <c r="Q33" s="87">
        <f t="shared" si="2"/>
        <v>2.0682910337832944E-2</v>
      </c>
      <c r="R33" s="88">
        <f t="shared" si="3"/>
        <v>3.6549146135024526</v>
      </c>
      <c r="U33" s="70"/>
      <c r="V33" s="25"/>
    </row>
    <row r="34" spans="2:22" x14ac:dyDescent="0.25">
      <c r="B34" s="83" t="s">
        <v>64</v>
      </c>
      <c r="C34" s="84">
        <f>VLOOKUP($B34,'County Data'!$B$10:$C$46,2,FALSE)</f>
        <v>92575</v>
      </c>
      <c r="D34" s="85">
        <f>VLOOKUP($B34,Floor!$B$6:$M$45,4,FALSE)</f>
        <v>90000</v>
      </c>
      <c r="E34" s="85">
        <f>VLOOKUP($B34,Population!$B$7:$F$40,4,FALSE)</f>
        <v>0</v>
      </c>
      <c r="F34" s="85">
        <f>VLOOKUP($B34,Burden!$B$6:$H$40,6,FALSE)</f>
        <v>34337.148088911395</v>
      </c>
      <c r="G34" s="85">
        <f>VLOOKUP($B34,'Health Status'!$B$6:$H$40,6,FALSE)</f>
        <v>42940.158460379964</v>
      </c>
      <c r="H34" s="85">
        <f>VLOOKUP($B34,Ethnicity!$B$6:$H$40,6,FALSE)</f>
        <v>40036.972739293451</v>
      </c>
      <c r="I34" s="85">
        <f>VLOOKUP($B34,Poverty!$B$6:$H$40,6,FALSE)</f>
        <v>30187.664409915735</v>
      </c>
      <c r="J34" s="85">
        <f>VLOOKUP($B34,Rurality!$B$6:$H$40,6,FALSE)</f>
        <v>0</v>
      </c>
      <c r="K34" s="85">
        <f>VLOOKUP($B34,Education!$B$6:$H$40,6,FALSE)</f>
        <v>12596.855075942354</v>
      </c>
      <c r="L34" s="85">
        <f>VLOOKUP($B34,Language!$B$6:$H$40,6,FALSE)</f>
        <v>33090.754492603373</v>
      </c>
      <c r="M34" s="85">
        <f>VLOOKUP($B34,Matching!$B$7:$L$40,10,FALSE)</f>
        <v>21251.634066918501</v>
      </c>
      <c r="N34" s="85">
        <f>VLOOKUP($B34,Incentives!$B$7:$Y$40,23,FALSE)</f>
        <v>3461.24</v>
      </c>
      <c r="O34" s="86">
        <f t="shared" si="1"/>
        <v>307902.42733396479</v>
      </c>
      <c r="P34" s="87">
        <f t="shared" si="0"/>
        <v>2.0526828543669193E-2</v>
      </c>
      <c r="Q34" s="87">
        <f t="shared" si="2"/>
        <v>2.2355171331288788E-2</v>
      </c>
      <c r="R34" s="88">
        <f t="shared" si="3"/>
        <v>3.3259781510555202</v>
      </c>
      <c r="U34" s="70"/>
      <c r="V34" s="25"/>
    </row>
    <row r="35" spans="2:22" x14ac:dyDescent="0.25">
      <c r="B35" s="83" t="s">
        <v>95</v>
      </c>
      <c r="C35" s="84">
        <f>VLOOKUP($B35,'County Data'!$B$10:$C$46,2,FALSE)</f>
        <v>106300</v>
      </c>
      <c r="D35" s="85">
        <f>VLOOKUP($B35,Floor!$B$6:$M$45,4,FALSE)</f>
        <v>90000</v>
      </c>
      <c r="E35" s="85">
        <f>VLOOKUP($B35,Population!$B$7:$F$40,4,FALSE)</f>
        <v>0</v>
      </c>
      <c r="F35" s="85">
        <f>VLOOKUP($B35,Burden!$B$6:$H$40,6,FALSE)</f>
        <v>53348.549553320023</v>
      </c>
      <c r="G35" s="85">
        <f>VLOOKUP($B35,'Health Status'!$B$6:$H$40,6,FALSE)</f>
        <v>66320.563781070712</v>
      </c>
      <c r="H35" s="85">
        <f>VLOOKUP($B35,Ethnicity!$B$6:$H$40,6,FALSE)</f>
        <v>55571.493531001965</v>
      </c>
      <c r="I35" s="85">
        <f>VLOOKUP($B35,Poverty!$B$6:$H$40,6,FALSE)</f>
        <v>28256.826300437468</v>
      </c>
      <c r="J35" s="85">
        <f>VLOOKUP($B35,Rurality!$B$6:$H$40,6,FALSE)</f>
        <v>0</v>
      </c>
      <c r="K35" s="85">
        <f>VLOOKUP($B35,Education!$B$6:$H$40,6,FALSE)</f>
        <v>34714.660188759532</v>
      </c>
      <c r="L35" s="85">
        <f>VLOOKUP($B35,Language!$B$6:$H$40,6,FALSE)</f>
        <v>52610.855768626097</v>
      </c>
      <c r="M35" s="85">
        <f>VLOOKUP($B35,Matching!$B$7:$L$40,10,FALSE)</f>
        <v>0</v>
      </c>
      <c r="N35" s="85">
        <f>VLOOKUP($B35,Incentives!$B$7:$Y$40,23,FALSE)</f>
        <v>3907.68</v>
      </c>
      <c r="O35" s="86">
        <f t="shared" si="1"/>
        <v>384730.62912321574</v>
      </c>
      <c r="P35" s="87">
        <f t="shared" si="0"/>
        <v>2.5648708676610937E-2</v>
      </c>
      <c r="Q35" s="87">
        <f t="shared" si="2"/>
        <v>2.5669508101712105E-2</v>
      </c>
      <c r="R35" s="88">
        <f t="shared" si="3"/>
        <v>3.6192909607075801</v>
      </c>
      <c r="U35" s="70"/>
      <c r="V35" s="25"/>
    </row>
    <row r="36" spans="2:22" x14ac:dyDescent="0.25">
      <c r="B36" s="83" t="s">
        <v>72</v>
      </c>
      <c r="C36" s="84">
        <f>VLOOKUP($B36,'County Data'!$B$10:$C$46,2,FALSE)</f>
        <v>111180</v>
      </c>
      <c r="D36" s="85">
        <f>VLOOKUP($B36,Floor!$B$6:$M$45,4,FALSE)</f>
        <v>90000</v>
      </c>
      <c r="E36" s="85">
        <f>VLOOKUP($B36,Population!$B$7:$F$40,4,FALSE)</f>
        <v>0</v>
      </c>
      <c r="F36" s="85">
        <f>VLOOKUP($B36,Burden!$B$6:$H$40,6,FALSE)</f>
        <v>92304.289293272886</v>
      </c>
      <c r="G36" s="85">
        <f>VLOOKUP($B36,'Health Status'!$B$6:$H$40,6,FALSE)</f>
        <v>84981.443696147442</v>
      </c>
      <c r="H36" s="85">
        <f>VLOOKUP($B36,Ethnicity!$B$6:$H$40,6,FALSE)</f>
        <v>29589.717304669524</v>
      </c>
      <c r="I36" s="85">
        <f>VLOOKUP($B36,Poverty!$B$6:$H$40,6,FALSE)</f>
        <v>34579.41777323679</v>
      </c>
      <c r="J36" s="85">
        <f>VLOOKUP($B36,Rurality!$B$6:$H$40,6,FALSE)</f>
        <v>0</v>
      </c>
      <c r="K36" s="85">
        <f>VLOOKUP($B36,Education!$B$6:$H$40,6,FALSE)</f>
        <v>32980.070183184776</v>
      </c>
      <c r="L36" s="85">
        <f>VLOOKUP($B36,Language!$B$6:$H$40,6,FALSE)</f>
        <v>12228.023297493153</v>
      </c>
      <c r="M36" s="85">
        <f>VLOOKUP($B36,Matching!$B$7:$L$40,10,FALSE)</f>
        <v>47890.622955747305</v>
      </c>
      <c r="N36" s="85">
        <f>VLOOKUP($B36,Incentives!$B$7:$Y$40,23,FALSE)</f>
        <v>4066.42</v>
      </c>
      <c r="O36" s="86">
        <f t="shared" si="1"/>
        <v>428620.00450375187</v>
      </c>
      <c r="P36" s="87">
        <f t="shared" si="0"/>
        <v>2.8574667043115901E-2</v>
      </c>
      <c r="Q36" s="87">
        <f t="shared" si="2"/>
        <v>2.6847938953418173E-2</v>
      </c>
      <c r="R36" s="88">
        <f t="shared" si="3"/>
        <v>3.8551898228436037</v>
      </c>
      <c r="U36" s="70"/>
      <c r="V36" s="25"/>
    </row>
    <row r="37" spans="2:22" x14ac:dyDescent="0.25">
      <c r="B37" s="83" t="s">
        <v>83</v>
      </c>
      <c r="C37" s="84">
        <f>VLOOKUP($B37,'County Data'!$B$10:$C$46,2,FALSE)</f>
        <v>124010</v>
      </c>
      <c r="D37" s="85">
        <f>VLOOKUP($B37,Floor!$B$6:$M$45,4,FALSE)</f>
        <v>90000</v>
      </c>
      <c r="E37" s="85">
        <f>VLOOKUP($B37,Population!$B$7:$F$40,4,FALSE)</f>
        <v>0</v>
      </c>
      <c r="F37" s="85">
        <f>VLOOKUP($B37,Burden!$B$6:$H$40,6,FALSE)</f>
        <v>76316.637593307736</v>
      </c>
      <c r="G37" s="85">
        <f>VLOOKUP($B37,'Health Status'!$B$6:$H$40,6,FALSE)</f>
        <v>76559.676438742492</v>
      </c>
      <c r="H37" s="85">
        <f>VLOOKUP($B37,Ethnicity!$B$6:$H$40,6,FALSE)</f>
        <v>40960.724659042091</v>
      </c>
      <c r="I37" s="85">
        <f>VLOOKUP($B37,Poverty!$B$6:$H$40,6,FALSE)</f>
        <v>38169.450239827456</v>
      </c>
      <c r="J37" s="85">
        <f>VLOOKUP($B37,Rurality!$B$6:$H$40,6,FALSE)</f>
        <v>0</v>
      </c>
      <c r="K37" s="85">
        <f>VLOOKUP($B37,Education!$B$6:$H$40,6,FALSE)</f>
        <v>34761.006273975472</v>
      </c>
      <c r="L37" s="85">
        <f>VLOOKUP($B37,Language!$B$6:$H$40,6,FALSE)</f>
        <v>23868.456970351865</v>
      </c>
      <c r="M37" s="85">
        <f>VLOOKUP($B37,Matching!$B$7:$L$40,10,FALSE)</f>
        <v>104065.10722450668</v>
      </c>
      <c r="N37" s="85">
        <f>VLOOKUP($B37,Incentives!$B$7:$Y$40,23,FALSE)</f>
        <v>4483.75</v>
      </c>
      <c r="O37" s="86">
        <f t="shared" si="1"/>
        <v>489184.80939975381</v>
      </c>
      <c r="P37" s="87">
        <f t="shared" si="0"/>
        <v>3.2612320713616444E-2</v>
      </c>
      <c r="Q37" s="87">
        <f t="shared" si="2"/>
        <v>2.9946149573784744E-2</v>
      </c>
      <c r="R37" s="88">
        <f t="shared" si="3"/>
        <v>3.9447206628477849</v>
      </c>
      <c r="S37" s="88">
        <f>SUM(O32:O37)/SUM(C32:C37)</f>
        <v>3.7364363901780164</v>
      </c>
      <c r="U37" s="70"/>
      <c r="V37" s="25"/>
    </row>
    <row r="38" spans="2:22" x14ac:dyDescent="0.25">
      <c r="B38" s="33" t="s">
        <v>71</v>
      </c>
      <c r="C38" s="34">
        <f>VLOOKUP($B38,'County Data'!$B$10:$C$46,2,FALSE)</f>
        <v>182930</v>
      </c>
      <c r="D38" s="35">
        <f>VLOOKUP($B38,Floor!$B$6:$M$45,4,FALSE)</f>
        <v>112500</v>
      </c>
      <c r="E38" s="35">
        <f>VLOOKUP($B38,Population!$B$7:$F$40,4,FALSE)</f>
        <v>0</v>
      </c>
      <c r="F38" s="35">
        <f>VLOOKUP($B38,Burden!$B$6:$H$40,6,FALSE)</f>
        <v>85932.576066218608</v>
      </c>
      <c r="G38" s="35">
        <f>VLOOKUP($B38,'Health Status'!$B$6:$H$40,6,FALSE)</f>
        <v>68119.486167358307</v>
      </c>
      <c r="H38" s="35">
        <f>VLOOKUP($B38,Ethnicity!$B$6:$H$40,6,FALSE)</f>
        <v>52597.660596372574</v>
      </c>
      <c r="I38" s="35">
        <f>VLOOKUP($B38,Poverty!$B$6:$H$40,6,FALSE)</f>
        <v>44689.341538787528</v>
      </c>
      <c r="J38" s="35">
        <f>VLOOKUP($B38,Rurality!$B$6:$H$40,6,FALSE)</f>
        <v>0</v>
      </c>
      <c r="K38" s="35">
        <f>VLOOKUP($B38,Education!$B$6:$H$40,6,FALSE)</f>
        <v>34848.282783245901</v>
      </c>
      <c r="L38" s="35">
        <f>VLOOKUP($B38,Language!$B$6:$H$40,6,FALSE)</f>
        <v>33532.294504563506</v>
      </c>
      <c r="M38" s="35">
        <f>VLOOKUP($B38,Matching!$B$7:$L$40,10,FALSE)</f>
        <v>0</v>
      </c>
      <c r="N38" s="35">
        <f>VLOOKUP($B38,Incentives!$B$7:$Y$40,23,FALSE)</f>
        <v>6400.27</v>
      </c>
      <c r="O38" s="43">
        <f t="shared" si="1"/>
        <v>438619.91165654641</v>
      </c>
      <c r="P38" s="44">
        <f t="shared" si="0"/>
        <v>2.9241327521746633E-2</v>
      </c>
      <c r="Q38" s="44">
        <f t="shared" si="2"/>
        <v>4.4174253217744076E-2</v>
      </c>
      <c r="R38" s="45">
        <f t="shared" si="3"/>
        <v>2.3977472894361034</v>
      </c>
      <c r="U38" s="70"/>
      <c r="V38" s="25"/>
    </row>
    <row r="39" spans="2:22" x14ac:dyDescent="0.25">
      <c r="B39" s="33" t="s">
        <v>76</v>
      </c>
      <c r="C39" s="34">
        <f>VLOOKUP($B39,'County Data'!$B$10:$C$46,2,FALSE)</f>
        <v>216900</v>
      </c>
      <c r="D39" s="35">
        <f>VLOOKUP($B39,Floor!$B$6:$M$45,4,FALSE)</f>
        <v>112500</v>
      </c>
      <c r="E39" s="35">
        <f>VLOOKUP($B39,Population!$B$7:$F$40,4,FALSE)</f>
        <v>0</v>
      </c>
      <c r="F39" s="35">
        <f>VLOOKUP($B39,Burden!$B$6:$H$40,6,FALSE)</f>
        <v>138012.02099372694</v>
      </c>
      <c r="G39" s="35">
        <f>VLOOKUP($B39,'Health Status'!$B$6:$H$40,6,FALSE)</f>
        <v>130364.38274945557</v>
      </c>
      <c r="H39" s="35">
        <f>VLOOKUP($B39,Ethnicity!$B$6:$H$40,6,FALSE)</f>
        <v>91743.578916600993</v>
      </c>
      <c r="I39" s="35">
        <f>VLOOKUP($B39,Poverty!$B$6:$H$40,6,FALSE)</f>
        <v>68394.367327878543</v>
      </c>
      <c r="J39" s="35">
        <f>VLOOKUP($B39,Rurality!$B$6:$H$40,6,FALSE)</f>
        <v>0</v>
      </c>
      <c r="K39" s="35">
        <f>VLOOKUP($B39,Education!$B$6:$H$40,6,FALSE)</f>
        <v>65521.06359662555</v>
      </c>
      <c r="L39" s="35">
        <f>VLOOKUP($B39,Language!$B$6:$H$40,6,FALSE)</f>
        <v>69578.640390147571</v>
      </c>
      <c r="M39" s="35">
        <f>VLOOKUP($B39,Matching!$B$7:$L$40,10,FALSE)</f>
        <v>91290.784418262352</v>
      </c>
      <c r="N39" s="35">
        <f>VLOOKUP($B39,Incentives!$B$7:$Y$40,23,FALSE)</f>
        <v>7505.23</v>
      </c>
      <c r="O39" s="43">
        <f t="shared" si="1"/>
        <v>774910.06839269761</v>
      </c>
      <c r="P39" s="44">
        <f t="shared" si="0"/>
        <v>5.1660671363941625E-2</v>
      </c>
      <c r="Q39" s="44">
        <f t="shared" si="2"/>
        <v>5.2377387650624233E-2</v>
      </c>
      <c r="R39" s="45">
        <f t="shared" si="3"/>
        <v>3.5726605273983294</v>
      </c>
      <c r="U39" s="70"/>
      <c r="V39" s="25"/>
    </row>
    <row r="40" spans="2:22" x14ac:dyDescent="0.25">
      <c r="B40" s="33" t="s">
        <v>85</v>
      </c>
      <c r="C40" s="34">
        <f>VLOOKUP($B40,'County Data'!$B$10:$C$46,2,FALSE)</f>
        <v>339200</v>
      </c>
      <c r="D40" s="35">
        <f>VLOOKUP($B40,Floor!$B$6:$M$45,4,FALSE)</f>
        <v>112500</v>
      </c>
      <c r="E40" s="35">
        <f>VLOOKUP($B40,Population!$B$7:$F$40,4,FALSE)</f>
        <v>0</v>
      </c>
      <c r="F40" s="35">
        <f>VLOOKUP($B40,Burden!$B$6:$H$40,6,FALSE)</f>
        <v>180965.55232114892</v>
      </c>
      <c r="G40" s="35">
        <f>VLOOKUP($B40,'Health Status'!$B$6:$H$40,6,FALSE)</f>
        <v>217166.8303167308</v>
      </c>
      <c r="H40" s="35">
        <f>VLOOKUP($B40,Ethnicity!$B$6:$H$40,6,FALSE)</f>
        <v>266796.39743829437</v>
      </c>
      <c r="I40" s="35">
        <f>VLOOKUP($B40,Poverty!$B$6:$H$40,6,FALSE)</f>
        <v>108053.9677411376</v>
      </c>
      <c r="J40" s="35">
        <f>VLOOKUP($B40,Rurality!$B$6:$H$40,6,FALSE)</f>
        <v>0</v>
      </c>
      <c r="K40" s="35">
        <f>VLOOKUP($B40,Education!$B$6:$H$40,6,FALSE)</f>
        <v>137543.64202477716</v>
      </c>
      <c r="L40" s="35">
        <f>VLOOKUP($B40,Language!$B$6:$H$40,6,FALSE)</f>
        <v>329541.45174943464</v>
      </c>
      <c r="M40" s="35">
        <f>VLOOKUP($B40,Matching!$B$7:$L$40,10,FALSE)</f>
        <v>2250</v>
      </c>
      <c r="N40" s="35">
        <f>VLOOKUP($B40,Incentives!$B$7:$Y$40,23,FALSE)</f>
        <v>11483.36</v>
      </c>
      <c r="O40" s="43">
        <f t="shared" si="1"/>
        <v>1366301.2015915236</v>
      </c>
      <c r="P40" s="44">
        <f t="shared" si="0"/>
        <v>9.1086747015666228E-2</v>
      </c>
      <c r="Q40" s="44">
        <f t="shared" si="2"/>
        <v>8.1910603462848036E-2</v>
      </c>
      <c r="R40" s="45">
        <f t="shared" si="3"/>
        <v>4.0280106178995387</v>
      </c>
      <c r="U40" s="70"/>
      <c r="V40" s="25"/>
    </row>
    <row r="41" spans="2:22" x14ac:dyDescent="0.25">
      <c r="B41" s="33" t="s">
        <v>81</v>
      </c>
      <c r="C41" s="34">
        <f>VLOOKUP($B41,'County Data'!$B$10:$C$46,2,FALSE)</f>
        <v>370600</v>
      </c>
      <c r="D41" s="35">
        <f>VLOOKUP($B41,Floor!$B$6:$M$45,4,FALSE)</f>
        <v>112500</v>
      </c>
      <c r="E41" s="35">
        <f>VLOOKUP($B41,Population!$B$7:$F$40,4,FALSE)</f>
        <v>0</v>
      </c>
      <c r="F41" s="35">
        <f>VLOOKUP($B41,Burden!$B$6:$H$40,6,FALSE)</f>
        <v>213964.0021187524</v>
      </c>
      <c r="G41" s="35">
        <f>VLOOKUP($B41,'Health Status'!$B$6:$H$40,6,FALSE)</f>
        <v>194900.46203817276</v>
      </c>
      <c r="H41" s="35">
        <f>VLOOKUP($B41,Ethnicity!$B$6:$H$40,6,FALSE)</f>
        <v>148829.23287170095</v>
      </c>
      <c r="I41" s="35">
        <f>VLOOKUP($B41,Poverty!$B$6:$H$40,6,FALSE)</f>
        <v>121646.16402349733</v>
      </c>
      <c r="J41" s="35">
        <f>VLOOKUP($B41,Rurality!$B$6:$H$40,6,FALSE)</f>
        <v>0</v>
      </c>
      <c r="K41" s="35">
        <f>VLOOKUP($B41,Education!$B$6:$H$40,6,FALSE)</f>
        <v>89762.270529157337</v>
      </c>
      <c r="L41" s="35">
        <f>VLOOKUP($B41,Language!$B$6:$H$40,6,FALSE)</f>
        <v>95106.847869391204</v>
      </c>
      <c r="M41" s="35">
        <f>VLOOKUP($B41,Matching!$B$7:$L$40,10,FALSE)</f>
        <v>78318.108611076401</v>
      </c>
      <c r="N41" s="35">
        <f>VLOOKUP($B41,Incentives!$B$7:$Y$40,23,FALSE)</f>
        <v>12504.72</v>
      </c>
      <c r="O41" s="43">
        <f t="shared" si="1"/>
        <v>1067531.8080617485</v>
      </c>
      <c r="P41" s="44">
        <f t="shared" si="0"/>
        <v>7.1168787393899993E-2</v>
      </c>
      <c r="Q41" s="44">
        <f t="shared" si="2"/>
        <v>8.9493129844727251E-2</v>
      </c>
      <c r="R41" s="45">
        <f t="shared" si="3"/>
        <v>2.880549940803423</v>
      </c>
      <c r="S41" s="45">
        <f>SUM(O38:O41)/SUM(C38:C41)</f>
        <v>3.2870082727598535</v>
      </c>
      <c r="U41" s="70"/>
      <c r="V41" s="25"/>
    </row>
    <row r="42" spans="2:22" x14ac:dyDescent="0.25">
      <c r="B42" s="30" t="s">
        <v>65</v>
      </c>
      <c r="C42" s="31">
        <f>VLOOKUP($B42,'County Data'!$B$10:$C$46,2,FALSE)</f>
        <v>413000</v>
      </c>
      <c r="D42" s="32">
        <f>VLOOKUP($B42,Floor!$B$6:$M$45,4,FALSE)</f>
        <v>135000.00000000003</v>
      </c>
      <c r="E42" s="32">
        <f>VLOOKUP($B42,Population!$B$7:$F$40,4,FALSE)</f>
        <v>0</v>
      </c>
      <c r="F42" s="32">
        <f>VLOOKUP($B42,Burden!$B$6:$H$40,6,FALSE)</f>
        <v>197362.79910595805</v>
      </c>
      <c r="G42" s="32">
        <f>VLOOKUP($B42,'Health Status'!$B$6:$H$40,6,FALSE)</f>
        <v>198311.98611617746</v>
      </c>
      <c r="H42" s="32">
        <f>VLOOKUP($B42,Ethnicity!$B$6:$H$40,6,FALSE)</f>
        <v>164875.24617955365</v>
      </c>
      <c r="I42" s="32">
        <f>VLOOKUP($B42,Poverty!$B$6:$H$40,6,FALSE)</f>
        <v>67559.558648704973</v>
      </c>
      <c r="J42" s="32">
        <f>VLOOKUP($B42,Rurality!$B$6:$H$40,6,FALSE)</f>
        <v>0</v>
      </c>
      <c r="K42" s="32">
        <f>VLOOKUP($B42,Education!$B$6:$H$40,6,FALSE)</f>
        <v>75304.904522041776</v>
      </c>
      <c r="L42" s="32">
        <f>VLOOKUP($B42,Language!$B$6:$H$40,6,FALSE)</f>
        <v>166552.46699199913</v>
      </c>
      <c r="M42" s="32">
        <f>VLOOKUP($B42,Matching!$B$7:$L$40,10,FALSE)</f>
        <v>0</v>
      </c>
      <c r="N42" s="32">
        <f>VLOOKUP($B42,Incentives!$B$7:$Y$40,23,FALSE)</f>
        <v>13883.89</v>
      </c>
      <c r="O42" s="52">
        <f t="shared" si="1"/>
        <v>1018850.8515644352</v>
      </c>
      <c r="P42" s="53">
        <f t="shared" si="0"/>
        <v>6.7923390285424712E-2</v>
      </c>
      <c r="Q42" s="53">
        <f t="shared" si="2"/>
        <v>9.9731955277583245E-2</v>
      </c>
      <c r="R42" s="54">
        <f t="shared" si="3"/>
        <v>2.4669512144417318</v>
      </c>
      <c r="U42" s="70"/>
      <c r="V42" s="25"/>
    </row>
    <row r="43" spans="2:22" x14ac:dyDescent="0.25">
      <c r="B43" s="30" t="s">
        <v>93</v>
      </c>
      <c r="C43" s="31">
        <f>VLOOKUP($B43,'County Data'!$B$10:$C$46,2,FALSE)</f>
        <v>595860</v>
      </c>
      <c r="D43" s="32">
        <f>VLOOKUP($B43,Floor!$B$6:$M$45,4,FALSE)</f>
        <v>135000.00000000003</v>
      </c>
      <c r="E43" s="32">
        <f>VLOOKUP($B43,Population!$B$7:$F$40,4,FALSE)</f>
        <v>0</v>
      </c>
      <c r="F43" s="32">
        <f>VLOOKUP($B43,Burden!$B$6:$H$40,6,FALSE)</f>
        <v>220947.67288215869</v>
      </c>
      <c r="G43" s="32">
        <f>VLOOKUP($B43,'Health Status'!$B$6:$H$40,6,FALSE)</f>
        <v>258867.45311847393</v>
      </c>
      <c r="H43" s="32">
        <f>VLOOKUP($B43,Ethnicity!$B$6:$H$40,6,FALSE)</f>
        <v>457343.88667273812</v>
      </c>
      <c r="I43" s="32">
        <f>VLOOKUP($B43,Poverty!$B$6:$H$40,6,FALSE)</f>
        <v>118633.98661968282</v>
      </c>
      <c r="J43" s="32">
        <f>VLOOKUP($B43,Rurality!$B$6:$H$40,6,FALSE)</f>
        <v>0</v>
      </c>
      <c r="K43" s="32">
        <f>VLOOKUP($B43,Education!$B$6:$H$40,6,FALSE)</f>
        <v>149186.82366312569</v>
      </c>
      <c r="L43" s="32">
        <f>VLOOKUP($B43,Language!$B$6:$H$40,6,FALSE)</f>
        <v>518819.3667882455</v>
      </c>
      <c r="M43" s="32">
        <f>VLOOKUP($B43,Matching!$B$7:$L$40,10,FALSE)</f>
        <v>2250</v>
      </c>
      <c r="N43" s="32">
        <f>VLOOKUP($B43,Incentives!$B$7:$Y$40,23,FALSE)</f>
        <v>19831.89</v>
      </c>
      <c r="O43" s="52">
        <f t="shared" si="1"/>
        <v>1880881.0797444247</v>
      </c>
      <c r="P43" s="53">
        <f t="shared" si="0"/>
        <v>0.12539207231734051</v>
      </c>
      <c r="Q43" s="53">
        <f t="shared" si="2"/>
        <v>0.14388930477409384</v>
      </c>
      <c r="R43" s="54">
        <f t="shared" si="3"/>
        <v>3.1565822168704472</v>
      </c>
      <c r="U43" s="70"/>
      <c r="V43" s="25"/>
    </row>
    <row r="44" spans="2:22" x14ac:dyDescent="0.25">
      <c r="B44" s="30" t="s">
        <v>87</v>
      </c>
      <c r="C44" s="31">
        <f>VLOOKUP($B44,'County Data'!$B$10:$C$46,2,FALSE)</f>
        <v>803000</v>
      </c>
      <c r="D44" s="32">
        <f>VLOOKUP($B44,Floor!$B$6:$M$45,4,FALSE)</f>
        <v>135000.00000000003</v>
      </c>
      <c r="E44" s="32">
        <f>VLOOKUP($B44,Population!$B$7:$F$40,4,FALSE)</f>
        <v>0</v>
      </c>
      <c r="F44" s="32">
        <f>VLOOKUP($B44,Burden!$B$6:$H$40,6,FALSE)</f>
        <v>430222.94751885964</v>
      </c>
      <c r="G44" s="32">
        <f>VLOOKUP($B44,'Health Status'!$B$6:$H$40,6,FALSE)</f>
        <v>424924.85753667483</v>
      </c>
      <c r="H44" s="32">
        <f>VLOOKUP($B44,Ethnicity!$B$6:$H$40,6,FALSE)</f>
        <v>551454.27987937385</v>
      </c>
      <c r="I44" s="32">
        <f>VLOOKUP($B44,Poverty!$B$6:$H$40,6,FALSE)</f>
        <v>222096.56043538763</v>
      </c>
      <c r="J44" s="32">
        <f>VLOOKUP($B44,Rurality!$B$6:$H$40,6,FALSE)</f>
        <v>0</v>
      </c>
      <c r="K44" s="32">
        <f>VLOOKUP($B44,Education!$B$6:$H$40,6,FALSE)</f>
        <v>203234.25119444754</v>
      </c>
      <c r="L44" s="32">
        <f>VLOOKUP($B44,Language!$B$6:$H$40,6,FALSE)</f>
        <v>632939.70204344473</v>
      </c>
      <c r="M44" s="32">
        <f>VLOOKUP($B44,Matching!$B$7:$L$40,10,FALSE)</f>
        <v>167070.68177856036</v>
      </c>
      <c r="N44" s="32">
        <f>VLOOKUP($B44,Incentives!$B$7:$Y$40,23,FALSE)</f>
        <v>26569.65</v>
      </c>
      <c r="O44" s="52">
        <f t="shared" si="1"/>
        <v>2793512.9303867486</v>
      </c>
      <c r="P44" s="53">
        <f t="shared" si="0"/>
        <v>0.18623419585574108</v>
      </c>
      <c r="Q44" s="53">
        <f t="shared" si="2"/>
        <v>0.19390983072130594</v>
      </c>
      <c r="R44" s="54">
        <f t="shared" si="3"/>
        <v>3.4788454923869847</v>
      </c>
      <c r="S44" s="54">
        <f>SUM(O42:O44)/SUM(C42:C44)</f>
        <v>3.1422101385844425</v>
      </c>
      <c r="U44" s="70"/>
      <c r="V44" s="25"/>
    </row>
    <row r="45" spans="2:22" x14ac:dyDescent="0.25">
      <c r="B45" s="5" t="s">
        <v>2</v>
      </c>
      <c r="C45" s="29">
        <f t="shared" ref="C45:I45" si="4">SUM(C11:C44)</f>
        <v>4141100</v>
      </c>
      <c r="D45" s="8">
        <f t="shared" si="4"/>
        <v>2767500</v>
      </c>
      <c r="E45" s="8">
        <f t="shared" si="4"/>
        <v>0</v>
      </c>
      <c r="F45" s="8">
        <f t="shared" si="4"/>
        <v>2266500</v>
      </c>
      <c r="G45" s="8">
        <f t="shared" si="4"/>
        <v>2266500</v>
      </c>
      <c r="H45" s="8">
        <f t="shared" si="4"/>
        <v>2266500.0000000005</v>
      </c>
      <c r="I45" s="8">
        <f t="shared" si="4"/>
        <v>1133250</v>
      </c>
      <c r="J45" s="8">
        <f t="shared" ref="J45:K45" si="5">SUM(J11:J44)</f>
        <v>0</v>
      </c>
      <c r="K45" s="8">
        <f t="shared" si="5"/>
        <v>1133250</v>
      </c>
      <c r="L45" s="8">
        <f t="shared" ref="L45:Q45" si="6">SUM(L11:L44)</f>
        <v>2266500</v>
      </c>
      <c r="M45" s="8">
        <f t="shared" si="6"/>
        <v>750000.00000000012</v>
      </c>
      <c r="N45" s="8">
        <f t="shared" si="6"/>
        <v>149999.96</v>
      </c>
      <c r="O45" s="8">
        <f t="shared" si="6"/>
        <v>14999999.960000001</v>
      </c>
      <c r="P45" s="24">
        <f t="shared" si="6"/>
        <v>1</v>
      </c>
      <c r="Q45" s="24">
        <f t="shared" si="6"/>
        <v>1</v>
      </c>
      <c r="R45" s="23">
        <f>O45/C45</f>
        <v>3.6222259689454495</v>
      </c>
      <c r="S45" s="23">
        <f>O45/C45</f>
        <v>3.6222259689454495</v>
      </c>
      <c r="V45" s="25"/>
    </row>
    <row r="46" spans="2:22" x14ac:dyDescent="0.25">
      <c r="O46" s="70"/>
    </row>
    <row r="47" spans="2:22" ht="17.25" x14ac:dyDescent="0.25">
      <c r="B47" s="74" t="s">
        <v>51</v>
      </c>
      <c r="C47" s="28"/>
      <c r="M47" s="142" t="s">
        <v>44</v>
      </c>
      <c r="N47" s="142"/>
      <c r="O47" s="142"/>
      <c r="P47" s="142"/>
      <c r="Q47" s="142"/>
    </row>
    <row r="48" spans="2:22" ht="17.25" x14ac:dyDescent="0.25">
      <c r="B48" s="74" t="s">
        <v>61</v>
      </c>
      <c r="C48" s="28"/>
      <c r="M48" s="78" t="s">
        <v>45</v>
      </c>
      <c r="N48" s="79" t="s">
        <v>46</v>
      </c>
      <c r="O48" s="80" t="s">
        <v>47</v>
      </c>
      <c r="P48" s="81" t="s">
        <v>48</v>
      </c>
      <c r="Q48" s="82" t="s">
        <v>49</v>
      </c>
    </row>
    <row r="49" spans="2:19" ht="17.25" x14ac:dyDescent="0.25">
      <c r="B49" s="74" t="s">
        <v>62</v>
      </c>
      <c r="C49" s="28"/>
    </row>
    <row r="50" spans="2:19" ht="16.5" customHeight="1" x14ac:dyDescent="0.25">
      <c r="B50" s="141" t="s">
        <v>60</v>
      </c>
      <c r="C50" s="141"/>
      <c r="D50" s="141"/>
      <c r="E50" s="141"/>
      <c r="F50" s="141"/>
      <c r="G50" s="141"/>
      <c r="H50" s="141"/>
      <c r="I50" s="141"/>
      <c r="J50" s="141"/>
      <c r="K50" s="141"/>
      <c r="L50" s="141"/>
      <c r="M50" s="141"/>
      <c r="N50" s="141"/>
      <c r="O50" s="141"/>
      <c r="P50" s="141"/>
      <c r="Q50" s="141"/>
      <c r="R50" s="141"/>
      <c r="S50" s="141"/>
    </row>
    <row r="51" spans="2:19" ht="16.5" customHeight="1" x14ac:dyDescent="0.25">
      <c r="B51" s="141" t="s">
        <v>59</v>
      </c>
      <c r="C51" s="141"/>
      <c r="D51" s="141"/>
      <c r="E51" s="141"/>
      <c r="F51" s="141"/>
      <c r="G51" s="141"/>
      <c r="H51" s="141"/>
      <c r="I51" s="141"/>
      <c r="J51" s="141"/>
      <c r="K51" s="141"/>
      <c r="L51" s="141"/>
      <c r="M51" s="141"/>
      <c r="N51" s="141"/>
      <c r="O51" s="141"/>
      <c r="P51" s="141"/>
      <c r="Q51" s="141"/>
      <c r="R51" s="141"/>
      <c r="S51" s="141"/>
    </row>
    <row r="52" spans="2:19" ht="17.25" customHeight="1" x14ac:dyDescent="0.25">
      <c r="B52" s="72" t="s">
        <v>54</v>
      </c>
      <c r="C52" s="71"/>
      <c r="D52" s="71"/>
      <c r="E52" s="71"/>
      <c r="F52" s="71"/>
      <c r="G52" s="71"/>
      <c r="H52" s="71"/>
      <c r="I52" s="71"/>
      <c r="J52" s="71"/>
      <c r="K52" s="71"/>
      <c r="L52" s="71"/>
      <c r="M52" s="71"/>
      <c r="N52" s="71"/>
      <c r="O52" s="71"/>
      <c r="P52" s="71"/>
      <c r="Q52" s="71"/>
    </row>
  </sheetData>
  <sortState xmlns:xlrd2="http://schemas.microsoft.com/office/spreadsheetml/2017/richdata2" ref="U11:V44">
    <sortCondition ref="V11:V44"/>
  </sortState>
  <mergeCells count="4">
    <mergeCell ref="B9:S9"/>
    <mergeCell ref="B50:S50"/>
    <mergeCell ref="B51:S51"/>
    <mergeCell ref="M47:Q47"/>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8"/>
  <sheetViews>
    <sheetView zoomScaleNormal="100" workbookViewId="0"/>
  </sheetViews>
  <sheetFormatPr defaultRowHeight="15" x14ac:dyDescent="0.25"/>
  <cols>
    <col min="2" max="2" width="18" customWidth="1"/>
    <col min="3" max="3" width="13" customWidth="1"/>
    <col min="4" max="4" width="12.140625" bestFit="1" customWidth="1"/>
    <col min="5" max="5" width="12.5703125" bestFit="1" customWidth="1"/>
    <col min="6" max="6" width="11.140625" bestFit="1" customWidth="1"/>
    <col min="7" max="7" width="13.5703125" bestFit="1" customWidth="1"/>
    <col min="8" max="8" width="15.140625" bestFit="1" customWidth="1"/>
    <col min="9" max="9" width="10" customWidth="1"/>
    <col min="10" max="10" width="11.28515625" bestFit="1" customWidth="1"/>
    <col min="11" max="11" width="14.5703125" bestFit="1" customWidth="1"/>
    <col min="12" max="12" width="14.5703125" customWidth="1"/>
    <col min="13" max="13" width="10.7109375" bestFit="1" customWidth="1"/>
    <col min="14" max="16" width="10.7109375" hidden="1" customWidth="1"/>
    <col min="18" max="18" width="9" customWidth="1"/>
  </cols>
  <sheetData>
    <row r="1" spans="2:17" ht="18.75" x14ac:dyDescent="0.3">
      <c r="B1" s="27" t="str">
        <f>Input!$B$1</f>
        <v>PHAB Funding and Incentives Subcommittee</v>
      </c>
    </row>
    <row r="2" spans="2:17" ht="15.75" x14ac:dyDescent="0.25">
      <c r="B2" s="26" t="str">
        <f>Input!$B$2</f>
        <v>Subcommittee Members: Carrie Brogoitti, Bob Dannenhoffer, Jeff Luck, Alejandro Queral, Akiko Saito</v>
      </c>
    </row>
    <row r="3" spans="2:17" ht="15.75" x14ac:dyDescent="0.25">
      <c r="B3" s="26" t="str">
        <f>Input!$B$3</f>
        <v>April, 2018</v>
      </c>
    </row>
    <row r="4" spans="2:17" ht="15" customHeight="1" x14ac:dyDescent="0.25"/>
    <row r="5" spans="2:17" x14ac:dyDescent="0.25">
      <c r="B5" t="s">
        <v>21</v>
      </c>
      <c r="C5" s="11">
        <f>Input!C5</f>
        <v>15000000</v>
      </c>
    </row>
    <row r="6" spans="2:17" x14ac:dyDescent="0.25">
      <c r="E6" s="57"/>
      <c r="F6" s="57"/>
      <c r="G6" s="57"/>
      <c r="H6" s="57"/>
      <c r="I6" s="57"/>
      <c r="J6" s="57"/>
      <c r="K6" s="57"/>
      <c r="L6" s="57"/>
      <c r="M6" s="57"/>
      <c r="N6" s="57"/>
      <c r="O6" s="57"/>
      <c r="P6" s="57"/>
    </row>
    <row r="7" spans="2:17" s="2" customFormat="1" ht="30" x14ac:dyDescent="0.25">
      <c r="B7" s="113" t="s">
        <v>7</v>
      </c>
      <c r="C7" s="114" t="s">
        <v>1</v>
      </c>
      <c r="D7" s="114" t="s">
        <v>20</v>
      </c>
      <c r="E7" s="114" t="s">
        <v>8</v>
      </c>
      <c r="F7" s="114" t="s">
        <v>9</v>
      </c>
      <c r="G7" s="114" t="s">
        <v>18</v>
      </c>
      <c r="H7" s="114" t="s">
        <v>96</v>
      </c>
      <c r="I7" s="114" t="s">
        <v>99</v>
      </c>
      <c r="J7" s="114" t="s">
        <v>41</v>
      </c>
      <c r="K7" s="114" t="s">
        <v>19</v>
      </c>
      <c r="L7" s="114" t="s">
        <v>128</v>
      </c>
      <c r="M7" s="114" t="s">
        <v>110</v>
      </c>
      <c r="N7" s="114" t="s">
        <v>114</v>
      </c>
      <c r="O7" s="114" t="s">
        <v>115</v>
      </c>
      <c r="P7" s="115" t="s">
        <v>116</v>
      </c>
    </row>
    <row r="8" spans="2:17" x14ac:dyDescent="0.25">
      <c r="B8" s="107" t="s">
        <v>10</v>
      </c>
      <c r="C8" s="108">
        <f>Input!C15</f>
        <v>0</v>
      </c>
      <c r="D8" s="108">
        <f>Input!C7</f>
        <v>0.1845</v>
      </c>
      <c r="E8" s="108">
        <f>Input!C16</f>
        <v>0.15110000000000001</v>
      </c>
      <c r="F8" s="108">
        <f>Input!C17</f>
        <v>0.15110000000000001</v>
      </c>
      <c r="G8" s="108">
        <f>Input!C18</f>
        <v>0.15110000000000001</v>
      </c>
      <c r="H8" s="108">
        <f>Input!C20</f>
        <v>7.5550000000000006E-2</v>
      </c>
      <c r="I8" s="108">
        <f>Input!C19</f>
        <v>0</v>
      </c>
      <c r="J8" s="108">
        <f>Input!C21</f>
        <v>7.5550000000000006E-2</v>
      </c>
      <c r="K8" s="108">
        <f>Input!C22</f>
        <v>0.15110000000000001</v>
      </c>
      <c r="L8" s="108">
        <f>Input!C25</f>
        <v>0.05</v>
      </c>
      <c r="M8" s="108">
        <f>Input!C27</f>
        <v>0.01</v>
      </c>
      <c r="N8" s="108">
        <f>Input!C28</f>
        <v>0</v>
      </c>
      <c r="O8" s="108">
        <f>Input!C29</f>
        <v>0</v>
      </c>
      <c r="P8" s="109">
        <f>Input!C30</f>
        <v>0</v>
      </c>
      <c r="Q8" s="25">
        <f>1-SUM(C8:P8)</f>
        <v>0</v>
      </c>
    </row>
    <row r="9" spans="2:17" x14ac:dyDescent="0.25">
      <c r="B9" s="110" t="s">
        <v>11</v>
      </c>
      <c r="C9" s="111">
        <f>$C$5*C$8</f>
        <v>0</v>
      </c>
      <c r="D9" s="111">
        <f t="shared" ref="D9:P9" si="0">$C$5*D$8</f>
        <v>2767500</v>
      </c>
      <c r="E9" s="111">
        <f t="shared" si="0"/>
        <v>2266500</v>
      </c>
      <c r="F9" s="111">
        <f t="shared" si="0"/>
        <v>2266500</v>
      </c>
      <c r="G9" s="111">
        <f t="shared" si="0"/>
        <v>2266500</v>
      </c>
      <c r="H9" s="111">
        <f t="shared" si="0"/>
        <v>1133250</v>
      </c>
      <c r="I9" s="111">
        <f t="shared" si="0"/>
        <v>0</v>
      </c>
      <c r="J9" s="111">
        <f t="shared" si="0"/>
        <v>1133250</v>
      </c>
      <c r="K9" s="111">
        <f t="shared" si="0"/>
        <v>2266500</v>
      </c>
      <c r="L9" s="111">
        <f t="shared" si="0"/>
        <v>750000</v>
      </c>
      <c r="M9" s="111">
        <f t="shared" si="0"/>
        <v>150000</v>
      </c>
      <c r="N9" s="111">
        <f t="shared" si="0"/>
        <v>0</v>
      </c>
      <c r="O9" s="111">
        <f t="shared" si="0"/>
        <v>0</v>
      </c>
      <c r="P9" s="112">
        <f t="shared" si="0"/>
        <v>0</v>
      </c>
    </row>
    <row r="10" spans="2:17" x14ac:dyDescent="0.25">
      <c r="B10" s="19" t="s">
        <v>63</v>
      </c>
      <c r="C10" s="64">
        <v>16750</v>
      </c>
      <c r="D10" s="101" t="str">
        <f>IF(C10&gt;375000,"Extra Large",IF(C10&gt;150000,"Large",IF(C10&gt;75000,"Medium",IF(C10&gt;20000,"Small","Extra Small"))))</f>
        <v>Extra Small</v>
      </c>
      <c r="E10" s="65">
        <v>8.0970979999999998E-2</v>
      </c>
      <c r="F10" s="65">
        <v>0.86699999999999999</v>
      </c>
      <c r="G10" s="65">
        <v>8.5999999999999965E-2</v>
      </c>
      <c r="H10" s="75">
        <f>15.1%+12.5%</f>
        <v>0.27600000000000002</v>
      </c>
      <c r="I10" s="134"/>
      <c r="J10" s="65">
        <v>9.6000000000000002E-2</v>
      </c>
      <c r="K10" s="65">
        <v>0.01</v>
      </c>
      <c r="L10" s="131">
        <v>234342</v>
      </c>
      <c r="M10" s="124" t="s">
        <v>4</v>
      </c>
      <c r="N10" s="124"/>
      <c r="O10" s="124"/>
      <c r="P10" s="125"/>
      <c r="Q10" s="9"/>
    </row>
    <row r="11" spans="2:17" x14ac:dyDescent="0.25">
      <c r="B11" s="20" t="s">
        <v>64</v>
      </c>
      <c r="C11" s="66">
        <v>92575</v>
      </c>
      <c r="D11" s="102" t="str">
        <f t="shared" ref="D11:D46" si="1">IF(C11&gt;375000,"Extra Large",IF(C11&gt;150000,"Large",IF(C11&gt;75000,"Medium",IF(C11&gt;20000,"Small","Extra Small"))))</f>
        <v>Medium</v>
      </c>
      <c r="E11" s="67">
        <v>4.3643250000000001E-2</v>
      </c>
      <c r="F11" s="67">
        <v>0.85799999999999998</v>
      </c>
      <c r="G11" s="67">
        <v>0.18200000000000005</v>
      </c>
      <c r="H11" s="76">
        <f>21.5%+8.8%</f>
        <v>0.30299999999999999</v>
      </c>
      <c r="I11" s="135"/>
      <c r="J11" s="67">
        <v>0.05</v>
      </c>
      <c r="K11" s="67">
        <v>3.9E-2</v>
      </c>
      <c r="L11" s="132">
        <v>2195356</v>
      </c>
      <c r="M11" s="126" t="s">
        <v>4</v>
      </c>
      <c r="N11" s="126"/>
      <c r="O11" s="126"/>
      <c r="P11" s="127"/>
      <c r="Q11" s="9"/>
    </row>
    <row r="12" spans="2:17" x14ac:dyDescent="0.25">
      <c r="B12" s="20" t="s">
        <v>65</v>
      </c>
      <c r="C12" s="66">
        <v>413000</v>
      </c>
      <c r="D12" s="102" t="str">
        <f t="shared" si="1"/>
        <v>Extra Large</v>
      </c>
      <c r="E12" s="67">
        <v>5.6229189999999998E-2</v>
      </c>
      <c r="F12" s="67">
        <v>0.85299999999999998</v>
      </c>
      <c r="G12" s="67">
        <v>0.16800000000000004</v>
      </c>
      <c r="H12" s="76">
        <f>9.2%+6%</f>
        <v>0.152</v>
      </c>
      <c r="I12" s="135"/>
      <c r="J12" s="67">
        <v>6.7000000000000004E-2</v>
      </c>
      <c r="K12" s="67">
        <v>4.3999999999999997E-2</v>
      </c>
      <c r="L12" s="132">
        <v>1769171</v>
      </c>
      <c r="M12" s="126" t="s">
        <v>4</v>
      </c>
      <c r="N12" s="126"/>
      <c r="O12" s="126"/>
      <c r="P12" s="127"/>
      <c r="Q12" s="9"/>
    </row>
    <row r="13" spans="2:17" x14ac:dyDescent="0.25">
      <c r="B13" s="20" t="s">
        <v>66</v>
      </c>
      <c r="C13" s="66">
        <v>38820</v>
      </c>
      <c r="D13" s="102" t="str">
        <f t="shared" si="1"/>
        <v>Small</v>
      </c>
      <c r="E13" s="67">
        <v>8.4602819999999995E-2</v>
      </c>
      <c r="F13" s="67">
        <v>0.84499999999999997</v>
      </c>
      <c r="G13" s="67">
        <v>0.13800000000000001</v>
      </c>
      <c r="H13" s="76">
        <f>14%+11.9%</f>
        <v>0.25900000000000001</v>
      </c>
      <c r="I13" s="135"/>
      <c r="J13" s="67">
        <v>8.1000000000000003E-2</v>
      </c>
      <c r="K13" s="67">
        <v>2.9000000000000001E-2</v>
      </c>
      <c r="L13" s="132">
        <v>431075</v>
      </c>
      <c r="M13" s="126" t="s">
        <v>4</v>
      </c>
      <c r="N13" s="126"/>
      <c r="O13" s="126"/>
      <c r="P13" s="127"/>
      <c r="Q13" s="9"/>
    </row>
    <row r="14" spans="2:17" x14ac:dyDescent="0.25">
      <c r="B14" s="20" t="s">
        <v>67</v>
      </c>
      <c r="C14" s="66">
        <v>51345</v>
      </c>
      <c r="D14" s="102" t="str">
        <f t="shared" si="1"/>
        <v>Small</v>
      </c>
      <c r="E14" s="67">
        <v>7.2065329999999997E-2</v>
      </c>
      <c r="F14" s="67">
        <v>0.80700000000000005</v>
      </c>
      <c r="G14" s="67">
        <v>0.10599999999999998</v>
      </c>
      <c r="H14" s="76">
        <f>13.4%+10%</f>
        <v>0.23400000000000001</v>
      </c>
      <c r="I14" s="135"/>
      <c r="J14" s="67">
        <v>9.6000000000000002E-2</v>
      </c>
      <c r="K14" s="67">
        <v>1.4E-2</v>
      </c>
      <c r="L14" s="132">
        <v>130040</v>
      </c>
      <c r="M14" s="126" t="s">
        <v>4</v>
      </c>
      <c r="N14" s="126"/>
      <c r="O14" s="126"/>
      <c r="P14" s="127"/>
      <c r="Q14" s="9"/>
    </row>
    <row r="15" spans="2:17" x14ac:dyDescent="0.25">
      <c r="B15" s="20" t="s">
        <v>68</v>
      </c>
      <c r="C15" s="66">
        <v>63310</v>
      </c>
      <c r="D15" s="102" t="str">
        <f t="shared" si="1"/>
        <v>Small</v>
      </c>
      <c r="E15" s="67">
        <v>9.5954879999999992E-2</v>
      </c>
      <c r="F15" s="67">
        <v>0.78</v>
      </c>
      <c r="G15" s="67">
        <v>0.14400000000000002</v>
      </c>
      <c r="H15" s="76">
        <f>18.1%+13.9%</f>
        <v>0.32000000000000006</v>
      </c>
      <c r="I15" s="135"/>
      <c r="J15" s="67">
        <v>0.111</v>
      </c>
      <c r="K15" s="67">
        <v>1.4999999999999999E-2</v>
      </c>
      <c r="L15" s="132">
        <v>57396</v>
      </c>
      <c r="M15" s="126" t="s">
        <v>4</v>
      </c>
      <c r="N15" s="126"/>
      <c r="O15" s="126"/>
      <c r="P15" s="127"/>
      <c r="Q15" s="9"/>
    </row>
    <row r="16" spans="2:17" x14ac:dyDescent="0.25">
      <c r="B16" s="20" t="s">
        <v>69</v>
      </c>
      <c r="C16" s="66">
        <v>22105</v>
      </c>
      <c r="D16" s="102" t="str">
        <f t="shared" si="1"/>
        <v>Small</v>
      </c>
      <c r="E16" s="67">
        <v>7.9248739999999998E-2</v>
      </c>
      <c r="F16" s="67">
        <v>0.76200000000000001</v>
      </c>
      <c r="G16" s="67">
        <v>0.11399999999999999</v>
      </c>
      <c r="H16" s="76">
        <f>17.7%+12.9%</f>
        <v>0.30599999999999999</v>
      </c>
      <c r="I16" s="135"/>
      <c r="J16" s="67">
        <v>0.124</v>
      </c>
      <c r="K16" s="67">
        <v>7.0000000000000001E-3</v>
      </c>
      <c r="L16" s="132">
        <v>684353</v>
      </c>
      <c r="M16" s="126" t="s">
        <v>4</v>
      </c>
      <c r="N16" s="126"/>
      <c r="O16" s="126"/>
      <c r="P16" s="127"/>
      <c r="Q16" s="9"/>
    </row>
    <row r="17" spans="2:17" x14ac:dyDescent="0.25">
      <c r="B17" s="20" t="s">
        <v>70</v>
      </c>
      <c r="C17" s="66">
        <v>22805</v>
      </c>
      <c r="D17" s="102" t="str">
        <f t="shared" si="1"/>
        <v>Small</v>
      </c>
      <c r="E17" s="67">
        <v>0.10897944</v>
      </c>
      <c r="F17" s="67">
        <v>0.76300000000000001</v>
      </c>
      <c r="G17" s="67">
        <v>0.127</v>
      </c>
      <c r="H17" s="76">
        <f>15.2%+12.5%</f>
        <v>0.27700000000000002</v>
      </c>
      <c r="I17" s="135"/>
      <c r="J17" s="67">
        <v>0.10299999999999999</v>
      </c>
      <c r="K17" s="67">
        <v>1.2E-2</v>
      </c>
      <c r="L17" s="132">
        <v>144795</v>
      </c>
      <c r="M17" s="126" t="s">
        <v>4</v>
      </c>
      <c r="N17" s="126"/>
      <c r="O17" s="126"/>
      <c r="P17" s="127"/>
      <c r="Q17" s="9"/>
    </row>
    <row r="18" spans="2:17" x14ac:dyDescent="0.25">
      <c r="B18" s="20" t="s">
        <v>71</v>
      </c>
      <c r="C18" s="66">
        <v>182930</v>
      </c>
      <c r="D18" s="102" t="str">
        <f t="shared" si="1"/>
        <v>Large</v>
      </c>
      <c r="E18" s="67">
        <v>5.5273819999999994E-2</v>
      </c>
      <c r="F18" s="67">
        <v>0.8859999999999999</v>
      </c>
      <c r="G18" s="67">
        <v>0.121</v>
      </c>
      <c r="H18" s="76">
        <f>13.9%+8.8%</f>
        <v>0.22700000000000004</v>
      </c>
      <c r="I18" s="135"/>
      <c r="J18" s="67">
        <v>7.0000000000000007E-2</v>
      </c>
      <c r="K18" s="67">
        <v>0.02</v>
      </c>
      <c r="L18" s="132">
        <v>2819806</v>
      </c>
      <c r="M18" s="126" t="s">
        <v>4</v>
      </c>
      <c r="N18" s="126"/>
      <c r="O18" s="126"/>
      <c r="P18" s="127"/>
      <c r="Q18" s="9"/>
    </row>
    <row r="19" spans="2:17" x14ac:dyDescent="0.25">
      <c r="B19" s="20" t="s">
        <v>72</v>
      </c>
      <c r="C19" s="66">
        <v>111180</v>
      </c>
      <c r="D19" s="102" t="str">
        <f t="shared" si="1"/>
        <v>Medium</v>
      </c>
      <c r="E19" s="67">
        <v>9.7688129999999998E-2</v>
      </c>
      <c r="F19" s="67">
        <v>0.7659999999999999</v>
      </c>
      <c r="G19" s="67">
        <v>0.11199999999999999</v>
      </c>
      <c r="H19" s="76">
        <f>18.6%+10.3%</f>
        <v>0.28900000000000003</v>
      </c>
      <c r="I19" s="135"/>
      <c r="J19" s="67">
        <v>0.109</v>
      </c>
      <c r="K19" s="67">
        <v>1.2E-2</v>
      </c>
      <c r="L19" s="132">
        <v>739092</v>
      </c>
      <c r="M19" s="126" t="s">
        <v>4</v>
      </c>
      <c r="N19" s="126"/>
      <c r="O19" s="126"/>
      <c r="P19" s="127"/>
      <c r="Q19" s="9"/>
    </row>
    <row r="20" spans="2:17" hidden="1" x14ac:dyDescent="0.25">
      <c r="B20" s="56" t="s">
        <v>106</v>
      </c>
      <c r="C20" s="98">
        <v>1995</v>
      </c>
      <c r="D20" s="98" t="str">
        <f t="shared" si="1"/>
        <v>Extra Small</v>
      </c>
      <c r="E20" s="99"/>
      <c r="F20" s="99"/>
      <c r="G20" s="99"/>
      <c r="H20" s="100"/>
      <c r="I20" s="99"/>
      <c r="J20" s="99"/>
      <c r="K20" s="99"/>
      <c r="L20" s="130"/>
      <c r="M20" s="126"/>
      <c r="N20" s="126"/>
      <c r="O20" s="126"/>
      <c r="P20" s="127"/>
      <c r="Q20" s="9"/>
    </row>
    <row r="21" spans="2:17" x14ac:dyDescent="0.25">
      <c r="B21" s="20" t="s">
        <v>73</v>
      </c>
      <c r="C21" s="66">
        <v>7415</v>
      </c>
      <c r="D21" s="102" t="str">
        <f t="shared" si="1"/>
        <v>Extra Small</v>
      </c>
      <c r="E21" s="67">
        <v>6.5026090000000009E-2</v>
      </c>
      <c r="F21" s="67">
        <v>0.81599999999999995</v>
      </c>
      <c r="G21" s="67">
        <v>7.999999999999996E-2</v>
      </c>
      <c r="H21" s="76">
        <f>14.9%+14%</f>
        <v>0.28900000000000003</v>
      </c>
      <c r="I21" s="135"/>
      <c r="J21" s="67">
        <v>0.104</v>
      </c>
      <c r="K21" s="67">
        <v>8.0000000000000002E-3</v>
      </c>
      <c r="L21" s="132">
        <v>66272</v>
      </c>
      <c r="M21" s="126" t="s">
        <v>4</v>
      </c>
      <c r="N21" s="126"/>
      <c r="O21" s="126"/>
      <c r="P21" s="127"/>
      <c r="Q21" s="9"/>
    </row>
    <row r="22" spans="2:17" x14ac:dyDescent="0.25">
      <c r="B22" s="20" t="s">
        <v>74</v>
      </c>
      <c r="C22" s="66">
        <v>7360</v>
      </c>
      <c r="D22" s="102" t="str">
        <f t="shared" si="1"/>
        <v>Extra Small</v>
      </c>
      <c r="E22" s="67">
        <v>0.10640441999999999</v>
      </c>
      <c r="F22" s="67">
        <v>0.7340000000000001</v>
      </c>
      <c r="G22" s="67">
        <v>0.128</v>
      </c>
      <c r="H22" s="76">
        <f>16.4%+12.5%</f>
        <v>0.28899999999999998</v>
      </c>
      <c r="I22" s="135"/>
      <c r="J22" s="67">
        <v>0.104</v>
      </c>
      <c r="K22" s="67">
        <v>1.7000000000000001E-2</v>
      </c>
      <c r="L22" s="132">
        <v>101800</v>
      </c>
      <c r="M22" s="126" t="s">
        <v>4</v>
      </c>
      <c r="N22" s="126"/>
      <c r="O22" s="126"/>
      <c r="P22" s="127"/>
      <c r="Q22" s="9"/>
    </row>
    <row r="23" spans="2:17" x14ac:dyDescent="0.25">
      <c r="B23" s="20" t="s">
        <v>75</v>
      </c>
      <c r="C23" s="66">
        <v>25145</v>
      </c>
      <c r="D23" s="102" t="str">
        <f t="shared" si="1"/>
        <v>Small</v>
      </c>
      <c r="E23" s="67">
        <v>5.0952200000000003E-2</v>
      </c>
      <c r="F23" s="67">
        <v>0.80200000000000005</v>
      </c>
      <c r="G23" s="67">
        <v>0.35499999999999998</v>
      </c>
      <c r="H23" s="76">
        <f>13.3%+11.4%</f>
        <v>0.247</v>
      </c>
      <c r="I23" s="135"/>
      <c r="J23" s="67">
        <v>0.19700000000000001</v>
      </c>
      <c r="K23" s="67">
        <v>0.14499999999999999</v>
      </c>
      <c r="L23" s="132">
        <v>740476</v>
      </c>
      <c r="M23" s="126" t="s">
        <v>4</v>
      </c>
      <c r="N23" s="126"/>
      <c r="O23" s="126"/>
      <c r="P23" s="127"/>
      <c r="Q23" s="9"/>
    </row>
    <row r="24" spans="2:17" x14ac:dyDescent="0.25">
      <c r="B24" s="20" t="s">
        <v>76</v>
      </c>
      <c r="C24" s="66">
        <v>216900</v>
      </c>
      <c r="D24" s="102" t="str">
        <f t="shared" si="1"/>
        <v>Large</v>
      </c>
      <c r="E24" s="67">
        <v>7.4869329999999998E-2</v>
      </c>
      <c r="F24" s="67">
        <v>0.81599999999999995</v>
      </c>
      <c r="G24" s="67">
        <v>0.17800000000000005</v>
      </c>
      <c r="H24" s="76">
        <f>18%+11.3%</f>
        <v>0.29299999999999998</v>
      </c>
      <c r="I24" s="135"/>
      <c r="J24" s="67">
        <v>0.111</v>
      </c>
      <c r="K24" s="67">
        <v>3.5000000000000003E-2</v>
      </c>
      <c r="L24" s="132">
        <v>737512</v>
      </c>
      <c r="M24" s="126" t="s">
        <v>4</v>
      </c>
      <c r="N24" s="126"/>
      <c r="O24" s="126"/>
      <c r="P24" s="127"/>
      <c r="Q24" s="9"/>
    </row>
    <row r="25" spans="2:17" x14ac:dyDescent="0.25">
      <c r="B25" s="20" t="s">
        <v>77</v>
      </c>
      <c r="C25" s="66">
        <v>23190</v>
      </c>
      <c r="D25" s="102" t="str">
        <f t="shared" si="1"/>
        <v>Small</v>
      </c>
      <c r="E25" s="67">
        <v>9.1418539999999993E-2</v>
      </c>
      <c r="F25" s="67">
        <v>0.81099999999999994</v>
      </c>
      <c r="G25" s="67">
        <v>0.39900000000000002</v>
      </c>
      <c r="H25" s="76">
        <f>20.3%+11.7%</f>
        <v>0.32</v>
      </c>
      <c r="I25" s="135"/>
      <c r="J25" s="67">
        <v>0.16500000000000001</v>
      </c>
      <c r="K25" s="67">
        <v>4.5999999999999999E-2</v>
      </c>
      <c r="L25" s="132">
        <v>595291</v>
      </c>
      <c r="M25" s="126" t="s">
        <v>4</v>
      </c>
      <c r="N25" s="126"/>
      <c r="O25" s="126"/>
      <c r="P25" s="127"/>
      <c r="Q25" s="9"/>
    </row>
    <row r="26" spans="2:17" x14ac:dyDescent="0.25">
      <c r="B26" s="20" t="s">
        <v>78</v>
      </c>
      <c r="C26" s="66">
        <v>85650</v>
      </c>
      <c r="D26" s="102" t="str">
        <f t="shared" si="1"/>
        <v>Medium</v>
      </c>
      <c r="E26" s="67">
        <v>9.7062319999999994E-2</v>
      </c>
      <c r="F26" s="67">
        <v>0.80900000000000005</v>
      </c>
      <c r="G26" s="67">
        <v>0.123</v>
      </c>
      <c r="H26" s="76">
        <f>19.5%+16.2%</f>
        <v>0.35699999999999998</v>
      </c>
      <c r="I26" s="135"/>
      <c r="J26" s="67">
        <v>0.112</v>
      </c>
      <c r="K26" s="67">
        <v>1.2E-2</v>
      </c>
      <c r="L26" s="132">
        <v>364715</v>
      </c>
      <c r="M26" s="126" t="s">
        <v>4</v>
      </c>
      <c r="N26" s="126"/>
      <c r="O26" s="126"/>
      <c r="P26" s="127"/>
      <c r="Q26" s="9"/>
    </row>
    <row r="27" spans="2:17" x14ac:dyDescent="0.25">
      <c r="B27" s="20" t="s">
        <v>79</v>
      </c>
      <c r="C27" s="66">
        <v>67690</v>
      </c>
      <c r="D27" s="102" t="str">
        <f t="shared" si="1"/>
        <v>Small</v>
      </c>
      <c r="E27" s="67">
        <v>9.2599109999999998E-2</v>
      </c>
      <c r="F27" s="67">
        <v>0.78500000000000003</v>
      </c>
      <c r="G27" s="67">
        <v>0.20699999999999996</v>
      </c>
      <c r="H27" s="76">
        <f>18.6%+13.9%</f>
        <v>0.32500000000000007</v>
      </c>
      <c r="I27" s="135"/>
      <c r="J27" s="67">
        <v>0.124</v>
      </c>
      <c r="K27" s="67">
        <v>0.03</v>
      </c>
      <c r="L27" s="132">
        <v>278736</v>
      </c>
      <c r="M27" s="126" t="s">
        <v>4</v>
      </c>
      <c r="N27" s="126"/>
      <c r="O27" s="126"/>
      <c r="P27" s="127"/>
      <c r="Q27" s="9"/>
    </row>
    <row r="28" spans="2:17" x14ac:dyDescent="0.25">
      <c r="B28" s="20" t="s">
        <v>80</v>
      </c>
      <c r="C28" s="66">
        <v>8120</v>
      </c>
      <c r="D28" s="102" t="str">
        <f t="shared" si="1"/>
        <v>Extra Small</v>
      </c>
      <c r="E28" s="67">
        <v>8.4349279999999999E-2</v>
      </c>
      <c r="F28" s="67">
        <v>0.86699999999999999</v>
      </c>
      <c r="G28" s="67">
        <v>0.14400000000000002</v>
      </c>
      <c r="H28" s="76">
        <f>17.6%+15.9%</f>
        <v>0.33500000000000002</v>
      </c>
      <c r="I28" s="135"/>
      <c r="J28" s="67">
        <v>0.161</v>
      </c>
      <c r="K28" s="67">
        <v>2.5000000000000001E-2</v>
      </c>
      <c r="L28" s="132">
        <v>166394</v>
      </c>
      <c r="M28" s="126" t="s">
        <v>4</v>
      </c>
      <c r="N28" s="126"/>
      <c r="O28" s="126"/>
      <c r="P28" s="127"/>
      <c r="Q28" s="9"/>
    </row>
    <row r="29" spans="2:17" x14ac:dyDescent="0.25">
      <c r="B29" s="20" t="s">
        <v>81</v>
      </c>
      <c r="C29" s="66">
        <v>370600</v>
      </c>
      <c r="D29" s="102" t="str">
        <f t="shared" si="1"/>
        <v>Large</v>
      </c>
      <c r="E29" s="67">
        <v>6.7933170000000001E-2</v>
      </c>
      <c r="F29" s="67">
        <v>0.83900000000000008</v>
      </c>
      <c r="G29" s="67">
        <v>0.16900000000000004</v>
      </c>
      <c r="H29" s="76">
        <f>19.7%+10.8%</f>
        <v>0.30499999999999999</v>
      </c>
      <c r="I29" s="135"/>
      <c r="J29" s="67">
        <v>8.8999999999999996E-2</v>
      </c>
      <c r="K29" s="67">
        <v>2.8000000000000001E-2</v>
      </c>
      <c r="L29" s="132">
        <v>1802363</v>
      </c>
      <c r="M29" s="126" t="s">
        <v>4</v>
      </c>
      <c r="N29" s="126"/>
      <c r="O29" s="126"/>
      <c r="P29" s="127"/>
      <c r="Q29" s="9"/>
    </row>
    <row r="30" spans="2:17" x14ac:dyDescent="0.25">
      <c r="B30" s="20" t="s">
        <v>82</v>
      </c>
      <c r="C30" s="66">
        <v>47960</v>
      </c>
      <c r="D30" s="102" t="str">
        <f t="shared" si="1"/>
        <v>Small</v>
      </c>
      <c r="E30" s="67">
        <v>9.8367700000000002E-2</v>
      </c>
      <c r="F30" s="67">
        <v>0.79400000000000004</v>
      </c>
      <c r="G30" s="67">
        <v>0.17100000000000004</v>
      </c>
      <c r="H30" s="76">
        <f>18.6%+11.4%</f>
        <v>0.30000000000000004</v>
      </c>
      <c r="I30" s="135"/>
      <c r="J30" s="67">
        <v>0.107</v>
      </c>
      <c r="K30" s="67">
        <v>3.1E-2</v>
      </c>
      <c r="L30" s="132">
        <v>322875</v>
      </c>
      <c r="M30" s="126" t="s">
        <v>4</v>
      </c>
      <c r="N30" s="126"/>
      <c r="O30" s="126"/>
      <c r="P30" s="127"/>
      <c r="Q30" s="9"/>
    </row>
    <row r="31" spans="2:17" x14ac:dyDescent="0.25">
      <c r="B31" s="20" t="s">
        <v>83</v>
      </c>
      <c r="C31" s="66">
        <v>124010</v>
      </c>
      <c r="D31" s="102" t="str">
        <f t="shared" si="1"/>
        <v>Medium</v>
      </c>
      <c r="E31" s="67">
        <v>7.2411760000000006E-2</v>
      </c>
      <c r="F31" s="67">
        <v>0.81099999999999994</v>
      </c>
      <c r="G31" s="67">
        <v>0.13900000000000001</v>
      </c>
      <c r="H31" s="76">
        <f>17.3%+11.3%</f>
        <v>0.28600000000000003</v>
      </c>
      <c r="I31" s="135"/>
      <c r="J31" s="67">
        <v>0.10299999999999999</v>
      </c>
      <c r="K31" s="67">
        <v>2.1000000000000001E-2</v>
      </c>
      <c r="L31" s="132">
        <v>781615</v>
      </c>
      <c r="M31" s="126" t="s">
        <v>4</v>
      </c>
      <c r="N31" s="126"/>
      <c r="O31" s="126"/>
      <c r="P31" s="127"/>
      <c r="Q31" s="9"/>
    </row>
    <row r="32" spans="2:17" x14ac:dyDescent="0.25">
      <c r="B32" s="20" t="s">
        <v>84</v>
      </c>
      <c r="C32" s="66">
        <v>31845</v>
      </c>
      <c r="D32" s="102" t="str">
        <f t="shared" si="1"/>
        <v>Small</v>
      </c>
      <c r="E32" s="67">
        <v>7.2585949999999996E-2</v>
      </c>
      <c r="F32" s="67">
        <v>0.71299999999999997</v>
      </c>
      <c r="G32" s="67">
        <v>0.38</v>
      </c>
      <c r="H32" s="76">
        <f>24.8%+13.8%</f>
        <v>0.38600000000000001</v>
      </c>
      <c r="I32" s="135"/>
      <c r="J32" s="67">
        <v>0.19900000000000001</v>
      </c>
      <c r="K32" s="67">
        <v>9.1999999999999998E-2</v>
      </c>
      <c r="L32" s="132">
        <v>537939</v>
      </c>
      <c r="M32" s="126" t="s">
        <v>4</v>
      </c>
      <c r="N32" s="126"/>
      <c r="O32" s="126"/>
      <c r="P32" s="127"/>
      <c r="Q32" s="9"/>
    </row>
    <row r="33" spans="2:17" x14ac:dyDescent="0.25">
      <c r="B33" s="20" t="s">
        <v>85</v>
      </c>
      <c r="C33" s="66">
        <v>339200</v>
      </c>
      <c r="D33" s="102" t="str">
        <f t="shared" si="1"/>
        <v>Large</v>
      </c>
      <c r="E33" s="67">
        <v>6.2774990000000003E-2</v>
      </c>
      <c r="F33" s="67">
        <v>0.80400000000000005</v>
      </c>
      <c r="G33" s="67">
        <v>0.33099999999999996</v>
      </c>
      <c r="H33" s="76">
        <f>17.2%+12.4%</f>
        <v>0.29599999999999999</v>
      </c>
      <c r="I33" s="135"/>
      <c r="J33" s="67">
        <v>0.14899999999999999</v>
      </c>
      <c r="K33" s="67">
        <v>0.106</v>
      </c>
      <c r="L33" s="132">
        <v>2152253</v>
      </c>
      <c r="M33" s="126" t="s">
        <v>4</v>
      </c>
      <c r="N33" s="126"/>
      <c r="O33" s="126"/>
      <c r="P33" s="127"/>
      <c r="Q33" s="9"/>
    </row>
    <row r="34" spans="2:17" x14ac:dyDescent="0.25">
      <c r="B34" s="20" t="s">
        <v>86</v>
      </c>
      <c r="C34" s="66">
        <v>11890</v>
      </c>
      <c r="D34" s="102" t="str">
        <f t="shared" si="1"/>
        <v>Extra Small</v>
      </c>
      <c r="E34" s="67">
        <v>6.4928429999999995E-2</v>
      </c>
      <c r="F34" s="67">
        <v>0.75099999999999989</v>
      </c>
      <c r="G34" s="67">
        <v>0.38800000000000001</v>
      </c>
      <c r="H34" s="76">
        <f>15.2%+11.5%</f>
        <v>0.26700000000000002</v>
      </c>
      <c r="I34" s="135"/>
      <c r="J34" s="67">
        <v>0.249</v>
      </c>
      <c r="K34" s="67">
        <v>0.16</v>
      </c>
      <c r="L34" s="132">
        <v>745769</v>
      </c>
      <c r="M34" s="126" t="s">
        <v>4</v>
      </c>
      <c r="N34" s="126"/>
      <c r="O34" s="126"/>
      <c r="P34" s="127"/>
      <c r="Q34" s="9"/>
    </row>
    <row r="35" spans="2:17" x14ac:dyDescent="0.25">
      <c r="B35" s="20" t="s">
        <v>87</v>
      </c>
      <c r="C35" s="66">
        <v>803000</v>
      </c>
      <c r="D35" s="102" t="str">
        <f t="shared" si="1"/>
        <v>Extra Large</v>
      </c>
      <c r="E35" s="67">
        <v>6.3041220000000009E-2</v>
      </c>
      <c r="F35" s="67">
        <v>0.83799999999999997</v>
      </c>
      <c r="G35" s="67">
        <v>0.28900000000000003</v>
      </c>
      <c r="H35" s="76">
        <f>17.1%+8.6%</f>
        <v>0.25700000000000001</v>
      </c>
      <c r="I35" s="135"/>
      <c r="J35" s="67">
        <v>9.2999999999999999E-2</v>
      </c>
      <c r="K35" s="67">
        <v>8.5999999999999993E-2</v>
      </c>
      <c r="L35" s="132">
        <v>45719859</v>
      </c>
      <c r="M35" s="126" t="s">
        <v>4</v>
      </c>
      <c r="N35" s="126"/>
      <c r="O35" s="126"/>
      <c r="P35" s="127"/>
      <c r="Q35" s="9"/>
    </row>
    <row r="36" spans="2:17" x14ac:dyDescent="0.25">
      <c r="B36" s="92" t="s">
        <v>100</v>
      </c>
      <c r="C36" s="98">
        <f>C20+C38+C43</f>
        <v>30895</v>
      </c>
      <c r="D36" s="98" t="str">
        <f t="shared" si="1"/>
        <v>Small</v>
      </c>
      <c r="E36" s="67">
        <v>8.2111370000000003E-2</v>
      </c>
      <c r="F36" s="67">
        <v>0.84299999999999997</v>
      </c>
      <c r="G36" s="67">
        <v>0.22592655849701115</v>
      </c>
      <c r="H36" s="76">
        <f>14.5%+11.5%</f>
        <v>0.26</v>
      </c>
      <c r="I36" s="135"/>
      <c r="J36" s="67">
        <v>0.13450721447786745</v>
      </c>
      <c r="K36" s="67">
        <v>5.5513058682111247E-2</v>
      </c>
      <c r="L36" s="132">
        <v>518361</v>
      </c>
      <c r="M36" s="126" t="s">
        <v>4</v>
      </c>
      <c r="N36" s="126"/>
      <c r="O36" s="126"/>
      <c r="P36" s="127"/>
      <c r="Q36" s="9"/>
    </row>
    <row r="37" spans="2:17" x14ac:dyDescent="0.25">
      <c r="B37" s="20" t="s">
        <v>88</v>
      </c>
      <c r="C37" s="66">
        <v>81000</v>
      </c>
      <c r="D37" s="102" t="str">
        <f t="shared" si="1"/>
        <v>Medium</v>
      </c>
      <c r="E37" s="67">
        <v>5.8934719999999996E-2</v>
      </c>
      <c r="F37" s="67">
        <v>0.85499999999999998</v>
      </c>
      <c r="G37" s="67">
        <v>0.20699999999999996</v>
      </c>
      <c r="H37" s="76">
        <f>15.5%+8.8%</f>
        <v>0.24299999999999999</v>
      </c>
      <c r="I37" s="135"/>
      <c r="J37" s="67">
        <v>0.09</v>
      </c>
      <c r="K37" s="67">
        <v>4.3999999999999997E-2</v>
      </c>
      <c r="L37" s="132">
        <v>276935</v>
      </c>
      <c r="M37" s="126" t="s">
        <v>4</v>
      </c>
      <c r="N37" s="126"/>
      <c r="O37" s="126"/>
      <c r="P37" s="127"/>
      <c r="Q37" s="9"/>
    </row>
    <row r="38" spans="2:17" hidden="1" x14ac:dyDescent="0.25">
      <c r="B38" s="56" t="s">
        <v>107</v>
      </c>
      <c r="C38" s="98">
        <v>1800</v>
      </c>
      <c r="D38" s="98" t="str">
        <f t="shared" si="1"/>
        <v>Extra Small</v>
      </c>
      <c r="E38" s="99"/>
      <c r="F38" s="99"/>
      <c r="G38" s="99"/>
      <c r="H38" s="100"/>
      <c r="I38" s="136"/>
      <c r="J38" s="99"/>
      <c r="K38" s="99"/>
      <c r="L38" s="132"/>
      <c r="M38" s="126"/>
      <c r="N38" s="126"/>
      <c r="O38" s="126"/>
      <c r="P38" s="127"/>
      <c r="Q38" s="9"/>
    </row>
    <row r="39" spans="2:17" x14ac:dyDescent="0.25">
      <c r="B39" s="20" t="s">
        <v>89</v>
      </c>
      <c r="C39" s="66">
        <v>26175</v>
      </c>
      <c r="D39" s="102" t="str">
        <f t="shared" si="1"/>
        <v>Small</v>
      </c>
      <c r="E39" s="67">
        <v>8.0733680000000002E-2</v>
      </c>
      <c r="F39" s="67">
        <v>0.80599999999999994</v>
      </c>
      <c r="G39" s="67">
        <v>0.14900000000000002</v>
      </c>
      <c r="H39" s="76">
        <f>15.4%+12%</f>
        <v>0.27400000000000002</v>
      </c>
      <c r="I39" s="135"/>
      <c r="J39" s="67">
        <v>0.10199999999999999</v>
      </c>
      <c r="K39" s="67">
        <v>2.4E-2</v>
      </c>
      <c r="L39" s="132">
        <v>161524</v>
      </c>
      <c r="M39" s="126" t="s">
        <v>4</v>
      </c>
      <c r="N39" s="126"/>
      <c r="O39" s="126"/>
      <c r="P39" s="127"/>
      <c r="Q39" s="9"/>
    </row>
    <row r="40" spans="2:17" x14ac:dyDescent="0.25">
      <c r="B40" s="20" t="s">
        <v>90</v>
      </c>
      <c r="C40" s="66">
        <v>80500</v>
      </c>
      <c r="D40" s="102" t="str">
        <f t="shared" si="1"/>
        <v>Medium</v>
      </c>
      <c r="E40" s="67">
        <v>6.7694759999999993E-2</v>
      </c>
      <c r="F40" s="67">
        <v>0.78</v>
      </c>
      <c r="G40" s="67">
        <v>0.32599999999999996</v>
      </c>
      <c r="H40" s="76">
        <f>18%+11.8%</f>
        <v>0.29799999999999999</v>
      </c>
      <c r="I40" s="135"/>
      <c r="J40" s="67">
        <v>0.17399999999999999</v>
      </c>
      <c r="K40" s="67">
        <v>0.104</v>
      </c>
      <c r="L40" s="132">
        <v>366964</v>
      </c>
      <c r="M40" s="126" t="s">
        <v>4</v>
      </c>
      <c r="N40" s="126"/>
      <c r="O40" s="126"/>
      <c r="P40" s="127"/>
      <c r="Q40" s="9"/>
    </row>
    <row r="41" spans="2:17" x14ac:dyDescent="0.25">
      <c r="B41" s="20" t="s">
        <v>91</v>
      </c>
      <c r="C41" s="66">
        <v>26900</v>
      </c>
      <c r="D41" s="102" t="str">
        <f t="shared" si="1"/>
        <v>Small</v>
      </c>
      <c r="E41" s="67">
        <v>7.2840740000000001E-2</v>
      </c>
      <c r="F41" s="67">
        <v>0.85599999999999998</v>
      </c>
      <c r="G41" s="67">
        <v>0.10299999999999998</v>
      </c>
      <c r="H41" s="76">
        <f>18.6%+14.5%</f>
        <v>0.33100000000000002</v>
      </c>
      <c r="I41" s="135"/>
      <c r="J41" s="67">
        <v>7.3999999999999996E-2</v>
      </c>
      <c r="K41" s="67">
        <v>1.4E-2</v>
      </c>
      <c r="L41" s="132">
        <v>174000</v>
      </c>
      <c r="M41" s="126" t="s">
        <v>4</v>
      </c>
      <c r="N41" s="126"/>
      <c r="O41" s="126"/>
      <c r="P41" s="127"/>
      <c r="Q41" s="9"/>
    </row>
    <row r="42" spans="2:17" x14ac:dyDescent="0.25">
      <c r="B42" s="20" t="s">
        <v>92</v>
      </c>
      <c r="C42" s="66">
        <v>7195</v>
      </c>
      <c r="D42" s="102" t="str">
        <f t="shared" si="1"/>
        <v>Extra Small</v>
      </c>
      <c r="E42" s="67">
        <v>7.6918E-2</v>
      </c>
      <c r="F42" s="67">
        <v>0.877</v>
      </c>
      <c r="G42" s="67">
        <v>6.2999999999999945E-2</v>
      </c>
      <c r="H42" s="76">
        <f>14.6%+11.3%</f>
        <v>0.25900000000000001</v>
      </c>
      <c r="I42" s="135"/>
      <c r="J42" s="67">
        <v>6.8000000000000005E-2</v>
      </c>
      <c r="K42" s="67">
        <v>8.0000000000000002E-3</v>
      </c>
      <c r="L42" s="132">
        <v>0</v>
      </c>
      <c r="M42" s="126" t="s">
        <v>4</v>
      </c>
      <c r="N42" s="126"/>
      <c r="O42" s="126"/>
      <c r="P42" s="127"/>
      <c r="Q42" s="9"/>
    </row>
    <row r="43" spans="2:17" hidden="1" x14ac:dyDescent="0.25">
      <c r="B43" s="56" t="s">
        <v>108</v>
      </c>
      <c r="C43" s="98">
        <v>27100</v>
      </c>
      <c r="D43" s="98" t="str">
        <f t="shared" si="1"/>
        <v>Small</v>
      </c>
      <c r="E43" s="99"/>
      <c r="F43" s="99"/>
      <c r="G43" s="99"/>
      <c r="H43" s="100"/>
      <c r="I43" s="136"/>
      <c r="J43" s="99"/>
      <c r="K43" s="99"/>
      <c r="L43" s="132"/>
      <c r="M43" s="126"/>
      <c r="N43" s="126"/>
      <c r="O43" s="126"/>
      <c r="P43" s="127"/>
      <c r="Q43" s="9"/>
    </row>
    <row r="44" spans="2:17" x14ac:dyDescent="0.25">
      <c r="B44" s="20" t="s">
        <v>93</v>
      </c>
      <c r="C44" s="66">
        <v>595860</v>
      </c>
      <c r="D44" s="102" t="str">
        <f t="shared" si="1"/>
        <v>Extra Large</v>
      </c>
      <c r="E44" s="67">
        <v>4.3630659999999995E-2</v>
      </c>
      <c r="F44" s="67">
        <v>0.86699999999999999</v>
      </c>
      <c r="G44" s="67">
        <v>0.32299999999999995</v>
      </c>
      <c r="H44" s="76">
        <f>11.1%+7.4%</f>
        <v>0.185</v>
      </c>
      <c r="I44" s="135"/>
      <c r="J44" s="67">
        <v>9.1999999999999998E-2</v>
      </c>
      <c r="K44" s="67">
        <v>9.5000000000000001E-2</v>
      </c>
      <c r="L44" s="132">
        <v>4800731</v>
      </c>
      <c r="M44" s="126" t="s">
        <v>4</v>
      </c>
      <c r="N44" s="126"/>
      <c r="O44" s="126"/>
      <c r="P44" s="127"/>
      <c r="Q44" s="9"/>
    </row>
    <row r="45" spans="2:17" x14ac:dyDescent="0.25">
      <c r="B45" s="20" t="s">
        <v>94</v>
      </c>
      <c r="C45" s="66">
        <v>1480</v>
      </c>
      <c r="D45" s="102" t="str">
        <f t="shared" si="1"/>
        <v>Extra Small</v>
      </c>
      <c r="E45" s="67">
        <v>6.3521800000000003E-2</v>
      </c>
      <c r="F45" s="67">
        <v>0.69299999999999995</v>
      </c>
      <c r="G45" s="67">
        <v>5.7000000000000051E-2</v>
      </c>
      <c r="H45" s="76">
        <f>20.2%+12.4%</f>
        <v>0.32599999999999996</v>
      </c>
      <c r="I45" s="135"/>
      <c r="J45" s="67">
        <v>8.4000000000000005E-2</v>
      </c>
      <c r="K45" s="67">
        <v>1E-3</v>
      </c>
      <c r="L45" s="132">
        <v>25190</v>
      </c>
      <c r="M45" s="126" t="s">
        <v>4</v>
      </c>
      <c r="N45" s="126"/>
      <c r="O45" s="126"/>
      <c r="P45" s="127"/>
      <c r="Q45" s="9"/>
    </row>
    <row r="46" spans="2:17" x14ac:dyDescent="0.25">
      <c r="B46" s="21" t="s">
        <v>95</v>
      </c>
      <c r="C46" s="68">
        <v>106300</v>
      </c>
      <c r="D46" s="103" t="str">
        <f t="shared" si="1"/>
        <v>Medium</v>
      </c>
      <c r="E46" s="69">
        <v>5.9052179999999996E-2</v>
      </c>
      <c r="F46" s="69">
        <v>0.80900000000000005</v>
      </c>
      <c r="G46" s="69">
        <v>0.21999999999999997</v>
      </c>
      <c r="H46" s="77">
        <f>15.7%+9%</f>
        <v>0.247</v>
      </c>
      <c r="I46" s="137"/>
      <c r="J46" s="69">
        <v>0.12</v>
      </c>
      <c r="K46" s="69">
        <v>5.3999999999999999E-2</v>
      </c>
      <c r="L46" s="133">
        <v>585712</v>
      </c>
      <c r="M46" s="128" t="s">
        <v>4</v>
      </c>
      <c r="N46" s="128"/>
      <c r="O46" s="128"/>
      <c r="P46" s="129"/>
      <c r="Q46" s="9"/>
    </row>
    <row r="47" spans="2:17" ht="15.75" thickBot="1" x14ac:dyDescent="0.3">
      <c r="C47" s="18">
        <f>SUM(C10:C46)-C36</f>
        <v>4141100</v>
      </c>
      <c r="D47" s="95"/>
    </row>
    <row r="48" spans="2:17" ht="15.75" thickTop="1" x14ac:dyDescent="0.25"/>
  </sheetData>
  <pageMargins left="0.7" right="0.7" top="0.75" bottom="0.75" header="0.3" footer="0.3"/>
  <pageSetup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41"/>
  <sheetViews>
    <sheetView workbookViewId="0"/>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Data'!C5</f>
        <v>15000000</v>
      </c>
    </row>
    <row r="4" spans="2:6" x14ac:dyDescent="0.25">
      <c r="B4" t="s">
        <v>42</v>
      </c>
      <c r="C4" s="16">
        <f>'County Data'!C9</f>
        <v>0</v>
      </c>
    </row>
    <row r="6" spans="2:6" s="2" customFormat="1" ht="30" x14ac:dyDescent="0.25">
      <c r="B6" s="3" t="s">
        <v>7</v>
      </c>
      <c r="C6" s="3" t="s">
        <v>1</v>
      </c>
      <c r="D6" s="3" t="s">
        <v>3</v>
      </c>
      <c r="E6" s="15" t="s">
        <v>13</v>
      </c>
      <c r="F6" s="3" t="s">
        <v>6</v>
      </c>
    </row>
    <row r="7" spans="2:6" x14ac:dyDescent="0.25">
      <c r="B7" s="22" t="str">
        <f>+'County Data'!$B$10</f>
        <v>Baker</v>
      </c>
      <c r="C7" s="17">
        <f>VLOOKUP($B7,'County Data'!$B$10:$P$46,2,FALSE)</f>
        <v>16750</v>
      </c>
      <c r="D7" s="7">
        <f t="shared" ref="D7:D40" si="0">C7/$C$41</f>
        <v>4.0448190094419358E-3</v>
      </c>
      <c r="E7" s="16">
        <f t="shared" ref="E7:E40" si="1">$C$4*D7</f>
        <v>0</v>
      </c>
      <c r="F7" s="12">
        <f t="shared" ref="F7:F40" si="2">E7/C7</f>
        <v>0</v>
      </c>
    </row>
    <row r="8" spans="2:6" x14ac:dyDescent="0.25">
      <c r="B8" s="22" t="str">
        <f>+'County Data'!$B$19</f>
        <v>Douglas</v>
      </c>
      <c r="C8" s="17">
        <f>VLOOKUP($B8,'County Data'!$B$10:$P$46,2,FALSE)</f>
        <v>111180</v>
      </c>
      <c r="D8" s="7">
        <f t="shared" si="0"/>
        <v>2.6847938953418173E-2</v>
      </c>
      <c r="E8" s="16">
        <f t="shared" si="1"/>
        <v>0</v>
      </c>
      <c r="F8" s="12">
        <f t="shared" si="2"/>
        <v>0</v>
      </c>
    </row>
    <row r="9" spans="2:6" x14ac:dyDescent="0.25">
      <c r="B9" s="22" t="str">
        <f>+'County Data'!$B$23</f>
        <v>Hood River</v>
      </c>
      <c r="C9" s="17">
        <f>VLOOKUP($B9,'County Data'!$B$10:$P$46,2,FALSE)</f>
        <v>25145</v>
      </c>
      <c r="D9" s="7">
        <f t="shared" si="0"/>
        <v>6.0720581488010435E-3</v>
      </c>
      <c r="E9" s="16">
        <f t="shared" si="1"/>
        <v>0</v>
      </c>
      <c r="F9" s="12">
        <f t="shared" si="2"/>
        <v>0</v>
      </c>
    </row>
    <row r="10" spans="2:6" x14ac:dyDescent="0.25">
      <c r="B10" s="22" t="str">
        <f>+'County Data'!$B$24</f>
        <v>Jackson</v>
      </c>
      <c r="C10" s="17">
        <f>VLOOKUP($B10,'County Data'!$B$10:$P$46,2,FALSE)</f>
        <v>216900</v>
      </c>
      <c r="D10" s="7">
        <f t="shared" si="0"/>
        <v>5.2377387650624233E-2</v>
      </c>
      <c r="E10" s="16">
        <f t="shared" si="1"/>
        <v>0</v>
      </c>
      <c r="F10" s="12">
        <f t="shared" si="2"/>
        <v>0</v>
      </c>
    </row>
    <row r="11" spans="2:6" x14ac:dyDescent="0.25">
      <c r="B11" s="22" t="str">
        <f>+'County Data'!$B$25</f>
        <v>Jefferson</v>
      </c>
      <c r="C11" s="17">
        <f>VLOOKUP($B11,'County Data'!$B$10:$P$46,2,FALSE)</f>
        <v>23190</v>
      </c>
      <c r="D11" s="7">
        <f t="shared" si="0"/>
        <v>5.5999613629228945E-3</v>
      </c>
      <c r="E11" s="16">
        <f t="shared" si="1"/>
        <v>0</v>
      </c>
      <c r="F11" s="12">
        <f t="shared" si="2"/>
        <v>0</v>
      </c>
    </row>
    <row r="12" spans="2:6" x14ac:dyDescent="0.25">
      <c r="B12" s="22" t="str">
        <f>+'County Data'!$B$26</f>
        <v>Josephine</v>
      </c>
      <c r="C12" s="17">
        <f>VLOOKUP($B12,'County Data'!$B$10:$P$46,2,FALSE)</f>
        <v>85650</v>
      </c>
      <c r="D12" s="7">
        <f t="shared" si="0"/>
        <v>2.0682910337832944E-2</v>
      </c>
      <c r="E12" s="16">
        <f t="shared" si="1"/>
        <v>0</v>
      </c>
      <c r="F12" s="12">
        <f t="shared" si="2"/>
        <v>0</v>
      </c>
    </row>
    <row r="13" spans="2:6" x14ac:dyDescent="0.25">
      <c r="B13" s="22" t="str">
        <f>+'County Data'!$B$27</f>
        <v>Klamath</v>
      </c>
      <c r="C13" s="17">
        <f>VLOOKUP($B13,'County Data'!$B$10:$P$46,2,FALSE)</f>
        <v>67690</v>
      </c>
      <c r="D13" s="7">
        <f t="shared" si="0"/>
        <v>1.634589843278356E-2</v>
      </c>
      <c r="E13" s="16">
        <f t="shared" si="1"/>
        <v>0</v>
      </c>
      <c r="F13" s="12">
        <f t="shared" si="2"/>
        <v>0</v>
      </c>
    </row>
    <row r="14" spans="2:6" x14ac:dyDescent="0.25">
      <c r="B14" s="22" t="str">
        <f>+'County Data'!$B$29</f>
        <v>Lane</v>
      </c>
      <c r="C14" s="17">
        <f>VLOOKUP($B14,'County Data'!$B$10:$P$46,2,FALSE)</f>
        <v>370600</v>
      </c>
      <c r="D14" s="7">
        <f t="shared" si="0"/>
        <v>8.9493129844727251E-2</v>
      </c>
      <c r="E14" s="16">
        <f t="shared" si="1"/>
        <v>0</v>
      </c>
      <c r="F14" s="12">
        <f t="shared" si="2"/>
        <v>0</v>
      </c>
    </row>
    <row r="15" spans="2:6" x14ac:dyDescent="0.25">
      <c r="B15" s="22" t="str">
        <f>+'County Data'!$B$11</f>
        <v>Benton</v>
      </c>
      <c r="C15" s="17">
        <f>VLOOKUP($B15,'County Data'!$B$10:$P$46,2,FALSE)</f>
        <v>92575</v>
      </c>
      <c r="D15" s="7">
        <f t="shared" si="0"/>
        <v>2.2355171331288788E-2</v>
      </c>
      <c r="E15" s="16">
        <f t="shared" si="1"/>
        <v>0</v>
      </c>
      <c r="F15" s="12">
        <f t="shared" si="2"/>
        <v>0</v>
      </c>
    </row>
    <row r="16" spans="2:6" x14ac:dyDescent="0.25">
      <c r="B16" s="22" t="str">
        <f>+'County Data'!$B$30</f>
        <v>Lincoln</v>
      </c>
      <c r="C16" s="17">
        <f>VLOOKUP($B16,'County Data'!$B$10:$P$46,2,FALSE)</f>
        <v>47960</v>
      </c>
      <c r="D16" s="7">
        <f t="shared" si="0"/>
        <v>1.158146386225882E-2</v>
      </c>
      <c r="E16" s="16">
        <f t="shared" si="1"/>
        <v>0</v>
      </c>
      <c r="F16" s="12">
        <f t="shared" si="2"/>
        <v>0</v>
      </c>
    </row>
    <row r="17" spans="2:6" x14ac:dyDescent="0.25">
      <c r="B17" s="22" t="str">
        <f>+'County Data'!$B$31</f>
        <v>Linn</v>
      </c>
      <c r="C17" s="17">
        <f>VLOOKUP($B17,'County Data'!$B$10:$P$46,2,FALSE)</f>
        <v>124010</v>
      </c>
      <c r="D17" s="7">
        <f t="shared" si="0"/>
        <v>2.9946149573784744E-2</v>
      </c>
      <c r="E17" s="16">
        <f t="shared" si="1"/>
        <v>0</v>
      </c>
      <c r="F17" s="12">
        <f t="shared" si="2"/>
        <v>0</v>
      </c>
    </row>
    <row r="18" spans="2:6" x14ac:dyDescent="0.25">
      <c r="B18" s="22" t="str">
        <f>+'County Data'!$B$32</f>
        <v>Malheur</v>
      </c>
      <c r="C18" s="17">
        <f>VLOOKUP($B18,'County Data'!$B$10:$P$46,2,FALSE)</f>
        <v>31845</v>
      </c>
      <c r="D18" s="7">
        <f t="shared" si="0"/>
        <v>7.6899857525778176E-3</v>
      </c>
      <c r="E18" s="16">
        <f t="shared" si="1"/>
        <v>0</v>
      </c>
      <c r="F18" s="12">
        <f t="shared" si="2"/>
        <v>0</v>
      </c>
    </row>
    <row r="19" spans="2:6" x14ac:dyDescent="0.25">
      <c r="B19" s="22" t="str">
        <f>+'County Data'!$B$33</f>
        <v>Marion</v>
      </c>
      <c r="C19" s="17">
        <f>VLOOKUP($B19,'County Data'!$B$10:$P$46,2,FALSE)</f>
        <v>339200</v>
      </c>
      <c r="D19" s="7">
        <f t="shared" si="0"/>
        <v>8.1910603462848036E-2</v>
      </c>
      <c r="E19" s="16">
        <f t="shared" si="1"/>
        <v>0</v>
      </c>
      <c r="F19" s="12">
        <f t="shared" si="2"/>
        <v>0</v>
      </c>
    </row>
    <row r="20" spans="2:6" x14ac:dyDescent="0.25">
      <c r="B20" s="22" t="str">
        <f>+'County Data'!$B$34</f>
        <v>Morrow</v>
      </c>
      <c r="C20" s="17">
        <f>VLOOKUP($B20,'County Data'!$B$10:$P$46,2,FALSE)</f>
        <v>11890</v>
      </c>
      <c r="D20" s="7">
        <f t="shared" si="0"/>
        <v>2.8712177923740068E-3</v>
      </c>
      <c r="E20" s="16">
        <f t="shared" si="1"/>
        <v>0</v>
      </c>
      <c r="F20" s="12">
        <f t="shared" si="2"/>
        <v>0</v>
      </c>
    </row>
    <row r="21" spans="2:6" x14ac:dyDescent="0.25">
      <c r="B21" s="22" t="str">
        <f>+'County Data'!$B$35</f>
        <v>Multnomah</v>
      </c>
      <c r="C21" s="17">
        <f>VLOOKUP($B21,'County Data'!$B$10:$P$46,2,FALSE)</f>
        <v>803000</v>
      </c>
      <c r="D21" s="7">
        <f t="shared" si="0"/>
        <v>0.19390983072130594</v>
      </c>
      <c r="E21" s="16">
        <f t="shared" si="1"/>
        <v>0</v>
      </c>
      <c r="F21" s="12">
        <f t="shared" si="2"/>
        <v>0</v>
      </c>
    </row>
    <row r="22" spans="2:6" x14ac:dyDescent="0.25">
      <c r="B22" s="22" t="str">
        <f>+'County Data'!$B$36</f>
        <v>Gilliam, Sherman, Wasco</v>
      </c>
      <c r="C22" s="17">
        <f>VLOOKUP($B22,'County Data'!$B$10:$P$46,2,FALSE)</f>
        <v>30895</v>
      </c>
      <c r="D22" s="7">
        <f t="shared" si="0"/>
        <v>7.4605781072661853E-3</v>
      </c>
      <c r="E22" s="16">
        <f t="shared" si="1"/>
        <v>0</v>
      </c>
      <c r="F22" s="12">
        <f t="shared" si="2"/>
        <v>0</v>
      </c>
    </row>
    <row r="23" spans="2:6" x14ac:dyDescent="0.25">
      <c r="B23" s="22" t="str">
        <f>+'County Data'!$B$37</f>
        <v>Polk</v>
      </c>
      <c r="C23" s="17">
        <f>VLOOKUP($B23,'County Data'!$B$10:$P$46,2,FALSE)</f>
        <v>81000</v>
      </c>
      <c r="D23" s="7">
        <f t="shared" si="0"/>
        <v>1.956002028446548E-2</v>
      </c>
      <c r="E23" s="16">
        <f t="shared" si="1"/>
        <v>0</v>
      </c>
      <c r="F23" s="12">
        <f t="shared" si="2"/>
        <v>0</v>
      </c>
    </row>
    <row r="24" spans="2:6" x14ac:dyDescent="0.25">
      <c r="B24" s="22" t="str">
        <f>+'County Data'!$B$39</f>
        <v>Tillamook</v>
      </c>
      <c r="C24" s="17">
        <f>VLOOKUP($B24,'County Data'!$B$10:$P$46,2,FALSE)</f>
        <v>26175</v>
      </c>
      <c r="D24" s="7">
        <f t="shared" si="0"/>
        <v>6.3207843326652342E-3</v>
      </c>
      <c r="E24" s="16">
        <f t="shared" si="1"/>
        <v>0</v>
      </c>
      <c r="F24" s="12">
        <f t="shared" si="2"/>
        <v>0</v>
      </c>
    </row>
    <row r="25" spans="2:6" x14ac:dyDescent="0.25">
      <c r="B25" s="22" t="str">
        <f>+'County Data'!$B$40</f>
        <v>Umatilla</v>
      </c>
      <c r="C25" s="17">
        <f>VLOOKUP($B25,'County Data'!$B$10:$P$46,2,FALSE)</f>
        <v>80500</v>
      </c>
      <c r="D25" s="7">
        <f t="shared" si="0"/>
        <v>1.9439279418511989E-2</v>
      </c>
      <c r="E25" s="16">
        <f t="shared" si="1"/>
        <v>0</v>
      </c>
      <c r="F25" s="12">
        <f t="shared" si="2"/>
        <v>0</v>
      </c>
    </row>
    <row r="26" spans="2:6" x14ac:dyDescent="0.25">
      <c r="B26" s="22" t="str">
        <f>+'County Data'!$B$12</f>
        <v>Clackamas</v>
      </c>
      <c r="C26" s="17">
        <f>VLOOKUP($B26,'County Data'!$B$10:$P$46,2,FALSE)</f>
        <v>413000</v>
      </c>
      <c r="D26" s="7">
        <f t="shared" si="0"/>
        <v>9.9731955277583245E-2</v>
      </c>
      <c r="E26" s="16">
        <f t="shared" si="1"/>
        <v>0</v>
      </c>
      <c r="F26" s="12">
        <f t="shared" si="2"/>
        <v>0</v>
      </c>
    </row>
    <row r="27" spans="2:6" x14ac:dyDescent="0.25">
      <c r="B27" s="22" t="str">
        <f>+'County Data'!$B$41</f>
        <v>Union</v>
      </c>
      <c r="C27" s="17">
        <f>VLOOKUP($B27,'County Data'!$B$10:$P$46,2,FALSE)</f>
        <v>26900</v>
      </c>
      <c r="D27" s="7">
        <f t="shared" si="0"/>
        <v>6.4958585882977952E-3</v>
      </c>
      <c r="E27" s="16">
        <f t="shared" si="1"/>
        <v>0</v>
      </c>
      <c r="F27" s="12">
        <f t="shared" si="2"/>
        <v>0</v>
      </c>
    </row>
    <row r="28" spans="2:6" x14ac:dyDescent="0.25">
      <c r="B28" s="22" t="str">
        <f>+'County Data'!$B$44</f>
        <v>Washington</v>
      </c>
      <c r="C28" s="17">
        <f>VLOOKUP($B28,'County Data'!$B$10:$P$46,2,FALSE)</f>
        <v>595860</v>
      </c>
      <c r="D28" s="7">
        <f t="shared" si="0"/>
        <v>0.14388930477409384</v>
      </c>
      <c r="E28" s="16">
        <f t="shared" si="1"/>
        <v>0</v>
      </c>
      <c r="F28" s="12">
        <f t="shared" si="2"/>
        <v>0</v>
      </c>
    </row>
    <row r="29" spans="2:6" x14ac:dyDescent="0.25">
      <c r="B29" s="22" t="str">
        <f>+'County Data'!$B$46</f>
        <v>Yamhill</v>
      </c>
      <c r="C29" s="17">
        <f>VLOOKUP($B29,'County Data'!$B$10:$P$46,2,FALSE)</f>
        <v>106300</v>
      </c>
      <c r="D29" s="7">
        <f t="shared" si="0"/>
        <v>2.5669508101712105E-2</v>
      </c>
      <c r="E29" s="16">
        <f t="shared" si="1"/>
        <v>0</v>
      </c>
      <c r="F29" s="12">
        <f t="shared" si="2"/>
        <v>0</v>
      </c>
    </row>
    <row r="30" spans="2:6" x14ac:dyDescent="0.25">
      <c r="B30" s="22" t="str">
        <f>+'County Data'!$B$13</f>
        <v>Clatsop</v>
      </c>
      <c r="C30" s="17">
        <f>VLOOKUP($B30,'County Data'!$B$10:$P$46,2,FALSE)</f>
        <v>38820</v>
      </c>
      <c r="D30" s="7">
        <f t="shared" si="0"/>
        <v>9.3743208326290111E-3</v>
      </c>
      <c r="E30" s="16">
        <f t="shared" si="1"/>
        <v>0</v>
      </c>
      <c r="F30" s="12">
        <f t="shared" si="2"/>
        <v>0</v>
      </c>
    </row>
    <row r="31" spans="2:6" x14ac:dyDescent="0.25">
      <c r="B31" s="22" t="str">
        <f>+'County Data'!$B$14</f>
        <v>Columbia</v>
      </c>
      <c r="C31" s="17">
        <f>VLOOKUP($B31,'County Data'!$B$10:$P$46,2,FALSE)</f>
        <v>51345</v>
      </c>
      <c r="D31" s="7">
        <f t="shared" si="0"/>
        <v>1.2398879524763951E-2</v>
      </c>
      <c r="E31" s="16">
        <f t="shared" si="1"/>
        <v>0</v>
      </c>
      <c r="F31" s="12">
        <f t="shared" si="2"/>
        <v>0</v>
      </c>
    </row>
    <row r="32" spans="2:6" x14ac:dyDescent="0.25">
      <c r="B32" s="22" t="str">
        <f>+'County Data'!$B$15</f>
        <v>Coos</v>
      </c>
      <c r="C32" s="17">
        <f>VLOOKUP($B32,'County Data'!$B$10:$P$46,2,FALSE)</f>
        <v>63310</v>
      </c>
      <c r="D32" s="7">
        <f t="shared" si="0"/>
        <v>1.5288208447030983E-2</v>
      </c>
      <c r="E32" s="16">
        <f t="shared" si="1"/>
        <v>0</v>
      </c>
      <c r="F32" s="12">
        <f t="shared" si="2"/>
        <v>0</v>
      </c>
    </row>
    <row r="33" spans="2:6" x14ac:dyDescent="0.25">
      <c r="B33" s="22" t="str">
        <f>+'County Data'!$B$16</f>
        <v>Crook</v>
      </c>
      <c r="C33" s="17">
        <f>VLOOKUP($B33,'County Data'!$B$10:$P$46,2,FALSE)</f>
        <v>22105</v>
      </c>
      <c r="D33" s="7">
        <f t="shared" si="0"/>
        <v>5.3379536838038203E-3</v>
      </c>
      <c r="E33" s="16">
        <f t="shared" si="1"/>
        <v>0</v>
      </c>
      <c r="F33" s="12">
        <f t="shared" si="2"/>
        <v>0</v>
      </c>
    </row>
    <row r="34" spans="2:6" x14ac:dyDescent="0.25">
      <c r="B34" s="22" t="str">
        <f>+'County Data'!$B$17</f>
        <v>Curry</v>
      </c>
      <c r="C34" s="17">
        <f>VLOOKUP($B34,'County Data'!$B$10:$P$46,2,FALSE)</f>
        <v>22805</v>
      </c>
      <c r="D34" s="7">
        <f t="shared" si="0"/>
        <v>5.5069908961387073E-3</v>
      </c>
      <c r="E34" s="16">
        <f t="shared" si="1"/>
        <v>0</v>
      </c>
      <c r="F34" s="12">
        <f t="shared" si="2"/>
        <v>0</v>
      </c>
    </row>
    <row r="35" spans="2:6" x14ac:dyDescent="0.25">
      <c r="B35" s="22" t="str">
        <f>+'County Data'!$B$18</f>
        <v>Deschutes</v>
      </c>
      <c r="C35" s="17">
        <f>VLOOKUP($B35,'County Data'!$B$10:$P$46,2,FALSE)</f>
        <v>182930</v>
      </c>
      <c r="D35" s="7">
        <f t="shared" si="0"/>
        <v>4.4174253217744076E-2</v>
      </c>
      <c r="E35" s="16">
        <f t="shared" si="1"/>
        <v>0</v>
      </c>
      <c r="F35" s="12">
        <f t="shared" si="2"/>
        <v>0</v>
      </c>
    </row>
    <row r="36" spans="2:6" x14ac:dyDescent="0.25">
      <c r="B36" s="22" t="str">
        <f>+'County Data'!$B$21</f>
        <v>Grant</v>
      </c>
      <c r="C36" s="17">
        <f>VLOOKUP($B36,'County Data'!$B$10:$P$46,2,FALSE)</f>
        <v>7415</v>
      </c>
      <c r="D36" s="7">
        <f t="shared" si="0"/>
        <v>1.7905870420902659E-3</v>
      </c>
      <c r="E36" s="16">
        <f t="shared" si="1"/>
        <v>0</v>
      </c>
      <c r="F36" s="12">
        <f t="shared" si="2"/>
        <v>0</v>
      </c>
    </row>
    <row r="37" spans="2:6" x14ac:dyDescent="0.25">
      <c r="B37" s="22" t="str">
        <f>+'County Data'!$B$22</f>
        <v>Harney</v>
      </c>
      <c r="C37" s="17">
        <f>VLOOKUP($B37,'County Data'!$B$10:$P$46,2,FALSE)</f>
        <v>7360</v>
      </c>
      <c r="D37" s="7">
        <f t="shared" si="0"/>
        <v>1.777305546835382E-3</v>
      </c>
      <c r="E37" s="16">
        <f t="shared" si="1"/>
        <v>0</v>
      </c>
      <c r="F37" s="12">
        <f t="shared" si="2"/>
        <v>0</v>
      </c>
    </row>
    <row r="38" spans="2:6" x14ac:dyDescent="0.25">
      <c r="B38" s="22" t="str">
        <f>+'County Data'!$B$28</f>
        <v>Lake</v>
      </c>
      <c r="C38" s="17">
        <f>VLOOKUP($B38,'County Data'!$B$10:$P$46,2,FALSE)</f>
        <v>8120</v>
      </c>
      <c r="D38" s="7">
        <f t="shared" si="0"/>
        <v>1.9608316630846875E-3</v>
      </c>
      <c r="E38" s="16">
        <f t="shared" si="1"/>
        <v>0</v>
      </c>
      <c r="F38" s="12">
        <f t="shared" si="2"/>
        <v>0</v>
      </c>
    </row>
    <row r="39" spans="2:6" x14ac:dyDescent="0.25">
      <c r="B39" s="22" t="str">
        <f>+'County Data'!$B$42</f>
        <v>Wallowa</v>
      </c>
      <c r="C39" s="17">
        <f>VLOOKUP($B39,'County Data'!$B$10:$P$46,2,FALSE)</f>
        <v>7195</v>
      </c>
      <c r="D39" s="7">
        <f t="shared" si="0"/>
        <v>1.7374610610707299E-3</v>
      </c>
      <c r="E39" s="16">
        <f t="shared" si="1"/>
        <v>0</v>
      </c>
      <c r="F39" s="12">
        <f t="shared" si="2"/>
        <v>0</v>
      </c>
    </row>
    <row r="40" spans="2:6" x14ac:dyDescent="0.25">
      <c r="B40" s="22" t="str">
        <f>'County Data'!$B$45</f>
        <v>Wheeler</v>
      </c>
      <c r="C40" s="17">
        <f>VLOOKUP($B40,'County Data'!$B$10:$P$46,2,FALSE)</f>
        <v>1480</v>
      </c>
      <c r="D40" s="7">
        <f t="shared" si="0"/>
        <v>3.5739296322233224E-4</v>
      </c>
      <c r="E40" s="16">
        <f t="shared" si="1"/>
        <v>0</v>
      </c>
      <c r="F40" s="12">
        <f t="shared" si="2"/>
        <v>0</v>
      </c>
    </row>
    <row r="41" spans="2:6" x14ac:dyDescent="0.25">
      <c r="B41" s="5" t="s">
        <v>2</v>
      </c>
      <c r="C41" s="6">
        <f t="shared" ref="C41:D41" si="3">SUM(C7:C40)</f>
        <v>4141100</v>
      </c>
      <c r="D41" s="10">
        <f t="shared" si="3"/>
        <v>1</v>
      </c>
      <c r="E41" s="13">
        <f>SUM(E7:E40)</f>
        <v>0</v>
      </c>
      <c r="F41" s="14">
        <f t="shared" ref="F41" si="4">E41/C41</f>
        <v>0</v>
      </c>
    </row>
  </sheetData>
  <sortState xmlns:xlrd2="http://schemas.microsoft.com/office/spreadsheetml/2017/richdata2"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J45"/>
  <sheetViews>
    <sheetView workbookViewId="0"/>
  </sheetViews>
  <sheetFormatPr defaultRowHeight="15" x14ac:dyDescent="0.25"/>
  <cols>
    <col min="2" max="2" width="17.42578125" bestFit="1" customWidth="1"/>
    <col min="3" max="3" width="11.85546875" bestFit="1" customWidth="1"/>
    <col min="4" max="4" width="12.140625" bestFit="1" customWidth="1"/>
    <col min="5" max="5" width="14.140625" customWidth="1"/>
    <col min="6" max="6" width="10" bestFit="1" customWidth="1"/>
    <col min="7" max="7" width="13.5703125" bestFit="1" customWidth="1"/>
    <col min="8" max="8" width="10.7109375" bestFit="1" customWidth="1"/>
    <col min="10" max="10" width="10.85546875" bestFit="1" customWidth="1"/>
  </cols>
  <sheetData>
    <row r="3" spans="2:10" x14ac:dyDescent="0.25">
      <c r="B3" t="s">
        <v>0</v>
      </c>
      <c r="C3" s="1">
        <f>'County Data'!C5</f>
        <v>15000000</v>
      </c>
    </row>
    <row r="4" spans="2:10" x14ac:dyDescent="0.25">
      <c r="B4" t="s">
        <v>42</v>
      </c>
      <c r="C4" s="16">
        <f>C3*Input!C7</f>
        <v>2767500</v>
      </c>
    </row>
    <row r="6" spans="2:10" s="2" customFormat="1" ht="30" x14ac:dyDescent="0.25">
      <c r="B6" s="3" t="s">
        <v>7</v>
      </c>
      <c r="C6" s="3" t="s">
        <v>1</v>
      </c>
      <c r="D6" s="3" t="s">
        <v>105</v>
      </c>
      <c r="E6" s="15" t="s">
        <v>104</v>
      </c>
      <c r="F6" s="3" t="s">
        <v>6</v>
      </c>
    </row>
    <row r="7" spans="2:10" x14ac:dyDescent="0.25">
      <c r="B7" s="22" t="str">
        <f>+'County Data'!$B$10</f>
        <v>Baker</v>
      </c>
      <c r="C7" s="17">
        <f>VLOOKUP($B7,'County Data'!$B$10:$P$46,2,FALSE)</f>
        <v>16750</v>
      </c>
      <c r="D7" s="17" t="str">
        <f>VLOOKUP($B7,'County Data'!$B$10:$P$46,3,FALSE)</f>
        <v>Extra Small</v>
      </c>
      <c r="E7" s="16">
        <f>VLOOKUP(D7,$H$7:$J$11,3,FALSE)</f>
        <v>45000</v>
      </c>
      <c r="F7" s="12">
        <f t="shared" ref="F7:F42" si="0">E7/C7</f>
        <v>2.6865671641791047</v>
      </c>
      <c r="H7" t="s">
        <v>45</v>
      </c>
      <c r="I7" s="9">
        <f>Input!$C$8</f>
        <v>3.0000000000000001E-3</v>
      </c>
      <c r="J7" s="106">
        <f>$C$3*I7</f>
        <v>45000</v>
      </c>
    </row>
    <row r="8" spans="2:10" x14ac:dyDescent="0.25">
      <c r="B8" s="22" t="str">
        <f>+'County Data'!$B$11</f>
        <v>Benton</v>
      </c>
      <c r="C8" s="17">
        <f>VLOOKUP($B8,'County Data'!$B$10:$P$46,2,FALSE)</f>
        <v>92575</v>
      </c>
      <c r="D8" s="17" t="str">
        <f>VLOOKUP($B8,'County Data'!$B$10:$P$46,3,FALSE)</f>
        <v>Medium</v>
      </c>
      <c r="E8" s="16">
        <f t="shared" ref="E8:E42" si="1">VLOOKUP(D8,$H$7:$J$11,3,FALSE)</f>
        <v>90000</v>
      </c>
      <c r="F8" s="12">
        <f t="shared" si="0"/>
        <v>0.97218471509586823</v>
      </c>
      <c r="H8" t="s">
        <v>46</v>
      </c>
      <c r="I8" s="9">
        <f>Input!$C$9</f>
        <v>4.5000000000000005E-3</v>
      </c>
      <c r="J8" s="106">
        <f t="shared" ref="J8:J11" si="2">$C$3*I8</f>
        <v>67500.000000000015</v>
      </c>
    </row>
    <row r="9" spans="2:10" x14ac:dyDescent="0.25">
      <c r="B9" s="22" t="str">
        <f>+'County Data'!$B$12</f>
        <v>Clackamas</v>
      </c>
      <c r="C9" s="17">
        <f>VLOOKUP($B9,'County Data'!$B$10:$P$46,2,FALSE)</f>
        <v>413000</v>
      </c>
      <c r="D9" s="17" t="str">
        <f>VLOOKUP($B9,'County Data'!$B$10:$P$46,3,FALSE)</f>
        <v>Extra Large</v>
      </c>
      <c r="E9" s="16">
        <f t="shared" si="1"/>
        <v>135000.00000000003</v>
      </c>
      <c r="F9" s="12">
        <f t="shared" si="0"/>
        <v>0.32687651331719136</v>
      </c>
      <c r="H9" t="s">
        <v>47</v>
      </c>
      <c r="I9" s="9">
        <f>Input!$C$10</f>
        <v>6.0000000000000001E-3</v>
      </c>
      <c r="J9" s="106">
        <f t="shared" si="2"/>
        <v>90000</v>
      </c>
    </row>
    <row r="10" spans="2:10" x14ac:dyDescent="0.25">
      <c r="B10" s="22" t="str">
        <f>+'County Data'!$B$13</f>
        <v>Clatsop</v>
      </c>
      <c r="C10" s="17">
        <f>VLOOKUP($B10,'County Data'!$B$10:$P$46,2,FALSE)</f>
        <v>38820</v>
      </c>
      <c r="D10" s="17" t="str">
        <f>VLOOKUP($B10,'County Data'!$B$10:$P$46,3,FALSE)</f>
        <v>Small</v>
      </c>
      <c r="E10" s="16">
        <f t="shared" si="1"/>
        <v>67500.000000000015</v>
      </c>
      <c r="F10" s="12">
        <f t="shared" si="0"/>
        <v>1.7387944358578056</v>
      </c>
      <c r="H10" t="s">
        <v>48</v>
      </c>
      <c r="I10" s="9">
        <f>Input!$C$11</f>
        <v>7.4999999999999997E-3</v>
      </c>
      <c r="J10" s="106">
        <f t="shared" si="2"/>
        <v>112500</v>
      </c>
    </row>
    <row r="11" spans="2:10" x14ac:dyDescent="0.25">
      <c r="B11" s="22" t="str">
        <f>+'County Data'!$B$14</f>
        <v>Columbia</v>
      </c>
      <c r="C11" s="17">
        <f>VLOOKUP($B11,'County Data'!$B$10:$P$46,2,FALSE)</f>
        <v>51345</v>
      </c>
      <c r="D11" s="17" t="str">
        <f>VLOOKUP($B11,'County Data'!$B$10:$P$46,3,FALSE)</f>
        <v>Small</v>
      </c>
      <c r="E11" s="16">
        <f t="shared" si="1"/>
        <v>67500.000000000015</v>
      </c>
      <c r="F11" s="12">
        <f t="shared" si="0"/>
        <v>1.3146362839614376</v>
      </c>
      <c r="H11" t="s">
        <v>49</v>
      </c>
      <c r="I11" s="9">
        <f>Input!$C$12</f>
        <v>9.0000000000000011E-3</v>
      </c>
      <c r="J11" s="106">
        <f t="shared" si="2"/>
        <v>135000.00000000003</v>
      </c>
    </row>
    <row r="12" spans="2:10" x14ac:dyDescent="0.25">
      <c r="B12" s="22" t="str">
        <f>+'County Data'!$B$15</f>
        <v>Coos</v>
      </c>
      <c r="C12" s="17">
        <f>VLOOKUP($B12,'County Data'!$B$10:$P$46,2,FALSE)</f>
        <v>63310</v>
      </c>
      <c r="D12" s="17" t="str">
        <f>VLOOKUP($B12,'County Data'!$B$10:$P$46,3,FALSE)</f>
        <v>Small</v>
      </c>
      <c r="E12" s="16">
        <f t="shared" si="1"/>
        <v>67500.000000000015</v>
      </c>
      <c r="F12" s="12">
        <f t="shared" si="0"/>
        <v>1.0661822776812513</v>
      </c>
    </row>
    <row r="13" spans="2:10" x14ac:dyDescent="0.25">
      <c r="B13" s="22" t="str">
        <f>+'County Data'!$B$16</f>
        <v>Crook</v>
      </c>
      <c r="C13" s="17">
        <f>VLOOKUP($B13,'County Data'!$B$10:$P$46,2,FALSE)</f>
        <v>22105</v>
      </c>
      <c r="D13" s="17" t="str">
        <f>VLOOKUP($B13,'County Data'!$B$10:$P$46,3,FALSE)</f>
        <v>Small</v>
      </c>
      <c r="E13" s="16">
        <f t="shared" si="1"/>
        <v>67500.000000000015</v>
      </c>
      <c r="F13" s="12">
        <f t="shared" si="0"/>
        <v>3.0536077810450131</v>
      </c>
    </row>
    <row r="14" spans="2:10" x14ac:dyDescent="0.25">
      <c r="B14" s="22" t="str">
        <f>+'County Data'!$B$17</f>
        <v>Curry</v>
      </c>
      <c r="C14" s="17">
        <f>VLOOKUP($B14,'County Data'!$B$10:$P$46,2,FALSE)</f>
        <v>22805</v>
      </c>
      <c r="D14" s="17" t="str">
        <f>VLOOKUP($B14,'County Data'!$B$10:$P$46,3,FALSE)</f>
        <v>Small</v>
      </c>
      <c r="E14" s="16">
        <f t="shared" si="1"/>
        <v>67500.000000000015</v>
      </c>
      <c r="F14" s="12">
        <f t="shared" si="0"/>
        <v>2.9598772199079155</v>
      </c>
    </row>
    <row r="15" spans="2:10" x14ac:dyDescent="0.25">
      <c r="B15" s="22" t="str">
        <f>+'County Data'!$B$18</f>
        <v>Deschutes</v>
      </c>
      <c r="C15" s="17">
        <f>VLOOKUP($B15,'County Data'!$B$10:$P$46,2,FALSE)</f>
        <v>182930</v>
      </c>
      <c r="D15" s="17" t="str">
        <f>VLOOKUP($B15,'County Data'!$B$10:$P$46,3,FALSE)</f>
        <v>Large</v>
      </c>
      <c r="E15" s="16">
        <f t="shared" si="1"/>
        <v>112500</v>
      </c>
      <c r="F15" s="12">
        <f t="shared" si="0"/>
        <v>0.61498934018477014</v>
      </c>
    </row>
    <row r="16" spans="2:10" x14ac:dyDescent="0.25">
      <c r="B16" s="22" t="str">
        <f>+'County Data'!$B$19</f>
        <v>Douglas</v>
      </c>
      <c r="C16" s="17">
        <f>VLOOKUP($B16,'County Data'!$B$10:$P$46,2,FALSE)</f>
        <v>111180</v>
      </c>
      <c r="D16" s="17" t="str">
        <f>VLOOKUP($B16,'County Data'!$B$10:$P$46,3,FALSE)</f>
        <v>Medium</v>
      </c>
      <c r="E16" s="16">
        <f t="shared" si="1"/>
        <v>90000</v>
      </c>
      <c r="F16" s="12">
        <f t="shared" si="0"/>
        <v>0.80949811117107395</v>
      </c>
    </row>
    <row r="17" spans="2:6" x14ac:dyDescent="0.25">
      <c r="B17" s="22" t="str">
        <f>+'County Data'!$B$20</f>
        <v>Gilliam</v>
      </c>
      <c r="C17" s="17">
        <f>VLOOKUP($B17,'County Data'!$B$10:$P$46,2,FALSE)</f>
        <v>1995</v>
      </c>
      <c r="D17" s="17" t="str">
        <f>VLOOKUP($B17,'County Data'!$B$10:$P$46,3,FALSE)</f>
        <v>Extra Small</v>
      </c>
      <c r="E17" s="16">
        <f t="shared" si="1"/>
        <v>45000</v>
      </c>
      <c r="F17" s="12">
        <f t="shared" si="0"/>
        <v>22.556390977443609</v>
      </c>
    </row>
    <row r="18" spans="2:6" x14ac:dyDescent="0.25">
      <c r="B18" s="22" t="str">
        <f>+'County Data'!$B$21</f>
        <v>Grant</v>
      </c>
      <c r="C18" s="17">
        <f>VLOOKUP($B18,'County Data'!$B$10:$P$46,2,FALSE)</f>
        <v>7415</v>
      </c>
      <c r="D18" s="17" t="str">
        <f>VLOOKUP($B18,'County Data'!$B$10:$P$46,3,FALSE)</f>
        <v>Extra Small</v>
      </c>
      <c r="E18" s="16">
        <f t="shared" si="1"/>
        <v>45000</v>
      </c>
      <c r="F18" s="12">
        <f t="shared" si="0"/>
        <v>6.0687795010114636</v>
      </c>
    </row>
    <row r="19" spans="2:6" x14ac:dyDescent="0.25">
      <c r="B19" s="22" t="str">
        <f>+'County Data'!$B$22</f>
        <v>Harney</v>
      </c>
      <c r="C19" s="17">
        <f>VLOOKUP($B19,'County Data'!$B$10:$P$46,2,FALSE)</f>
        <v>7360</v>
      </c>
      <c r="D19" s="17" t="str">
        <f>VLOOKUP($B19,'County Data'!$B$10:$P$46,3,FALSE)</f>
        <v>Extra Small</v>
      </c>
      <c r="E19" s="16">
        <f t="shared" si="1"/>
        <v>45000</v>
      </c>
      <c r="F19" s="12">
        <f t="shared" si="0"/>
        <v>6.1141304347826084</v>
      </c>
    </row>
    <row r="20" spans="2:6" x14ac:dyDescent="0.25">
      <c r="B20" s="22" t="str">
        <f>+'County Data'!$B$23</f>
        <v>Hood River</v>
      </c>
      <c r="C20" s="17">
        <f>VLOOKUP($B20,'County Data'!$B$10:$P$46,2,FALSE)</f>
        <v>25145</v>
      </c>
      <c r="D20" s="17" t="str">
        <f>VLOOKUP($B20,'County Data'!$B$10:$P$46,3,FALSE)</f>
        <v>Small</v>
      </c>
      <c r="E20" s="16">
        <f t="shared" si="1"/>
        <v>67500.000000000015</v>
      </c>
      <c r="F20" s="12">
        <f t="shared" si="0"/>
        <v>2.6844303042354349</v>
      </c>
    </row>
    <row r="21" spans="2:6" x14ac:dyDescent="0.25">
      <c r="B21" s="22" t="str">
        <f>+'County Data'!$B$24</f>
        <v>Jackson</v>
      </c>
      <c r="C21" s="17">
        <f>VLOOKUP($B21,'County Data'!$B$10:$P$46,2,FALSE)</f>
        <v>216900</v>
      </c>
      <c r="D21" s="17" t="str">
        <f>VLOOKUP($B21,'County Data'!$B$10:$P$46,3,FALSE)</f>
        <v>Large</v>
      </c>
      <c r="E21" s="16">
        <f t="shared" si="1"/>
        <v>112500</v>
      </c>
      <c r="F21" s="12">
        <f t="shared" si="0"/>
        <v>0.51867219917012453</v>
      </c>
    </row>
    <row r="22" spans="2:6" x14ac:dyDescent="0.25">
      <c r="B22" s="22" t="str">
        <f>+'County Data'!$B$25</f>
        <v>Jefferson</v>
      </c>
      <c r="C22" s="17">
        <f>VLOOKUP($B22,'County Data'!$B$10:$P$46,2,FALSE)</f>
        <v>23190</v>
      </c>
      <c r="D22" s="17" t="str">
        <f>VLOOKUP($B22,'County Data'!$B$10:$P$46,3,FALSE)</f>
        <v>Small</v>
      </c>
      <c r="E22" s="16">
        <f t="shared" si="1"/>
        <v>67500.000000000015</v>
      </c>
      <c r="F22" s="12">
        <f t="shared" si="0"/>
        <v>2.9107373868046578</v>
      </c>
    </row>
    <row r="23" spans="2:6" x14ac:dyDescent="0.25">
      <c r="B23" s="22" t="str">
        <f>+'County Data'!$B$26</f>
        <v>Josephine</v>
      </c>
      <c r="C23" s="17">
        <f>VLOOKUP($B23,'County Data'!$B$10:$P$46,2,FALSE)</f>
        <v>85650</v>
      </c>
      <c r="D23" s="17" t="str">
        <f>VLOOKUP($B23,'County Data'!$B$10:$P$46,3,FALSE)</f>
        <v>Medium</v>
      </c>
      <c r="E23" s="16">
        <f t="shared" si="1"/>
        <v>90000</v>
      </c>
      <c r="F23" s="12">
        <f t="shared" si="0"/>
        <v>1.0507880910683012</v>
      </c>
    </row>
    <row r="24" spans="2:6" x14ac:dyDescent="0.25">
      <c r="B24" s="22" t="str">
        <f>+'County Data'!$B$27</f>
        <v>Klamath</v>
      </c>
      <c r="C24" s="17">
        <f>VLOOKUP($B24,'County Data'!$B$10:$P$46,2,FALSE)</f>
        <v>67690</v>
      </c>
      <c r="D24" s="17" t="str">
        <f>VLOOKUP($B24,'County Data'!$B$10:$P$46,3,FALSE)</f>
        <v>Small</v>
      </c>
      <c r="E24" s="16">
        <f t="shared" si="1"/>
        <v>67500.000000000015</v>
      </c>
      <c r="F24" s="12">
        <f t="shared" si="0"/>
        <v>0.99719308612793645</v>
      </c>
    </row>
    <row r="25" spans="2:6" x14ac:dyDescent="0.25">
      <c r="B25" s="22" t="str">
        <f>+'County Data'!$B$28</f>
        <v>Lake</v>
      </c>
      <c r="C25" s="17">
        <f>VLOOKUP($B25,'County Data'!$B$10:$P$46,2,FALSE)</f>
        <v>8120</v>
      </c>
      <c r="D25" s="17" t="str">
        <f>VLOOKUP($B25,'County Data'!$B$10:$P$46,3,FALSE)</f>
        <v>Extra Small</v>
      </c>
      <c r="E25" s="16">
        <f t="shared" si="1"/>
        <v>45000</v>
      </c>
      <c r="F25" s="12">
        <f t="shared" si="0"/>
        <v>5.541871921182266</v>
      </c>
    </row>
    <row r="26" spans="2:6" x14ac:dyDescent="0.25">
      <c r="B26" s="22" t="str">
        <f>+'County Data'!$B$29</f>
        <v>Lane</v>
      </c>
      <c r="C26" s="17">
        <f>VLOOKUP($B26,'County Data'!$B$10:$P$46,2,FALSE)</f>
        <v>370600</v>
      </c>
      <c r="D26" s="17" t="str">
        <f>VLOOKUP($B26,'County Data'!$B$10:$P$46,3,FALSE)</f>
        <v>Large</v>
      </c>
      <c r="E26" s="16">
        <f t="shared" si="1"/>
        <v>112500</v>
      </c>
      <c r="F26" s="12">
        <f t="shared" si="0"/>
        <v>0.3035617916891527</v>
      </c>
    </row>
    <row r="27" spans="2:6" x14ac:dyDescent="0.25">
      <c r="B27" s="22" t="str">
        <f>+'County Data'!$B$30</f>
        <v>Lincoln</v>
      </c>
      <c r="C27" s="17">
        <f>VLOOKUP($B27,'County Data'!$B$10:$P$46,2,FALSE)</f>
        <v>47960</v>
      </c>
      <c r="D27" s="17" t="str">
        <f>VLOOKUP($B27,'County Data'!$B$10:$P$46,3,FALSE)</f>
        <v>Small</v>
      </c>
      <c r="E27" s="16">
        <f>VLOOKUP(D27,$H$7:$J$11,3,FALSE)</f>
        <v>67500.000000000015</v>
      </c>
      <c r="F27" s="12">
        <f t="shared" si="0"/>
        <v>1.4074228523769812</v>
      </c>
    </row>
    <row r="28" spans="2:6" x14ac:dyDescent="0.25">
      <c r="B28" s="22" t="str">
        <f>+'County Data'!$B$31</f>
        <v>Linn</v>
      </c>
      <c r="C28" s="17">
        <f>VLOOKUP($B28,'County Data'!$B$10:$P$46,2,FALSE)</f>
        <v>124010</v>
      </c>
      <c r="D28" s="17" t="str">
        <f>VLOOKUP($B28,'County Data'!$B$10:$P$46,3,FALSE)</f>
        <v>Medium</v>
      </c>
      <c r="E28" s="16">
        <f t="shared" si="1"/>
        <v>90000</v>
      </c>
      <c r="F28" s="12">
        <f t="shared" si="0"/>
        <v>0.72574792355455209</v>
      </c>
    </row>
    <row r="29" spans="2:6" x14ac:dyDescent="0.25">
      <c r="B29" s="22" t="str">
        <f>+'County Data'!$B$32</f>
        <v>Malheur</v>
      </c>
      <c r="C29" s="17">
        <f>VLOOKUP($B29,'County Data'!$B$10:$P$46,2,FALSE)</f>
        <v>31845</v>
      </c>
      <c r="D29" s="17" t="str">
        <f>VLOOKUP($B29,'County Data'!$B$10:$P$46,3,FALSE)</f>
        <v>Small</v>
      </c>
      <c r="E29" s="16">
        <f t="shared" si="1"/>
        <v>67500.000000000015</v>
      </c>
      <c r="F29" s="12">
        <f t="shared" si="0"/>
        <v>2.1196420160150735</v>
      </c>
    </row>
    <row r="30" spans="2:6" x14ac:dyDescent="0.25">
      <c r="B30" s="22" t="str">
        <f>+'County Data'!$B$33</f>
        <v>Marion</v>
      </c>
      <c r="C30" s="17">
        <f>VLOOKUP($B30,'County Data'!$B$10:$P$46,2,FALSE)</f>
        <v>339200</v>
      </c>
      <c r="D30" s="17" t="str">
        <f>VLOOKUP($B30,'County Data'!$B$10:$P$46,3,FALSE)</f>
        <v>Large</v>
      </c>
      <c r="E30" s="16">
        <f t="shared" si="1"/>
        <v>112500</v>
      </c>
      <c r="F30" s="12">
        <f t="shared" si="0"/>
        <v>0.33166273584905659</v>
      </c>
    </row>
    <row r="31" spans="2:6" x14ac:dyDescent="0.25">
      <c r="B31" s="22" t="str">
        <f>+'County Data'!$B$34</f>
        <v>Morrow</v>
      </c>
      <c r="C31" s="17">
        <f>VLOOKUP($B31,'County Data'!$B$10:$P$46,2,FALSE)</f>
        <v>11890</v>
      </c>
      <c r="D31" s="17" t="str">
        <f>VLOOKUP($B31,'County Data'!$B$10:$P$46,3,FALSE)</f>
        <v>Extra Small</v>
      </c>
      <c r="E31" s="16">
        <f t="shared" si="1"/>
        <v>45000</v>
      </c>
      <c r="F31" s="12">
        <f t="shared" si="0"/>
        <v>3.7846930193439867</v>
      </c>
    </row>
    <row r="32" spans="2:6" x14ac:dyDescent="0.25">
      <c r="B32" s="22" t="str">
        <f>+'County Data'!$B$35</f>
        <v>Multnomah</v>
      </c>
      <c r="C32" s="17">
        <f>VLOOKUP($B32,'County Data'!$B$10:$P$46,2,FALSE)</f>
        <v>803000</v>
      </c>
      <c r="D32" s="17" t="str">
        <f>VLOOKUP($B32,'County Data'!$B$10:$P$46,3,FALSE)</f>
        <v>Extra Large</v>
      </c>
      <c r="E32" s="16">
        <f t="shared" si="1"/>
        <v>135000.00000000003</v>
      </c>
      <c r="F32" s="12">
        <f t="shared" si="0"/>
        <v>0.16811955168119555</v>
      </c>
    </row>
    <row r="33" spans="2:6" x14ac:dyDescent="0.25">
      <c r="B33" s="22" t="str">
        <f>+'County Data'!$B$37</f>
        <v>Polk</v>
      </c>
      <c r="C33" s="17">
        <f>VLOOKUP($B33,'County Data'!$B$10:$P$46,2,FALSE)</f>
        <v>81000</v>
      </c>
      <c r="D33" s="17" t="str">
        <f>VLOOKUP($B33,'County Data'!$B$10:$P$46,3,FALSE)</f>
        <v>Medium</v>
      </c>
      <c r="E33" s="16">
        <f t="shared" si="1"/>
        <v>90000</v>
      </c>
      <c r="F33" s="12">
        <f t="shared" si="0"/>
        <v>1.1111111111111112</v>
      </c>
    </row>
    <row r="34" spans="2:6" x14ac:dyDescent="0.25">
      <c r="B34" s="22" t="str">
        <f>+'County Data'!$B$38</f>
        <v>Sherman</v>
      </c>
      <c r="C34" s="17">
        <f>VLOOKUP($B34,'County Data'!$B$10:$P$46,2,FALSE)</f>
        <v>1800</v>
      </c>
      <c r="D34" s="17" t="str">
        <f>VLOOKUP($B34,'County Data'!$B$10:$P$46,3,FALSE)</f>
        <v>Extra Small</v>
      </c>
      <c r="E34" s="16">
        <f t="shared" si="1"/>
        <v>45000</v>
      </c>
      <c r="F34" s="12">
        <f t="shared" si="0"/>
        <v>25</v>
      </c>
    </row>
    <row r="35" spans="2:6" x14ac:dyDescent="0.25">
      <c r="B35" s="22" t="str">
        <f>+'County Data'!$B$39</f>
        <v>Tillamook</v>
      </c>
      <c r="C35" s="17">
        <f>VLOOKUP($B35,'County Data'!$B$10:$P$46,2,FALSE)</f>
        <v>26175</v>
      </c>
      <c r="D35" s="17" t="str">
        <f>VLOOKUP($B35,'County Data'!$B$10:$P$46,3,FALSE)</f>
        <v>Small</v>
      </c>
      <c r="E35" s="16">
        <f t="shared" si="1"/>
        <v>67500.000000000015</v>
      </c>
      <c r="F35" s="12">
        <f t="shared" si="0"/>
        <v>2.5787965616045851</v>
      </c>
    </row>
    <row r="36" spans="2:6" x14ac:dyDescent="0.25">
      <c r="B36" s="22" t="str">
        <f>+'County Data'!$B$40</f>
        <v>Umatilla</v>
      </c>
      <c r="C36" s="17">
        <f>VLOOKUP($B36,'County Data'!$B$10:$P$46,2,FALSE)</f>
        <v>80500</v>
      </c>
      <c r="D36" s="17" t="str">
        <f>VLOOKUP($B36,'County Data'!$B$10:$P$46,3,FALSE)</f>
        <v>Medium</v>
      </c>
      <c r="E36" s="16">
        <f t="shared" si="1"/>
        <v>90000</v>
      </c>
      <c r="F36" s="12">
        <f t="shared" si="0"/>
        <v>1.1180124223602483</v>
      </c>
    </row>
    <row r="37" spans="2:6" x14ac:dyDescent="0.25">
      <c r="B37" s="22" t="str">
        <f>+'County Data'!$B$41</f>
        <v>Union</v>
      </c>
      <c r="C37" s="17">
        <f>VLOOKUP($B37,'County Data'!$B$10:$P$46,2,FALSE)</f>
        <v>26900</v>
      </c>
      <c r="D37" s="17" t="str">
        <f>VLOOKUP($B37,'County Data'!$B$10:$P$46,3,FALSE)</f>
        <v>Small</v>
      </c>
      <c r="E37" s="16">
        <f t="shared" si="1"/>
        <v>67500.000000000015</v>
      </c>
      <c r="F37" s="12">
        <f t="shared" si="0"/>
        <v>2.5092936802973984</v>
      </c>
    </row>
    <row r="38" spans="2:6" x14ac:dyDescent="0.25">
      <c r="B38" s="22" t="str">
        <f>+'County Data'!$B$42</f>
        <v>Wallowa</v>
      </c>
      <c r="C38" s="17">
        <f>VLOOKUP($B38,'County Data'!$B$10:$P$46,2,FALSE)</f>
        <v>7195</v>
      </c>
      <c r="D38" s="17" t="str">
        <f>VLOOKUP($B38,'County Data'!$B$10:$P$46,3,FALSE)</f>
        <v>Extra Small</v>
      </c>
      <c r="E38" s="16">
        <f t="shared" si="1"/>
        <v>45000</v>
      </c>
      <c r="F38" s="12">
        <f t="shared" si="0"/>
        <v>6.2543432939541352</v>
      </c>
    </row>
    <row r="39" spans="2:6" x14ac:dyDescent="0.25">
      <c r="B39" s="22" t="str">
        <f>+'County Data'!$B$43</f>
        <v>Wasco</v>
      </c>
      <c r="C39" s="17">
        <f>VLOOKUP($B39,'County Data'!$B$10:$P$46,2,FALSE)</f>
        <v>27100</v>
      </c>
      <c r="D39" s="17" t="str">
        <f>VLOOKUP($B39,'County Data'!$B$10:$P$46,3,FALSE)</f>
        <v>Small</v>
      </c>
      <c r="E39" s="16">
        <f t="shared" si="1"/>
        <v>67500.000000000015</v>
      </c>
      <c r="F39" s="12">
        <f t="shared" si="0"/>
        <v>2.4907749077490782</v>
      </c>
    </row>
    <row r="40" spans="2:6" x14ac:dyDescent="0.25">
      <c r="B40" s="22" t="str">
        <f>+'County Data'!$B$44</f>
        <v>Washington</v>
      </c>
      <c r="C40" s="17">
        <f>VLOOKUP($B40,'County Data'!$B$10:$P$46,2,FALSE)</f>
        <v>595860</v>
      </c>
      <c r="D40" s="17" t="str">
        <f>VLOOKUP($B40,'County Data'!$B$10:$P$46,3,FALSE)</f>
        <v>Extra Large</v>
      </c>
      <c r="E40" s="16">
        <f t="shared" si="1"/>
        <v>135000.00000000003</v>
      </c>
      <c r="F40" s="12">
        <f t="shared" si="0"/>
        <v>0.22656328667807879</v>
      </c>
    </row>
    <row r="41" spans="2:6" x14ac:dyDescent="0.25">
      <c r="B41" s="22" t="str">
        <f>'County Data'!$B$45</f>
        <v>Wheeler</v>
      </c>
      <c r="C41" s="17">
        <f>VLOOKUP($B41,'County Data'!$B$10:$P$46,2,FALSE)</f>
        <v>1480</v>
      </c>
      <c r="D41" s="17" t="str">
        <f>VLOOKUP($B41,'County Data'!$B$10:$P$46,3,FALSE)</f>
        <v>Extra Small</v>
      </c>
      <c r="E41" s="16">
        <f t="shared" si="1"/>
        <v>45000</v>
      </c>
      <c r="F41" s="12">
        <f t="shared" si="0"/>
        <v>30.405405405405407</v>
      </c>
    </row>
    <row r="42" spans="2:6" x14ac:dyDescent="0.25">
      <c r="B42" s="22" t="str">
        <f>+'County Data'!$B$46</f>
        <v>Yamhill</v>
      </c>
      <c r="C42" s="17">
        <f>VLOOKUP($B42,'County Data'!$B$10:$P$46,2,FALSE)</f>
        <v>106300</v>
      </c>
      <c r="D42" s="17" t="str">
        <f>VLOOKUP($B42,'County Data'!$B$10:$P$46,3,FALSE)</f>
        <v>Medium</v>
      </c>
      <c r="E42" s="16">
        <f t="shared" si="1"/>
        <v>90000</v>
      </c>
      <c r="F42" s="12">
        <f t="shared" si="0"/>
        <v>0.84666039510818436</v>
      </c>
    </row>
    <row r="43" spans="2:6" x14ac:dyDescent="0.25">
      <c r="B43" s="5" t="s">
        <v>2</v>
      </c>
      <c r="C43" s="6">
        <f t="shared" ref="C43:D43" si="3">SUM(C7:C42)</f>
        <v>4141100</v>
      </c>
      <c r="D43" s="10">
        <f t="shared" si="3"/>
        <v>0</v>
      </c>
      <c r="E43" s="13">
        <f>SUM(E7:E42)</f>
        <v>2767500</v>
      </c>
      <c r="F43" s="14">
        <f t="shared" ref="F43" si="4">E43/C43</f>
        <v>0.66830069305257056</v>
      </c>
    </row>
    <row r="44" spans="2:6" x14ac:dyDescent="0.25">
      <c r="E44" s="25">
        <f>E43-C4</f>
        <v>0</v>
      </c>
    </row>
    <row r="45" spans="2:6" x14ac:dyDescent="0.25">
      <c r="B45" s="104" t="s">
        <v>100</v>
      </c>
      <c r="C45" s="105">
        <f>SUM(C17,C34,C39)</f>
        <v>30895</v>
      </c>
      <c r="D45" s="104"/>
      <c r="E45" s="105">
        <f>SUM(E17,E34,E39)</f>
        <v>157500</v>
      </c>
      <c r="F45" s="104">
        <f>E45/C45</f>
        <v>5.0979122835410262</v>
      </c>
    </row>
  </sheetData>
  <sortState xmlns:xlrd2="http://schemas.microsoft.com/office/spreadsheetml/2017/richdata2" ref="B7:F42">
    <sortCondition ref="B7"/>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3:K41"/>
  <sheetViews>
    <sheetView zoomScaleNormal="100" workbookViewId="0"/>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Data'!C5</f>
        <v>15000000</v>
      </c>
    </row>
    <row r="4" spans="2:11" x14ac:dyDescent="0.25">
      <c r="B4" t="s">
        <v>42</v>
      </c>
      <c r="C4" s="16">
        <f>'County Data'!E9</f>
        <v>2266500</v>
      </c>
      <c r="D4" s="11"/>
    </row>
    <row r="5" spans="2:11" x14ac:dyDescent="0.25">
      <c r="B5" s="55"/>
      <c r="C5" s="55"/>
      <c r="D5" s="55"/>
      <c r="E5" s="55"/>
      <c r="F5" s="55"/>
      <c r="G5" s="55"/>
      <c r="H5" s="55"/>
    </row>
    <row r="6" spans="2:11" s="2" customFormat="1" ht="30" x14ac:dyDescent="0.25">
      <c r="B6" s="3" t="s">
        <v>7</v>
      </c>
      <c r="C6" s="3" t="s">
        <v>1</v>
      </c>
      <c r="D6" s="3" t="s">
        <v>14</v>
      </c>
      <c r="E6" s="3" t="s">
        <v>33</v>
      </c>
      <c r="F6" s="3" t="s">
        <v>34</v>
      </c>
      <c r="G6" s="15" t="s">
        <v>13</v>
      </c>
      <c r="H6" s="3" t="s">
        <v>6</v>
      </c>
    </row>
    <row r="7" spans="2:11" x14ac:dyDescent="0.25">
      <c r="B7" s="22" t="str">
        <f>'County Data'!$B$11</f>
        <v>Benton</v>
      </c>
      <c r="C7" s="17">
        <f>VLOOKUP($B7,'County Data'!$B$10:$L$46,2,FALSE)</f>
        <v>92575</v>
      </c>
      <c r="D7" s="63">
        <f>VLOOKUP(B7,'County Data'!$B$10:$L$46,4,FALSE)</f>
        <v>4.3643250000000001E-2</v>
      </c>
      <c r="E7" s="60">
        <f t="shared" ref="E7:E40" si="0">C7*D7</f>
        <v>4040.27386875</v>
      </c>
      <c r="F7" s="7">
        <f t="shared" ref="F7:F40" si="1">E7/$E$41</f>
        <v>1.5149855763914139E-2</v>
      </c>
      <c r="G7" s="16">
        <f t="shared" ref="G7:G40" si="2">$C$4*F7</f>
        <v>34337.148088911395</v>
      </c>
      <c r="H7" s="12">
        <f t="shared" ref="H7:H40" si="3">G7/C7</f>
        <v>0.37091167257803292</v>
      </c>
      <c r="I7" s="25"/>
      <c r="K7" s="61"/>
    </row>
    <row r="8" spans="2:11" x14ac:dyDescent="0.25">
      <c r="B8" s="22" t="str">
        <f>'County Data'!$B$44</f>
        <v>Washington</v>
      </c>
      <c r="C8" s="17">
        <f>VLOOKUP($B8,'County Data'!$B$10:$L$46,2,FALSE)</f>
        <v>595860</v>
      </c>
      <c r="D8" s="63">
        <f>VLOOKUP(B8,'County Data'!$B$10:$L$46,4,FALSE)</f>
        <v>4.3630659999999995E-2</v>
      </c>
      <c r="E8" s="60">
        <f t="shared" si="0"/>
        <v>25997.765067599998</v>
      </c>
      <c r="F8" s="7">
        <f t="shared" si="1"/>
        <v>9.7484082454073986E-2</v>
      </c>
      <c r="G8" s="16">
        <f t="shared" si="2"/>
        <v>220947.67288215869</v>
      </c>
      <c r="H8" s="12">
        <f t="shared" si="3"/>
        <v>0.37080467371892506</v>
      </c>
      <c r="I8" s="25"/>
    </row>
    <row r="9" spans="2:11" x14ac:dyDescent="0.25">
      <c r="B9" s="22" t="str">
        <f>'County Data'!$B$23</f>
        <v>Hood River</v>
      </c>
      <c r="C9" s="17">
        <f>VLOOKUP($B9,'County Data'!$B$10:$L$46,2,FALSE)</f>
        <v>25145</v>
      </c>
      <c r="D9" s="63">
        <f>VLOOKUP(B9,'County Data'!$B$10:$L$46,4,FALSE)</f>
        <v>5.0952200000000003E-2</v>
      </c>
      <c r="E9" s="60">
        <f t="shared" si="0"/>
        <v>1281.1930690000002</v>
      </c>
      <c r="F9" s="7">
        <f t="shared" si="1"/>
        <v>4.804102600866912E-3</v>
      </c>
      <c r="G9" s="16">
        <f t="shared" si="2"/>
        <v>10888.498544864857</v>
      </c>
      <c r="H9" s="12">
        <f t="shared" si="3"/>
        <v>0.43302837720679488</v>
      </c>
      <c r="I9" s="25"/>
    </row>
    <row r="10" spans="2:11" x14ac:dyDescent="0.25">
      <c r="B10" s="22" t="str">
        <f>'County Data'!$B$12</f>
        <v>Clackamas</v>
      </c>
      <c r="C10" s="17">
        <f>VLOOKUP($B10,'County Data'!$B$10:$L$46,2,FALSE)</f>
        <v>413000</v>
      </c>
      <c r="D10" s="63">
        <f>VLOOKUP(B10,'County Data'!$B$10:$L$46,4,FALSE)</f>
        <v>5.6229189999999998E-2</v>
      </c>
      <c r="E10" s="60">
        <f t="shared" si="0"/>
        <v>23222.655469999998</v>
      </c>
      <c r="F10" s="7">
        <f t="shared" si="1"/>
        <v>8.7078225945712795E-2</v>
      </c>
      <c r="G10" s="16">
        <f t="shared" si="2"/>
        <v>197362.79910595805</v>
      </c>
      <c r="H10" s="12">
        <f t="shared" si="3"/>
        <v>0.47787602689093961</v>
      </c>
      <c r="I10" s="25"/>
    </row>
    <row r="11" spans="2:11" x14ac:dyDescent="0.25">
      <c r="B11" s="22" t="str">
        <f>'County Data'!$B$37</f>
        <v>Polk</v>
      </c>
      <c r="C11" s="17">
        <f>VLOOKUP($B11,'County Data'!$B$10:$L$46,2,FALSE)</f>
        <v>81000</v>
      </c>
      <c r="D11" s="63">
        <f>VLOOKUP(B11,'County Data'!$B$10:$L$46,4,FALSE)</f>
        <v>5.8934719999999996E-2</v>
      </c>
      <c r="E11" s="60">
        <f t="shared" si="0"/>
        <v>4773.7123199999996</v>
      </c>
      <c r="F11" s="7">
        <f t="shared" si="1"/>
        <v>1.7900037338012181E-2</v>
      </c>
      <c r="G11" s="16">
        <f t="shared" si="2"/>
        <v>40570.434626604612</v>
      </c>
      <c r="H11" s="12">
        <f t="shared" si="3"/>
        <v>0.50086956329141497</v>
      </c>
      <c r="I11" s="25"/>
    </row>
    <row r="12" spans="2:11" x14ac:dyDescent="0.25">
      <c r="B12" s="22" t="str">
        <f>'County Data'!$B$18</f>
        <v>Deschutes</v>
      </c>
      <c r="C12" s="17">
        <f>VLOOKUP($B12,'County Data'!$B$10:$L$46,2,FALSE)</f>
        <v>182930</v>
      </c>
      <c r="D12" s="63">
        <f>VLOOKUP(B12,'County Data'!$B$10:$L$46,4,FALSE)</f>
        <v>5.5273819999999994E-2</v>
      </c>
      <c r="E12" s="60">
        <f t="shared" si="0"/>
        <v>10111.239892599999</v>
      </c>
      <c r="F12" s="7">
        <f t="shared" si="1"/>
        <v>3.7914218427627891E-2</v>
      </c>
      <c r="G12" s="16">
        <f t="shared" si="2"/>
        <v>85932.576066218608</v>
      </c>
      <c r="H12" s="12">
        <f t="shared" si="3"/>
        <v>0.46975660671414532</v>
      </c>
      <c r="I12" s="25"/>
    </row>
    <row r="13" spans="2:11" x14ac:dyDescent="0.25">
      <c r="B13" s="22" t="str">
        <f>'County Data'!$B$46</f>
        <v>Yamhill</v>
      </c>
      <c r="C13" s="17">
        <f>VLOOKUP($B13,'County Data'!$B$10:$L$46,2,FALSE)</f>
        <v>106300</v>
      </c>
      <c r="D13" s="63">
        <f>VLOOKUP(B13,'County Data'!$B$10:$L$46,4,FALSE)</f>
        <v>5.9052179999999996E-2</v>
      </c>
      <c r="E13" s="60">
        <f t="shared" si="0"/>
        <v>6277.2467339999994</v>
      </c>
      <c r="F13" s="7">
        <f t="shared" si="1"/>
        <v>2.3537855527606451E-2</v>
      </c>
      <c r="G13" s="16">
        <f t="shared" si="2"/>
        <v>53348.549553320023</v>
      </c>
      <c r="H13" s="12">
        <f t="shared" si="3"/>
        <v>0.50186782270291652</v>
      </c>
      <c r="I13" s="25"/>
    </row>
    <row r="14" spans="2:11" x14ac:dyDescent="0.25">
      <c r="B14" s="22" t="str">
        <f>'County Data'!$B$21</f>
        <v>Grant</v>
      </c>
      <c r="C14" s="17">
        <f>VLOOKUP($B14,'County Data'!$B$10:$L$46,2,FALSE)</f>
        <v>7415</v>
      </c>
      <c r="D14" s="63">
        <f>VLOOKUP(B14,'County Data'!$B$10:$L$46,4,FALSE)</f>
        <v>6.5026090000000009E-2</v>
      </c>
      <c r="E14" s="60">
        <f t="shared" si="0"/>
        <v>482.16845735000004</v>
      </c>
      <c r="F14" s="7">
        <f t="shared" si="1"/>
        <v>1.8079919381854867E-3</v>
      </c>
      <c r="G14" s="16">
        <f t="shared" si="2"/>
        <v>4097.8137278974054</v>
      </c>
      <c r="H14" s="12">
        <f t="shared" si="3"/>
        <v>0.55263839890726973</v>
      </c>
      <c r="I14" s="25"/>
    </row>
    <row r="15" spans="2:11" x14ac:dyDescent="0.25">
      <c r="B15" s="22" t="str">
        <f>'County Data'!$B$34</f>
        <v>Morrow</v>
      </c>
      <c r="C15" s="17">
        <f>VLOOKUP($B15,'County Data'!$B$10:$L$46,2,FALSE)</f>
        <v>11890</v>
      </c>
      <c r="D15" s="63">
        <f>VLOOKUP(B15,'County Data'!$B$10:$L$46,4,FALSE)</f>
        <v>6.4928429999999995E-2</v>
      </c>
      <c r="E15" s="60">
        <f t="shared" si="0"/>
        <v>771.99903269999993</v>
      </c>
      <c r="F15" s="7">
        <f t="shared" si="1"/>
        <v>2.8947725761235832E-3</v>
      </c>
      <c r="G15" s="16">
        <f t="shared" si="2"/>
        <v>6561.0020437841013</v>
      </c>
      <c r="H15" s="12">
        <f t="shared" si="3"/>
        <v>0.55180841411136261</v>
      </c>
      <c r="I15" s="25"/>
    </row>
    <row r="16" spans="2:11" x14ac:dyDescent="0.25">
      <c r="B16" s="22" t="str">
        <f>'County Data'!$B$45</f>
        <v>Wheeler</v>
      </c>
      <c r="C16" s="17">
        <f>VLOOKUP($B16,'County Data'!$B$10:$L$46,2,FALSE)</f>
        <v>1480</v>
      </c>
      <c r="D16" s="63">
        <f>VLOOKUP(B16,'County Data'!$B$10:$L$46,4,FALSE)</f>
        <v>6.3521800000000003E-2</v>
      </c>
      <c r="E16" s="60">
        <f t="shared" si="0"/>
        <v>94.012264000000002</v>
      </c>
      <c r="F16" s="7">
        <f t="shared" si="1"/>
        <v>3.5251873657754447E-4</v>
      </c>
      <c r="G16" s="16">
        <f t="shared" si="2"/>
        <v>798.98371645300449</v>
      </c>
      <c r="H16" s="12">
        <f t="shared" si="3"/>
        <v>0.53985386246824629</v>
      </c>
      <c r="I16" s="25"/>
    </row>
    <row r="17" spans="2:9" x14ac:dyDescent="0.25">
      <c r="B17" s="22" t="str">
        <f>'County Data'!$B$33</f>
        <v>Marion</v>
      </c>
      <c r="C17" s="17">
        <f>VLOOKUP($B17,'County Data'!$B$10:$L$46,2,FALSE)</f>
        <v>339200</v>
      </c>
      <c r="D17" s="63">
        <f>VLOOKUP(B17,'County Data'!$B$10:$L$46,4,FALSE)</f>
        <v>6.2774990000000003E-2</v>
      </c>
      <c r="E17" s="60">
        <f t="shared" si="0"/>
        <v>21293.276608</v>
      </c>
      <c r="F17" s="7">
        <f t="shared" si="1"/>
        <v>7.9843614525104314E-2</v>
      </c>
      <c r="G17" s="16">
        <f t="shared" si="2"/>
        <v>180965.55232114892</v>
      </c>
      <c r="H17" s="12">
        <f t="shared" si="3"/>
        <v>0.53350693490904755</v>
      </c>
      <c r="I17" s="25"/>
    </row>
    <row r="18" spans="2:9" x14ac:dyDescent="0.25">
      <c r="B18" s="22" t="str">
        <f>'County Data'!$B$35</f>
        <v>Multnomah</v>
      </c>
      <c r="C18" s="17">
        <f>VLOOKUP($B18,'County Data'!$B$10:$L$46,2,FALSE)</f>
        <v>803000</v>
      </c>
      <c r="D18" s="63">
        <f>VLOOKUP(B18,'County Data'!$B$10:$L$46,4,FALSE)</f>
        <v>6.3041220000000009E-2</v>
      </c>
      <c r="E18" s="60">
        <f t="shared" si="0"/>
        <v>50622.099660000007</v>
      </c>
      <c r="F18" s="7">
        <f t="shared" si="1"/>
        <v>0.1898181987729361</v>
      </c>
      <c r="G18" s="16">
        <f t="shared" si="2"/>
        <v>430222.94751885964</v>
      </c>
      <c r="H18" s="12">
        <f t="shared" si="3"/>
        <v>0.53576954859135695</v>
      </c>
      <c r="I18" s="25"/>
    </row>
    <row r="19" spans="2:9" x14ac:dyDescent="0.25">
      <c r="B19" s="22" t="str">
        <f>'County Data'!$B$29</f>
        <v>Lane</v>
      </c>
      <c r="C19" s="17">
        <f>VLOOKUP($B19,'County Data'!$B$10:$L$46,2,FALSE)</f>
        <v>370600</v>
      </c>
      <c r="D19" s="63">
        <f>VLOOKUP(B19,'County Data'!$B$10:$L$46,4,FALSE)</f>
        <v>6.7933170000000001E-2</v>
      </c>
      <c r="E19" s="60">
        <f t="shared" si="0"/>
        <v>25176.032802000002</v>
      </c>
      <c r="F19" s="7">
        <f t="shared" si="1"/>
        <v>9.4402824671851931E-2</v>
      </c>
      <c r="G19" s="16">
        <f t="shared" si="2"/>
        <v>213964.0021187524</v>
      </c>
      <c r="H19" s="12">
        <f t="shared" si="3"/>
        <v>0.57734485191244578</v>
      </c>
      <c r="I19" s="25"/>
    </row>
    <row r="20" spans="2:9" x14ac:dyDescent="0.25">
      <c r="B20" s="22" t="str">
        <f>'County Data'!$B$41</f>
        <v>Union</v>
      </c>
      <c r="C20" s="17">
        <f>VLOOKUP($B20,'County Data'!$B$10:$L$46,2,FALSE)</f>
        <v>26900</v>
      </c>
      <c r="D20" s="63">
        <f>VLOOKUP(B20,'County Data'!$B$10:$L$46,4,FALSE)</f>
        <v>7.2840740000000001E-2</v>
      </c>
      <c r="E20" s="60">
        <f t="shared" si="0"/>
        <v>1959.4159059999999</v>
      </c>
      <c r="F20" s="7">
        <f t="shared" si="1"/>
        <v>7.3472416281035909E-3</v>
      </c>
      <c r="G20" s="16">
        <f t="shared" si="2"/>
        <v>16652.523150096789</v>
      </c>
      <c r="H20" s="12">
        <f t="shared" si="3"/>
        <v>0.61905290520805911</v>
      </c>
      <c r="I20" s="25"/>
    </row>
    <row r="21" spans="2:9" x14ac:dyDescent="0.25">
      <c r="B21" s="22" t="str">
        <f>'County Data'!$B$32</f>
        <v>Malheur</v>
      </c>
      <c r="C21" s="17">
        <f>VLOOKUP($B21,'County Data'!$B$10:$L$46,2,FALSE)</f>
        <v>31845</v>
      </c>
      <c r="D21" s="63">
        <f>VLOOKUP(B21,'County Data'!$B$10:$L$46,4,FALSE)</f>
        <v>7.2585949999999996E-2</v>
      </c>
      <c r="E21" s="60">
        <f t="shared" si="0"/>
        <v>2311.4995777499998</v>
      </c>
      <c r="F21" s="7">
        <f t="shared" si="1"/>
        <v>8.667453330854339E-3</v>
      </c>
      <c r="G21" s="16">
        <f t="shared" si="2"/>
        <v>19644.78297438136</v>
      </c>
      <c r="H21" s="12">
        <f t="shared" si="3"/>
        <v>0.61688751685920429</v>
      </c>
      <c r="I21" s="25"/>
    </row>
    <row r="22" spans="2:9" x14ac:dyDescent="0.25">
      <c r="B22" s="22" t="str">
        <f>'County Data'!$B$31</f>
        <v>Linn</v>
      </c>
      <c r="C22" s="17">
        <f>VLOOKUP($B22,'County Data'!$B$10:$L$46,2,FALSE)</f>
        <v>124010</v>
      </c>
      <c r="D22" s="63">
        <f>VLOOKUP(B22,'County Data'!$B$10:$L$46,4,FALSE)</f>
        <v>7.2411760000000006E-2</v>
      </c>
      <c r="E22" s="60">
        <f t="shared" si="0"/>
        <v>8979.782357600001</v>
      </c>
      <c r="F22" s="7">
        <f t="shared" si="1"/>
        <v>3.3671580672096947E-2</v>
      </c>
      <c r="G22" s="16">
        <f t="shared" si="2"/>
        <v>76316.637593307736</v>
      </c>
      <c r="H22" s="12">
        <f t="shared" si="3"/>
        <v>0.61540712517787066</v>
      </c>
      <c r="I22" s="25"/>
    </row>
    <row r="23" spans="2:9" x14ac:dyDescent="0.25">
      <c r="B23" s="22" t="str">
        <f>'County Data'!$B$40</f>
        <v>Umatilla</v>
      </c>
      <c r="C23" s="17">
        <f>VLOOKUP($B23,'County Data'!$B$10:$L$46,2,FALSE)</f>
        <v>80500</v>
      </c>
      <c r="D23" s="63">
        <f>VLOOKUP(B23,'County Data'!$B$10:$L$46,4,FALSE)</f>
        <v>6.7694759999999993E-2</v>
      </c>
      <c r="E23" s="60">
        <f t="shared" si="0"/>
        <v>5449.428179999999</v>
      </c>
      <c r="F23" s="7">
        <f t="shared" si="1"/>
        <v>2.0433775928251949E-2</v>
      </c>
      <c r="G23" s="16">
        <f t="shared" si="2"/>
        <v>46313.153141383045</v>
      </c>
      <c r="H23" s="12">
        <f t="shared" si="3"/>
        <v>0.57531867256376457</v>
      </c>
      <c r="I23" s="25"/>
    </row>
    <row r="24" spans="2:9" x14ac:dyDescent="0.25">
      <c r="B24" s="22" t="str">
        <f>'County Data'!$B$24</f>
        <v>Jackson</v>
      </c>
      <c r="C24" s="17">
        <f>VLOOKUP($B24,'County Data'!$B$10:$L$46,2,FALSE)</f>
        <v>216900</v>
      </c>
      <c r="D24" s="63">
        <f>VLOOKUP(B24,'County Data'!$B$10:$L$46,4,FALSE)</f>
        <v>7.4869329999999998E-2</v>
      </c>
      <c r="E24" s="60">
        <f t="shared" si="0"/>
        <v>16239.157676999999</v>
      </c>
      <c r="F24" s="7">
        <f t="shared" si="1"/>
        <v>6.0892133683532731E-2</v>
      </c>
      <c r="G24" s="16">
        <f t="shared" si="2"/>
        <v>138012.02099372694</v>
      </c>
      <c r="H24" s="12">
        <f t="shared" si="3"/>
        <v>0.63629331947315326</v>
      </c>
      <c r="I24" s="25"/>
    </row>
    <row r="25" spans="2:9" x14ac:dyDescent="0.25">
      <c r="B25" s="22" t="str">
        <f>'County Data'!$B$16</f>
        <v>Crook</v>
      </c>
      <c r="C25" s="17">
        <f>VLOOKUP($B25,'County Data'!$B$10:$L$46,2,FALSE)</f>
        <v>22105</v>
      </c>
      <c r="D25" s="63">
        <f>VLOOKUP(B25,'County Data'!$B$10:$L$46,4,FALSE)</f>
        <v>7.9248739999999998E-2</v>
      </c>
      <c r="E25" s="60">
        <f t="shared" si="0"/>
        <v>1751.7933977</v>
      </c>
      <c r="F25" s="7">
        <f t="shared" si="1"/>
        <v>6.5687174101252141E-3</v>
      </c>
      <c r="G25" s="16">
        <f t="shared" si="2"/>
        <v>14887.998010048797</v>
      </c>
      <c r="H25" s="12">
        <f t="shared" si="3"/>
        <v>0.67351268989137292</v>
      </c>
      <c r="I25" s="25"/>
    </row>
    <row r="26" spans="2:9" x14ac:dyDescent="0.25">
      <c r="B26" s="22" t="str">
        <f>'County Data'!$B$14</f>
        <v>Columbia</v>
      </c>
      <c r="C26" s="17">
        <f>VLOOKUP($B26,'County Data'!$B$10:$L$46,2,FALSE)</f>
        <v>51345</v>
      </c>
      <c r="D26" s="63">
        <f>VLOOKUP(B26,'County Data'!$B$10:$L$46,4,FALSE)</f>
        <v>7.2065329999999997E-2</v>
      </c>
      <c r="E26" s="60">
        <f t="shared" si="0"/>
        <v>3700.19436885</v>
      </c>
      <c r="F26" s="7">
        <f t="shared" si="1"/>
        <v>1.3874656225685051E-2</v>
      </c>
      <c r="G26" s="16">
        <f t="shared" si="2"/>
        <v>31446.908335515171</v>
      </c>
      <c r="H26" s="12">
        <f t="shared" si="3"/>
        <v>0.61246291431522393</v>
      </c>
      <c r="I26" s="25"/>
    </row>
    <row r="27" spans="2:9" x14ac:dyDescent="0.25">
      <c r="B27" s="22" t="str">
        <f>'County Data'!$B$42</f>
        <v>Wallowa</v>
      </c>
      <c r="C27" s="17">
        <f>VLOOKUP($B27,'County Data'!$B$10:$L$46,2,FALSE)</f>
        <v>7195</v>
      </c>
      <c r="D27" s="63">
        <f>VLOOKUP(B27,'County Data'!$B$10:$L$46,4,FALSE)</f>
        <v>7.6918E-2</v>
      </c>
      <c r="E27" s="60">
        <f t="shared" si="0"/>
        <v>553.42501000000004</v>
      </c>
      <c r="F27" s="7">
        <f t="shared" si="1"/>
        <v>2.075183353903858E-3</v>
      </c>
      <c r="G27" s="16">
        <f t="shared" si="2"/>
        <v>4703.4030716230945</v>
      </c>
      <c r="H27" s="12">
        <f t="shared" si="3"/>
        <v>0.65370438799487063</v>
      </c>
      <c r="I27" s="25"/>
    </row>
    <row r="28" spans="2:9" x14ac:dyDescent="0.25">
      <c r="B28" s="22" t="str">
        <f>'County Data'!$B$39</f>
        <v>Tillamook</v>
      </c>
      <c r="C28" s="17">
        <f>VLOOKUP($B28,'County Data'!$B$10:$L$46,2,FALSE)</f>
        <v>26175</v>
      </c>
      <c r="D28" s="63">
        <f>VLOOKUP(B28,'County Data'!$B$10:$L$46,4,FALSE)</f>
        <v>8.0733680000000002E-2</v>
      </c>
      <c r="E28" s="60">
        <f t="shared" si="0"/>
        <v>2113.2040740000002</v>
      </c>
      <c r="F28" s="7">
        <f t="shared" si="1"/>
        <v>7.9239026761125531E-3</v>
      </c>
      <c r="G28" s="16">
        <f t="shared" si="2"/>
        <v>17959.525415409102</v>
      </c>
      <c r="H28" s="12">
        <f t="shared" si="3"/>
        <v>0.68613277613788359</v>
      </c>
      <c r="I28" s="25"/>
    </row>
    <row r="29" spans="2:9" x14ac:dyDescent="0.25">
      <c r="B29" s="22" t="str">
        <f>'County Data'!$B$28</f>
        <v>Lake</v>
      </c>
      <c r="C29" s="17">
        <f>VLOOKUP($B29,'County Data'!$B$10:$L$46,2,FALSE)</f>
        <v>8120</v>
      </c>
      <c r="D29" s="63">
        <f>VLOOKUP(B29,'County Data'!$B$10:$L$46,4,FALSE)</f>
        <v>8.4349279999999999E-2</v>
      </c>
      <c r="E29" s="60">
        <f t="shared" si="0"/>
        <v>684.91615360000003</v>
      </c>
      <c r="F29" s="7">
        <f t="shared" si="1"/>
        <v>2.5682370241463751E-3</v>
      </c>
      <c r="G29" s="16">
        <f t="shared" si="2"/>
        <v>5820.909215227759</v>
      </c>
      <c r="H29" s="12">
        <f t="shared" si="3"/>
        <v>0.7168607407915959</v>
      </c>
      <c r="I29" s="25"/>
    </row>
    <row r="30" spans="2:9" x14ac:dyDescent="0.25">
      <c r="B30" s="22" t="str">
        <f>'County Data'!$B$36</f>
        <v>Gilliam, Sherman, Wasco</v>
      </c>
      <c r="C30" s="17">
        <f>VLOOKUP($B30,'County Data'!$B$10:$L$46,2,FALSE)</f>
        <v>30895</v>
      </c>
      <c r="D30" s="63">
        <f>VLOOKUP(B30,'County Data'!$B$10:$L$46,4,FALSE)</f>
        <v>8.2111370000000003E-2</v>
      </c>
      <c r="E30" s="60">
        <f t="shared" si="0"/>
        <v>2536.83077615</v>
      </c>
      <c r="F30" s="7">
        <f t="shared" si="1"/>
        <v>9.5123800030965065E-3</v>
      </c>
      <c r="G30" s="16">
        <f t="shared" si="2"/>
        <v>21559.809277018234</v>
      </c>
      <c r="H30" s="12">
        <f t="shared" si="3"/>
        <v>0.69784137488325726</v>
      </c>
      <c r="I30" s="25"/>
    </row>
    <row r="31" spans="2:9" x14ac:dyDescent="0.25">
      <c r="B31" s="22" t="str">
        <f>'County Data'!$B$10</f>
        <v>Baker</v>
      </c>
      <c r="C31" s="17">
        <f>VLOOKUP($B31,'County Data'!$B$10:$L$46,2,FALSE)</f>
        <v>16750</v>
      </c>
      <c r="D31" s="63">
        <f>VLOOKUP(B31,'County Data'!$B$10:$L$46,4,FALSE)</f>
        <v>8.0970979999999998E-2</v>
      </c>
      <c r="E31" s="60">
        <f t="shared" si="0"/>
        <v>1356.263915</v>
      </c>
      <c r="F31" s="7">
        <f t="shared" si="1"/>
        <v>5.0855965109138758E-3</v>
      </c>
      <c r="G31" s="16">
        <f t="shared" si="2"/>
        <v>11526.504491986299</v>
      </c>
      <c r="H31" s="12">
        <f t="shared" si="3"/>
        <v>0.68814952190962986</v>
      </c>
      <c r="I31" s="25"/>
    </row>
    <row r="32" spans="2:9" x14ac:dyDescent="0.25">
      <c r="B32" s="22" t="str">
        <f>'County Data'!$B$13</f>
        <v>Clatsop</v>
      </c>
      <c r="C32" s="17">
        <f>VLOOKUP($B32,'County Data'!$B$10:$L$46,2,FALSE)</f>
        <v>38820</v>
      </c>
      <c r="D32" s="63">
        <f>VLOOKUP(B32,'County Data'!$B$10:$L$46,4,FALSE)</f>
        <v>8.4602819999999995E-2</v>
      </c>
      <c r="E32" s="60">
        <f t="shared" si="0"/>
        <v>3284.2814724</v>
      </c>
      <c r="F32" s="7">
        <f t="shared" si="1"/>
        <v>1.2315103433903959E-2</v>
      </c>
      <c r="G32" s="16">
        <f t="shared" si="2"/>
        <v>27912.181932943324</v>
      </c>
      <c r="H32" s="12">
        <f t="shared" si="3"/>
        <v>0.71901550574300166</v>
      </c>
      <c r="I32" s="25"/>
    </row>
    <row r="33" spans="2:9" x14ac:dyDescent="0.25">
      <c r="B33" s="22" t="str">
        <f>'County Data'!$B$26</f>
        <v>Josephine</v>
      </c>
      <c r="C33" s="17">
        <f>VLOOKUP($B33,'County Data'!$B$10:$L$46,2,FALSE)</f>
        <v>85650</v>
      </c>
      <c r="D33" s="63">
        <f>VLOOKUP(B33,'County Data'!$B$10:$L$46,4,FALSE)</f>
        <v>9.7062319999999994E-2</v>
      </c>
      <c r="E33" s="60">
        <f t="shared" si="0"/>
        <v>8313.3877080000002</v>
      </c>
      <c r="F33" s="7">
        <f t="shared" si="1"/>
        <v>3.1172793918710948E-2</v>
      </c>
      <c r="G33" s="16">
        <f t="shared" si="2"/>
        <v>70653.137416758371</v>
      </c>
      <c r="H33" s="12">
        <f t="shared" si="3"/>
        <v>0.82490528215713221</v>
      </c>
      <c r="I33" s="25"/>
    </row>
    <row r="34" spans="2:9" x14ac:dyDescent="0.25">
      <c r="B34" s="22" t="str">
        <f>'County Data'!$B$19</f>
        <v>Douglas</v>
      </c>
      <c r="C34" s="17">
        <f>VLOOKUP($B34,'County Data'!$B$10:$L$46,2,FALSE)</f>
        <v>111180</v>
      </c>
      <c r="D34" s="63">
        <f>VLOOKUP(B34,'County Data'!$B$10:$L$46,4,FALSE)</f>
        <v>9.7688129999999998E-2</v>
      </c>
      <c r="E34" s="60">
        <f t="shared" si="0"/>
        <v>10860.966293399999</v>
      </c>
      <c r="F34" s="7">
        <f t="shared" si="1"/>
        <v>4.0725475090788832E-2</v>
      </c>
      <c r="G34" s="16">
        <f t="shared" si="2"/>
        <v>92304.289293272886</v>
      </c>
      <c r="H34" s="12">
        <f t="shared" si="3"/>
        <v>0.83022386484325317</v>
      </c>
      <c r="I34" s="25"/>
    </row>
    <row r="35" spans="2:9" x14ac:dyDescent="0.25">
      <c r="B35" s="22" t="str">
        <f>'County Data'!$B$27</f>
        <v>Klamath</v>
      </c>
      <c r="C35" s="17">
        <f>VLOOKUP($B35,'County Data'!$B$10:$L$46,2,FALSE)</f>
        <v>67690</v>
      </c>
      <c r="D35" s="63">
        <f>VLOOKUP(B35,'County Data'!$B$10:$L$46,4,FALSE)</f>
        <v>9.2599109999999998E-2</v>
      </c>
      <c r="E35" s="60">
        <f t="shared" si="0"/>
        <v>6268.0337559</v>
      </c>
      <c r="F35" s="7">
        <f t="shared" si="1"/>
        <v>2.3503309530501986E-2</v>
      </c>
      <c r="G35" s="16">
        <f t="shared" si="2"/>
        <v>53270.251050882754</v>
      </c>
      <c r="H35" s="12">
        <f t="shared" si="3"/>
        <v>0.78697371917392167</v>
      </c>
      <c r="I35" s="25"/>
    </row>
    <row r="36" spans="2:9" x14ac:dyDescent="0.25">
      <c r="B36" s="22" t="str">
        <f>'County Data'!$B$15</f>
        <v>Coos</v>
      </c>
      <c r="C36" s="17">
        <f>VLOOKUP($B36,'County Data'!$B$10:$L$46,2,FALSE)</f>
        <v>63310</v>
      </c>
      <c r="D36" s="63">
        <f>VLOOKUP(B36,'County Data'!$B$10:$L$46,4,FALSE)</f>
        <v>9.5954879999999992E-2</v>
      </c>
      <c r="E36" s="60">
        <f t="shared" si="0"/>
        <v>6074.9034527999993</v>
      </c>
      <c r="F36" s="7">
        <f t="shared" si="1"/>
        <v>2.2779126880846292E-2</v>
      </c>
      <c r="G36" s="16">
        <f t="shared" si="2"/>
        <v>51628.891075438121</v>
      </c>
      <c r="H36" s="12">
        <f t="shared" si="3"/>
        <v>0.81549346194026406</v>
      </c>
      <c r="I36" s="25"/>
    </row>
    <row r="37" spans="2:9" x14ac:dyDescent="0.25">
      <c r="B37" s="22" t="str">
        <f>'County Data'!$B$30</f>
        <v>Lincoln</v>
      </c>
      <c r="C37" s="17">
        <f>VLOOKUP($B37,'County Data'!$B$10:$L$46,2,FALSE)</f>
        <v>47960</v>
      </c>
      <c r="D37" s="63">
        <f>VLOOKUP(B37,'County Data'!$B$10:$L$46,4,FALSE)</f>
        <v>9.8367700000000002E-2</v>
      </c>
      <c r="E37" s="60">
        <f t="shared" si="0"/>
        <v>4717.714892</v>
      </c>
      <c r="F37" s="7">
        <f t="shared" si="1"/>
        <v>1.7690063216230029E-2</v>
      </c>
      <c r="G37" s="16">
        <f t="shared" si="2"/>
        <v>40094.528279585364</v>
      </c>
      <c r="H37" s="12">
        <f t="shared" si="3"/>
        <v>0.83599933860686748</v>
      </c>
      <c r="I37" s="25"/>
    </row>
    <row r="38" spans="2:9" x14ac:dyDescent="0.25">
      <c r="B38" s="22" t="str">
        <f>'County Data'!$B$25</f>
        <v>Jefferson</v>
      </c>
      <c r="C38" s="17">
        <f>VLOOKUP($B38,'County Data'!$B$10:$L$46,2,FALSE)</f>
        <v>23190</v>
      </c>
      <c r="D38" s="63">
        <f>VLOOKUP(B38,'County Data'!$B$10:$L$46,4,FALSE)</f>
        <v>9.1418539999999993E-2</v>
      </c>
      <c r="E38" s="60">
        <f t="shared" si="0"/>
        <v>2119.9959426</v>
      </c>
      <c r="F38" s="7">
        <f t="shared" si="1"/>
        <v>7.9493702144527913E-3</v>
      </c>
      <c r="G38" s="16">
        <f t="shared" si="2"/>
        <v>18017.24759105725</v>
      </c>
      <c r="H38" s="12">
        <f t="shared" si="3"/>
        <v>0.7769403877126887</v>
      </c>
      <c r="I38" s="25"/>
    </row>
    <row r="39" spans="2:9" x14ac:dyDescent="0.25">
      <c r="B39" s="22" t="str">
        <f>'County Data'!$B$22</f>
        <v>Harney</v>
      </c>
      <c r="C39" s="17">
        <f>VLOOKUP($B39,'County Data'!$B$10:$L$46,2,FALSE)</f>
        <v>7360</v>
      </c>
      <c r="D39" s="63">
        <f>VLOOKUP(B39,'County Data'!$B$10:$L$46,4,FALSE)</f>
        <v>0.10640441999999999</v>
      </c>
      <c r="E39" s="60">
        <f t="shared" si="0"/>
        <v>783.13653119999992</v>
      </c>
      <c r="F39" s="7">
        <f t="shared" si="1"/>
        <v>2.9365349668245911E-3</v>
      </c>
      <c r="G39" s="16">
        <f t="shared" si="2"/>
        <v>6655.6565023079356</v>
      </c>
      <c r="H39" s="12">
        <f t="shared" si="3"/>
        <v>0.90430115520488252</v>
      </c>
      <c r="I39" s="25"/>
    </row>
    <row r="40" spans="2:9" x14ac:dyDescent="0.25">
      <c r="B40" s="22" t="str">
        <f>'County Data'!$B$17</f>
        <v>Curry</v>
      </c>
      <c r="C40" s="17">
        <f>VLOOKUP($B40,'County Data'!$B$10:$L$46,2,FALSE)</f>
        <v>22805</v>
      </c>
      <c r="D40" s="63">
        <f>VLOOKUP(B40,'County Data'!$B$10:$L$46,4,FALSE)</f>
        <v>0.10897944</v>
      </c>
      <c r="E40" s="60">
        <f t="shared" si="0"/>
        <v>2485.2761292</v>
      </c>
      <c r="F40" s="7">
        <f t="shared" si="1"/>
        <v>9.3190650223242584E-3</v>
      </c>
      <c r="G40" s="16">
        <f t="shared" si="2"/>
        <v>21121.660873097931</v>
      </c>
      <c r="H40" s="12">
        <f t="shared" si="3"/>
        <v>0.92618552392448728</v>
      </c>
      <c r="I40" s="25"/>
    </row>
    <row r="41" spans="2:9" x14ac:dyDescent="0.25">
      <c r="B41" s="5" t="s">
        <v>2</v>
      </c>
      <c r="C41" s="6">
        <f>SUM(C6:C40)</f>
        <v>4141100</v>
      </c>
      <c r="D41" s="6">
        <f>SUM(D6:D40)</f>
        <v>2.5448189999999999</v>
      </c>
      <c r="E41" s="6">
        <f>SUM(E6:E40)</f>
        <v>266687.28281715</v>
      </c>
      <c r="F41" s="10">
        <f>SUM(F6:F40)</f>
        <v>0.99999999999999989</v>
      </c>
      <c r="G41" s="13">
        <f>SUM(G6:G40)</f>
        <v>2266500</v>
      </c>
      <c r="H41" s="14">
        <f t="shared" ref="H41" si="4">G41/C41</f>
        <v>0.54731834536717294</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Data'!C5</f>
        <v>15000000</v>
      </c>
    </row>
    <row r="4" spans="2:8" x14ac:dyDescent="0.25">
      <c r="B4" t="s">
        <v>42</v>
      </c>
      <c r="C4" s="16">
        <f>'County Data'!F9</f>
        <v>2266500</v>
      </c>
      <c r="D4" s="11"/>
    </row>
    <row r="6" spans="2:8" s="2" customFormat="1" ht="30" x14ac:dyDescent="0.25">
      <c r="B6" s="3" t="s">
        <v>7</v>
      </c>
      <c r="C6" s="3" t="s">
        <v>1</v>
      </c>
      <c r="D6" s="3" t="s">
        <v>14</v>
      </c>
      <c r="E6" s="3" t="s">
        <v>33</v>
      </c>
      <c r="F6" s="3" t="s">
        <v>34</v>
      </c>
      <c r="G6" s="15" t="s">
        <v>13</v>
      </c>
      <c r="H6" s="3" t="s">
        <v>6</v>
      </c>
    </row>
    <row r="7" spans="2:8" x14ac:dyDescent="0.25">
      <c r="B7" s="22" t="str">
        <f>+'County Data'!$B$18</f>
        <v>Deschutes</v>
      </c>
      <c r="C7" s="17">
        <f>VLOOKUP($B7,'County Data'!$B$10:$L$46,2,FALSE)</f>
        <v>182930</v>
      </c>
      <c r="D7" s="58">
        <f>1-VLOOKUP($B7,'County Data'!$B$10:$L$46,5,FALSE)</f>
        <v>0.1140000000000001</v>
      </c>
      <c r="E7" s="60">
        <f t="shared" ref="E7:E40" si="0">C7*D7</f>
        <v>20854.020000000019</v>
      </c>
      <c r="F7" s="7">
        <f t="shared" ref="F7:F40" si="1">E7/$E$41</f>
        <v>3.0054924406511498E-2</v>
      </c>
      <c r="G7" s="16">
        <f t="shared" ref="G7:G40" si="2">$C$4*F7</f>
        <v>68119.486167358307</v>
      </c>
      <c r="H7" s="12">
        <f t="shared" ref="H7:H40" si="3">G7/C7</f>
        <v>0.37238006979368232</v>
      </c>
    </row>
    <row r="8" spans="2:8" x14ac:dyDescent="0.25">
      <c r="B8" s="22" t="str">
        <f>+'County Data'!$B$42</f>
        <v>Wallowa</v>
      </c>
      <c r="C8" s="17">
        <f>VLOOKUP($B8,'County Data'!$B$10:$L$46,2,FALSE)</f>
        <v>7195</v>
      </c>
      <c r="D8" s="58">
        <f>1-VLOOKUP($B8,'County Data'!$B$10:$L$46,5,FALSE)</f>
        <v>0.123</v>
      </c>
      <c r="E8" s="60">
        <f t="shared" si="0"/>
        <v>884.98500000000001</v>
      </c>
      <c r="F8" s="7">
        <f t="shared" si="1"/>
        <v>1.2754450832931279E-3</v>
      </c>
      <c r="G8" s="16">
        <f t="shared" si="2"/>
        <v>2890.7962812838741</v>
      </c>
      <c r="H8" s="12">
        <f t="shared" si="3"/>
        <v>0.40177849635634111</v>
      </c>
    </row>
    <row r="9" spans="2:8" x14ac:dyDescent="0.25">
      <c r="B9" s="22" t="str">
        <f>+'County Data'!$B$28</f>
        <v>Lake</v>
      </c>
      <c r="C9" s="17">
        <f>VLOOKUP($B9,'County Data'!$B$10:$L$46,2,FALSE)</f>
        <v>8120</v>
      </c>
      <c r="D9" s="58">
        <f>1-VLOOKUP($B9,'County Data'!$B$10:$L$46,5,FALSE)</f>
        <v>0.13300000000000001</v>
      </c>
      <c r="E9" s="60">
        <f t="shared" si="0"/>
        <v>1079.96</v>
      </c>
      <c r="F9" s="7">
        <f t="shared" si="1"/>
        <v>1.5564440890560251E-3</v>
      </c>
      <c r="G9" s="16">
        <f t="shared" si="2"/>
        <v>3527.6805278454808</v>
      </c>
      <c r="H9" s="12">
        <f t="shared" si="3"/>
        <v>0.43444341475929565</v>
      </c>
    </row>
    <row r="10" spans="2:8" x14ac:dyDescent="0.25">
      <c r="B10" s="22" t="str">
        <f>+'County Data'!$B$44</f>
        <v>Washington</v>
      </c>
      <c r="C10" s="17">
        <f>VLOOKUP($B10,'County Data'!$B$10:$L$46,2,FALSE)</f>
        <v>595860</v>
      </c>
      <c r="D10" s="58">
        <f>1-VLOOKUP($B10,'County Data'!$B$10:$L$46,5,FALSE)</f>
        <v>0.13300000000000001</v>
      </c>
      <c r="E10" s="60">
        <f t="shared" si="0"/>
        <v>79249.38</v>
      </c>
      <c r="F10" s="7">
        <f t="shared" si="1"/>
        <v>0.11421462745134521</v>
      </c>
      <c r="G10" s="16">
        <f t="shared" si="2"/>
        <v>258867.45311847393</v>
      </c>
      <c r="H10" s="12">
        <f t="shared" si="3"/>
        <v>0.43444341475929571</v>
      </c>
    </row>
    <row r="11" spans="2:8" x14ac:dyDescent="0.25">
      <c r="B11" s="22" t="str">
        <f>+'County Data'!$B$10</f>
        <v>Baker</v>
      </c>
      <c r="C11" s="17">
        <f>VLOOKUP($B11,'County Data'!$B$10:$L$46,2,FALSE)</f>
        <v>16750</v>
      </c>
      <c r="D11" s="58">
        <f>1-VLOOKUP($B11,'County Data'!$B$10:$L$46,5,FALSE)</f>
        <v>0.13300000000000001</v>
      </c>
      <c r="E11" s="60">
        <f t="shared" si="0"/>
        <v>2227.75</v>
      </c>
      <c r="F11" s="7">
        <f t="shared" si="1"/>
        <v>3.2106451344443869E-3</v>
      </c>
      <c r="G11" s="16">
        <f t="shared" si="2"/>
        <v>7276.9271972182032</v>
      </c>
      <c r="H11" s="12">
        <f t="shared" si="3"/>
        <v>0.43444341475929571</v>
      </c>
    </row>
    <row r="12" spans="2:8" x14ac:dyDescent="0.25">
      <c r="B12" s="22" t="str">
        <f>+'County Data'!$B$11</f>
        <v>Benton</v>
      </c>
      <c r="C12" s="17">
        <f>VLOOKUP($B12,'County Data'!$B$10:$L$46,2,FALSE)</f>
        <v>92575</v>
      </c>
      <c r="D12" s="58">
        <f>1-VLOOKUP($B12,'County Data'!$B$10:$L$46,5,FALSE)</f>
        <v>0.14200000000000002</v>
      </c>
      <c r="E12" s="60">
        <f t="shared" si="0"/>
        <v>13145.650000000001</v>
      </c>
      <c r="F12" s="7">
        <f t="shared" si="1"/>
        <v>1.8945580613448032E-2</v>
      </c>
      <c r="G12" s="16">
        <f t="shared" si="2"/>
        <v>42940.158460379964</v>
      </c>
      <c r="H12" s="12">
        <f t="shared" si="3"/>
        <v>0.46384184132195477</v>
      </c>
    </row>
    <row r="13" spans="2:8" x14ac:dyDescent="0.25">
      <c r="B13" s="22" t="str">
        <f>+'County Data'!$B$41</f>
        <v>Union</v>
      </c>
      <c r="C13" s="17">
        <f>VLOOKUP($B13,'County Data'!$B$10:$L$46,2,FALSE)</f>
        <v>26900</v>
      </c>
      <c r="D13" s="58">
        <f>1-VLOOKUP($B13,'County Data'!$B$10:$L$46,5,FALSE)</f>
        <v>0.14400000000000002</v>
      </c>
      <c r="E13" s="60">
        <f t="shared" si="0"/>
        <v>3873.6000000000004</v>
      </c>
      <c r="F13" s="7">
        <f t="shared" si="1"/>
        <v>5.5826528976697463E-3</v>
      </c>
      <c r="G13" s="16">
        <f t="shared" si="2"/>
        <v>12653.082792568481</v>
      </c>
      <c r="H13" s="12">
        <f t="shared" si="3"/>
        <v>0.47037482500254574</v>
      </c>
    </row>
    <row r="14" spans="2:8" x14ac:dyDescent="0.25">
      <c r="B14" s="22" t="str">
        <f>+'County Data'!$B$37</f>
        <v>Polk</v>
      </c>
      <c r="C14" s="17">
        <f>VLOOKUP($B14,'County Data'!$B$10:$L$46,2,FALSE)</f>
        <v>81000</v>
      </c>
      <c r="D14" s="58">
        <f>1-VLOOKUP($B14,'County Data'!$B$10:$L$46,5,FALSE)</f>
        <v>0.14500000000000002</v>
      </c>
      <c r="E14" s="60">
        <f t="shared" si="0"/>
        <v>11745.000000000002</v>
      </c>
      <c r="F14" s="7">
        <f t="shared" si="1"/>
        <v>1.6926956392795119E-2</v>
      </c>
      <c r="G14" s="16">
        <f t="shared" si="2"/>
        <v>38364.946664270137</v>
      </c>
      <c r="H14" s="12">
        <f t="shared" si="3"/>
        <v>0.47364131684284122</v>
      </c>
    </row>
    <row r="15" spans="2:8" x14ac:dyDescent="0.25">
      <c r="B15" s="22" t="str">
        <f>+'County Data'!$B$12</f>
        <v>Clackamas</v>
      </c>
      <c r="C15" s="17">
        <f>VLOOKUP($B15,'County Data'!$B$10:$L$46,2,FALSE)</f>
        <v>413000</v>
      </c>
      <c r="D15" s="58">
        <f>1-VLOOKUP($B15,'County Data'!$B$10:$L$46,5,FALSE)</f>
        <v>0.14700000000000002</v>
      </c>
      <c r="E15" s="60">
        <f t="shared" si="0"/>
        <v>60711.000000000007</v>
      </c>
      <c r="F15" s="7">
        <f t="shared" si="1"/>
        <v>8.7497015714174925E-2</v>
      </c>
      <c r="G15" s="16">
        <f t="shared" si="2"/>
        <v>198311.98611617746</v>
      </c>
      <c r="H15" s="12">
        <f t="shared" si="3"/>
        <v>0.48017430052343213</v>
      </c>
    </row>
    <row r="16" spans="2:8" x14ac:dyDescent="0.25">
      <c r="B16" s="22" t="str">
        <f>+'County Data'!$B$13</f>
        <v>Clatsop</v>
      </c>
      <c r="C16" s="17">
        <f>VLOOKUP($B16,'County Data'!$B$10:$L$46,2,FALSE)</f>
        <v>38820</v>
      </c>
      <c r="D16" s="58">
        <f>1-VLOOKUP($B16,'County Data'!$B$10:$L$46,5,FALSE)</f>
        <v>0.15500000000000003</v>
      </c>
      <c r="E16" s="60">
        <f t="shared" si="0"/>
        <v>6017.1000000000013</v>
      </c>
      <c r="F16" s="7">
        <f t="shared" si="1"/>
        <v>8.6718764845540672E-3</v>
      </c>
      <c r="G16" s="16">
        <f t="shared" si="2"/>
        <v>19654.808052241795</v>
      </c>
      <c r="H16" s="12">
        <f t="shared" si="3"/>
        <v>0.50630623524579588</v>
      </c>
    </row>
    <row r="17" spans="2:8" x14ac:dyDescent="0.25">
      <c r="B17" s="22" t="str">
        <f>+'County Data'!$B$36</f>
        <v>Gilliam, Sherman, Wasco</v>
      </c>
      <c r="C17" s="17">
        <f>VLOOKUP($B17,'County Data'!$B$10:$L$46,2,FALSE)</f>
        <v>30895</v>
      </c>
      <c r="D17" s="58">
        <f>1-VLOOKUP($B17,'County Data'!$B$10:$L$46,5,FALSE)</f>
        <v>0.15700000000000003</v>
      </c>
      <c r="E17" s="60">
        <f t="shared" si="0"/>
        <v>4850.5150000000012</v>
      </c>
      <c r="F17" s="7">
        <f t="shared" si="1"/>
        <v>6.9905879853212963E-3</v>
      </c>
      <c r="G17" s="16">
        <f t="shared" si="2"/>
        <v>15844.167668730717</v>
      </c>
      <c r="H17" s="12">
        <f t="shared" si="3"/>
        <v>0.51283921892638673</v>
      </c>
    </row>
    <row r="18" spans="2:8" x14ac:dyDescent="0.25">
      <c r="B18" s="22" t="str">
        <f>+'County Data'!$B$29</f>
        <v>Lane</v>
      </c>
      <c r="C18" s="17">
        <f>VLOOKUP($B18,'County Data'!$B$10:$L$46,2,FALSE)</f>
        <v>370600</v>
      </c>
      <c r="D18" s="58">
        <f>1-VLOOKUP($B18,'County Data'!$B$10:$L$46,5,FALSE)</f>
        <v>0.16099999999999992</v>
      </c>
      <c r="E18" s="60">
        <f t="shared" si="0"/>
        <v>59666.599999999969</v>
      </c>
      <c r="F18" s="7">
        <f t="shared" si="1"/>
        <v>8.5991820886023723E-2</v>
      </c>
      <c r="G18" s="16">
        <f t="shared" si="2"/>
        <v>194900.46203817276</v>
      </c>
      <c r="H18" s="12">
        <f t="shared" si="3"/>
        <v>0.5259051862875681</v>
      </c>
    </row>
    <row r="19" spans="2:8" x14ac:dyDescent="0.25">
      <c r="B19" s="22" t="str">
        <f>+'County Data'!$B$35</f>
        <v>Multnomah</v>
      </c>
      <c r="C19" s="17">
        <f>VLOOKUP($B19,'County Data'!$B$10:$L$46,2,FALSE)</f>
        <v>803000</v>
      </c>
      <c r="D19" s="58">
        <f>1-VLOOKUP($B19,'County Data'!$B$10:$L$46,5,FALSE)</f>
        <v>0.16200000000000003</v>
      </c>
      <c r="E19" s="60">
        <f t="shared" si="0"/>
        <v>130086.00000000003</v>
      </c>
      <c r="F19" s="7">
        <f t="shared" si="1"/>
        <v>0.18748063425399286</v>
      </c>
      <c r="G19" s="16">
        <f t="shared" si="2"/>
        <v>424924.85753667483</v>
      </c>
      <c r="H19" s="12">
        <f t="shared" si="3"/>
        <v>0.52917167812786403</v>
      </c>
    </row>
    <row r="20" spans="2:8" x14ac:dyDescent="0.25">
      <c r="B20" s="22" t="str">
        <f>+'County Data'!$B$21</f>
        <v>Grant</v>
      </c>
      <c r="C20" s="17">
        <f>VLOOKUP($B20,'County Data'!$B$10:$L$46,2,FALSE)</f>
        <v>7415</v>
      </c>
      <c r="D20" s="58">
        <f>1-VLOOKUP($B20,'County Data'!$B$10:$L$46,5,FALSE)</f>
        <v>0.18400000000000005</v>
      </c>
      <c r="E20" s="60">
        <f t="shared" si="0"/>
        <v>1364.3600000000004</v>
      </c>
      <c r="F20" s="7">
        <f t="shared" si="1"/>
        <v>1.9663228798700682E-3</v>
      </c>
      <c r="G20" s="16">
        <f t="shared" si="2"/>
        <v>4456.6708072255096</v>
      </c>
      <c r="H20" s="12">
        <f t="shared" si="3"/>
        <v>0.60103449861436409</v>
      </c>
    </row>
    <row r="21" spans="2:8" x14ac:dyDescent="0.25">
      <c r="B21" s="22" t="str">
        <f>+'County Data'!$B$24</f>
        <v>Jackson</v>
      </c>
      <c r="C21" s="17">
        <f>VLOOKUP($B21,'County Data'!$B$10:$L$46,2,FALSE)</f>
        <v>216900</v>
      </c>
      <c r="D21" s="58">
        <f>1-VLOOKUP($B21,'County Data'!$B$10:$L$46,5,FALSE)</f>
        <v>0.18400000000000005</v>
      </c>
      <c r="E21" s="60">
        <f t="shared" si="0"/>
        <v>39909.600000000013</v>
      </c>
      <c r="F21" s="7">
        <f t="shared" si="1"/>
        <v>5.7517927531195931E-2</v>
      </c>
      <c r="G21" s="16">
        <f t="shared" si="2"/>
        <v>130364.38274945557</v>
      </c>
      <c r="H21" s="12">
        <f t="shared" si="3"/>
        <v>0.60103449861436409</v>
      </c>
    </row>
    <row r="22" spans="2:8" x14ac:dyDescent="0.25">
      <c r="B22" s="22" t="str">
        <f>+'County Data'!$B$31</f>
        <v>Linn</v>
      </c>
      <c r="C22" s="17">
        <f>VLOOKUP($B22,'County Data'!$B$10:$L$46,2,FALSE)</f>
        <v>124010</v>
      </c>
      <c r="D22" s="58">
        <f>1-VLOOKUP($B22,'County Data'!$B$10:$L$46,5,FALSE)</f>
        <v>0.18900000000000006</v>
      </c>
      <c r="E22" s="60">
        <f t="shared" si="0"/>
        <v>23437.890000000007</v>
      </c>
      <c r="F22" s="7">
        <f t="shared" si="1"/>
        <v>3.3778811576767036E-2</v>
      </c>
      <c r="G22" s="16">
        <f t="shared" si="2"/>
        <v>76559.676438742492</v>
      </c>
      <c r="H22" s="12">
        <f t="shared" si="3"/>
        <v>0.61736695781584139</v>
      </c>
    </row>
    <row r="23" spans="2:8" x14ac:dyDescent="0.25">
      <c r="B23" s="22" t="str">
        <f>+'County Data'!$B$25</f>
        <v>Jefferson</v>
      </c>
      <c r="C23" s="17">
        <f>VLOOKUP($B23,'County Data'!$B$10:$L$46,2,FALSE)</f>
        <v>23190</v>
      </c>
      <c r="D23" s="58">
        <f>1-VLOOKUP($B23,'County Data'!$B$10:$L$46,5,FALSE)</f>
        <v>0.18900000000000006</v>
      </c>
      <c r="E23" s="60">
        <f t="shared" si="0"/>
        <v>4382.9100000000017</v>
      </c>
      <c r="F23" s="7">
        <f t="shared" si="1"/>
        <v>6.3166731752699592E-3</v>
      </c>
      <c r="G23" s="16">
        <f t="shared" si="2"/>
        <v>14316.739751749363</v>
      </c>
      <c r="H23" s="12">
        <f t="shared" si="3"/>
        <v>0.61736695781584139</v>
      </c>
    </row>
    <row r="24" spans="2:8" x14ac:dyDescent="0.25">
      <c r="B24" s="22" t="str">
        <f>+'County Data'!$B$46</f>
        <v>Yamhill</v>
      </c>
      <c r="C24" s="17">
        <f>VLOOKUP($B24,'County Data'!$B$10:$L$46,2,FALSE)</f>
        <v>106300</v>
      </c>
      <c r="D24" s="58">
        <f>1-VLOOKUP($B24,'County Data'!$B$10:$L$46,5,FALSE)</f>
        <v>0.19099999999999995</v>
      </c>
      <c r="E24" s="60">
        <f t="shared" si="0"/>
        <v>20303.299999999996</v>
      </c>
      <c r="F24" s="7">
        <f t="shared" si="1"/>
        <v>2.9261223816929503E-2</v>
      </c>
      <c r="G24" s="16">
        <f t="shared" si="2"/>
        <v>66320.563781070712</v>
      </c>
      <c r="H24" s="12">
        <f t="shared" si="3"/>
        <v>0.62389994149643191</v>
      </c>
    </row>
    <row r="25" spans="2:8" x14ac:dyDescent="0.25">
      <c r="B25" s="22" t="str">
        <f>+'County Data'!$B$26</f>
        <v>Josephine</v>
      </c>
      <c r="C25" s="17">
        <f>VLOOKUP($B25,'County Data'!$B$10:$L$46,2,FALSE)</f>
        <v>85650</v>
      </c>
      <c r="D25" s="58">
        <f>1-VLOOKUP($B25,'County Data'!$B$10:$L$46,5,FALSE)</f>
        <v>0.19099999999999995</v>
      </c>
      <c r="E25" s="60">
        <f t="shared" si="0"/>
        <v>16359.149999999996</v>
      </c>
      <c r="F25" s="7">
        <f t="shared" si="1"/>
        <v>2.3576893884478006E-2</v>
      </c>
      <c r="G25" s="16">
        <f t="shared" si="2"/>
        <v>53437.029989169401</v>
      </c>
      <c r="H25" s="12">
        <f t="shared" si="3"/>
        <v>0.62389994149643202</v>
      </c>
    </row>
    <row r="26" spans="2:8" x14ac:dyDescent="0.25">
      <c r="B26" s="22" t="str">
        <f>+'County Data'!$B$14</f>
        <v>Columbia</v>
      </c>
      <c r="C26" s="17">
        <f>VLOOKUP($B26,'County Data'!$B$10:$L$46,2,FALSE)</f>
        <v>51345</v>
      </c>
      <c r="D26" s="58">
        <f>1-VLOOKUP($B26,'County Data'!$B$10:$L$46,5,FALSE)</f>
        <v>0.19299999999999995</v>
      </c>
      <c r="E26" s="60">
        <f t="shared" si="0"/>
        <v>9909.5849999999973</v>
      </c>
      <c r="F26" s="7">
        <f t="shared" si="1"/>
        <v>1.4281746544546323E-2</v>
      </c>
      <c r="G26" s="16">
        <f t="shared" si="2"/>
        <v>32369.57854321424</v>
      </c>
      <c r="H26" s="12">
        <f t="shared" si="3"/>
        <v>0.63043292517702287</v>
      </c>
    </row>
    <row r="27" spans="2:8" x14ac:dyDescent="0.25">
      <c r="B27" s="22" t="str">
        <f>+'County Data'!$B$39</f>
        <v>Tillamook</v>
      </c>
      <c r="C27" s="17">
        <f>VLOOKUP($B27,'County Data'!$B$10:$L$46,2,FALSE)</f>
        <v>26175</v>
      </c>
      <c r="D27" s="58">
        <f>1-VLOOKUP($B27,'County Data'!$B$10:$L$46,5,FALSE)</f>
        <v>0.19400000000000006</v>
      </c>
      <c r="E27" s="60">
        <f t="shared" si="0"/>
        <v>5077.9500000000016</v>
      </c>
      <c r="F27" s="7">
        <f t="shared" si="1"/>
        <v>7.3183685155209866E-3</v>
      </c>
      <c r="G27" s="16">
        <f t="shared" si="2"/>
        <v>16587.082240428317</v>
      </c>
      <c r="H27" s="12">
        <f t="shared" si="3"/>
        <v>0.63369941701731869</v>
      </c>
    </row>
    <row r="28" spans="2:8" x14ac:dyDescent="0.25">
      <c r="B28" s="22" t="str">
        <f>+'County Data'!$B$33</f>
        <v>Marion</v>
      </c>
      <c r="C28" s="17">
        <f>VLOOKUP($B28,'County Data'!$B$10:$L$46,2,FALSE)</f>
        <v>339200</v>
      </c>
      <c r="D28" s="58">
        <f>1-VLOOKUP($B28,'County Data'!$B$10:$L$46,5,FALSE)</f>
        <v>0.19599999999999995</v>
      </c>
      <c r="E28" s="60">
        <f t="shared" si="0"/>
        <v>66483.199999999983</v>
      </c>
      <c r="F28" s="7">
        <f t="shared" si="1"/>
        <v>9.5815941017750192E-2</v>
      </c>
      <c r="G28" s="16">
        <f t="shared" si="2"/>
        <v>217166.8303167308</v>
      </c>
      <c r="H28" s="12">
        <f t="shared" si="3"/>
        <v>0.64023240069790921</v>
      </c>
    </row>
    <row r="29" spans="2:8" x14ac:dyDescent="0.25">
      <c r="B29" s="22" t="str">
        <f>+'County Data'!$B$23</f>
        <v>Hood River</v>
      </c>
      <c r="C29" s="17">
        <f>VLOOKUP($B29,'County Data'!$B$10:$L$46,2,FALSE)</f>
        <v>25145</v>
      </c>
      <c r="D29" s="58">
        <f>1-VLOOKUP($B29,'County Data'!$B$10:$L$46,5,FALSE)</f>
        <v>0.19799999999999995</v>
      </c>
      <c r="E29" s="60">
        <f t="shared" si="0"/>
        <v>4978.7099999999991</v>
      </c>
      <c r="F29" s="7">
        <f t="shared" si="1"/>
        <v>7.1753433003297539E-3</v>
      </c>
      <c r="G29" s="16">
        <f t="shared" si="2"/>
        <v>16262.915590197388</v>
      </c>
      <c r="H29" s="12">
        <f t="shared" si="3"/>
        <v>0.64676538437850017</v>
      </c>
    </row>
    <row r="30" spans="2:8" x14ac:dyDescent="0.25">
      <c r="B30" s="22" t="str">
        <f>+'County Data'!$B$30</f>
        <v>Lincoln</v>
      </c>
      <c r="C30" s="17">
        <f>VLOOKUP($B30,'County Data'!$B$10:$L$46,2,FALSE)</f>
        <v>47960</v>
      </c>
      <c r="D30" s="58">
        <f>1-VLOOKUP($B30,'County Data'!$B$10:$L$46,5,FALSE)</f>
        <v>0.20599999999999996</v>
      </c>
      <c r="E30" s="60">
        <f t="shared" si="0"/>
        <v>9879.7599999999984</v>
      </c>
      <c r="F30" s="7">
        <f t="shared" si="1"/>
        <v>1.4238762596107403E-2</v>
      </c>
      <c r="G30" s="16">
        <f t="shared" si="2"/>
        <v>32272.155424077431</v>
      </c>
      <c r="H30" s="12">
        <f t="shared" si="3"/>
        <v>0.67289731910086392</v>
      </c>
    </row>
    <row r="31" spans="2:8" x14ac:dyDescent="0.25">
      <c r="B31" s="22" t="str">
        <f>+'County Data'!$B$27</f>
        <v>Klamath</v>
      </c>
      <c r="C31" s="17">
        <f>VLOOKUP($B31,'County Data'!$B$10:$L$46,2,FALSE)</f>
        <v>67690</v>
      </c>
      <c r="D31" s="58">
        <f>1-VLOOKUP($B31,'County Data'!$B$10:$L$46,5,FALSE)</f>
        <v>0.21499999999999997</v>
      </c>
      <c r="E31" s="60">
        <f t="shared" si="0"/>
        <v>14553.349999999999</v>
      </c>
      <c r="F31" s="7">
        <f t="shared" si="1"/>
        <v>2.0974365331552558E-2</v>
      </c>
      <c r="G31" s="16">
        <f t="shared" si="2"/>
        <v>47538.399023963873</v>
      </c>
      <c r="H31" s="12">
        <f t="shared" si="3"/>
        <v>0.70229574566352304</v>
      </c>
    </row>
    <row r="32" spans="2:8" x14ac:dyDescent="0.25">
      <c r="B32" s="22" t="str">
        <f>+'County Data'!$B$15</f>
        <v>Coos</v>
      </c>
      <c r="C32" s="17">
        <f>VLOOKUP($B32,'County Data'!$B$10:$L$46,2,FALSE)</f>
        <v>63310</v>
      </c>
      <c r="D32" s="58">
        <f>1-VLOOKUP($B32,'County Data'!$B$10:$L$46,5,FALSE)</f>
        <v>0.21999999999999997</v>
      </c>
      <c r="E32" s="60">
        <f t="shared" si="0"/>
        <v>13928.199999999999</v>
      </c>
      <c r="F32" s="7">
        <f t="shared" si="1"/>
        <v>2.0073395830577177E-2</v>
      </c>
      <c r="G32" s="16">
        <f t="shared" si="2"/>
        <v>45496.351650003169</v>
      </c>
      <c r="H32" s="12">
        <f t="shared" si="3"/>
        <v>0.71862820486500034</v>
      </c>
    </row>
    <row r="33" spans="2:8" x14ac:dyDescent="0.25">
      <c r="B33" s="22" t="str">
        <f>+'County Data'!$B$40</f>
        <v>Umatilla</v>
      </c>
      <c r="C33" s="17">
        <f>VLOOKUP($B33,'County Data'!$B$10:$L$46,2,FALSE)</f>
        <v>80500</v>
      </c>
      <c r="D33" s="58">
        <f>1-VLOOKUP($B33,'County Data'!$B$10:$L$46,5,FALSE)</f>
        <v>0.21999999999999997</v>
      </c>
      <c r="E33" s="60">
        <f t="shared" si="0"/>
        <v>17709.999999999996</v>
      </c>
      <c r="F33" s="7">
        <f t="shared" si="1"/>
        <v>2.5523746080579095E-2</v>
      </c>
      <c r="G33" s="16">
        <f t="shared" si="2"/>
        <v>57849.570491632519</v>
      </c>
      <c r="H33" s="12">
        <f t="shared" si="3"/>
        <v>0.71862820486500023</v>
      </c>
    </row>
    <row r="34" spans="2:8" x14ac:dyDescent="0.25">
      <c r="B34" s="22" t="str">
        <f>+'County Data'!$B$19</f>
        <v>Douglas</v>
      </c>
      <c r="C34" s="17">
        <f>VLOOKUP($B34,'County Data'!$B$10:$L$46,2,FALSE)</f>
        <v>111180</v>
      </c>
      <c r="D34" s="58">
        <f>1-VLOOKUP($B34,'County Data'!$B$10:$L$46,5,FALSE)</f>
        <v>0.2340000000000001</v>
      </c>
      <c r="E34" s="60">
        <f t="shared" si="0"/>
        <v>26016.12000000001</v>
      </c>
      <c r="F34" s="7">
        <f t="shared" si="1"/>
        <v>3.7494570349061306E-2</v>
      </c>
      <c r="G34" s="16">
        <f t="shared" si="2"/>
        <v>84981.443696147442</v>
      </c>
      <c r="H34" s="12">
        <f t="shared" si="3"/>
        <v>0.76435909062913687</v>
      </c>
    </row>
    <row r="35" spans="2:8" x14ac:dyDescent="0.25">
      <c r="B35" s="22" t="str">
        <f>+'County Data'!$B$17</f>
        <v>Curry</v>
      </c>
      <c r="C35" s="17">
        <f>VLOOKUP($B35,'County Data'!$B$10:$L$46,2,FALSE)</f>
        <v>22805</v>
      </c>
      <c r="D35" s="58">
        <f>1-VLOOKUP($B35,'County Data'!$B$10:$L$46,5,FALSE)</f>
        <v>0.23699999999999999</v>
      </c>
      <c r="E35" s="60">
        <f t="shared" si="0"/>
        <v>5404.7849999999999</v>
      </c>
      <c r="F35" s="7">
        <f t="shared" si="1"/>
        <v>7.7894048537618691E-3</v>
      </c>
      <c r="G35" s="16">
        <f t="shared" si="2"/>
        <v>17654.686101051277</v>
      </c>
      <c r="H35" s="12">
        <f t="shared" si="3"/>
        <v>0.7741585661500231</v>
      </c>
    </row>
    <row r="36" spans="2:8" x14ac:dyDescent="0.25">
      <c r="B36" s="22" t="str">
        <f>+'County Data'!$B$16</f>
        <v>Crook</v>
      </c>
      <c r="C36" s="17">
        <f>VLOOKUP($B36,'County Data'!$B$10:$L$46,2,FALSE)</f>
        <v>22105</v>
      </c>
      <c r="D36" s="58">
        <f>1-VLOOKUP($B36,'County Data'!$B$10:$L$46,5,FALSE)</f>
        <v>0.23799999999999999</v>
      </c>
      <c r="E36" s="60">
        <f t="shared" si="0"/>
        <v>5260.99</v>
      </c>
      <c r="F36" s="7">
        <f t="shared" si="1"/>
        <v>7.5821667358817518E-3</v>
      </c>
      <c r="G36" s="16">
        <f t="shared" si="2"/>
        <v>17184.98090687599</v>
      </c>
      <c r="H36" s="12">
        <f t="shared" si="3"/>
        <v>0.77742505799031847</v>
      </c>
    </row>
    <row r="37" spans="2:8" x14ac:dyDescent="0.25">
      <c r="B37" s="22" t="str">
        <f>+'County Data'!$B$34</f>
        <v>Morrow</v>
      </c>
      <c r="C37" s="17">
        <f>VLOOKUP($B37,'County Data'!$B$10:$L$46,2,FALSE)</f>
        <v>11890</v>
      </c>
      <c r="D37" s="58">
        <f>1-VLOOKUP($B37,'County Data'!$B$10:$L$46,5,FALSE)</f>
        <v>0.24900000000000011</v>
      </c>
      <c r="E37" s="60">
        <f t="shared" si="0"/>
        <v>2960.6100000000015</v>
      </c>
      <c r="F37" s="7">
        <f t="shared" si="1"/>
        <v>4.2668468596060603E-3</v>
      </c>
      <c r="G37" s="16">
        <f t="shared" si="2"/>
        <v>9670.808407297136</v>
      </c>
      <c r="H37" s="12">
        <f t="shared" si="3"/>
        <v>0.813356468233569</v>
      </c>
    </row>
    <row r="38" spans="2:8" x14ac:dyDescent="0.25">
      <c r="B38" s="22" t="str">
        <f>+'County Data'!$B$22</f>
        <v>Harney</v>
      </c>
      <c r="C38" s="17">
        <f>VLOOKUP($B38,'County Data'!$B$10:$L$46,2,FALSE)</f>
        <v>7360</v>
      </c>
      <c r="D38" s="58">
        <f>1-VLOOKUP($B38,'County Data'!$B$10:$L$46,5,FALSE)</f>
        <v>0.2659999999999999</v>
      </c>
      <c r="E38" s="60">
        <f t="shared" si="0"/>
        <v>1957.7599999999993</v>
      </c>
      <c r="F38" s="7">
        <f t="shared" si="1"/>
        <v>2.8215341121803792E-3</v>
      </c>
      <c r="G38" s="16">
        <f t="shared" si="2"/>
        <v>6395.0070652568293</v>
      </c>
      <c r="H38" s="12">
        <f t="shared" si="3"/>
        <v>0.86888682951859098</v>
      </c>
    </row>
    <row r="39" spans="2:8" x14ac:dyDescent="0.25">
      <c r="B39" s="22" t="str">
        <f>+'County Data'!$B$32</f>
        <v>Malheur</v>
      </c>
      <c r="C39" s="17">
        <f>VLOOKUP($B39,'County Data'!$B$10:$L$46,2,FALSE)</f>
        <v>31845</v>
      </c>
      <c r="D39" s="58">
        <f>1-VLOOKUP($B39,'County Data'!$B$10:$L$46,5,FALSE)</f>
        <v>0.28700000000000003</v>
      </c>
      <c r="E39" s="60">
        <f t="shared" si="0"/>
        <v>9139.5150000000012</v>
      </c>
      <c r="F39" s="7">
        <f t="shared" si="1"/>
        <v>1.3171917569714506E-2</v>
      </c>
      <c r="G39" s="16">
        <f t="shared" si="2"/>
        <v>29854.151171757931</v>
      </c>
      <c r="H39" s="12">
        <f t="shared" si="3"/>
        <v>0.9374831581647961</v>
      </c>
    </row>
    <row r="40" spans="2:8" x14ac:dyDescent="0.25">
      <c r="B40" s="22" t="str">
        <f>'County Data'!$B$45</f>
        <v>Wheeler</v>
      </c>
      <c r="C40" s="17">
        <f>VLOOKUP($B40,'County Data'!$B$10:$L$46,2,FALSE)</f>
        <v>1480</v>
      </c>
      <c r="D40" s="58">
        <f>1-VLOOKUP($B40,'County Data'!$B$10:$L$46,5,FALSE)</f>
        <v>0.30700000000000005</v>
      </c>
      <c r="E40" s="60">
        <f t="shared" si="0"/>
        <v>454.36000000000007</v>
      </c>
      <c r="F40" s="7">
        <f t="shared" si="1"/>
        <v>6.5482604569011408E-4</v>
      </c>
      <c r="G40" s="16">
        <f t="shared" si="2"/>
        <v>1484.1632325566436</v>
      </c>
      <c r="H40" s="12">
        <f t="shared" si="3"/>
        <v>1.0028129949707052</v>
      </c>
    </row>
    <row r="41" spans="2:8" x14ac:dyDescent="0.25">
      <c r="B41" s="5" t="s">
        <v>2</v>
      </c>
      <c r="C41" s="6">
        <f>SUM(C6:C40)</f>
        <v>4141100</v>
      </c>
      <c r="D41" s="6">
        <f>SUM(D6:D40)</f>
        <v>6.4370000000000003</v>
      </c>
      <c r="E41" s="6">
        <f>SUM(E6:E40)</f>
        <v>693863.66500000004</v>
      </c>
      <c r="F41" s="10">
        <f>SUM(F6:F40)</f>
        <v>1</v>
      </c>
      <c r="G41" s="13">
        <f>SUM(G6:G40)</f>
        <v>2266499.9999999995</v>
      </c>
      <c r="H41" s="14">
        <f t="shared" ref="H41" si="4">G41/C41</f>
        <v>0.54731834536717283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Data'!C5</f>
        <v>15000000</v>
      </c>
    </row>
    <row r="4" spans="2:8" x14ac:dyDescent="0.25">
      <c r="B4" t="s">
        <v>42</v>
      </c>
      <c r="C4" s="16">
        <f>'County Data'!G9</f>
        <v>2266500</v>
      </c>
      <c r="D4" s="11"/>
    </row>
    <row r="6" spans="2:8" s="2" customFormat="1" ht="30" x14ac:dyDescent="0.25">
      <c r="B6" s="3" t="s">
        <v>7</v>
      </c>
      <c r="C6" s="3" t="s">
        <v>1</v>
      </c>
      <c r="D6" s="3" t="s">
        <v>14</v>
      </c>
      <c r="E6" s="3" t="s">
        <v>33</v>
      </c>
      <c r="F6" s="3" t="s">
        <v>34</v>
      </c>
      <c r="G6" s="15" t="s">
        <v>13</v>
      </c>
      <c r="H6" s="3" t="s">
        <v>6</v>
      </c>
    </row>
    <row r="7" spans="2:8" x14ac:dyDescent="0.25">
      <c r="B7" s="22" t="str">
        <f>'County Data'!$B$45</f>
        <v>Wheeler</v>
      </c>
      <c r="C7" s="17">
        <f>VLOOKUP($B7,'County Data'!$B$10:$L$46,2,FALSE)</f>
        <v>1480</v>
      </c>
      <c r="D7" s="58">
        <f>VLOOKUP($B7,'County Data'!$B$10:$L$46,6,FALSE)</f>
        <v>5.7000000000000051E-2</v>
      </c>
      <c r="E7" s="60">
        <f t="shared" ref="E7:E40" si="0">C7*D7</f>
        <v>84.36000000000007</v>
      </c>
      <c r="F7" s="7">
        <f t="shared" ref="F7:F40" si="1">E7/$E$41</f>
        <v>8.8445750467764847E-5</v>
      </c>
      <c r="G7" s="16">
        <f t="shared" ref="G7:G40" si="2">$C$4*F7</f>
        <v>200.46229343518903</v>
      </c>
      <c r="H7" s="12">
        <f t="shared" ref="H7:H40" si="3">G7/C7</f>
        <v>0.1354474955643169</v>
      </c>
    </row>
    <row r="8" spans="2:8" x14ac:dyDescent="0.25">
      <c r="B8" s="22" t="str">
        <f>+'County Data'!$B$42</f>
        <v>Wallowa</v>
      </c>
      <c r="C8" s="17">
        <f>VLOOKUP($B8,'County Data'!$B$10:$L$46,2,FALSE)</f>
        <v>7195</v>
      </c>
      <c r="D8" s="58">
        <f>VLOOKUP($B8,'County Data'!$B$10:$L$46,6,FALSE)</f>
        <v>6.2999999999999945E-2</v>
      </c>
      <c r="E8" s="60">
        <f t="shared" si="0"/>
        <v>453.28499999999963</v>
      </c>
      <c r="F8" s="7">
        <f t="shared" si="1"/>
        <v>4.7523864391631958E-4</v>
      </c>
      <c r="G8" s="16">
        <f t="shared" si="2"/>
        <v>1077.1283864363384</v>
      </c>
      <c r="H8" s="12">
        <f t="shared" si="3"/>
        <v>0.14970512667635003</v>
      </c>
    </row>
    <row r="9" spans="2:8" x14ac:dyDescent="0.25">
      <c r="B9" s="22" t="str">
        <f>+'County Data'!$B$21</f>
        <v>Grant</v>
      </c>
      <c r="C9" s="17">
        <f>VLOOKUP($B9,'County Data'!$B$10:$L$46,2,FALSE)</f>
        <v>7415</v>
      </c>
      <c r="D9" s="58">
        <f>VLOOKUP($B9,'County Data'!$B$10:$L$46,6,FALSE)</f>
        <v>7.999999999999996E-2</v>
      </c>
      <c r="E9" s="60">
        <f t="shared" si="0"/>
        <v>593.1999999999997</v>
      </c>
      <c r="F9" s="7">
        <f t="shared" si="1"/>
        <v>6.2193005189044618E-4</v>
      </c>
      <c r="G9" s="16">
        <f t="shared" si="2"/>
        <v>1409.6044626096962</v>
      </c>
      <c r="H9" s="12">
        <f t="shared" si="3"/>
        <v>0.19010174816044453</v>
      </c>
    </row>
    <row r="10" spans="2:8" x14ac:dyDescent="0.25">
      <c r="B10" s="22" t="str">
        <f>+'County Data'!$B$10</f>
        <v>Baker</v>
      </c>
      <c r="C10" s="17">
        <f>VLOOKUP($B10,'County Data'!$B$10:$L$46,2,FALSE)</f>
        <v>16750</v>
      </c>
      <c r="D10" s="58">
        <f>VLOOKUP($B10,'County Data'!$B$10:$L$46,6,FALSE)</f>
        <v>8.5999999999999965E-2</v>
      </c>
      <c r="E10" s="60">
        <f t="shared" si="0"/>
        <v>1440.4999999999993</v>
      </c>
      <c r="F10" s="7">
        <f t="shared" si="1"/>
        <v>1.510266756150013E-3</v>
      </c>
      <c r="G10" s="16">
        <f t="shared" si="2"/>
        <v>3423.0196028140044</v>
      </c>
      <c r="H10" s="12">
        <f t="shared" si="3"/>
        <v>0.20435937927247788</v>
      </c>
    </row>
    <row r="11" spans="2:8" x14ac:dyDescent="0.25">
      <c r="B11" s="22" t="str">
        <f>+'County Data'!$B$41</f>
        <v>Union</v>
      </c>
      <c r="C11" s="17">
        <f>VLOOKUP($B11,'County Data'!$B$10:$L$46,2,FALSE)</f>
        <v>26900</v>
      </c>
      <c r="D11" s="58">
        <f>VLOOKUP($B11,'County Data'!$B$10:$L$46,6,FALSE)</f>
        <v>0.10299999999999998</v>
      </c>
      <c r="E11" s="60">
        <f t="shared" si="0"/>
        <v>2770.6999999999994</v>
      </c>
      <c r="F11" s="7">
        <f t="shared" si="1"/>
        <v>2.904891427466048E-3</v>
      </c>
      <c r="G11" s="16">
        <f t="shared" si="2"/>
        <v>6583.936420351798</v>
      </c>
      <c r="H11" s="12">
        <f t="shared" si="3"/>
        <v>0.24475600075657242</v>
      </c>
    </row>
    <row r="12" spans="2:8" x14ac:dyDescent="0.25">
      <c r="B12" s="22" t="str">
        <f>+'County Data'!$B$14</f>
        <v>Columbia</v>
      </c>
      <c r="C12" s="17">
        <f>VLOOKUP($B12,'County Data'!$B$10:$L$46,2,FALSE)</f>
        <v>51345</v>
      </c>
      <c r="D12" s="58">
        <f>VLOOKUP($B12,'County Data'!$B$10:$L$46,6,FALSE)</f>
        <v>0.10599999999999998</v>
      </c>
      <c r="E12" s="60">
        <f t="shared" si="0"/>
        <v>5442.5699999999988</v>
      </c>
      <c r="F12" s="7">
        <f t="shared" si="1"/>
        <v>5.7061662888020677E-3</v>
      </c>
      <c r="G12" s="16">
        <f t="shared" si="2"/>
        <v>12933.025893569886</v>
      </c>
      <c r="H12" s="12">
        <f t="shared" si="3"/>
        <v>0.25188481631258908</v>
      </c>
    </row>
    <row r="13" spans="2:8" x14ac:dyDescent="0.25">
      <c r="B13" s="22" t="str">
        <f>+'County Data'!$B$19</f>
        <v>Douglas</v>
      </c>
      <c r="C13" s="17">
        <f>VLOOKUP($B13,'County Data'!$B$10:$L$46,2,FALSE)</f>
        <v>111180</v>
      </c>
      <c r="D13" s="58">
        <f>VLOOKUP($B13,'County Data'!$B$10:$L$46,6,FALSE)</f>
        <v>0.11199999999999999</v>
      </c>
      <c r="E13" s="60">
        <f t="shared" si="0"/>
        <v>12452.159999999998</v>
      </c>
      <c r="F13" s="7">
        <f t="shared" si="1"/>
        <v>1.3055246990809408E-2</v>
      </c>
      <c r="G13" s="16">
        <f t="shared" si="2"/>
        <v>29589.717304669524</v>
      </c>
      <c r="H13" s="12">
        <f t="shared" si="3"/>
        <v>0.26614244742462245</v>
      </c>
    </row>
    <row r="14" spans="2:8" x14ac:dyDescent="0.25">
      <c r="B14" s="22" t="str">
        <f>+'County Data'!$B$16</f>
        <v>Crook</v>
      </c>
      <c r="C14" s="17">
        <f>VLOOKUP($B14,'County Data'!$B$10:$L$46,2,FALSE)</f>
        <v>22105</v>
      </c>
      <c r="D14" s="58">
        <f>VLOOKUP($B14,'County Data'!$B$10:$L$46,6,FALSE)</f>
        <v>0.11399999999999999</v>
      </c>
      <c r="E14" s="60">
        <f t="shared" si="0"/>
        <v>2519.9699999999998</v>
      </c>
      <c r="F14" s="7">
        <f t="shared" si="1"/>
        <v>2.6420179920134327E-3</v>
      </c>
      <c r="G14" s="16">
        <f t="shared" si="2"/>
        <v>5988.1337788984456</v>
      </c>
      <c r="H14" s="12">
        <f t="shared" si="3"/>
        <v>0.27089499112863358</v>
      </c>
    </row>
    <row r="15" spans="2:8" x14ac:dyDescent="0.25">
      <c r="B15" s="22" t="str">
        <f>+'County Data'!$B$18</f>
        <v>Deschutes</v>
      </c>
      <c r="C15" s="17">
        <f>VLOOKUP($B15,'County Data'!$B$10:$L$46,2,FALSE)</f>
        <v>182930</v>
      </c>
      <c r="D15" s="58">
        <f>VLOOKUP($B15,'County Data'!$B$10:$L$46,6,FALSE)</f>
        <v>0.121</v>
      </c>
      <c r="E15" s="60">
        <f t="shared" si="0"/>
        <v>22134.53</v>
      </c>
      <c r="F15" s="7">
        <f t="shared" si="1"/>
        <v>2.3206556627563456E-2</v>
      </c>
      <c r="G15" s="16">
        <f t="shared" si="2"/>
        <v>52597.660596372574</v>
      </c>
      <c r="H15" s="12">
        <f t="shared" si="3"/>
        <v>0.28752889409267246</v>
      </c>
    </row>
    <row r="16" spans="2:8" x14ac:dyDescent="0.25">
      <c r="B16" s="22" t="str">
        <f>+'County Data'!$B$26</f>
        <v>Josephine</v>
      </c>
      <c r="C16" s="17">
        <f>VLOOKUP($B16,'County Data'!$B$10:$L$46,2,FALSE)</f>
        <v>85650</v>
      </c>
      <c r="D16" s="58">
        <f>VLOOKUP($B16,'County Data'!$B$10:$L$46,6,FALSE)</f>
        <v>0.123</v>
      </c>
      <c r="E16" s="60">
        <f t="shared" si="0"/>
        <v>10534.95</v>
      </c>
      <c r="F16" s="7">
        <f t="shared" si="1"/>
        <v>1.1045182063660248E-2</v>
      </c>
      <c r="G16" s="16">
        <f t="shared" si="2"/>
        <v>25033.90514728595</v>
      </c>
      <c r="H16" s="12">
        <f t="shared" si="3"/>
        <v>0.29228143779668359</v>
      </c>
    </row>
    <row r="17" spans="2:8" x14ac:dyDescent="0.25">
      <c r="B17" s="22" t="str">
        <f>+'County Data'!$B$17</f>
        <v>Curry</v>
      </c>
      <c r="C17" s="17">
        <f>VLOOKUP($B17,'County Data'!$B$10:$L$46,2,FALSE)</f>
        <v>22805</v>
      </c>
      <c r="D17" s="58">
        <f>VLOOKUP($B17,'County Data'!$B$10:$L$46,6,FALSE)</f>
        <v>0.127</v>
      </c>
      <c r="E17" s="60">
        <f t="shared" si="0"/>
        <v>2896.2350000000001</v>
      </c>
      <c r="F17" s="7">
        <f t="shared" si="1"/>
        <v>3.036506378686661E-3</v>
      </c>
      <c r="G17" s="16">
        <f t="shared" si="2"/>
        <v>6882.2417072933176</v>
      </c>
      <c r="H17" s="12">
        <f t="shared" si="3"/>
        <v>0.30178652520470589</v>
      </c>
    </row>
    <row r="18" spans="2:8" x14ac:dyDescent="0.25">
      <c r="B18" s="22" t="str">
        <f>+'County Data'!$B$22</f>
        <v>Harney</v>
      </c>
      <c r="C18" s="17">
        <f>VLOOKUP($B18,'County Data'!$B$10:$L$46,2,FALSE)</f>
        <v>7360</v>
      </c>
      <c r="D18" s="58">
        <f>VLOOKUP($B18,'County Data'!$B$10:$L$46,6,FALSE)</f>
        <v>0.128</v>
      </c>
      <c r="E18" s="60">
        <f t="shared" si="0"/>
        <v>942.08</v>
      </c>
      <c r="F18" s="7">
        <f t="shared" si="1"/>
        <v>9.8770711949587283E-4</v>
      </c>
      <c r="G18" s="16">
        <f t="shared" si="2"/>
        <v>2238.6381863373958</v>
      </c>
      <c r="H18" s="12">
        <f t="shared" si="3"/>
        <v>0.3041627970567114</v>
      </c>
    </row>
    <row r="19" spans="2:8" x14ac:dyDescent="0.25">
      <c r="B19" s="22" t="str">
        <f>+'County Data'!$B$13</f>
        <v>Clatsop</v>
      </c>
      <c r="C19" s="17">
        <f>VLOOKUP($B19,'County Data'!$B$10:$L$46,2,FALSE)</f>
        <v>38820</v>
      </c>
      <c r="D19" s="58">
        <f>VLOOKUP($B19,'County Data'!$B$10:$L$46,6,FALSE)</f>
        <v>0.13800000000000001</v>
      </c>
      <c r="E19" s="60">
        <f t="shared" si="0"/>
        <v>5357.1600000000008</v>
      </c>
      <c r="F19" s="7">
        <f t="shared" si="1"/>
        <v>5.616619684398895E-3</v>
      </c>
      <c r="G19" s="16">
        <f t="shared" si="2"/>
        <v>12730.068514690096</v>
      </c>
      <c r="H19" s="12">
        <f t="shared" si="3"/>
        <v>0.32792551557676702</v>
      </c>
    </row>
    <row r="20" spans="2:8" x14ac:dyDescent="0.25">
      <c r="B20" s="22" t="str">
        <f>+'County Data'!$B$31</f>
        <v>Linn</v>
      </c>
      <c r="C20" s="17">
        <f>VLOOKUP($B20,'County Data'!$B$10:$L$46,2,FALSE)</f>
        <v>124010</v>
      </c>
      <c r="D20" s="58">
        <f>VLOOKUP($B20,'County Data'!$B$10:$L$46,6,FALSE)</f>
        <v>0.13900000000000001</v>
      </c>
      <c r="E20" s="60">
        <f t="shared" si="0"/>
        <v>17237.390000000003</v>
      </c>
      <c r="F20" s="7">
        <f t="shared" si="1"/>
        <v>1.8072236778752301E-2</v>
      </c>
      <c r="G20" s="16">
        <f t="shared" si="2"/>
        <v>40960.724659042091</v>
      </c>
      <c r="H20" s="12">
        <f t="shared" si="3"/>
        <v>0.33030178742877259</v>
      </c>
    </row>
    <row r="21" spans="2:8" x14ac:dyDescent="0.25">
      <c r="B21" s="22" t="str">
        <f>+'County Data'!$B$15</f>
        <v>Coos</v>
      </c>
      <c r="C21" s="17">
        <f>VLOOKUP($B21,'County Data'!$B$10:$L$46,2,FALSE)</f>
        <v>63310</v>
      </c>
      <c r="D21" s="58">
        <f>VLOOKUP($B21,'County Data'!$B$10:$L$46,6,FALSE)</f>
        <v>0.14400000000000002</v>
      </c>
      <c r="E21" s="60">
        <f t="shared" si="0"/>
        <v>9116.6400000000012</v>
      </c>
      <c r="F21" s="7">
        <f t="shared" si="1"/>
        <v>9.5581800206785573E-3</v>
      </c>
      <c r="G21" s="16">
        <f t="shared" si="2"/>
        <v>21663.615016867949</v>
      </c>
      <c r="H21" s="12">
        <f t="shared" si="3"/>
        <v>0.34218314668880034</v>
      </c>
    </row>
    <row r="22" spans="2:8" x14ac:dyDescent="0.25">
      <c r="B22" s="22" t="str">
        <f>+'County Data'!$B$28</f>
        <v>Lake</v>
      </c>
      <c r="C22" s="17">
        <f>VLOOKUP($B22,'County Data'!$B$10:$L$46,2,FALSE)</f>
        <v>8120</v>
      </c>
      <c r="D22" s="58">
        <f>VLOOKUP($B22,'County Data'!$B$10:$L$46,6,FALSE)</f>
        <v>0.14400000000000002</v>
      </c>
      <c r="E22" s="60">
        <f t="shared" si="0"/>
        <v>1169.2800000000002</v>
      </c>
      <c r="F22" s="7">
        <f t="shared" si="1"/>
        <v>1.2259109424721196E-3</v>
      </c>
      <c r="G22" s="16">
        <f t="shared" si="2"/>
        <v>2778.5271511130591</v>
      </c>
      <c r="H22" s="12">
        <f t="shared" si="3"/>
        <v>0.3421831466888004</v>
      </c>
    </row>
    <row r="23" spans="2:8" x14ac:dyDescent="0.25">
      <c r="B23" s="22" t="str">
        <f>+'County Data'!$B$39</f>
        <v>Tillamook</v>
      </c>
      <c r="C23" s="17">
        <f>VLOOKUP($B23,'County Data'!$B$10:$L$46,2,FALSE)</f>
        <v>26175</v>
      </c>
      <c r="D23" s="58">
        <f>VLOOKUP($B23,'County Data'!$B$10:$L$46,6,FALSE)</f>
        <v>0.14900000000000002</v>
      </c>
      <c r="E23" s="60">
        <f t="shared" si="0"/>
        <v>3900.0750000000007</v>
      </c>
      <c r="F23" s="7">
        <f t="shared" si="1"/>
        <v>4.0889646782310074E-3</v>
      </c>
      <c r="G23" s="16">
        <f t="shared" si="2"/>
        <v>9267.6384432105788</v>
      </c>
      <c r="H23" s="12">
        <f t="shared" si="3"/>
        <v>0.35406450594882821</v>
      </c>
    </row>
    <row r="24" spans="2:8" x14ac:dyDescent="0.25">
      <c r="B24" s="22" t="str">
        <f>+'County Data'!$B$12</f>
        <v>Clackamas</v>
      </c>
      <c r="C24" s="17">
        <f>VLOOKUP($B24,'County Data'!$B$10:$L$46,2,FALSE)</f>
        <v>413000</v>
      </c>
      <c r="D24" s="58">
        <f>VLOOKUP($B24,'County Data'!$B$10:$L$46,6,FALSE)</f>
        <v>0.16800000000000004</v>
      </c>
      <c r="E24" s="60">
        <f t="shared" si="0"/>
        <v>69384.000000000015</v>
      </c>
      <c r="F24" s="7">
        <f t="shared" si="1"/>
        <v>7.274442805186572E-2</v>
      </c>
      <c r="G24" s="16">
        <f t="shared" si="2"/>
        <v>164875.24617955365</v>
      </c>
      <c r="H24" s="12">
        <f t="shared" si="3"/>
        <v>0.39921367113693379</v>
      </c>
    </row>
    <row r="25" spans="2:8" x14ac:dyDescent="0.25">
      <c r="B25" s="22" t="str">
        <f>+'County Data'!$B$29</f>
        <v>Lane</v>
      </c>
      <c r="C25" s="17">
        <f>VLOOKUP($B25,'County Data'!$B$10:$L$46,2,FALSE)</f>
        <v>370600</v>
      </c>
      <c r="D25" s="58">
        <f>VLOOKUP($B25,'County Data'!$B$10:$L$46,6,FALSE)</f>
        <v>0.16900000000000004</v>
      </c>
      <c r="E25" s="60">
        <f t="shared" si="0"/>
        <v>62631.400000000016</v>
      </c>
      <c r="F25" s="7">
        <f t="shared" si="1"/>
        <v>6.5664783971630683E-2</v>
      </c>
      <c r="G25" s="16">
        <f t="shared" si="2"/>
        <v>148829.23287170095</v>
      </c>
      <c r="H25" s="12">
        <f t="shared" si="3"/>
        <v>0.40158994298893941</v>
      </c>
    </row>
    <row r="26" spans="2:8" x14ac:dyDescent="0.25">
      <c r="B26" s="22" t="str">
        <f>+'County Data'!$B$30</f>
        <v>Lincoln</v>
      </c>
      <c r="C26" s="17">
        <f>VLOOKUP($B26,'County Data'!$B$10:$L$46,2,FALSE)</f>
        <v>47960</v>
      </c>
      <c r="D26" s="58">
        <f>VLOOKUP($B26,'County Data'!$B$10:$L$46,6,FALSE)</f>
        <v>0.17100000000000004</v>
      </c>
      <c r="E26" s="60">
        <f t="shared" si="0"/>
        <v>8201.1600000000017</v>
      </c>
      <c r="F26" s="7">
        <f t="shared" si="1"/>
        <v>8.5983612008797283E-3</v>
      </c>
      <c r="G26" s="16">
        <f t="shared" si="2"/>
        <v>19488.185661793905</v>
      </c>
      <c r="H26" s="12">
        <f t="shared" si="3"/>
        <v>0.40634248669295048</v>
      </c>
    </row>
    <row r="27" spans="2:8" x14ac:dyDescent="0.25">
      <c r="B27" s="22" t="str">
        <f>+'County Data'!$B$24</f>
        <v>Jackson</v>
      </c>
      <c r="C27" s="17">
        <f>VLOOKUP($B27,'County Data'!$B$10:$L$46,2,FALSE)</f>
        <v>216900</v>
      </c>
      <c r="D27" s="58">
        <f>VLOOKUP($B27,'County Data'!$B$10:$L$46,6,FALSE)</f>
        <v>0.17800000000000005</v>
      </c>
      <c r="E27" s="60">
        <f t="shared" si="0"/>
        <v>38608.200000000012</v>
      </c>
      <c r="F27" s="7">
        <f t="shared" si="1"/>
        <v>4.0478084675314802E-2</v>
      </c>
      <c r="G27" s="16">
        <f t="shared" si="2"/>
        <v>91743.578916600993</v>
      </c>
      <c r="H27" s="12">
        <f t="shared" si="3"/>
        <v>0.42297638965698936</v>
      </c>
    </row>
    <row r="28" spans="2:8" x14ac:dyDescent="0.25">
      <c r="B28" s="22" t="str">
        <f>+'County Data'!$B$11</f>
        <v>Benton</v>
      </c>
      <c r="C28" s="17">
        <f>VLOOKUP($B28,'County Data'!$B$10:$L$46,2,FALSE)</f>
        <v>92575</v>
      </c>
      <c r="D28" s="58">
        <f>VLOOKUP($B28,'County Data'!$B$10:$L$46,6,FALSE)</f>
        <v>0.18200000000000005</v>
      </c>
      <c r="E28" s="60">
        <f t="shared" si="0"/>
        <v>16848.650000000005</v>
      </c>
      <c r="F28" s="7">
        <f t="shared" si="1"/>
        <v>1.766466919889409E-2</v>
      </c>
      <c r="G28" s="16">
        <f t="shared" si="2"/>
        <v>40036.972739293451</v>
      </c>
      <c r="H28" s="12">
        <f t="shared" si="3"/>
        <v>0.43248147706501161</v>
      </c>
    </row>
    <row r="29" spans="2:8" x14ac:dyDescent="0.25">
      <c r="B29" s="22" t="str">
        <f>+'County Data'!$B$27</f>
        <v>Klamath</v>
      </c>
      <c r="C29" s="17">
        <f>VLOOKUP($B29,'County Data'!$B$10:$L$46,2,FALSE)</f>
        <v>67690</v>
      </c>
      <c r="D29" s="58">
        <f>VLOOKUP($B29,'County Data'!$B$10:$L$46,6,FALSE)</f>
        <v>0.20699999999999996</v>
      </c>
      <c r="E29" s="60">
        <f t="shared" si="0"/>
        <v>14011.829999999998</v>
      </c>
      <c r="F29" s="7">
        <f t="shared" si="1"/>
        <v>1.4690455426466813E-2</v>
      </c>
      <c r="G29" s="16">
        <f t="shared" si="2"/>
        <v>33295.917224087032</v>
      </c>
      <c r="H29" s="12">
        <f t="shared" si="3"/>
        <v>0.4918882733651504</v>
      </c>
    </row>
    <row r="30" spans="2:8" x14ac:dyDescent="0.25">
      <c r="B30" s="22" t="str">
        <f>+'County Data'!$B$37</f>
        <v>Polk</v>
      </c>
      <c r="C30" s="17">
        <f>VLOOKUP($B30,'County Data'!$B$10:$L$46,2,FALSE)</f>
        <v>81000</v>
      </c>
      <c r="D30" s="58">
        <f>VLOOKUP($B30,'County Data'!$B$10:$L$46,6,FALSE)</f>
        <v>0.20699999999999996</v>
      </c>
      <c r="E30" s="60">
        <f t="shared" si="0"/>
        <v>16766.999999999996</v>
      </c>
      <c r="F30" s="7">
        <f t="shared" si="1"/>
        <v>1.7579064700011991E-2</v>
      </c>
      <c r="G30" s="16">
        <f t="shared" si="2"/>
        <v>39842.950142577181</v>
      </c>
      <c r="H30" s="12">
        <f t="shared" si="3"/>
        <v>0.4918882733651504</v>
      </c>
    </row>
    <row r="31" spans="2:8" x14ac:dyDescent="0.25">
      <c r="B31" s="22" t="str">
        <f>+'County Data'!$B$46</f>
        <v>Yamhill</v>
      </c>
      <c r="C31" s="17">
        <f>VLOOKUP($B31,'County Data'!$B$10:$L$46,2,FALSE)</f>
        <v>106300</v>
      </c>
      <c r="D31" s="58">
        <f>VLOOKUP($B31,'County Data'!$B$10:$L$46,6,FALSE)</f>
        <v>0.21999999999999997</v>
      </c>
      <c r="E31" s="60">
        <f t="shared" si="0"/>
        <v>23385.999999999996</v>
      </c>
      <c r="F31" s="7">
        <f t="shared" si="1"/>
        <v>2.4518638222370159E-2</v>
      </c>
      <c r="G31" s="16">
        <f t="shared" si="2"/>
        <v>55571.493531001965</v>
      </c>
      <c r="H31" s="12">
        <f t="shared" si="3"/>
        <v>0.52277980744122265</v>
      </c>
    </row>
    <row r="32" spans="2:8" x14ac:dyDescent="0.25">
      <c r="B32" s="22" t="str">
        <f>+'County Data'!$B$36</f>
        <v>Gilliam, Sherman, Wasco</v>
      </c>
      <c r="C32" s="17">
        <f>VLOOKUP($B32,'County Data'!$B$10:$L$46,2,FALSE)</f>
        <v>30895</v>
      </c>
      <c r="D32" s="58">
        <f>VLOOKUP($B32,'County Data'!$B$10:$L$46,6,FALSE)</f>
        <v>0.22592655849701115</v>
      </c>
      <c r="E32" s="60">
        <f t="shared" si="0"/>
        <v>6980.0010247651599</v>
      </c>
      <c r="F32" s="7">
        <f t="shared" si="1"/>
        <v>7.3180586640720921E-3</v>
      </c>
      <c r="G32" s="16">
        <f t="shared" si="2"/>
        <v>16586.379962119398</v>
      </c>
      <c r="H32" s="12">
        <f t="shared" si="3"/>
        <v>0.53686292157693472</v>
      </c>
    </row>
    <row r="33" spans="2:8" x14ac:dyDescent="0.25">
      <c r="B33" s="22" t="str">
        <f>+'County Data'!$B$35</f>
        <v>Multnomah</v>
      </c>
      <c r="C33" s="17">
        <f>VLOOKUP($B33,'County Data'!$B$10:$L$46,2,FALSE)</f>
        <v>803000</v>
      </c>
      <c r="D33" s="58">
        <f>VLOOKUP($B33,'County Data'!$B$10:$L$46,6,FALSE)</f>
        <v>0.28900000000000003</v>
      </c>
      <c r="E33" s="60">
        <f t="shared" si="0"/>
        <v>232067.00000000003</v>
      </c>
      <c r="F33" s="7">
        <f t="shared" si="1"/>
        <v>0.24330654307494987</v>
      </c>
      <c r="G33" s="16">
        <f t="shared" si="2"/>
        <v>551454.27987937385</v>
      </c>
      <c r="H33" s="12">
        <f t="shared" si="3"/>
        <v>0.68674256522960631</v>
      </c>
    </row>
    <row r="34" spans="2:8" x14ac:dyDescent="0.25">
      <c r="B34" s="22" t="str">
        <f>+'County Data'!$B$44</f>
        <v>Washington</v>
      </c>
      <c r="C34" s="17">
        <f>VLOOKUP($B34,'County Data'!$B$10:$L$46,2,FALSE)</f>
        <v>595860</v>
      </c>
      <c r="D34" s="58">
        <f>VLOOKUP($B34,'County Data'!$B$10:$L$46,6,FALSE)</f>
        <v>0.32299999999999995</v>
      </c>
      <c r="E34" s="60">
        <f t="shared" si="0"/>
        <v>192462.77999999997</v>
      </c>
      <c r="F34" s="7">
        <f t="shared" si="1"/>
        <v>0.20178419884082865</v>
      </c>
      <c r="G34" s="16">
        <f t="shared" si="2"/>
        <v>457343.88667273812</v>
      </c>
      <c r="H34" s="12">
        <f t="shared" si="3"/>
        <v>0.76753580819779499</v>
      </c>
    </row>
    <row r="35" spans="2:8" x14ac:dyDescent="0.25">
      <c r="B35" s="22" t="str">
        <f>+'County Data'!$B$40</f>
        <v>Umatilla</v>
      </c>
      <c r="C35" s="17">
        <f>VLOOKUP($B35,'County Data'!$B$10:$L$46,2,FALSE)</f>
        <v>80500</v>
      </c>
      <c r="D35" s="58">
        <f>VLOOKUP($B35,'County Data'!$B$10:$L$46,6,FALSE)</f>
        <v>0.32599999999999996</v>
      </c>
      <c r="E35" s="60">
        <f t="shared" si="0"/>
        <v>26242.999999999996</v>
      </c>
      <c r="F35" s="7">
        <f t="shared" si="1"/>
        <v>2.751400935900368E-2</v>
      </c>
      <c r="G35" s="16">
        <f t="shared" si="2"/>
        <v>62360.50221218184</v>
      </c>
      <c r="H35" s="12">
        <f t="shared" si="3"/>
        <v>0.77466462375381173</v>
      </c>
    </row>
    <row r="36" spans="2:8" x14ac:dyDescent="0.25">
      <c r="B36" s="22" t="str">
        <f>+'County Data'!$B$33</f>
        <v>Marion</v>
      </c>
      <c r="C36" s="17">
        <f>VLOOKUP($B36,'County Data'!$B$10:$L$46,2,FALSE)</f>
        <v>339200</v>
      </c>
      <c r="D36" s="58">
        <f>VLOOKUP($B36,'County Data'!$B$10:$L$46,6,FALSE)</f>
        <v>0.33099999999999996</v>
      </c>
      <c r="E36" s="60">
        <f t="shared" si="0"/>
        <v>112275.19999999998</v>
      </c>
      <c r="F36" s="7">
        <f t="shared" si="1"/>
        <v>0.11771294835133217</v>
      </c>
      <c r="G36" s="16">
        <f t="shared" si="2"/>
        <v>266796.39743829437</v>
      </c>
      <c r="H36" s="12">
        <f t="shared" si="3"/>
        <v>0.78654598301383949</v>
      </c>
    </row>
    <row r="37" spans="2:8" x14ac:dyDescent="0.25">
      <c r="B37" s="22" t="str">
        <f>+'County Data'!$B$23</f>
        <v>Hood River</v>
      </c>
      <c r="C37" s="17">
        <f>VLOOKUP($B37,'County Data'!$B$10:$L$46,2,FALSE)</f>
        <v>25145</v>
      </c>
      <c r="D37" s="58">
        <f>VLOOKUP($B37,'County Data'!$B$10:$L$46,6,FALSE)</f>
        <v>0.35499999999999998</v>
      </c>
      <c r="E37" s="60">
        <f t="shared" si="0"/>
        <v>8926.4750000000004</v>
      </c>
      <c r="F37" s="7">
        <f t="shared" si="1"/>
        <v>9.3588048886526862E-3</v>
      </c>
      <c r="G37" s="16">
        <f t="shared" si="2"/>
        <v>21211.731280131313</v>
      </c>
      <c r="H37" s="12">
        <f t="shared" si="3"/>
        <v>0.8435765074619731</v>
      </c>
    </row>
    <row r="38" spans="2:8" x14ac:dyDescent="0.25">
      <c r="B38" s="22" t="str">
        <f>+'County Data'!$B$32</f>
        <v>Malheur</v>
      </c>
      <c r="C38" s="17">
        <f>VLOOKUP($B38,'County Data'!$B$10:$L$46,2,FALSE)</f>
        <v>31845</v>
      </c>
      <c r="D38" s="58">
        <f>VLOOKUP($B38,'County Data'!$B$10:$L$46,6,FALSE)</f>
        <v>0.38</v>
      </c>
      <c r="E38" s="60">
        <f t="shared" si="0"/>
        <v>12101.1</v>
      </c>
      <c r="F38" s="7">
        <f t="shared" si="1"/>
        <v>1.268718434074761E-2</v>
      </c>
      <c r="G38" s="16">
        <f t="shared" si="2"/>
        <v>28755.503308304458</v>
      </c>
      <c r="H38" s="12">
        <f t="shared" si="3"/>
        <v>0.902983303762112</v>
      </c>
    </row>
    <row r="39" spans="2:8" x14ac:dyDescent="0.25">
      <c r="B39" s="22" t="str">
        <f>+'County Data'!$B$34</f>
        <v>Morrow</v>
      </c>
      <c r="C39" s="17">
        <f>VLOOKUP($B39,'County Data'!$B$10:$L$46,2,FALSE)</f>
        <v>11890</v>
      </c>
      <c r="D39" s="58">
        <f>VLOOKUP($B39,'County Data'!$B$10:$L$46,6,FALSE)</f>
        <v>0.38800000000000001</v>
      </c>
      <c r="E39" s="60">
        <f t="shared" si="0"/>
        <v>4613.32</v>
      </c>
      <c r="F39" s="7">
        <f t="shared" si="1"/>
        <v>4.8367537879083515E-3</v>
      </c>
      <c r="G39" s="16">
        <f t="shared" si="2"/>
        <v>10962.502460294279</v>
      </c>
      <c r="H39" s="12">
        <f t="shared" si="3"/>
        <v>0.92199347857815639</v>
      </c>
    </row>
    <row r="40" spans="2:8" x14ac:dyDescent="0.25">
      <c r="B40" s="22" t="str">
        <f>+'County Data'!$B$25</f>
        <v>Jefferson</v>
      </c>
      <c r="C40" s="17">
        <f>VLOOKUP($B40,'County Data'!$B$10:$L$46,2,FALSE)</f>
        <v>23190</v>
      </c>
      <c r="D40" s="58">
        <f>VLOOKUP($B40,'County Data'!$B$10:$L$46,6,FALSE)</f>
        <v>0.39900000000000002</v>
      </c>
      <c r="E40" s="60">
        <f t="shared" si="0"/>
        <v>9252.8100000000013</v>
      </c>
      <c r="F40" s="7">
        <f t="shared" si="1"/>
        <v>9.7009450496163899E-3</v>
      </c>
      <c r="G40" s="16">
        <f t="shared" si="2"/>
        <v>21987.191954955546</v>
      </c>
      <c r="H40" s="12">
        <f t="shared" si="3"/>
        <v>0.94813246895021763</v>
      </c>
    </row>
    <row r="41" spans="2:8" x14ac:dyDescent="0.25">
      <c r="B41" s="5" t="s">
        <v>2</v>
      </c>
      <c r="C41" s="6">
        <f>SUM(C7:C40)</f>
        <v>4141100</v>
      </c>
      <c r="D41" s="6"/>
      <c r="E41" s="6">
        <f>SUM(E7:E40)</f>
        <v>953805.01102476509</v>
      </c>
      <c r="F41" s="10">
        <f>SUM(F7:F40)</f>
        <v>1.0000000000000002</v>
      </c>
      <c r="G41" s="13">
        <f>SUM(G7:G40)</f>
        <v>2266500.0000000005</v>
      </c>
      <c r="H41" s="14">
        <f t="shared" ref="H41" si="4">G41/C41</f>
        <v>0.54731834536717305</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H41"/>
  <sheetViews>
    <sheetView workbookViewId="0"/>
  </sheetViews>
  <sheetFormatPr defaultRowHeight="15" x14ac:dyDescent="0.25"/>
  <cols>
    <col min="2" max="2" width="17.42578125" bestFit="1" customWidth="1"/>
    <col min="3" max="3" width="11.85546875" bestFit="1" customWidth="1"/>
    <col min="4" max="4" width="8" bestFit="1" customWidth="1"/>
    <col min="5" max="5" width="14.28515625" bestFit="1" customWidth="1"/>
    <col min="6" max="6" width="9.7109375" bestFit="1" customWidth="1"/>
    <col min="7" max="7" width="14.140625" customWidth="1"/>
    <col min="8" max="8" width="10" bestFit="1" customWidth="1"/>
  </cols>
  <sheetData>
    <row r="3" spans="2:8" x14ac:dyDescent="0.25">
      <c r="B3" t="s">
        <v>0</v>
      </c>
      <c r="C3" s="1">
        <f>'County Data'!C5</f>
        <v>15000000</v>
      </c>
    </row>
    <row r="4" spans="2:8" x14ac:dyDescent="0.25">
      <c r="B4" t="s">
        <v>42</v>
      </c>
      <c r="C4" s="16">
        <f>'County Data'!I9</f>
        <v>0</v>
      </c>
      <c r="D4" s="11"/>
    </row>
    <row r="6" spans="2:8" s="2" customFormat="1" ht="30" x14ac:dyDescent="0.25">
      <c r="B6" s="3" t="s">
        <v>7</v>
      </c>
      <c r="C6" s="3" t="s">
        <v>1</v>
      </c>
      <c r="D6" s="3" t="s">
        <v>14</v>
      </c>
      <c r="E6" s="3" t="s">
        <v>33</v>
      </c>
      <c r="F6" s="3" t="s">
        <v>34</v>
      </c>
      <c r="G6" s="15" t="s">
        <v>13</v>
      </c>
      <c r="H6" s="3" t="s">
        <v>6</v>
      </c>
    </row>
    <row r="7" spans="2:8" x14ac:dyDescent="0.25">
      <c r="B7" s="22" t="str">
        <f>+'County Data'!$B$10</f>
        <v>Baker</v>
      </c>
      <c r="C7" s="17">
        <f>VLOOKUP($B7,'County Data'!$B$10:$L$46,2,FALSE)</f>
        <v>16750</v>
      </c>
      <c r="D7" s="17">
        <f>VLOOKUP($B7,'County Data'!$B$10:$L$46,8,FALSE)</f>
        <v>0</v>
      </c>
      <c r="E7" s="60">
        <f t="shared" ref="E7:E40" si="0">C7*D7</f>
        <v>0</v>
      </c>
      <c r="F7" s="7">
        <f t="shared" ref="F7:F40" si="1">IF(E7=0,0,E7/$E$41)</f>
        <v>0</v>
      </c>
      <c r="G7" s="16">
        <f t="shared" ref="G7:G40" si="2">$C$4*F7</f>
        <v>0</v>
      </c>
      <c r="H7" s="12">
        <f t="shared" ref="H7:H40" si="3">G7/C7</f>
        <v>0</v>
      </c>
    </row>
    <row r="8" spans="2:8" x14ac:dyDescent="0.25">
      <c r="B8" s="22" t="str">
        <f>+'County Data'!$B$11</f>
        <v>Benton</v>
      </c>
      <c r="C8" s="17">
        <f>VLOOKUP($B8,'County Data'!$B$10:$L$46,2,FALSE)</f>
        <v>92575</v>
      </c>
      <c r="D8" s="17">
        <f>VLOOKUP($B8,'County Data'!$B$10:$L$46,8,FALSE)</f>
        <v>0</v>
      </c>
      <c r="E8" s="60">
        <f t="shared" si="0"/>
        <v>0</v>
      </c>
      <c r="F8" s="7">
        <f t="shared" si="1"/>
        <v>0</v>
      </c>
      <c r="G8" s="16">
        <f t="shared" si="2"/>
        <v>0</v>
      </c>
      <c r="H8" s="12">
        <f t="shared" si="3"/>
        <v>0</v>
      </c>
    </row>
    <row r="9" spans="2:8" x14ac:dyDescent="0.25">
      <c r="B9" s="22" t="str">
        <f>+'County Data'!$B$12</f>
        <v>Clackamas</v>
      </c>
      <c r="C9" s="17">
        <f>VLOOKUP($B9,'County Data'!$B$10:$L$46,2,FALSE)</f>
        <v>413000</v>
      </c>
      <c r="D9" s="17">
        <f>VLOOKUP($B9,'County Data'!$B$10:$L$46,8,FALSE)</f>
        <v>0</v>
      </c>
      <c r="E9" s="60">
        <f t="shared" si="0"/>
        <v>0</v>
      </c>
      <c r="F9" s="7">
        <f t="shared" si="1"/>
        <v>0</v>
      </c>
      <c r="G9" s="16">
        <f t="shared" si="2"/>
        <v>0</v>
      </c>
      <c r="H9" s="12">
        <f t="shared" si="3"/>
        <v>0</v>
      </c>
    </row>
    <row r="10" spans="2:8" x14ac:dyDescent="0.25">
      <c r="B10" s="22" t="str">
        <f>+'County Data'!$B$13</f>
        <v>Clatsop</v>
      </c>
      <c r="C10" s="17">
        <f>VLOOKUP($B10,'County Data'!$B$10:$L$46,2,FALSE)</f>
        <v>38820</v>
      </c>
      <c r="D10" s="17">
        <f>VLOOKUP($B10,'County Data'!$B$10:$L$46,8,FALSE)</f>
        <v>0</v>
      </c>
      <c r="E10" s="60">
        <f t="shared" si="0"/>
        <v>0</v>
      </c>
      <c r="F10" s="7">
        <f t="shared" si="1"/>
        <v>0</v>
      </c>
      <c r="G10" s="16">
        <f t="shared" si="2"/>
        <v>0</v>
      </c>
      <c r="H10" s="12">
        <f t="shared" si="3"/>
        <v>0</v>
      </c>
    </row>
    <row r="11" spans="2:8" x14ac:dyDescent="0.25">
      <c r="B11" s="22" t="str">
        <f>+'County Data'!$B$14</f>
        <v>Columbia</v>
      </c>
      <c r="C11" s="17">
        <f>VLOOKUP($B11,'County Data'!$B$10:$L$46,2,FALSE)</f>
        <v>51345</v>
      </c>
      <c r="D11" s="17">
        <f>VLOOKUP($B11,'County Data'!$B$10:$L$46,8,FALSE)</f>
        <v>0</v>
      </c>
      <c r="E11" s="60">
        <f t="shared" si="0"/>
        <v>0</v>
      </c>
      <c r="F11" s="7">
        <f t="shared" si="1"/>
        <v>0</v>
      </c>
      <c r="G11" s="16">
        <f t="shared" si="2"/>
        <v>0</v>
      </c>
      <c r="H11" s="12">
        <f t="shared" si="3"/>
        <v>0</v>
      </c>
    </row>
    <row r="12" spans="2:8" x14ac:dyDescent="0.25">
      <c r="B12" s="22" t="str">
        <f>+'County Data'!$B$15</f>
        <v>Coos</v>
      </c>
      <c r="C12" s="17">
        <f>VLOOKUP($B12,'County Data'!$B$10:$L$46,2,FALSE)</f>
        <v>63310</v>
      </c>
      <c r="D12" s="17">
        <f>VLOOKUP($B12,'County Data'!$B$10:$L$46,8,FALSE)</f>
        <v>0</v>
      </c>
      <c r="E12" s="60">
        <f t="shared" si="0"/>
        <v>0</v>
      </c>
      <c r="F12" s="7">
        <f t="shared" si="1"/>
        <v>0</v>
      </c>
      <c r="G12" s="16">
        <f t="shared" si="2"/>
        <v>0</v>
      </c>
      <c r="H12" s="12">
        <f t="shared" si="3"/>
        <v>0</v>
      </c>
    </row>
    <row r="13" spans="2:8" x14ac:dyDescent="0.25">
      <c r="B13" s="22" t="str">
        <f>+'County Data'!$B$16</f>
        <v>Crook</v>
      </c>
      <c r="C13" s="17">
        <f>VLOOKUP($B13,'County Data'!$B$10:$L$46,2,FALSE)</f>
        <v>22105</v>
      </c>
      <c r="D13" s="17">
        <f>VLOOKUP($B13,'County Data'!$B$10:$L$46,8,FALSE)</f>
        <v>0</v>
      </c>
      <c r="E13" s="60">
        <f t="shared" si="0"/>
        <v>0</v>
      </c>
      <c r="F13" s="7">
        <f t="shared" si="1"/>
        <v>0</v>
      </c>
      <c r="G13" s="16">
        <f t="shared" si="2"/>
        <v>0</v>
      </c>
      <c r="H13" s="12">
        <f t="shared" si="3"/>
        <v>0</v>
      </c>
    </row>
    <row r="14" spans="2:8" x14ac:dyDescent="0.25">
      <c r="B14" s="22" t="str">
        <f>+'County Data'!$B$17</f>
        <v>Curry</v>
      </c>
      <c r="C14" s="17">
        <f>VLOOKUP($B14,'County Data'!$B$10:$L$46,2,FALSE)</f>
        <v>22805</v>
      </c>
      <c r="D14" s="17">
        <f>VLOOKUP($B14,'County Data'!$B$10:$L$46,8,FALSE)</f>
        <v>0</v>
      </c>
      <c r="E14" s="60">
        <f t="shared" si="0"/>
        <v>0</v>
      </c>
      <c r="F14" s="7">
        <f t="shared" si="1"/>
        <v>0</v>
      </c>
      <c r="G14" s="16">
        <f t="shared" si="2"/>
        <v>0</v>
      </c>
      <c r="H14" s="12">
        <f t="shared" si="3"/>
        <v>0</v>
      </c>
    </row>
    <row r="15" spans="2:8" x14ac:dyDescent="0.25">
      <c r="B15" s="22" t="str">
        <f>+'County Data'!$B$18</f>
        <v>Deschutes</v>
      </c>
      <c r="C15" s="17">
        <f>VLOOKUP($B15,'County Data'!$B$10:$L$46,2,FALSE)</f>
        <v>182930</v>
      </c>
      <c r="D15" s="17">
        <f>VLOOKUP($B15,'County Data'!$B$10:$L$46,8,FALSE)</f>
        <v>0</v>
      </c>
      <c r="E15" s="60">
        <f t="shared" si="0"/>
        <v>0</v>
      </c>
      <c r="F15" s="7">
        <f t="shared" si="1"/>
        <v>0</v>
      </c>
      <c r="G15" s="16">
        <f t="shared" si="2"/>
        <v>0</v>
      </c>
      <c r="H15" s="12">
        <f t="shared" si="3"/>
        <v>0</v>
      </c>
    </row>
    <row r="16" spans="2:8" x14ac:dyDescent="0.25">
      <c r="B16" s="22" t="str">
        <f>+'County Data'!$B$19</f>
        <v>Douglas</v>
      </c>
      <c r="C16" s="17">
        <f>VLOOKUP($B16,'County Data'!$B$10:$L$46,2,FALSE)</f>
        <v>111180</v>
      </c>
      <c r="D16" s="17">
        <f>VLOOKUP($B16,'County Data'!$B$10:$L$46,8,FALSE)</f>
        <v>0</v>
      </c>
      <c r="E16" s="60">
        <f t="shared" si="0"/>
        <v>0</v>
      </c>
      <c r="F16" s="7">
        <f t="shared" si="1"/>
        <v>0</v>
      </c>
      <c r="G16" s="16">
        <f t="shared" si="2"/>
        <v>0</v>
      </c>
      <c r="H16" s="12">
        <f t="shared" si="3"/>
        <v>0</v>
      </c>
    </row>
    <row r="17" spans="2:8" x14ac:dyDescent="0.25">
      <c r="B17" s="22" t="str">
        <f>+'County Data'!$B$36</f>
        <v>Gilliam, Sherman, Wasco</v>
      </c>
      <c r="C17" s="17">
        <f>VLOOKUP($B17,'County Data'!$B$10:$L$46,2,FALSE)</f>
        <v>30895</v>
      </c>
      <c r="D17" s="17">
        <f>VLOOKUP($B17,'County Data'!$B$10:$L$46,8,FALSE)</f>
        <v>0</v>
      </c>
      <c r="E17" s="60">
        <f t="shared" si="0"/>
        <v>0</v>
      </c>
      <c r="F17" s="7">
        <f t="shared" si="1"/>
        <v>0</v>
      </c>
      <c r="G17" s="16">
        <f t="shared" si="2"/>
        <v>0</v>
      </c>
      <c r="H17" s="12">
        <f t="shared" si="3"/>
        <v>0</v>
      </c>
    </row>
    <row r="18" spans="2:8" x14ac:dyDescent="0.25">
      <c r="B18" s="22" t="str">
        <f>+'County Data'!$B$21</f>
        <v>Grant</v>
      </c>
      <c r="C18" s="17">
        <f>VLOOKUP($B18,'County Data'!$B$10:$L$46,2,FALSE)</f>
        <v>7415</v>
      </c>
      <c r="D18" s="17">
        <f>VLOOKUP($B18,'County Data'!$B$10:$L$46,8,FALSE)</f>
        <v>0</v>
      </c>
      <c r="E18" s="60">
        <f t="shared" si="0"/>
        <v>0</v>
      </c>
      <c r="F18" s="7">
        <f t="shared" si="1"/>
        <v>0</v>
      </c>
      <c r="G18" s="16">
        <f t="shared" si="2"/>
        <v>0</v>
      </c>
      <c r="H18" s="12">
        <f t="shared" si="3"/>
        <v>0</v>
      </c>
    </row>
    <row r="19" spans="2:8" x14ac:dyDescent="0.25">
      <c r="B19" s="22" t="str">
        <f>+'County Data'!$B$22</f>
        <v>Harney</v>
      </c>
      <c r="C19" s="17">
        <f>VLOOKUP($B19,'County Data'!$B$10:$L$46,2,FALSE)</f>
        <v>7360</v>
      </c>
      <c r="D19" s="17">
        <f>VLOOKUP($B19,'County Data'!$B$10:$L$46,8,FALSE)</f>
        <v>0</v>
      </c>
      <c r="E19" s="60">
        <f t="shared" si="0"/>
        <v>0</v>
      </c>
      <c r="F19" s="7">
        <f t="shared" si="1"/>
        <v>0</v>
      </c>
      <c r="G19" s="16">
        <f t="shared" si="2"/>
        <v>0</v>
      </c>
      <c r="H19" s="12">
        <f t="shared" si="3"/>
        <v>0</v>
      </c>
    </row>
    <row r="20" spans="2:8" x14ac:dyDescent="0.25">
      <c r="B20" s="22" t="str">
        <f>+'County Data'!$B$23</f>
        <v>Hood River</v>
      </c>
      <c r="C20" s="17">
        <f>VLOOKUP($B20,'County Data'!$B$10:$L$46,2,FALSE)</f>
        <v>25145</v>
      </c>
      <c r="D20" s="17">
        <f>VLOOKUP($B20,'County Data'!$B$10:$L$46,8,FALSE)</f>
        <v>0</v>
      </c>
      <c r="E20" s="60">
        <f t="shared" si="0"/>
        <v>0</v>
      </c>
      <c r="F20" s="7">
        <f t="shared" si="1"/>
        <v>0</v>
      </c>
      <c r="G20" s="16">
        <f t="shared" si="2"/>
        <v>0</v>
      </c>
      <c r="H20" s="12">
        <f t="shared" si="3"/>
        <v>0</v>
      </c>
    </row>
    <row r="21" spans="2:8" x14ac:dyDescent="0.25">
      <c r="B21" s="22" t="str">
        <f>+'County Data'!$B$24</f>
        <v>Jackson</v>
      </c>
      <c r="C21" s="17">
        <f>VLOOKUP($B21,'County Data'!$B$10:$L$46,2,FALSE)</f>
        <v>216900</v>
      </c>
      <c r="D21" s="17">
        <f>VLOOKUP($B21,'County Data'!$B$10:$L$46,8,FALSE)</f>
        <v>0</v>
      </c>
      <c r="E21" s="60">
        <f t="shared" si="0"/>
        <v>0</v>
      </c>
      <c r="F21" s="7">
        <f t="shared" si="1"/>
        <v>0</v>
      </c>
      <c r="G21" s="16">
        <f t="shared" si="2"/>
        <v>0</v>
      </c>
      <c r="H21" s="12">
        <f t="shared" si="3"/>
        <v>0</v>
      </c>
    </row>
    <row r="22" spans="2:8" x14ac:dyDescent="0.25">
      <c r="B22" s="22" t="str">
        <f>+'County Data'!$B$25</f>
        <v>Jefferson</v>
      </c>
      <c r="C22" s="17">
        <f>VLOOKUP($B22,'County Data'!$B$10:$L$46,2,FALSE)</f>
        <v>23190</v>
      </c>
      <c r="D22" s="17">
        <f>VLOOKUP($B22,'County Data'!$B$10:$L$46,8,FALSE)</f>
        <v>0</v>
      </c>
      <c r="E22" s="60">
        <f t="shared" si="0"/>
        <v>0</v>
      </c>
      <c r="F22" s="7">
        <f t="shared" si="1"/>
        <v>0</v>
      </c>
      <c r="G22" s="16">
        <f t="shared" si="2"/>
        <v>0</v>
      </c>
      <c r="H22" s="12">
        <f t="shared" si="3"/>
        <v>0</v>
      </c>
    </row>
    <row r="23" spans="2:8" x14ac:dyDescent="0.25">
      <c r="B23" s="22" t="str">
        <f>+'County Data'!$B$26</f>
        <v>Josephine</v>
      </c>
      <c r="C23" s="17">
        <f>VLOOKUP($B23,'County Data'!$B$10:$L$46,2,FALSE)</f>
        <v>85650</v>
      </c>
      <c r="D23" s="17">
        <f>VLOOKUP($B23,'County Data'!$B$10:$L$46,8,FALSE)</f>
        <v>0</v>
      </c>
      <c r="E23" s="60">
        <f t="shared" si="0"/>
        <v>0</v>
      </c>
      <c r="F23" s="7">
        <f t="shared" si="1"/>
        <v>0</v>
      </c>
      <c r="G23" s="16">
        <f t="shared" si="2"/>
        <v>0</v>
      </c>
      <c r="H23" s="12">
        <f t="shared" si="3"/>
        <v>0</v>
      </c>
    </row>
    <row r="24" spans="2:8" x14ac:dyDescent="0.25">
      <c r="B24" s="22" t="str">
        <f>+'County Data'!$B$27</f>
        <v>Klamath</v>
      </c>
      <c r="C24" s="17">
        <f>VLOOKUP($B24,'County Data'!$B$10:$L$46,2,FALSE)</f>
        <v>67690</v>
      </c>
      <c r="D24" s="17">
        <f>VLOOKUP($B24,'County Data'!$B$10:$L$46,8,FALSE)</f>
        <v>0</v>
      </c>
      <c r="E24" s="60">
        <f t="shared" si="0"/>
        <v>0</v>
      </c>
      <c r="F24" s="7">
        <f t="shared" si="1"/>
        <v>0</v>
      </c>
      <c r="G24" s="16">
        <f t="shared" si="2"/>
        <v>0</v>
      </c>
      <c r="H24" s="12">
        <f t="shared" si="3"/>
        <v>0</v>
      </c>
    </row>
    <row r="25" spans="2:8" x14ac:dyDescent="0.25">
      <c r="B25" s="22" t="str">
        <f>+'County Data'!$B$28</f>
        <v>Lake</v>
      </c>
      <c r="C25" s="17">
        <f>VLOOKUP($B25,'County Data'!$B$10:$L$46,2,FALSE)</f>
        <v>8120</v>
      </c>
      <c r="D25" s="17">
        <f>VLOOKUP($B25,'County Data'!$B$10:$L$46,8,FALSE)</f>
        <v>0</v>
      </c>
      <c r="E25" s="60">
        <f t="shared" si="0"/>
        <v>0</v>
      </c>
      <c r="F25" s="7">
        <f t="shared" si="1"/>
        <v>0</v>
      </c>
      <c r="G25" s="16">
        <f t="shared" si="2"/>
        <v>0</v>
      </c>
      <c r="H25" s="12">
        <f t="shared" si="3"/>
        <v>0</v>
      </c>
    </row>
    <row r="26" spans="2:8" x14ac:dyDescent="0.25">
      <c r="B26" s="22" t="str">
        <f>+'County Data'!$B$29</f>
        <v>Lane</v>
      </c>
      <c r="C26" s="17">
        <f>VLOOKUP($B26,'County Data'!$B$10:$L$46,2,FALSE)</f>
        <v>370600</v>
      </c>
      <c r="D26" s="17">
        <f>VLOOKUP($B26,'County Data'!$B$10:$L$46,8,FALSE)</f>
        <v>0</v>
      </c>
      <c r="E26" s="60">
        <f t="shared" si="0"/>
        <v>0</v>
      </c>
      <c r="F26" s="7">
        <f t="shared" si="1"/>
        <v>0</v>
      </c>
      <c r="G26" s="16">
        <f t="shared" si="2"/>
        <v>0</v>
      </c>
      <c r="H26" s="12">
        <f t="shared" si="3"/>
        <v>0</v>
      </c>
    </row>
    <row r="27" spans="2:8" x14ac:dyDescent="0.25">
      <c r="B27" s="22" t="str">
        <f>+'County Data'!$B$30</f>
        <v>Lincoln</v>
      </c>
      <c r="C27" s="17">
        <f>VLOOKUP($B27,'County Data'!$B$10:$L$46,2,FALSE)</f>
        <v>47960</v>
      </c>
      <c r="D27" s="17">
        <f>VLOOKUP($B27,'County Data'!$B$10:$L$46,8,FALSE)</f>
        <v>0</v>
      </c>
      <c r="E27" s="60">
        <f t="shared" si="0"/>
        <v>0</v>
      </c>
      <c r="F27" s="7">
        <f t="shared" si="1"/>
        <v>0</v>
      </c>
      <c r="G27" s="16">
        <f t="shared" si="2"/>
        <v>0</v>
      </c>
      <c r="H27" s="12">
        <f t="shared" si="3"/>
        <v>0</v>
      </c>
    </row>
    <row r="28" spans="2:8" x14ac:dyDescent="0.25">
      <c r="B28" s="22" t="str">
        <f>+'County Data'!$B$31</f>
        <v>Linn</v>
      </c>
      <c r="C28" s="17">
        <f>VLOOKUP($B28,'County Data'!$B$10:$L$46,2,FALSE)</f>
        <v>124010</v>
      </c>
      <c r="D28" s="17">
        <f>VLOOKUP($B28,'County Data'!$B$10:$L$46,8,FALSE)</f>
        <v>0</v>
      </c>
      <c r="E28" s="60">
        <f t="shared" si="0"/>
        <v>0</v>
      </c>
      <c r="F28" s="7">
        <f t="shared" si="1"/>
        <v>0</v>
      </c>
      <c r="G28" s="16">
        <f t="shared" si="2"/>
        <v>0</v>
      </c>
      <c r="H28" s="12">
        <f t="shared" si="3"/>
        <v>0</v>
      </c>
    </row>
    <row r="29" spans="2:8" x14ac:dyDescent="0.25">
      <c r="B29" s="22" t="str">
        <f>+'County Data'!$B$32</f>
        <v>Malheur</v>
      </c>
      <c r="C29" s="17">
        <f>VLOOKUP($B29,'County Data'!$B$10:$L$46,2,FALSE)</f>
        <v>31845</v>
      </c>
      <c r="D29" s="17">
        <f>VLOOKUP($B29,'County Data'!$B$10:$L$46,8,FALSE)</f>
        <v>0</v>
      </c>
      <c r="E29" s="60">
        <f t="shared" si="0"/>
        <v>0</v>
      </c>
      <c r="F29" s="7">
        <f t="shared" si="1"/>
        <v>0</v>
      </c>
      <c r="G29" s="16">
        <f t="shared" si="2"/>
        <v>0</v>
      </c>
      <c r="H29" s="12">
        <f t="shared" si="3"/>
        <v>0</v>
      </c>
    </row>
    <row r="30" spans="2:8" x14ac:dyDescent="0.25">
      <c r="B30" s="22" t="str">
        <f>+'County Data'!$B$33</f>
        <v>Marion</v>
      </c>
      <c r="C30" s="17">
        <f>VLOOKUP($B30,'County Data'!$B$10:$L$46,2,FALSE)</f>
        <v>339200</v>
      </c>
      <c r="D30" s="17">
        <f>VLOOKUP($B30,'County Data'!$B$10:$L$46,8,FALSE)</f>
        <v>0</v>
      </c>
      <c r="E30" s="60">
        <f t="shared" si="0"/>
        <v>0</v>
      </c>
      <c r="F30" s="7">
        <f t="shared" si="1"/>
        <v>0</v>
      </c>
      <c r="G30" s="16">
        <f t="shared" si="2"/>
        <v>0</v>
      </c>
      <c r="H30" s="12">
        <f t="shared" si="3"/>
        <v>0</v>
      </c>
    </row>
    <row r="31" spans="2:8" x14ac:dyDescent="0.25">
      <c r="B31" s="22" t="str">
        <f>+'County Data'!$B$34</f>
        <v>Morrow</v>
      </c>
      <c r="C31" s="17">
        <f>VLOOKUP($B31,'County Data'!$B$10:$L$46,2,FALSE)</f>
        <v>11890</v>
      </c>
      <c r="D31" s="17">
        <f>VLOOKUP($B31,'County Data'!$B$10:$L$46,8,FALSE)</f>
        <v>0</v>
      </c>
      <c r="E31" s="60">
        <f t="shared" si="0"/>
        <v>0</v>
      </c>
      <c r="F31" s="7">
        <f t="shared" si="1"/>
        <v>0</v>
      </c>
      <c r="G31" s="16">
        <f t="shared" si="2"/>
        <v>0</v>
      </c>
      <c r="H31" s="12">
        <f t="shared" si="3"/>
        <v>0</v>
      </c>
    </row>
    <row r="32" spans="2:8" x14ac:dyDescent="0.25">
      <c r="B32" s="22" t="str">
        <f>+'County Data'!$B$35</f>
        <v>Multnomah</v>
      </c>
      <c r="C32" s="17">
        <f>VLOOKUP($B32,'County Data'!$B$10:$L$46,2,FALSE)</f>
        <v>803000</v>
      </c>
      <c r="D32" s="17">
        <f>VLOOKUP($B32,'County Data'!$B$10:$L$46,8,FALSE)</f>
        <v>0</v>
      </c>
      <c r="E32" s="60">
        <f t="shared" si="0"/>
        <v>0</v>
      </c>
      <c r="F32" s="7">
        <f t="shared" si="1"/>
        <v>0</v>
      </c>
      <c r="G32" s="16">
        <f t="shared" si="2"/>
        <v>0</v>
      </c>
      <c r="H32" s="12">
        <f t="shared" si="3"/>
        <v>0</v>
      </c>
    </row>
    <row r="33" spans="2:8" x14ac:dyDescent="0.25">
      <c r="B33" s="22" t="str">
        <f>+'County Data'!$B$37</f>
        <v>Polk</v>
      </c>
      <c r="C33" s="17">
        <f>VLOOKUP($B33,'County Data'!$B$10:$L$46,2,FALSE)</f>
        <v>81000</v>
      </c>
      <c r="D33" s="17">
        <f>VLOOKUP($B33,'County Data'!$B$10:$L$46,8,FALSE)</f>
        <v>0</v>
      </c>
      <c r="E33" s="60">
        <f t="shared" si="0"/>
        <v>0</v>
      </c>
      <c r="F33" s="7">
        <f t="shared" si="1"/>
        <v>0</v>
      </c>
      <c r="G33" s="16">
        <f t="shared" si="2"/>
        <v>0</v>
      </c>
      <c r="H33" s="12">
        <f t="shared" si="3"/>
        <v>0</v>
      </c>
    </row>
    <row r="34" spans="2:8" x14ac:dyDescent="0.25">
      <c r="B34" s="22" t="str">
        <f>+'County Data'!$B$39</f>
        <v>Tillamook</v>
      </c>
      <c r="C34" s="17">
        <f>VLOOKUP($B34,'County Data'!$B$10:$L$46,2,FALSE)</f>
        <v>26175</v>
      </c>
      <c r="D34" s="17">
        <f>VLOOKUP($B34,'County Data'!$B$10:$L$46,8,FALSE)</f>
        <v>0</v>
      </c>
      <c r="E34" s="60">
        <f t="shared" si="0"/>
        <v>0</v>
      </c>
      <c r="F34" s="7">
        <f t="shared" si="1"/>
        <v>0</v>
      </c>
      <c r="G34" s="16">
        <f t="shared" si="2"/>
        <v>0</v>
      </c>
      <c r="H34" s="12">
        <f t="shared" si="3"/>
        <v>0</v>
      </c>
    </row>
    <row r="35" spans="2:8" x14ac:dyDescent="0.25">
      <c r="B35" s="22" t="str">
        <f>+'County Data'!$B$40</f>
        <v>Umatilla</v>
      </c>
      <c r="C35" s="17">
        <f>VLOOKUP($B35,'County Data'!$B$10:$L$46,2,FALSE)</f>
        <v>80500</v>
      </c>
      <c r="D35" s="17">
        <f>VLOOKUP($B35,'County Data'!$B$10:$L$46,8,FALSE)</f>
        <v>0</v>
      </c>
      <c r="E35" s="60">
        <f t="shared" si="0"/>
        <v>0</v>
      </c>
      <c r="F35" s="7">
        <f t="shared" si="1"/>
        <v>0</v>
      </c>
      <c r="G35" s="16">
        <f t="shared" si="2"/>
        <v>0</v>
      </c>
      <c r="H35" s="12">
        <f t="shared" si="3"/>
        <v>0</v>
      </c>
    </row>
    <row r="36" spans="2:8" x14ac:dyDescent="0.25">
      <c r="B36" s="22" t="str">
        <f>+'County Data'!$B$41</f>
        <v>Union</v>
      </c>
      <c r="C36" s="17">
        <f>VLOOKUP($B36,'County Data'!$B$10:$L$46,2,FALSE)</f>
        <v>26900</v>
      </c>
      <c r="D36" s="17">
        <f>VLOOKUP($B36,'County Data'!$B$10:$L$46,8,FALSE)</f>
        <v>0</v>
      </c>
      <c r="E36" s="60">
        <f t="shared" si="0"/>
        <v>0</v>
      </c>
      <c r="F36" s="7">
        <f t="shared" si="1"/>
        <v>0</v>
      </c>
      <c r="G36" s="16">
        <f t="shared" si="2"/>
        <v>0</v>
      </c>
      <c r="H36" s="12">
        <f t="shared" si="3"/>
        <v>0</v>
      </c>
    </row>
    <row r="37" spans="2:8" x14ac:dyDescent="0.25">
      <c r="B37" s="22" t="str">
        <f>+'County Data'!$B$42</f>
        <v>Wallowa</v>
      </c>
      <c r="C37" s="17">
        <f>VLOOKUP($B37,'County Data'!$B$10:$L$46,2,FALSE)</f>
        <v>7195</v>
      </c>
      <c r="D37" s="17">
        <f>VLOOKUP($B37,'County Data'!$B$10:$L$46,8,FALSE)</f>
        <v>0</v>
      </c>
      <c r="E37" s="60">
        <f t="shared" si="0"/>
        <v>0</v>
      </c>
      <c r="F37" s="7">
        <f t="shared" si="1"/>
        <v>0</v>
      </c>
      <c r="G37" s="16">
        <f t="shared" si="2"/>
        <v>0</v>
      </c>
      <c r="H37" s="12">
        <f t="shared" si="3"/>
        <v>0</v>
      </c>
    </row>
    <row r="38" spans="2:8" x14ac:dyDescent="0.25">
      <c r="B38" s="22" t="str">
        <f>+'County Data'!$B$44</f>
        <v>Washington</v>
      </c>
      <c r="C38" s="17">
        <f>VLOOKUP($B38,'County Data'!$B$10:$L$46,2,FALSE)</f>
        <v>595860</v>
      </c>
      <c r="D38" s="17">
        <f>VLOOKUP($B38,'County Data'!$B$10:$L$46,8,FALSE)</f>
        <v>0</v>
      </c>
      <c r="E38" s="60">
        <f t="shared" si="0"/>
        <v>0</v>
      </c>
      <c r="F38" s="7">
        <f t="shared" si="1"/>
        <v>0</v>
      </c>
      <c r="G38" s="16">
        <f t="shared" si="2"/>
        <v>0</v>
      </c>
      <c r="H38" s="12">
        <f t="shared" si="3"/>
        <v>0</v>
      </c>
    </row>
    <row r="39" spans="2:8" x14ac:dyDescent="0.25">
      <c r="B39" s="22" t="str">
        <f>'County Data'!$B$45</f>
        <v>Wheeler</v>
      </c>
      <c r="C39" s="17">
        <f>VLOOKUP($B39,'County Data'!$B$10:$L$46,2,FALSE)</f>
        <v>1480</v>
      </c>
      <c r="D39" s="17">
        <f>VLOOKUP($B39,'County Data'!$B$10:$L$46,8,FALSE)</f>
        <v>0</v>
      </c>
      <c r="E39" s="60">
        <f t="shared" si="0"/>
        <v>0</v>
      </c>
      <c r="F39" s="7">
        <f t="shared" si="1"/>
        <v>0</v>
      </c>
      <c r="G39" s="16">
        <f t="shared" si="2"/>
        <v>0</v>
      </c>
      <c r="H39" s="12">
        <f t="shared" si="3"/>
        <v>0</v>
      </c>
    </row>
    <row r="40" spans="2:8" x14ac:dyDescent="0.25">
      <c r="B40" s="22" t="str">
        <f>+'County Data'!$B$46</f>
        <v>Yamhill</v>
      </c>
      <c r="C40" s="17">
        <f>VLOOKUP($B40,'County Data'!$B$10:$L$46,2,FALSE)</f>
        <v>106300</v>
      </c>
      <c r="D40" s="17">
        <f>VLOOKUP($B40,'County Data'!$B$10:$L$46,8,FALSE)</f>
        <v>0</v>
      </c>
      <c r="E40" s="60">
        <f t="shared" si="0"/>
        <v>0</v>
      </c>
      <c r="F40" s="7">
        <f t="shared" si="1"/>
        <v>0</v>
      </c>
      <c r="G40" s="16">
        <f t="shared" si="2"/>
        <v>0</v>
      </c>
      <c r="H40" s="12">
        <f t="shared" si="3"/>
        <v>0</v>
      </c>
    </row>
    <row r="41" spans="2:8" x14ac:dyDescent="0.25">
      <c r="B41" s="5" t="s">
        <v>2</v>
      </c>
      <c r="C41" s="6">
        <f>SUM(C7:C40)</f>
        <v>4141100</v>
      </c>
      <c r="D41" s="6">
        <f>SUM(D7:D40)</f>
        <v>0</v>
      </c>
      <c r="E41" s="6">
        <f>SUM(E7:E40)</f>
        <v>0</v>
      </c>
      <c r="F41" s="10">
        <f>SUM(F7:F40)</f>
        <v>0</v>
      </c>
      <c r="G41" s="13">
        <f>SUM(G7:G40)</f>
        <v>0</v>
      </c>
      <c r="H41" s="14">
        <f t="shared" ref="H41" si="4">G41/C41</f>
        <v>0</v>
      </c>
    </row>
  </sheetData>
  <sortState xmlns:xlrd2="http://schemas.microsoft.com/office/spreadsheetml/2017/richdata2" ref="B7:H40">
    <sortCondition ref="B7:B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D486D267E8DA43B3919DA3386E8073" ma:contentTypeVersion="9" ma:contentTypeDescription="Create a new document." ma:contentTypeScope="" ma:versionID="13ae81e57ae235e05afe22cd74042181">
  <xsd:schema xmlns:xsd="http://www.w3.org/2001/XMLSchema" xmlns:xs="http://www.w3.org/2001/XMLSchema" xmlns:p="http://schemas.microsoft.com/office/2006/metadata/properties" xmlns:ns1="http://schemas.microsoft.com/sharepoint/v3" xmlns:ns2="59da1016-2a1b-4f8a-9768-d7a4932f6f16" xmlns:ns3="8e5a6155-81d0-4b93-93b6-2738d35fba9d" targetNamespace="http://schemas.microsoft.com/office/2006/metadata/properties" ma:root="true" ma:fieldsID="7e64635d5d0209d77261f4c54f7261c6" ns1:_="" ns2:_="" ns3:_="">
    <xsd:import namespace="http://schemas.microsoft.com/sharepoint/v3"/>
    <xsd:import namespace="59da1016-2a1b-4f8a-9768-d7a4932f6f16"/>
    <xsd:import namespace="8e5a6155-81d0-4b93-93b6-2738d35fba9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Meeting"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5a6155-81d0-4b93-93b6-2738d35fba9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hidden="true" ma:internalName="Meta_x0020_Keywords" ma:readOnly="false">
      <xsd:simpleType>
        <xsd:restriction base="dms:Text"/>
      </xsd:simpleType>
    </xsd:element>
    <xsd:element name="Meeting" ma:index="15" nillable="true" ma:displayName="Meeting" ma:list="{b9f15d52-99b1-4580-8354-7a744ce580d8}" ma:internalName="Meeting" ma:showField="Meeting_x0020_Lookup_x0020_Refer">
      <xsd:simpleType>
        <xsd:restriction base="dms:Lookup"/>
      </xsd:simpleType>
    </xsd:element>
    <xsd:element name="Category" ma:index="16" nillable="true" ma:displayName="Category" ma:format="Dropdown" ma:internalName="Category">
      <xsd:simpleType>
        <xsd:restriction base="dms:Choice">
          <xsd:enumeration value="Public Health System Workforce Workgroup"/>
          <xsd:enumeration value="Public Health Equity Framework Workgroup"/>
          <xsd:enumeration value="Advisory Board"/>
          <xsd:enumeration value="Strategic Data Plan Subcommittee"/>
          <xsd:enumeration value="Accountability Metrics Subcommittee"/>
          <xsd:enumeration value="Public Health Modernization Funding Workgroup"/>
          <xsd:enumeration value="Incentives and Funding Subcommittee"/>
          <xsd:enumeration value="Charter and Bylaws Workgroup"/>
          <xsd:enumeration value="PHAB Prioritization Workgrou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https://www.oregon.gov/oha/PH/ABOUT/Documents/phab/2018-04-11-Fund-Formula-Model.xlsx</Url>
      <Description>2018 April PHAB Funding Formula Model</Description>
    </URL>
    <IACategory xmlns="59da1016-2a1b-4f8a-9768-d7a4932f6f16">Public Health</IACategory>
    <IASubtopic xmlns="59da1016-2a1b-4f8a-9768-d7a4932f6f16" xsi:nil="true"/>
    <DocumentExpirationDate xmlns="59da1016-2a1b-4f8a-9768-d7a4932f6f16">2019-05-09T07:00:00+00:00</DocumentExpirationDate>
    <IATopic xmlns="59da1016-2a1b-4f8a-9768-d7a4932f6f16" xsi:nil="true"/>
    <Meta_x0020_Description xmlns="8e5a6155-81d0-4b93-93b6-2738d35fba9d">2018 April PHAB Funding Formula Model</Meta_x0020_Description>
    <Meta_x0020_Keywords xmlns="8e5a6155-81d0-4b93-93b6-2738d35fba9d" xsi:nil="true"/>
    <Category xmlns="8e5a6155-81d0-4b93-93b6-2738d35fba9d">Incentives and Funding Subcommittee</Category>
    <Meeting xmlns="8e5a6155-81d0-4b93-93b6-2738d35fba9d" xsi:nil="true"/>
  </documentManagement>
</p:properties>
</file>

<file path=customXml/itemProps1.xml><?xml version="1.0" encoding="utf-8"?>
<ds:datastoreItem xmlns:ds="http://schemas.openxmlformats.org/officeDocument/2006/customXml" ds:itemID="{B338B9BF-41E4-440C-94DA-21411C42685E}">
  <ds:schemaRefs>
    <ds:schemaRef ds:uri="http://schemas.microsoft.com/sharepoint/v3/contenttype/forms"/>
  </ds:schemaRefs>
</ds:datastoreItem>
</file>

<file path=customXml/itemProps2.xml><?xml version="1.0" encoding="utf-8"?>
<ds:datastoreItem xmlns:ds="http://schemas.openxmlformats.org/officeDocument/2006/customXml" ds:itemID="{DFB06D61-48CD-4E4C-B687-E099F50550B4}"/>
</file>

<file path=customXml/itemProps3.xml><?xml version="1.0" encoding="utf-8"?>
<ds:datastoreItem xmlns:ds="http://schemas.openxmlformats.org/officeDocument/2006/customXml" ds:itemID="{25224D45-5126-4924-AE33-29574E79F9BB}">
  <ds:schemaRefs>
    <ds:schemaRef ds:uri="http://schemas.microsoft.com/office/2006/metadata/properties"/>
    <ds:schemaRef ds:uri="http://schemas.microsoft.com/office/infopath/2007/PartnerControls"/>
    <ds:schemaRef ds:uri="http://schemas.microsoft.com/sharepoint/v3"/>
    <ds:schemaRef ds:uri="59da1016-2a1b-4f8a-9768-d7a4932f6f16"/>
    <ds:schemaRef ds:uri="09207eb7-70e0-4957-a658-5743f843bb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Input</vt:lpstr>
      <vt:lpstr>Summary</vt:lpstr>
      <vt:lpstr>County Data</vt:lpstr>
      <vt:lpstr>Population</vt:lpstr>
      <vt:lpstr>Floor</vt:lpstr>
      <vt:lpstr>Burden</vt:lpstr>
      <vt:lpstr>Health Status</vt:lpstr>
      <vt:lpstr>Ethnicity</vt:lpstr>
      <vt:lpstr>Rurality</vt:lpstr>
      <vt:lpstr>Poverty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2018-05-14 Fund Formula Model</dc:title>
  <dc:creator>Curtis Christopher J</dc:creator>
  <cp:lastModifiedBy>Ceglie Adriane</cp:lastModifiedBy>
  <cp:lastPrinted>2016-12-13T20:56:48Z</cp:lastPrinted>
  <dcterms:created xsi:type="dcterms:W3CDTF">2016-05-10T19:52:04Z</dcterms:created>
  <dcterms:modified xsi:type="dcterms:W3CDTF">2024-06-07T15:57:10Z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0x010100E5D486D267E8DA43B3919DA3386E8073</vt:lpwstr>
  </property>
  <property fmtid="{D5CDD505-2E9C-101B-9397-08002B2CF9AE}" pid="3" name="WorkflowChangePath">
    <vt:lpwstr>c971328f-5b26-48de-b4fb-1298253f516e,3;</vt:lpwstr>
  </property>
  <property fmtid="{D5CDD505-2E9C-101B-9397-08002B2CF9AE}" pid="4" name="MSIP_Label_ebdd6eeb-0dd0-4927-947e-a759f08fcf55_Enabled">
    <vt:lpwstr>true</vt:lpwstr>
  </property>
  <property fmtid="{D5CDD505-2E9C-101B-9397-08002B2CF9AE}" pid="5" name="MSIP_Label_ebdd6eeb-0dd0-4927-947e-a759f08fcf55_SetDate">
    <vt:lpwstr>2024-06-07T15:57:10Z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d7f18572-dfd9-46a4-89f8-1455053ef4f2</vt:lpwstr>
  </property>
  <property fmtid="{D5CDD505-2E9C-101B-9397-08002B2CF9AE}" pid="10" name="MSIP_Label_ebdd6eeb-0dd0-4927-947e-a759f08fcf55_ContentBits">
    <vt:lpwstr>0</vt:lpwstr>
  </property>
</Properties>
</file>