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0FF5304B-91CB-445F-A377-97D013A3CD13}" xr6:coauthVersionLast="47" xr6:coauthVersionMax="47" xr10:uidLastSave="{00000000-0000-0000-0000-000000000000}"/>
  <bookViews>
    <workbookView xWindow="-12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G5" i="1" l="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D10" i="1" s="1"/>
  <c r="E19" i="21"/>
  <c r="D11" i="1" s="1"/>
  <c r="E31" i="21"/>
  <c r="D14" i="1" s="1"/>
  <c r="E28" i="21"/>
  <c r="D35" i="1" s="1"/>
  <c r="E36" i="21"/>
  <c r="D29" i="1" s="1"/>
  <c r="E8" i="21"/>
  <c r="D32" i="1" s="1"/>
  <c r="E33" i="21"/>
  <c r="D30" i="1" s="1"/>
  <c r="E42" i="21"/>
  <c r="D33" i="1" s="1"/>
  <c r="E23" i="21"/>
  <c r="D31" i="1" s="1"/>
  <c r="E16" i="21"/>
  <c r="D34" i="1" s="1"/>
  <c r="E9" i="21"/>
  <c r="D40" i="1" s="1"/>
  <c r="E32" i="21"/>
  <c r="D42" i="1" s="1"/>
  <c r="E40" i="21"/>
  <c r="D41" i="1" s="1"/>
  <c r="E26" i="21"/>
  <c r="D39" i="1" s="1"/>
  <c r="E30" i="21"/>
  <c r="D38" i="1" s="1"/>
  <c r="E21" i="21"/>
  <c r="D37" i="1" s="1"/>
  <c r="E15" i="21"/>
  <c r="D36" i="1" s="1"/>
  <c r="E10" i="21"/>
  <c r="D24" i="1" s="1"/>
  <c r="E11" i="21"/>
  <c r="D26" i="1" s="1"/>
  <c r="E39" i="21"/>
  <c r="F39" i="21" s="1"/>
  <c r="E20" i="21"/>
  <c r="D19" i="1" s="1"/>
  <c r="E14" i="21"/>
  <c r="D17" i="1" s="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D25" i="1" s="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5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<sst xmlns="http://schemas.openxmlformats.org/spreadsheetml/2006/main" count="342" uniqueCount="150">
  <si>
    <t>PHAB Funding and Incentives Subcommittee</t>
  </si>
  <si>
    <t>Subcommittee Members: Carrie Brogoitti, Bob Dannenhoffer, Jeff Luck, Alejandro Queral, Akiko Saito</t>
  </si>
  <si>
    <t>Updated March, 2021</t>
  </si>
  <si>
    <t>Total Funding:</t>
  </si>
  <si>
    <t>Base Funding:</t>
  </si>
  <si>
    <t>Extra Small County Floor:</t>
  </si>
  <si>
    <t>Small County Floor:</t>
  </si>
  <si>
    <t>Medium County Floor:</t>
  </si>
  <si>
    <t>Large County Floor:</t>
  </si>
  <si>
    <t>Extra Large County Floor:</t>
  </si>
  <si>
    <t>Indicator Allocations:</t>
  </si>
  <si>
    <t>County Population:</t>
  </si>
  <si>
    <t>Burden of Disease:</t>
  </si>
  <si>
    <t>Health Status:</t>
  </si>
  <si>
    <t>Racial/Ethinic Diversity:</t>
  </si>
  <si>
    <t>Rurality:</t>
  </si>
  <si>
    <t>Poverty:</t>
  </si>
  <si>
    <t>Education:</t>
  </si>
  <si>
    <t>Limited English Proficiency:</t>
  </si>
  <si>
    <t>Matching Funds:</t>
  </si>
  <si>
    <t>Maintenance % Split</t>
  </si>
  <si>
    <t>Incentives:</t>
  </si>
  <si>
    <t>Floor % Split</t>
  </si>
  <si>
    <t>Incentive 1:</t>
  </si>
  <si>
    <t>Incentive 2:</t>
  </si>
  <si>
    <t>Incentive 3:</t>
  </si>
  <si>
    <t>Incentive 4:</t>
  </si>
  <si>
    <t>Public Health Modernization LPHA Funding Formula</t>
  </si>
  <si>
    <t>Total biennial funds available to LPHAs through the funding formula =</t>
  </si>
  <si>
    <t>Base component</t>
  </si>
  <si>
    <t>Matching and Incentive fund components</t>
  </si>
  <si>
    <t>Total county allocation</t>
  </si>
  <si>
    <t>County Group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</si>
  <si>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</si>
  <si>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Floor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</si>
  <si>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</si>
  <si>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</si>
  <si>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</si>
  <si>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</si>
  <si>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</si>
  <si>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</si>
  <si>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</si>
  <si>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Matching Funds</t>
  </si>
  <si>
    <t>Incentives</t>
  </si>
  <si>
    <t>Total Award</t>
  </si>
  <si>
    <t>Award Percentage</t>
  </si>
  <si>
    <t>% of Total Population</t>
  </si>
  <si>
    <t>Award Per Capita</t>
  </si>
  <si>
    <t>Avg Award Per Capita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</si>
  <si>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</si>
  <si>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</si>
  <si>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</si>
  <si>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</si>
  <si>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</si>
  <si>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</si>
  <si>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</si>
  <si>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</si>
  <si>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</si>
  <si>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</si>
  <si>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</si>
  <si>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</si>
  <si>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</si>
  <si>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Gilliam, Sherman, Wasco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</si>
  <si>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</si>
  <si>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</si>
  <si>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</si>
  <si>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</si>
  <si>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</si>
  <si>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</si>
  <si>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</si>
  <si>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</si>
  <si>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</si>
  <si>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</si>
  <si>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</si>
  <si>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</si>
  <si>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</si>
  <si>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</si>
  <si>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</si>
  <si>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</si>
  <si>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</si>
  <si>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</si>
  <si>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</si>
  <si>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</si>
  <si>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</si>
  <si>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</si>
  <si>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>County Size Bands</t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</si>
  <si>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</si>
  <si>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t>Extra Small</t>
  </si>
  <si>
    <t>Small</t>
  </si>
  <si>
    <t>Medium</t>
  </si>
  <si>
    <t>Large</t>
  </si>
  <si>
    <t>Extra Large</t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</si>
  <si>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</si>
  <si>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up to 20,000</t>
  </si>
  <si>
    <t>20,000-75,000</t>
  </si>
  <si>
    <t>75,000-150,000</t>
  </si>
  <si>
    <t>150,000-375,000</t>
  </si>
  <si>
    <t>above 375,000</t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</si>
  <si>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</si>
  <si>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</si>
  <si>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Total Pool:</t>
  </si>
  <si>
    <t>County Population</t>
  </si>
  <si>
    <t>Burden of Disease Rank</t>
  </si>
  <si>
    <t>Health Status Rank</t>
  </si>
  <si>
    <t>% Non-white Population</t>
  </si>
  <si>
    <t>Population below 150% FPL</t>
  </si>
  <si>
    <t>Rurality</t>
  </si>
  <si>
    <t>High School Education</t>
  </si>
  <si>
    <t>Limited English Proficiency</t>
  </si>
  <si>
    <t>Matching
(New Funds)</t>
  </si>
  <si>
    <t>Incentive 1</t>
  </si>
  <si>
    <t>Incentive 2</t>
  </si>
  <si>
    <t>Incentive 3</t>
  </si>
  <si>
    <t>Incentive 4</t>
  </si>
  <si>
    <t>Category Weight</t>
  </si>
  <si>
    <t>Category Dollars</t>
  </si>
  <si>
    <t>Y</t>
  </si>
  <si>
    <t>Gilliam</t>
  </si>
  <si>
    <t>Sherman</t>
  </si>
  <si>
    <t>Wasco</t>
  </si>
  <si>
    <t>Total Pool</t>
  </si>
  <si>
    <t>Indicator Pool</t>
  </si>
  <si>
    <t>% Split</t>
  </si>
  <si>
    <t>Weighted Payout</t>
  </si>
  <si>
    <t>Weighted Per Capita</t>
  </si>
  <si>
    <t>Band</t>
  </si>
  <si>
    <t>Floor Payment</t>
  </si>
  <si>
    <t>#</t>
  </si>
  <si>
    <t>Factor</t>
  </si>
  <si>
    <t>for cell C8 calculation on 'Input' page</t>
  </si>
  <si>
    <t>factor</t>
  </si>
  <si>
    <t>extra small</t>
  </si>
  <si>
    <t>small</t>
  </si>
  <si>
    <t>medium</t>
  </si>
  <si>
    <t>large</t>
  </si>
  <si>
    <t>extra large</t>
  </si>
  <si>
    <t>Rank</t>
  </si>
  <si>
    <t>Weight</t>
  </si>
  <si>
    <t>Weighted Average</t>
  </si>
  <si>
    <t>2017 Funding</t>
  </si>
  <si>
    <t>2018 Funding</t>
  </si>
  <si>
    <t>Increase Funding</t>
  </si>
  <si>
    <t>Maintenance Payout</t>
  </si>
  <si>
    <t>Population Payout</t>
  </si>
  <si>
    <t>Total Payout</t>
  </si>
  <si>
    <t>Payout Per Capita</t>
  </si>
  <si>
    <t>Met? (Y/N)</t>
  </si>
  <si>
    <t>Floor Payout</t>
  </si>
  <si>
    <t>Qualified Population</t>
  </si>
  <si>
    <t>Grand Total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</si>
</sst>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8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6" sqref="C6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0</v>
      </c>
      <c r="C1" s="24"/>
    </row>
    <row r="2" spans="2:8" ht="15.75" x14ac:dyDescent="0.25">
      <c r="B2" s="206" t="s">
        <v>1</v>
      </c>
      <c r="C2" s="207"/>
      <c r="D2" s="208"/>
      <c r="E2" s="208"/>
      <c r="F2" s="208"/>
      <c r="G2" s="208"/>
      <c r="H2" s="208"/>
    </row>
    <row r="3" spans="2:8" ht="15.75" x14ac:dyDescent="0.25">
      <c r="B3" s="23" t="s">
        <v>2</v>
      </c>
    </row>
    <row r="4" spans="2:8" ht="15.75" x14ac:dyDescent="0.25">
      <c r="B4" s="23"/>
    </row>
    <row r="5" spans="2:8" x14ac:dyDescent="0.25">
      <c r="B5" s="30" t="s">
        <v>3</v>
      </c>
      <c r="C5" s="52">
        <v>10000000</v>
      </c>
    </row>
    <row r="6" spans="2:8" x14ac:dyDescent="0.25">
      <c r="C6" s="9"/>
    </row>
    <row r="7" spans="2:8" x14ac:dyDescent="0.25">
      <c r="B7" s="30" t="s">
        <v>4</v>
      </c>
      <c r="C7" s="49">
        <f>IF(C5&lt;10000000,1860000/C5,18.45%)</f>
        <v>0.1845</v>
      </c>
    </row>
    <row r="8" spans="2:8" x14ac:dyDescent="0.25">
      <c r="B8" t="s">
        <v>5</v>
      </c>
      <c r="C8" s="34">
        <f>IF(C5&lt;10000000,30000/C5,C7*Floor!S12)</f>
        <v>2.975806451612903E-3</v>
      </c>
      <c r="D8" s="6"/>
    </row>
    <row r="9" spans="2:8" x14ac:dyDescent="0.25">
      <c r="B9" t="s">
        <v>6</v>
      </c>
      <c r="C9" s="34">
        <f>C8*1.5</f>
        <v>4.4637096774193547E-3</v>
      </c>
      <c r="D9" s="6"/>
    </row>
    <row r="10" spans="2:8" x14ac:dyDescent="0.25">
      <c r="B10" t="s">
        <v>7</v>
      </c>
      <c r="C10" s="34">
        <f>C8*2</f>
        <v>5.951612903225806E-3</v>
      </c>
      <c r="D10" s="6"/>
    </row>
    <row r="11" spans="2:8" x14ac:dyDescent="0.25">
      <c r="B11" t="s">
        <v>8</v>
      </c>
      <c r="C11" s="34">
        <f>C8*2.5</f>
        <v>7.4395161290322573E-3</v>
      </c>
      <c r="D11" s="6"/>
    </row>
    <row r="12" spans="2:8" x14ac:dyDescent="0.25">
      <c r="B12" t="s">
        <v>9</v>
      </c>
      <c r="C12" s="34">
        <f>C8*3</f>
        <v>8.9274193548387094E-3</v>
      </c>
      <c r="D12" s="47"/>
    </row>
    <row r="14" spans="2:8" x14ac:dyDescent="0.25">
      <c r="B14" s="30" t="s">
        <v>10</v>
      </c>
      <c r="C14" s="50">
        <f>1-C7-C25-C28</f>
        <v>0.8155</v>
      </c>
      <c r="D14" s="22">
        <f>SUM(D15:D22)-1</f>
        <v>0</v>
      </c>
    </row>
    <row r="15" spans="2:8" x14ac:dyDescent="0.25">
      <c r="B15" t="s">
        <v>11</v>
      </c>
      <c r="C15" s="34">
        <f>$C$14*D15</f>
        <v>0</v>
      </c>
      <c r="D15" s="53">
        <v>0</v>
      </c>
    </row>
    <row r="16" spans="2:8" x14ac:dyDescent="0.25">
      <c r="B16" t="s">
        <v>12</v>
      </c>
      <c r="C16" s="34">
        <f t="shared" ref="C16:C22" si="0">$C$14*D16</f>
        <v>0.13591666666666666</v>
      </c>
      <c r="D16" s="53">
        <f>1/6</f>
        <v>0.16666666666666666</v>
      </c>
    </row>
    <row r="17" spans="2:4" x14ac:dyDescent="0.25">
      <c r="B17" t="s">
        <v>13</v>
      </c>
      <c r="C17" s="34">
        <f t="shared" si="0"/>
        <v>0.13591666666666666</v>
      </c>
      <c r="D17" s="53">
        <f>1/6</f>
        <v>0.16666666666666666</v>
      </c>
    </row>
    <row r="18" spans="2:4" x14ac:dyDescent="0.25">
      <c r="B18" t="s">
        <v>14</v>
      </c>
      <c r="C18" s="34">
        <f t="shared" si="0"/>
        <v>0.13591666666666666</v>
      </c>
      <c r="D18" s="53">
        <f>1/6</f>
        <v>0.16666666666666666</v>
      </c>
    </row>
    <row r="19" spans="2:4" x14ac:dyDescent="0.25">
      <c r="B19" t="s">
        <v>15</v>
      </c>
      <c r="C19" s="34">
        <f t="shared" si="0"/>
        <v>0.13591666666666666</v>
      </c>
      <c r="D19" s="53">
        <f>1/6</f>
        <v>0.16666666666666666</v>
      </c>
    </row>
    <row r="20" spans="2:4" x14ac:dyDescent="0.25">
      <c r="B20" t="s">
        <v>16</v>
      </c>
      <c r="C20" s="34">
        <f t="shared" si="0"/>
        <v>6.7958333333333329E-2</v>
      </c>
      <c r="D20" s="53">
        <f>1/12</f>
        <v>8.3333333333333329E-2</v>
      </c>
    </row>
    <row r="21" spans="2:4" x14ac:dyDescent="0.25">
      <c r="B21" t="s">
        <v>17</v>
      </c>
      <c r="C21" s="34">
        <f t="shared" si="0"/>
        <v>6.7958333333333329E-2</v>
      </c>
      <c r="D21" s="53">
        <f>1/12</f>
        <v>8.3333333333333329E-2</v>
      </c>
    </row>
    <row r="22" spans="2:4" x14ac:dyDescent="0.25">
      <c r="B22" t="s">
        <v>18</v>
      </c>
      <c r="C22" s="34">
        <f t="shared" si="0"/>
        <v>0.13591666666666666</v>
      </c>
      <c r="D22" s="53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19</v>
      </c>
      <c r="C25" s="49">
        <f>IF($C$5&gt;=15000000,0.05,0)</f>
        <v>0</v>
      </c>
    </row>
    <row r="26" spans="2:4" x14ac:dyDescent="0.25">
      <c r="B26" s="89" t="s">
        <v>20</v>
      </c>
      <c r="C26" s="90">
        <v>0.5</v>
      </c>
    </row>
    <row r="27" spans="2:4" x14ac:dyDescent="0.25">
      <c r="B27" s="30"/>
      <c r="C27" s="88"/>
    </row>
    <row r="28" spans="2:4" x14ac:dyDescent="0.25">
      <c r="B28" s="30" t="s">
        <v>21</v>
      </c>
      <c r="C28" s="49">
        <f>IF($C$5&gt;=15000000,0.01,0)</f>
        <v>0</v>
      </c>
    </row>
    <row r="29" spans="2:4" x14ac:dyDescent="0.25">
      <c r="B29" s="91" t="s">
        <v>22</v>
      </c>
      <c r="C29" s="90">
        <v>0.24</v>
      </c>
    </row>
    <row r="30" spans="2:4" x14ac:dyDescent="0.25">
      <c r="B30" s="30"/>
      <c r="C30" s="88"/>
    </row>
    <row r="31" spans="2:4" x14ac:dyDescent="0.25">
      <c r="B31" s="71" t="s">
        <v>23</v>
      </c>
      <c r="C31" s="34">
        <f>$C$28*D31</f>
        <v>0</v>
      </c>
      <c r="D31" s="53">
        <v>1</v>
      </c>
    </row>
    <row r="32" spans="2:4" x14ac:dyDescent="0.25">
      <c r="B32" s="71" t="s">
        <v>24</v>
      </c>
      <c r="C32" s="34">
        <f t="shared" ref="C32:C34" si="1">$C$28*D32</f>
        <v>0</v>
      </c>
      <c r="D32" s="53">
        <v>0</v>
      </c>
    </row>
    <row r="33" spans="2:4" x14ac:dyDescent="0.25">
      <c r="B33" s="71" t="s">
        <v>25</v>
      </c>
      <c r="C33" s="34">
        <f t="shared" si="1"/>
        <v>0</v>
      </c>
      <c r="D33" s="53">
        <v>0</v>
      </c>
    </row>
    <row r="34" spans="2:4" x14ac:dyDescent="0.25">
      <c r="B34" s="71" t="s">
        <v>26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120</v>
      </c>
      <c r="C3" s="1">
        <f>'County Data'!C5</f>
        <v>10000000</v>
      </c>
    </row>
    <row r="4" spans="2:8" x14ac:dyDescent="0.25">
      <c r="B4" t="s">
        <v>121</v>
      </c>
      <c r="C4" s="14">
        <f>'County Data'!H9</f>
        <v>679583.33333333326</v>
      </c>
      <c r="D4" s="9"/>
    </row>
    <row r="6" spans="2:8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40286.352214135753</v>
      </c>
      <c r="H7" s="10">
        <f t="shared" ref="H7:H40" si="3">G7/C7</f>
        <v>9.4454713700891535E-2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69249.502681591737</v>
      </c>
      <c r="H8" s="10">
        <f t="shared" si="3"/>
        <v>0.11167833615274116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25286.549616498967</v>
      </c>
      <c r="H9" s="10">
        <f t="shared" si="3"/>
        <v>0.1283483471639163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7667.6847503259578</v>
      </c>
      <c r="H10" s="10">
        <f t="shared" si="3"/>
        <v>0.14391300207068239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13447.393904246492</v>
      </c>
      <c r="H11" s="10">
        <f t="shared" si="3"/>
        <v>0.16046052030602578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3631.4089046515314</v>
      </c>
      <c r="H12" s="10">
        <f t="shared" si="3"/>
        <v>0.14163061250590997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16018.536337508691</v>
      </c>
      <c r="H13" s="10">
        <f t="shared" si="3"/>
        <v>0.14749354392070982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132648.56038383086</v>
      </c>
      <c r="H14" s="10">
        <f t="shared" si="3"/>
        <v>0.15990231012082412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1226.1107995842178</v>
      </c>
      <c r="H15" s="10">
        <f t="shared" si="3"/>
        <v>0.17124452508159466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6190.7004947460227</v>
      </c>
      <c r="H16" s="10">
        <f t="shared" si="3"/>
        <v>0.15690534773149215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5070.2727809506905</v>
      </c>
      <c r="H17" s="10">
        <f t="shared" si="3"/>
        <v>0.16313618986327832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2576.5697403177746</v>
      </c>
      <c r="H18" s="10">
        <f t="shared" si="3"/>
        <v>0.20090212400138593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4615.1705463044036</v>
      </c>
      <c r="H19" s="10">
        <f t="shared" si="3"/>
        <v>0.17396044275553726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3084.4209028370542</v>
      </c>
      <c r="H20" s="10">
        <f t="shared" si="3"/>
        <v>0.18240218230851887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3792.9390879104099</v>
      </c>
      <c r="H21" s="10">
        <f t="shared" si="3"/>
        <v>0.16487455283244554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22271.525718155597</v>
      </c>
      <c r="H22" s="10">
        <f t="shared" si="3"/>
        <v>0.17492558685324849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1373.8696121340349</v>
      </c>
      <c r="H23" s="10">
        <f t="shared" si="3"/>
        <v>0.18871835331511469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1378.4262261324257</v>
      </c>
      <c r="H24" s="10">
        <f t="shared" si="3"/>
        <v>0.1884383084254854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21366.283181144085</v>
      </c>
      <c r="H25" s="10">
        <f t="shared" si="3"/>
        <v>0.18987188466314836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40951.95697146585</v>
      </c>
      <c r="H26" s="10">
        <f t="shared" si="3"/>
        <v>0.18344363452546966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65460.298208954242</v>
      </c>
      <c r="H27" s="10">
        <f t="shared" si="3"/>
        <v>0.18750085417321907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16425.380068090646</v>
      </c>
      <c r="H28" s="10">
        <f t="shared" si="3"/>
        <v>0.20155077082140802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9281.2676447443464</v>
      </c>
      <c r="H29" s="10">
        <f t="shared" si="3"/>
        <v>0.19213886025762025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18048.732379708792</v>
      </c>
      <c r="H30" s="10">
        <f t="shared" si="3"/>
        <v>0.19065898040150839</v>
      </c>
    </row>
    <row r="31" spans="2:8" x14ac:dyDescent="0.25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74931.573810145914</v>
      </c>
      <c r="H31" s="10">
        <f t="shared" si="3"/>
        <v>0.196482566072256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4312.5537602416216</v>
      </c>
      <c r="H32" s="10">
        <f t="shared" si="3"/>
        <v>0.1839826689522876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5003.1059369791519</v>
      </c>
      <c r="H33" s="10">
        <f t="shared" si="3"/>
        <v>0.20755469558096462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12942.135085762533</v>
      </c>
      <c r="H34" s="10">
        <f t="shared" si="3"/>
        <v>0.20440867228559634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15455.055154601132</v>
      </c>
      <c r="H35" s="10">
        <f t="shared" si="3"/>
        <v>0.22702982232245511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333.15951866704557</v>
      </c>
      <c r="H36" s="10">
        <f t="shared" si="3"/>
        <v>0.23136077685211498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5591.389268180541</v>
      </c>
      <c r="H37" s="10">
        <f t="shared" si="3"/>
        <v>0.2083229980693197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1802.9333031822443</v>
      </c>
      <c r="H38" s="10">
        <f t="shared" si="3"/>
        <v>0.22327347407829651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19842.883350398231</v>
      </c>
      <c r="H39" s="10">
        <f t="shared" si="3"/>
        <v>0.22923848602585759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8018.6309892042218</v>
      </c>
      <c r="H40" s="10">
        <f t="shared" si="3"/>
        <v>0.24976268460377579</v>
      </c>
    </row>
    <row r="41" spans="2:8" x14ac:dyDescent="0.25">
      <c r="B41" s="4" t="s">
        <v>83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679583.33333333337</v>
      </c>
      <c r="H41" s="12">
        <f t="shared" ref="H41" si="4">G41/C41</f>
        <v>0.15922553325421845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120</v>
      </c>
      <c r="C3" s="1">
        <f>'County Data'!C5</f>
        <v>10000000</v>
      </c>
    </row>
    <row r="4" spans="2:8" x14ac:dyDescent="0.25">
      <c r="B4" t="s">
        <v>121</v>
      </c>
      <c r="C4" s="14">
        <f>'County Data'!J9</f>
        <v>679583.33333333326</v>
      </c>
      <c r="D4" s="9"/>
    </row>
    <row r="6" spans="2:8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 x14ac:dyDescent="0.25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7122.8878346205875</v>
      </c>
      <c r="H7" s="10">
        <f t="shared" ref="H7:H40" si="3">G7/C7</f>
        <v>7.5243097603344286E-2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47335.011930352019</v>
      </c>
      <c r="H8" s="10">
        <f t="shared" si="3"/>
        <v>0.11098088444803118</v>
      </c>
    </row>
    <row r="9" spans="2:8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886.35812946860847</v>
      </c>
      <c r="H9" s="10">
        <f t="shared" si="3"/>
        <v>0.12379303484198442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21036.198970193826</v>
      </c>
      <c r="H10" s="10">
        <f t="shared" si="3"/>
        <v>0.10677460584317856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3406.5567060876901</v>
      </c>
      <c r="H11" s="10">
        <f t="shared" si="3"/>
        <v>0.1269208906888111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5493.0619610257236</v>
      </c>
      <c r="H12" s="10">
        <f t="shared" si="3"/>
        <v>0.13922346878787792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188.26992425841414</v>
      </c>
      <c r="H13" s="10">
        <f t="shared" si="3"/>
        <v>0.13074300295723204</v>
      </c>
    </row>
    <row r="14" spans="2:8" x14ac:dyDescent="0.25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54227.585405796031</v>
      </c>
      <c r="H14" s="10">
        <f t="shared" si="3"/>
        <v>0.14219339846550164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13228.303115106713</v>
      </c>
      <c r="H15" s="10">
        <f t="shared" si="3"/>
        <v>0.15784622773231566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85895.457636064573</v>
      </c>
      <c r="H16" s="10">
        <f t="shared" si="3"/>
        <v>0.13852318674375011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119165.72475571366</v>
      </c>
      <c r="H17" s="10">
        <f t="shared" si="3"/>
        <v>0.14364931379974161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2898.7615821021996</v>
      </c>
      <c r="H18" s="10">
        <f t="shared" si="3"/>
        <v>0.17142292028989944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8428.9927682229772</v>
      </c>
      <c r="H19" s="10">
        <f t="shared" si="3"/>
        <v>0.15820181622040122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4238.8086589210643</v>
      </c>
      <c r="H20" s="10">
        <f t="shared" si="3"/>
        <v>0.15977416731703975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4155.4789933054326</v>
      </c>
      <c r="H21" s="10">
        <f t="shared" si="3"/>
        <v>0.18063373150643044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21196.770813414489</v>
      </c>
      <c r="H22" s="10">
        <f t="shared" si="3"/>
        <v>0.16648421939533842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1355.2934549716413</v>
      </c>
      <c r="H23" s="10">
        <f t="shared" si="3"/>
        <v>0.18527593369400427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1227.5367077067081</v>
      </c>
      <c r="H24" s="10">
        <f t="shared" si="3"/>
        <v>0.16861767963004232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7504.5358181522333</v>
      </c>
      <c r="H25" s="10">
        <f t="shared" si="3"/>
        <v>0.15535732984478282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20224.981586905764</v>
      </c>
      <c r="H26" s="10">
        <f t="shared" si="3"/>
        <v>0.17972968618951182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38213.633718588178</v>
      </c>
      <c r="H27" s="10">
        <f t="shared" si="3"/>
        <v>0.17117735942746901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11652.338434689133</v>
      </c>
      <c r="H28" s="10">
        <f t="shared" si="3"/>
        <v>0.18403756510604333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13986.918561555851</v>
      </c>
      <c r="H29" s="10">
        <f t="shared" si="3"/>
        <v>0.16158639743017389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21055.525061107008</v>
      </c>
      <c r="H30" s="10">
        <f t="shared" si="3"/>
        <v>0.19387252024406804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14149.80313034075</v>
      </c>
      <c r="H31" s="10">
        <f t="shared" si="3"/>
        <v>0.20785608711481088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4810.8739537827832</v>
      </c>
      <c r="H32" s="10">
        <f t="shared" si="3"/>
        <v>0.20524206287469213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6931.3501656918206</v>
      </c>
      <c r="H33" s="10">
        <f t="shared" si="3"/>
        <v>0.22301641459754892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84921.388056148207</v>
      </c>
      <c r="H34" s="10">
        <f t="shared" si="3"/>
        <v>0.24324412252563074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1746.1130248095719</v>
      </c>
      <c r="H35" s="10">
        <f t="shared" si="3"/>
        <v>0.21623690709716062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5570.391934727033</v>
      </c>
      <c r="H36" s="10">
        <f t="shared" si="3"/>
        <v>0.23108865109840418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23966.668976521021</v>
      </c>
      <c r="H37" s="10">
        <f t="shared" si="3"/>
        <v>0.29408760017818297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8015.3393357096611</v>
      </c>
      <c r="H38" s="10">
        <f t="shared" si="3"/>
        <v>0.31261073852221766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10121.643302949056</v>
      </c>
      <c r="H39" s="10">
        <f t="shared" si="3"/>
        <v>0.31526688375483747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5224.7689243228224</v>
      </c>
      <c r="H40" s="10">
        <f t="shared" si="3"/>
        <v>0.40738938981074641</v>
      </c>
    </row>
    <row r="41" spans="2:8" x14ac:dyDescent="0.25">
      <c r="B41" s="4" t="s">
        <v>83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679583.33333333326</v>
      </c>
      <c r="H41" s="12">
        <f t="shared" ref="H41" si="4">G41/C41</f>
        <v>0.15922553325421843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120</v>
      </c>
      <c r="C3" s="1">
        <f>'County Data'!C5</f>
        <v>10000000</v>
      </c>
    </row>
    <row r="4" spans="2:10" x14ac:dyDescent="0.25">
      <c r="B4" t="s">
        <v>121</v>
      </c>
      <c r="C4" s="14">
        <f>'County Data'!K9</f>
        <v>1359166.6666666665</v>
      </c>
      <c r="D4" s="9"/>
    </row>
    <row r="6" spans="2:10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5.7599041568577931</v>
      </c>
      <c r="H7" s="10">
        <f t="shared" ref="H7:H40" si="3">G7/C7</f>
        <v>3.9999334422623567E-3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1636.1233915241116</v>
      </c>
      <c r="H8" s="10">
        <f t="shared" si="3"/>
        <v>6.9800485986523539E-2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424.41013102676749</v>
      </c>
      <c r="H9" s="10">
        <f t="shared" si="3"/>
        <v>5.9275157964632327E-2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249.20945299328017</v>
      </c>
      <c r="H10" s="10">
        <f t="shared" si="3"/>
        <v>3.4068277921159282E-2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1258.4341357669039</v>
      </c>
      <c r="H11" s="10">
        <f t="shared" si="3"/>
        <v>7.441952310862826E-2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7246.3636771410365</v>
      </c>
      <c r="H12" s="10">
        <f t="shared" si="3"/>
        <v>6.4394949588030187E-2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1637.2973671691191</v>
      </c>
      <c r="H13" s="10">
        <f t="shared" si="3"/>
        <v>7.1171370013871721E-2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6163.4339651012342</v>
      </c>
      <c r="H14" s="10">
        <f t="shared" si="3"/>
        <v>7.1204181667066019E-2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3899.8671926645488</v>
      </c>
      <c r="H15" s="10">
        <f t="shared" si="3"/>
        <v>7.3195705568028319E-2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2343.029134042411</v>
      </c>
      <c r="H16" s="10">
        <f t="shared" si="3"/>
        <v>8.729616743824184E-2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5090.0109514125206</v>
      </c>
      <c r="H17" s="10">
        <f t="shared" si="3"/>
        <v>8.0391865299100071E-2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599.85522278297947</v>
      </c>
      <c r="H18" s="10">
        <f t="shared" si="3"/>
        <v>8.239769543722246E-2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22576.085163040992</v>
      </c>
      <c r="H19" s="10">
        <f t="shared" si="3"/>
        <v>0.11459069189168841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16671.693569494932</v>
      </c>
      <c r="H20" s="10">
        <f t="shared" si="3"/>
        <v>0.13094324198472299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4522.599115579138</v>
      </c>
      <c r="H21" s="10">
        <f t="shared" si="3"/>
        <v>0.17047113138255326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784.73703636423772</v>
      </c>
      <c r="H22" s="10">
        <f t="shared" si="3"/>
        <v>9.7181057134890114E-2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53427.83555135483</v>
      </c>
      <c r="H23" s="10">
        <f t="shared" si="3"/>
        <v>0.14009632648867837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6561.4722216310092</v>
      </c>
      <c r="H24" s="10">
        <f t="shared" si="3"/>
        <v>0.16630267954963907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12354.63071981993</v>
      </c>
      <c r="H25" s="10">
        <f t="shared" si="3"/>
        <v>0.18148557796283407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5184.472432752741</v>
      </c>
      <c r="H26" s="10">
        <f t="shared" si="3"/>
        <v>0.1073278632181501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42609.646790723084</v>
      </c>
      <c r="H27" s="10">
        <f t="shared" si="3"/>
        <v>0.1908692294872025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24499.636562300231</v>
      </c>
      <c r="H28" s="10">
        <f t="shared" si="3"/>
        <v>0.25880353417102658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94697.682188073624</v>
      </c>
      <c r="H29" s="10">
        <f t="shared" si="3"/>
        <v>0.22202661615200783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23274.279358983531</v>
      </c>
      <c r="H30" s="10">
        <f t="shared" si="3"/>
        <v>0.2777194601632782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6477.6855775604436</v>
      </c>
      <c r="H31" s="10">
        <f t="shared" si="3"/>
        <v>0.26872788125121111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31152.528470578243</v>
      </c>
      <c r="H32" s="10">
        <f t="shared" si="3"/>
        <v>0.28684248856478289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9195.88654676029</v>
      </c>
      <c r="H33" s="10">
        <f t="shared" si="3"/>
        <v>0.29587794551995783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379658.54195206211</v>
      </c>
      <c r="H34" s="10">
        <f t="shared" si="3"/>
        <v>0.45766254635235798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13646.154674032248</v>
      </c>
      <c r="H35" s="10">
        <f t="shared" si="3"/>
        <v>0.42504764597515177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305247.69803847093</v>
      </c>
      <c r="H36" s="10">
        <f t="shared" si="3"/>
        <v>0.49227147793586462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46541.934653861186</v>
      </c>
      <c r="H37" s="10">
        <f t="shared" si="3"/>
        <v>0.57110171978478663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197378.54551618159</v>
      </c>
      <c r="H38" s="10">
        <f t="shared" si="3"/>
        <v>0.56536017849502063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21512.901263831143</v>
      </c>
      <c r="H39" s="10">
        <f t="shared" si="3"/>
        <v>0.83903671075784492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10636.224737428303</v>
      </c>
      <c r="H40" s="10">
        <f t="shared" si="3"/>
        <v>0.82933526217764553</v>
      </c>
      <c r="J40" s="32"/>
    </row>
    <row r="41" spans="2:10" x14ac:dyDescent="0.25">
      <c r="B41" s="4" t="s">
        <v>83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1359166.6666666665</v>
      </c>
      <c r="H41" s="12">
        <f t="shared" ref="H41" si="4">G41/C41</f>
        <v>0.31845106650843685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120</v>
      </c>
      <c r="C3" s="1">
        <f>'County Data'!C5</f>
        <v>10000000</v>
      </c>
    </row>
    <row r="4" spans="2:14" x14ac:dyDescent="0.25">
      <c r="B4" t="s">
        <v>121</v>
      </c>
      <c r="C4" s="14">
        <f>'County Data'!L9</f>
        <v>0</v>
      </c>
    </row>
    <row r="6" spans="2:14" s="2" customFormat="1" ht="30" x14ac:dyDescent="0.25">
      <c r="B6" s="3" t="s">
        <v>32</v>
      </c>
      <c r="C6" s="3" t="s">
        <v>101</v>
      </c>
      <c r="D6" s="3" t="s">
        <v>139</v>
      </c>
      <c r="E6" s="3" t="s">
        <v>140</v>
      </c>
      <c r="F6" s="3" t="s">
        <v>141</v>
      </c>
      <c r="G6" s="3" t="s">
        <v>142</v>
      </c>
      <c r="H6" s="3" t="s">
        <v>137</v>
      </c>
      <c r="I6" s="3" t="s">
        <v>138</v>
      </c>
      <c r="J6" s="3" t="s">
        <v>143</v>
      </c>
      <c r="K6" s="13" t="s">
        <v>144</v>
      </c>
      <c r="L6" s="3" t="s">
        <v>145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58"/>
    </row>
    <row r="8" spans="2:14" x14ac:dyDescent="0.25">
      <c r="B8" s="20" t="str">
        <f>+'County Data'!$B$42</f>
        <v>Wallowa</v>
      </c>
      <c r="C8" s="15">
        <f>VLOOKUP($B8,'County Data'!$B$10:$P$46,2,FALSE)</f>
        <v>7160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58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IF(F10&lt;0,0,$C$4*Input!$C$26/36)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58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IF(F16&lt;0,0,$C$4*Input!$C$26/36)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58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IF(F17&lt;0,0,$C$4*Input!$C$26/36)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58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IF(F18&lt;0,0,$C$4*Input!$C$26/36)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58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IF(F21&lt;0,0,$C$4*Input!$C$26/36)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58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IF(F30&lt;0,0,$C$4*Input!$C$26/36)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58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IF(F32&lt;0,0,$C$4*Input!$C$26/36)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58"/>
    </row>
    <row r="33" spans="2:14" x14ac:dyDescent="0.25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IF(F40&lt;0,0,$C$4*Input!$C$26/36)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58"/>
    </row>
    <row r="41" spans="2:14" x14ac:dyDescent="0.25">
      <c r="B41" s="4" t="s">
        <v>83</v>
      </c>
      <c r="C41" s="5">
        <f>SUM(C7:C40)</f>
        <v>4268055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4018760.2065702076</v>
      </c>
      <c r="I41" s="21">
        <f>SUM(I7:I40)</f>
        <v>1.0000000000000002</v>
      </c>
      <c r="J41" s="74">
        <f>SUM(J7:J40)</f>
        <v>0</v>
      </c>
      <c r="K41" s="74">
        <f t="shared" ref="K41" si="6"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120</v>
      </c>
      <c r="C2" s="1">
        <f>'County Data'!C5</f>
        <v>10000000</v>
      </c>
    </row>
    <row r="3" spans="2:25" x14ac:dyDescent="0.25">
      <c r="B3" t="s">
        <v>121</v>
      </c>
      <c r="C3" s="14">
        <f>$C$2*Input!$C$28</f>
        <v>0</v>
      </c>
    </row>
    <row r="4" spans="2:25" x14ac:dyDescent="0.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25">
      <c r="D5" s="216" t="s">
        <v>110</v>
      </c>
      <c r="E5" s="216"/>
      <c r="F5" s="216"/>
      <c r="G5" s="216"/>
      <c r="H5" s="216"/>
      <c r="I5" s="217" t="s">
        <v>111</v>
      </c>
      <c r="J5" s="217"/>
      <c r="K5" s="217"/>
      <c r="L5" s="217"/>
      <c r="M5" s="217"/>
      <c r="N5" s="216" t="s">
        <v>112</v>
      </c>
      <c r="O5" s="216"/>
      <c r="P5" s="216"/>
      <c r="Q5" s="216"/>
      <c r="R5" s="216"/>
      <c r="S5" s="217" t="s">
        <v>113</v>
      </c>
      <c r="T5" s="217"/>
      <c r="U5" s="217"/>
      <c r="V5" s="217"/>
      <c r="W5" s="217"/>
    </row>
    <row r="6" spans="2:25" s="2" customFormat="1" ht="30" x14ac:dyDescent="0.25">
      <c r="B6" s="3" t="s">
        <v>32</v>
      </c>
      <c r="C6" s="3" t="s">
        <v>101</v>
      </c>
      <c r="D6" s="3" t="s">
        <v>146</v>
      </c>
      <c r="E6" s="3" t="s">
        <v>147</v>
      </c>
      <c r="F6" s="3" t="s">
        <v>148</v>
      </c>
      <c r="G6" s="3" t="s">
        <v>143</v>
      </c>
      <c r="H6" s="3" t="s">
        <v>144</v>
      </c>
      <c r="I6" s="3" t="s">
        <v>146</v>
      </c>
      <c r="J6" s="3" t="s">
        <v>147</v>
      </c>
      <c r="K6" s="3" t="s">
        <v>148</v>
      </c>
      <c r="L6" s="3" t="s">
        <v>143</v>
      </c>
      <c r="M6" s="3" t="s">
        <v>144</v>
      </c>
      <c r="N6" s="3" t="s">
        <v>146</v>
      </c>
      <c r="O6" s="3" t="s">
        <v>147</v>
      </c>
      <c r="P6" s="3" t="s">
        <v>148</v>
      </c>
      <c r="Q6" s="3" t="s">
        <v>143</v>
      </c>
      <c r="R6" s="3" t="s">
        <v>144</v>
      </c>
      <c r="S6" s="3" t="s">
        <v>146</v>
      </c>
      <c r="T6" s="3" t="s">
        <v>147</v>
      </c>
      <c r="U6" s="3" t="s">
        <v>148</v>
      </c>
      <c r="V6" s="3" t="s">
        <v>143</v>
      </c>
      <c r="W6" s="3" t="s">
        <v>144</v>
      </c>
      <c r="X6" s="13" t="s">
        <v>149</v>
      </c>
      <c r="Y6" s="3" t="s">
        <v>145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5">
        <f>IF(D8="Y",$C$3*Input!$C$29/36*E$4,0)</f>
        <v>0</v>
      </c>
      <c r="F8" s="15">
        <f t="shared" ref="F8:F40" si="0">IF(D8="Y",$C8,0)</f>
        <v>7160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si="0"/>
        <v>7280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7315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8075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12825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16910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24105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23005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25640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26530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5">
        <f>IF(D20="Y",$C$3*Input!$C$29/36*3*E$4,0)</f>
        <v>0</v>
      </c>
      <c r="F20" s="15">
        <f t="shared" si="0"/>
        <v>31080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5">
        <f>IF(D21="Y",$C$3*Input!$C$29/36*E$4,0)</f>
        <v>0</v>
      </c>
      <c r="F21" s="15">
        <f t="shared" si="0"/>
        <v>32105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39455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48305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53280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63315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68075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83805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81495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86560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94665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108605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112530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127320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197015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223240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349120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381365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426515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620080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829560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 x14ac:dyDescent="0.25">
      <c r="B41" s="4" t="s">
        <v>83</v>
      </c>
      <c r="C41" s="5">
        <f t="shared" ref="C41:H41" si="14">SUM(C7:C40)</f>
        <v>4268055</v>
      </c>
      <c r="D41" s="5">
        <f>COUNTIF(D7:D40,"Y")</f>
        <v>34</v>
      </c>
      <c r="E41" s="74">
        <f t="shared" si="14"/>
        <v>0</v>
      </c>
      <c r="F41" s="5">
        <f t="shared" si="14"/>
        <v>4268055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 t="shared" ref="J41:M41" si="15">SUM(J7:J40)</f>
        <v>0</v>
      </c>
      <c r="K41" s="70">
        <f>SUM(K7:K40)+0.001</f>
        <v>1E-3</v>
      </c>
      <c r="L41" s="74">
        <f t="shared" si="15"/>
        <v>0</v>
      </c>
      <c r="M41" s="74">
        <f t="shared" si="15"/>
        <v>0</v>
      </c>
      <c r="N41" s="5">
        <f>COUNTIF(N7:N40,"Y")</f>
        <v>0</v>
      </c>
      <c r="O41" s="74">
        <f t="shared" ref="O41" si="16">SUM(O7:O40)</f>
        <v>0</v>
      </c>
      <c r="P41" s="70">
        <f>SUM(P7:P40)+0.001</f>
        <v>1E-3</v>
      </c>
      <c r="Q41" s="74">
        <f t="shared" ref="Q41:R41" si="17">SUM(Q7:Q40)</f>
        <v>0</v>
      </c>
      <c r="R41" s="74">
        <f t="shared" si="17"/>
        <v>0</v>
      </c>
      <c r="S41" s="5">
        <f>COUNTIF(S7:S40,"Y")</f>
        <v>0</v>
      </c>
      <c r="T41" s="74">
        <f t="shared" ref="T41" si="18">SUM(T7:T40)</f>
        <v>0</v>
      </c>
      <c r="U41" s="70">
        <f>SUM(U7:U40)+0.001</f>
        <v>1E-3</v>
      </c>
      <c r="V41" s="74">
        <f t="shared" ref="V41:X41" si="19">SUM(V7:V40)</f>
        <v>0</v>
      </c>
      <c r="W41" s="74">
        <f t="shared" si="19"/>
        <v>0</v>
      </c>
      <c r="X41" s="74">
        <f t="shared" si="19"/>
        <v>0</v>
      </c>
      <c r="Y41" s="73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tabSelected="1" zoomScale="80" zoomScaleNormal="80" workbookViewId="0">
      <selection activeCell="U32" sqref="U32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5.7109375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 x14ac:dyDescent="0.3">
      <c r="B1" s="24" t="s">
        <v>27</v>
      </c>
      <c r="C1" s="24"/>
    </row>
    <row r="2" spans="2:21" ht="18.75" x14ac:dyDescent="0.3">
      <c r="B2" s="205"/>
      <c r="C2" s="182"/>
      <c r="D2" s="183"/>
      <c r="E2" s="183"/>
      <c r="F2" s="183"/>
    </row>
    <row r="3" spans="2:21" ht="18.75" x14ac:dyDescent="0.25">
      <c r="B3" s="187" t="s">
        <v>2</v>
      </c>
      <c r="C3" s="23"/>
    </row>
    <row r="4" spans="2:21" ht="15.75" x14ac:dyDescent="0.25">
      <c r="B4" s="23"/>
      <c r="C4" s="23"/>
    </row>
    <row r="5" spans="2:21" ht="18.75" x14ac:dyDescent="0.3">
      <c r="B5" s="188" t="s">
        <v>28</v>
      </c>
      <c r="C5" s="186"/>
      <c r="D5" s="183"/>
      <c r="E5" s="183"/>
      <c r="F5" s="183"/>
      <c r="G5" s="189">
        <f>Input!C5</f>
        <v>10000000</v>
      </c>
      <c r="H5" s="183"/>
      <c r="I5" s="183"/>
      <c r="J5" s="183"/>
      <c r="K5" s="183"/>
      <c r="L5" s="183"/>
      <c r="M5" s="183"/>
      <c r="N5" s="183"/>
      <c r="O5" s="183"/>
      <c r="P5" s="183"/>
    </row>
    <row r="6" spans="2:21" ht="16.5" thickBot="1" x14ac:dyDescent="0.3">
      <c r="B6" s="23"/>
      <c r="C6" s="23"/>
    </row>
    <row r="7" spans="2:21" ht="34.5" customHeight="1" thickTop="1" x14ac:dyDescent="0.25">
      <c r="B7" s="92"/>
      <c r="C7" s="93"/>
      <c r="D7" s="211" t="s">
        <v>29</v>
      </c>
      <c r="E7" s="212"/>
      <c r="F7" s="212"/>
      <c r="G7" s="212"/>
      <c r="H7" s="212"/>
      <c r="I7" s="212"/>
      <c r="J7" s="212"/>
      <c r="K7" s="213"/>
      <c r="L7" s="214" t="s">
        <v>30</v>
      </c>
      <c r="M7" s="215"/>
      <c r="N7" s="211" t="s">
        <v>31</v>
      </c>
      <c r="O7" s="212"/>
      <c r="P7" s="212"/>
      <c r="Q7" s="213"/>
      <c r="R7" s="94"/>
    </row>
    <row r="8" spans="2:21" s="2" customFormat="1" ht="32.25" x14ac:dyDescent="0.25">
      <c r="B8" s="95" t="s">
        <v>32</v>
      </c>
      <c r="C8" s="96" t="s">
        <v>33</v>
      </c>
      <c r="D8" s="131" t="s">
        <v>34</v>
      </c>
      <c r="E8" s="96" t="s">
        <v>35</v>
      </c>
      <c r="F8" s="96" t="s">
        <v>36</v>
      </c>
      <c r="G8" s="96" t="s">
        <v>37</v>
      </c>
      <c r="H8" s="96" t="s">
        <v>38</v>
      </c>
      <c r="I8" s="96" t="s">
        <v>39</v>
      </c>
      <c r="J8" s="96" t="s">
        <v>40</v>
      </c>
      <c r="K8" s="132" t="s">
        <v>41</v>
      </c>
      <c r="L8" s="168" t="s">
        <v>42</v>
      </c>
      <c r="M8" s="169" t="s">
        <v>43</v>
      </c>
      <c r="N8" s="145" t="s">
        <v>44</v>
      </c>
      <c r="O8" s="97" t="s">
        <v>45</v>
      </c>
      <c r="P8" s="97" t="s">
        <v>46</v>
      </c>
      <c r="Q8" s="146" t="s">
        <v>47</v>
      </c>
      <c r="R8" s="98" t="s">
        <v>48</v>
      </c>
    </row>
    <row r="9" spans="2:21" x14ac:dyDescent="0.25">
      <c r="B9" s="99" t="s">
        <v>49</v>
      </c>
      <c r="C9" s="100">
        <f>VLOOKUP($B9,'County Data'!$B$10:$C$46,2,FALSE)</f>
        <v>1440</v>
      </c>
      <c r="D9" s="133">
        <f>VLOOKUP($B9,Floor!$B$6:$M$45,4,FALSE)</f>
        <v>29758.06451612903</v>
      </c>
      <c r="E9" s="101">
        <f>VLOOKUP($B9,Burden!$B$6:$H$40,6,FALSE)</f>
        <v>464.25770442669381</v>
      </c>
      <c r="F9" s="101">
        <f>VLOOKUP($B9,'Health Status'!$B$6:$H$40,6,FALSE)</f>
        <v>910.45791539467928</v>
      </c>
      <c r="G9" s="101">
        <f>VLOOKUP($B9,Ethnicity!$B$6:$H$40,6,FALSE)</f>
        <v>181.46519853158645</v>
      </c>
      <c r="H9" s="101">
        <f>VLOOKUP($B9,Poverty!$B$6:$H$40,6,FALSE)</f>
        <v>333.15951866704557</v>
      </c>
      <c r="I9" s="101">
        <f>VLOOKUP($B9,Rurality!$B$6:$H$40,6,FALSE)</f>
        <v>2466.7859534714416</v>
      </c>
      <c r="J9" s="101">
        <f>VLOOKUP($B9,Education!$B$6:$H$40,6,FALSE)</f>
        <v>188.26992425841414</v>
      </c>
      <c r="K9" s="134">
        <f>VLOOKUP($B9,Language!$B$6:$H$40,6,FALSE)</f>
        <v>5.7599041568577931</v>
      </c>
      <c r="L9" s="170">
        <f>VLOOKUP($B9,Matching!$B$7:$L$40,10,FALSE)</f>
        <v>0</v>
      </c>
      <c r="M9" s="171">
        <f>VLOOKUP($B9,Incentives!$B$7:$Y$40,23,FALSE)</f>
        <v>0</v>
      </c>
      <c r="N9" s="147">
        <f t="shared" ref="N9:N42" si="0">SUM(D9:M9)</f>
        <v>34308.220635035752</v>
      </c>
      <c r="O9" s="102">
        <f t="shared" ref="O9:O42" si="1">N9/$N$43</f>
        <v>3.4308220635035753E-3</v>
      </c>
      <c r="P9" s="102">
        <f t="shared" ref="P9:P42" si="2">C9/$C$43</f>
        <v>3.373902163866211E-4</v>
      </c>
      <c r="Q9" s="148">
        <f t="shared" ref="Q9:Q43" si="3">N9/C9</f>
        <v>23.825153218774826</v>
      </c>
      <c r="R9" s="103"/>
      <c r="T9" s="22"/>
      <c r="U9" s="22"/>
    </row>
    <row r="10" spans="2:21" x14ac:dyDescent="0.25">
      <c r="B10" s="99" t="s">
        <v>50</v>
      </c>
      <c r="C10" s="100">
        <f>VLOOKUP($B10,'County Data'!$B$10:$C$46,2,FALSE)</f>
        <v>7160</v>
      </c>
      <c r="D10" s="133">
        <f>VLOOKUP($B10,Floor!$B$6:$M$45,4,FALSE)</f>
        <v>29758.06451612903</v>
      </c>
      <c r="E10" s="101">
        <f>VLOOKUP($B10,Burden!$B$6:$H$40,6,FALSE)</f>
        <v>2405.4716065520065</v>
      </c>
      <c r="F10" s="101">
        <f>VLOOKUP($B10,'Health Status'!$B$6:$H$40,6,FALSE)</f>
        <v>2019.5295293988268</v>
      </c>
      <c r="G10" s="101">
        <f>VLOOKUP($B10,Ethnicity!$B$6:$H$40,6,FALSE)</f>
        <v>722.18718647724791</v>
      </c>
      <c r="H10" s="101">
        <f>VLOOKUP($B10,Poverty!$B$6:$H$40,6,FALSE)</f>
        <v>1226.1107995842178</v>
      </c>
      <c r="I10" s="101">
        <f>VLOOKUP($B10,Rurality!$B$6:$H$40,6,FALSE)</f>
        <v>12265.407935316336</v>
      </c>
      <c r="J10" s="101">
        <f>VLOOKUP($B10,Education!$B$6:$H$40,6,FALSE)</f>
        <v>886.35812946860847</v>
      </c>
      <c r="K10" s="134">
        <f>VLOOKUP($B10,Language!$B$6:$H$40,6,FALSE)</f>
        <v>424.41013102676749</v>
      </c>
      <c r="L10" s="170">
        <f>VLOOKUP($B10,Matching!$B$7:$L$40,10,FALSE)</f>
        <v>0</v>
      </c>
      <c r="M10" s="171">
        <f>VLOOKUP($B10,Incentives!$B$7:$Y$40,23,FALSE)</f>
        <v>0</v>
      </c>
      <c r="N10" s="147">
        <f t="shared" si="0"/>
        <v>49707.539833953037</v>
      </c>
      <c r="O10" s="102">
        <f t="shared" si="1"/>
        <v>4.9707539833953041E-3</v>
      </c>
      <c r="P10" s="102">
        <f t="shared" si="2"/>
        <v>1.6775791314779214E-3</v>
      </c>
      <c r="Q10" s="148">
        <f t="shared" si="3"/>
        <v>6.9423938315576867</v>
      </c>
      <c r="R10" s="103"/>
      <c r="T10" s="22"/>
      <c r="U10" s="22"/>
    </row>
    <row r="11" spans="2:21" x14ac:dyDescent="0.25">
      <c r="B11" s="99" t="s">
        <v>51</v>
      </c>
      <c r="C11" s="100">
        <f>VLOOKUP($B11,'County Data'!$B$10:$C$46,2,FALSE)</f>
        <v>7280</v>
      </c>
      <c r="D11" s="133">
        <f>VLOOKUP($B11,Floor!$B$6:$M$45,4,FALSE)</f>
        <v>29758.06451612903</v>
      </c>
      <c r="E11" s="101">
        <f>VLOOKUP($B11,Burden!$B$6:$H$40,6,FALSE)</f>
        <v>3443.0976123561459</v>
      </c>
      <c r="F11" s="101">
        <f>VLOOKUP($B11,'Health Status'!$B$6:$H$40,6,FALSE)</f>
        <v>1681.2880533452646</v>
      </c>
      <c r="G11" s="101">
        <f>VLOOKUP($B11,Ethnicity!$B$6:$H$40,6,FALSE)</f>
        <v>1351.283004181528</v>
      </c>
      <c r="H11" s="101">
        <f>VLOOKUP($B11,Poverty!$B$6:$H$40,6,FALSE)</f>
        <v>1373.8696121340349</v>
      </c>
      <c r="I11" s="101">
        <f>VLOOKUP($B11,Rurality!$B$6:$H$40,6,FALSE)</f>
        <v>5524.6412301274568</v>
      </c>
      <c r="J11" s="101">
        <f>VLOOKUP($B11,Education!$B$6:$H$40,6,FALSE)</f>
        <v>1227.5367077067081</v>
      </c>
      <c r="K11" s="134">
        <f>VLOOKUP($B11,Language!$B$6:$H$40,6,FALSE)</f>
        <v>599.85522278297947</v>
      </c>
      <c r="L11" s="170">
        <f>VLOOKUP($B11,Matching!$B$7:$L$40,10,FALSE)</f>
        <v>0</v>
      </c>
      <c r="M11" s="171">
        <f>VLOOKUP($B11,Incentives!$B$7:$Y$40,23,FALSE)</f>
        <v>0</v>
      </c>
      <c r="N11" s="147">
        <f t="shared" si="0"/>
        <v>44959.635958763138</v>
      </c>
      <c r="O11" s="102">
        <f t="shared" si="1"/>
        <v>4.495963595876314E-3</v>
      </c>
      <c r="P11" s="102">
        <f t="shared" si="2"/>
        <v>1.7056949828434733E-3</v>
      </c>
      <c r="Q11" s="148">
        <f t="shared" si="3"/>
        <v>6.1757741701597713</v>
      </c>
      <c r="R11" s="103"/>
      <c r="T11" s="22"/>
      <c r="U11" s="22"/>
    </row>
    <row r="12" spans="2:21" x14ac:dyDescent="0.25">
      <c r="B12" s="99" t="s">
        <v>52</v>
      </c>
      <c r="C12" s="100">
        <f>VLOOKUP($B12,'County Data'!$B$10:$C$46,2,FALSE)</f>
        <v>7315</v>
      </c>
      <c r="D12" s="133">
        <f>VLOOKUP($B12,Floor!$B$6:$M$45,4,FALSE)</f>
        <v>29758.06451612903</v>
      </c>
      <c r="E12" s="101">
        <f>VLOOKUP($B12,Burden!$B$6:$H$40,6,FALSE)</f>
        <v>2864.9531387044108</v>
      </c>
      <c r="F12" s="101">
        <f>VLOOKUP($B12,'Health Status'!$B$6:$H$40,6,FALSE)</f>
        <v>2146.3322228924912</v>
      </c>
      <c r="G12" s="101">
        <f>VLOOKUP($B12,Ethnicity!$B$6:$H$40,6,FALSE)</f>
        <v>794.40055041861865</v>
      </c>
      <c r="H12" s="101">
        <f>VLOOKUP($B12,Poverty!$B$6:$H$40,6,FALSE)</f>
        <v>1378.4262261324257</v>
      </c>
      <c r="I12" s="101">
        <f>VLOOKUP($B12,Rurality!$B$6:$H$40,6,FALSE)</f>
        <v>12530.930034474719</v>
      </c>
      <c r="J12" s="101">
        <f>VLOOKUP($B12,Education!$B$6:$H$40,6,FALSE)</f>
        <v>1355.2934549716413</v>
      </c>
      <c r="K12" s="134">
        <f>VLOOKUP($B12,Language!$B$6:$H$40,6,FALSE)</f>
        <v>249.20945299328017</v>
      </c>
      <c r="L12" s="170">
        <f>VLOOKUP($B12,Matching!$B$7:$L$40,10,FALSE)</f>
        <v>0</v>
      </c>
      <c r="M12" s="171">
        <f>VLOOKUP($B12,Incentives!$B$7:$Y$40,23,FALSE)</f>
        <v>0</v>
      </c>
      <c r="N12" s="147">
        <f t="shared" si="0"/>
        <v>51077.609596716618</v>
      </c>
      <c r="O12" s="102">
        <f t="shared" si="1"/>
        <v>5.1077609596716618E-3</v>
      </c>
      <c r="P12" s="102">
        <f t="shared" si="2"/>
        <v>1.7138954394917592E-3</v>
      </c>
      <c r="Q12" s="148">
        <f t="shared" si="3"/>
        <v>6.9825850439803991</v>
      </c>
      <c r="R12" s="103"/>
      <c r="T12" s="22"/>
      <c r="U12" s="22"/>
    </row>
    <row r="13" spans="2:21" x14ac:dyDescent="0.25">
      <c r="B13" s="99" t="s">
        <v>53</v>
      </c>
      <c r="C13" s="100">
        <f>VLOOKUP($B13,'County Data'!$B$10:$C$46,2,FALSE)</f>
        <v>8075</v>
      </c>
      <c r="D13" s="133">
        <f>VLOOKUP($B13,Floor!$B$6:$M$45,4,FALSE)</f>
        <v>29758.06451612903</v>
      </c>
      <c r="E13" s="101">
        <f>VLOOKUP($B13,Burden!$B$6:$H$40,6,FALSE)</f>
        <v>3710.5723552183281</v>
      </c>
      <c r="F13" s="101">
        <f>VLOOKUP($B13,'Health Status'!$B$6:$H$40,6,FALSE)</f>
        <v>2736.1914345462296</v>
      </c>
      <c r="G13" s="101">
        <f>VLOOKUP($B13,Ethnicity!$B$6:$H$40,6,FALSE)</f>
        <v>1475.9278834597073</v>
      </c>
      <c r="H13" s="101">
        <f>VLOOKUP($B13,Poverty!$B$6:$H$40,6,FALSE)</f>
        <v>1802.9333031822443</v>
      </c>
      <c r="I13" s="101">
        <f>VLOOKUP($B13,Rurality!$B$6:$H$40,6,FALSE)</f>
        <v>8756.1907857780807</v>
      </c>
      <c r="J13" s="101">
        <f>VLOOKUP($B13,Education!$B$6:$H$40,6,FALSE)</f>
        <v>1746.1130248095719</v>
      </c>
      <c r="K13" s="134">
        <f>VLOOKUP($B13,Language!$B$6:$H$40,6,FALSE)</f>
        <v>784.73703636423772</v>
      </c>
      <c r="L13" s="170">
        <f>VLOOKUP($B13,Matching!$B$7:$L$40,10,FALSE)</f>
        <v>0</v>
      </c>
      <c r="M13" s="171">
        <f>VLOOKUP($B13,Incentives!$B$7:$Y$40,23,FALSE)</f>
        <v>0</v>
      </c>
      <c r="N13" s="147">
        <f t="shared" si="0"/>
        <v>50770.730339487433</v>
      </c>
      <c r="O13" s="102">
        <f t="shared" si="1"/>
        <v>5.0770730339487436E-3</v>
      </c>
      <c r="P13" s="102">
        <f t="shared" si="2"/>
        <v>1.8919624981402535E-3</v>
      </c>
      <c r="Q13" s="148">
        <f t="shared" si="3"/>
        <v>6.2873969460665551</v>
      </c>
      <c r="R13" s="103"/>
      <c r="T13" s="22"/>
      <c r="U13" s="22"/>
    </row>
    <row r="14" spans="2:21" x14ac:dyDescent="0.25">
      <c r="B14" s="99" t="s">
        <v>54</v>
      </c>
      <c r="C14" s="100">
        <f>VLOOKUP($B14,'County Data'!$B$10:$C$46,2,FALSE)</f>
        <v>12825</v>
      </c>
      <c r="D14" s="133">
        <f>VLOOKUP($B14,Floor!$B$6:$M$45,4,FALSE)</f>
        <v>29758.06451612903</v>
      </c>
      <c r="E14" s="101">
        <f>VLOOKUP($B14,Burden!$B$6:$H$40,6,FALSE)</f>
        <v>4216.6874763577298</v>
      </c>
      <c r="F14" s="101">
        <f>VLOOKUP($B14,'Health Status'!$B$6:$H$40,6,FALSE)</f>
        <v>7574.6554862364246</v>
      </c>
      <c r="G14" s="101">
        <f>VLOOKUP($B14,Ethnicity!$B$6:$H$40,6,FALSE)</f>
        <v>2986.7326517647393</v>
      </c>
      <c r="H14" s="101">
        <f>VLOOKUP($B14,Poverty!$B$6:$H$40,6,FALSE)</f>
        <v>2576.5697403177746</v>
      </c>
      <c r="I14" s="101">
        <f>VLOOKUP($B14,Rurality!$B$6:$H$40,6,FALSE)</f>
        <v>10084.143890730207</v>
      </c>
      <c r="J14" s="101">
        <f>VLOOKUP($B14,Education!$B$6:$H$40,6,FALSE)</f>
        <v>5224.7689243228224</v>
      </c>
      <c r="K14" s="134">
        <f>VLOOKUP($B14,Language!$B$6:$H$40,6,FALSE)</f>
        <v>10636.224737428303</v>
      </c>
      <c r="L14" s="170">
        <f>VLOOKUP($B14,Matching!$B$7:$L$40,10,FALSE)</f>
        <v>0</v>
      </c>
      <c r="M14" s="171">
        <f>VLOOKUP($B14,Incentives!$B$7:$Y$40,23,FALSE)</f>
        <v>0</v>
      </c>
      <c r="N14" s="147">
        <f t="shared" si="0"/>
        <v>73057.847423287021</v>
      </c>
      <c r="O14" s="102">
        <f t="shared" si="1"/>
        <v>7.305784742328702E-3</v>
      </c>
      <c r="P14" s="102">
        <f t="shared" si="2"/>
        <v>3.004881614693344E-3</v>
      </c>
      <c r="Q14" s="148">
        <f t="shared" si="3"/>
        <v>5.6965183176052259</v>
      </c>
      <c r="R14" s="103"/>
      <c r="T14" s="22"/>
      <c r="U14" s="22"/>
    </row>
    <row r="15" spans="2:21" x14ac:dyDescent="0.25">
      <c r="B15" s="99" t="s">
        <v>55</v>
      </c>
      <c r="C15" s="100">
        <f>VLOOKUP($B15,'County Data'!$B$10:$C$46,2,FALSE)</f>
        <v>16910</v>
      </c>
      <c r="D15" s="133">
        <f>VLOOKUP($B15,Floor!$B$6:$M$45,4,FALSE)</f>
        <v>29758.06451612903</v>
      </c>
      <c r="E15" s="101">
        <f>VLOOKUP($B15,Burden!$B$6:$H$40,6,FALSE)</f>
        <v>7204.1785358506604</v>
      </c>
      <c r="F15" s="101">
        <f>VLOOKUP($B15,'Health Status'!$B$6:$H$40,6,FALSE)</f>
        <v>6050.0132922119128</v>
      </c>
      <c r="G15" s="101">
        <f>VLOOKUP($B15,Ethnicity!$B$6:$H$40,6,FALSE)</f>
        <v>2439.0448598569792</v>
      </c>
      <c r="H15" s="101">
        <f>VLOOKUP($B15,Poverty!$B$6:$H$40,6,FALSE)</f>
        <v>3084.4209028370542</v>
      </c>
      <c r="I15" s="101">
        <f>VLOOKUP($B15,Rurality!$B$6:$H$40,6,FALSE)</f>
        <v>11876.717843064478</v>
      </c>
      <c r="J15" s="101">
        <f>VLOOKUP($B15,Education!$B$6:$H$40,6,FALSE)</f>
        <v>2898.7615821021996</v>
      </c>
      <c r="K15" s="134">
        <f>VLOOKUP($B15,Language!$B$6:$H$40,6,FALSE)</f>
        <v>1258.4341357669039</v>
      </c>
      <c r="L15" s="170">
        <f>VLOOKUP($B15,Matching!$B$7:$L$40,10,FALSE)</f>
        <v>0</v>
      </c>
      <c r="M15" s="171">
        <f>VLOOKUP($B15,Incentives!$B$7:$Y$40,23,FALSE)</f>
        <v>0</v>
      </c>
      <c r="N15" s="147">
        <f t="shared" si="0"/>
        <v>64569.635667819217</v>
      </c>
      <c r="O15" s="102">
        <f t="shared" si="1"/>
        <v>6.4569635667819213E-3</v>
      </c>
      <c r="P15" s="102">
        <f t="shared" si="2"/>
        <v>3.9619920549290016E-3</v>
      </c>
      <c r="Q15" s="148">
        <f t="shared" si="3"/>
        <v>3.818429075565891</v>
      </c>
      <c r="R15" s="104">
        <f>SUM(N9:N15)/SUM(C9:C15)</f>
        <v>6.0396888690281489</v>
      </c>
      <c r="T15" s="22"/>
      <c r="U15" s="22"/>
    </row>
    <row r="16" spans="2:21" x14ac:dyDescent="0.25">
      <c r="B16" s="105" t="s">
        <v>56</v>
      </c>
      <c r="C16" s="106">
        <f>VLOOKUP($B16,'County Data'!$B$10:$C$46,2,FALSE)</f>
        <v>23440</v>
      </c>
      <c r="D16" s="135">
        <f>VLOOKUP($B16,Floor!$B$6:$M$45,4,FALSE)</f>
        <v>44637.096774193546</v>
      </c>
      <c r="E16" s="107">
        <f>VLOOKUP($B16,Burden!$B$6:$H$40,6,FALSE)</f>
        <v>9681.2781146701782</v>
      </c>
      <c r="F16" s="107">
        <f>VLOOKUP($B16,'Health Status'!$B$6:$H$40,6,FALSE)</f>
        <v>10205.548722296648</v>
      </c>
      <c r="G16" s="107">
        <f>VLOOKUP($B16,Ethnicity!$B$6:$H$40,6,FALSE)</f>
        <v>3454.3434080008992</v>
      </c>
      <c r="H16" s="107">
        <f>VLOOKUP($B16,Poverty!$B$6:$H$40,6,FALSE)</f>
        <v>4312.5537602416216</v>
      </c>
      <c r="I16" s="107">
        <f>VLOOKUP($B16,Rurality!$B$6:$H$40,6,FALSE)</f>
        <v>19273.820916456862</v>
      </c>
      <c r="J16" s="107">
        <f>VLOOKUP($B16,Education!$B$6:$H$40,6,FALSE)</f>
        <v>4810.8739537827832</v>
      </c>
      <c r="K16" s="136">
        <f>VLOOKUP($B16,Language!$B$6:$H$40,6,FALSE)</f>
        <v>1636.1233915241116</v>
      </c>
      <c r="L16" s="172">
        <f>VLOOKUP($B16,Matching!$B$7:$L$40,10,FALSE)</f>
        <v>0</v>
      </c>
      <c r="M16" s="173">
        <f>VLOOKUP($B16,Incentives!$B$7:$Y$40,23,FALSE)</f>
        <v>0</v>
      </c>
      <c r="N16" s="149">
        <f t="shared" si="0"/>
        <v>98011.639041166651</v>
      </c>
      <c r="O16" s="108">
        <f t="shared" si="1"/>
        <v>9.8011639041166651E-3</v>
      </c>
      <c r="P16" s="108">
        <f t="shared" si="2"/>
        <v>5.4919629667377762E-3</v>
      </c>
      <c r="Q16" s="150">
        <f t="shared" si="3"/>
        <v>4.1813839181385086</v>
      </c>
      <c r="R16" s="103"/>
      <c r="T16" s="22"/>
      <c r="U16" s="22"/>
    </row>
    <row r="17" spans="1:21" x14ac:dyDescent="0.25">
      <c r="A17" s="40"/>
      <c r="B17" s="105" t="s">
        <v>57</v>
      </c>
      <c r="C17" s="106">
        <f>VLOOKUP($B17,'County Data'!$B$10:$C$46,2,FALSE)</f>
        <v>23005</v>
      </c>
      <c r="D17" s="135">
        <f>VLOOKUP($B17,Floor!$B$6:$M$45,4,FALSE)</f>
        <v>44637.096774193546</v>
      </c>
      <c r="E17" s="107">
        <f>VLOOKUP($B17,Burden!$B$6:$H$40,6,FALSE)</f>
        <v>11240.592946671686</v>
      </c>
      <c r="F17" s="107">
        <f>VLOOKUP($B17,'Health Status'!$B$6:$H$40,6,FALSE)</f>
        <v>8883.893059933338</v>
      </c>
      <c r="G17" s="107">
        <f>VLOOKUP($B17,Ethnicity!$B$6:$H$40,6,FALSE)</f>
        <v>4356.0693494373509</v>
      </c>
      <c r="H17" s="107">
        <f>VLOOKUP($B17,Poverty!$B$6:$H$40,6,FALSE)</f>
        <v>3792.9390879104099</v>
      </c>
      <c r="I17" s="107">
        <f>VLOOKUP($B17,Rurality!$B$6:$H$40,6,FALSE)</f>
        <v>15251.135418520324</v>
      </c>
      <c r="J17" s="107">
        <f>VLOOKUP($B17,Education!$B$6:$H$40,6,FALSE)</f>
        <v>4155.4789933054326</v>
      </c>
      <c r="K17" s="136">
        <f>VLOOKUP($B17,Language!$B$6:$H$40,6,FALSE)</f>
        <v>1637.2973671691191</v>
      </c>
      <c r="L17" s="172">
        <f>VLOOKUP($B17,Matching!$B$7:$L$40,10,FALSE)</f>
        <v>0</v>
      </c>
      <c r="M17" s="173">
        <f>VLOOKUP($B17,Incentives!$B$7:$Y$40,23,FALSE)</f>
        <v>0</v>
      </c>
      <c r="N17" s="149">
        <f t="shared" si="0"/>
        <v>93954.502997141186</v>
      </c>
      <c r="O17" s="108">
        <f t="shared" si="1"/>
        <v>9.3954502997141177E-3</v>
      </c>
      <c r="P17" s="108">
        <f t="shared" si="2"/>
        <v>5.3900430055376508E-3</v>
      </c>
      <c r="Q17" s="150">
        <f t="shared" si="3"/>
        <v>4.0840905454093104</v>
      </c>
      <c r="R17" s="103"/>
      <c r="T17" s="22"/>
      <c r="U17" s="22"/>
    </row>
    <row r="18" spans="1:21" x14ac:dyDescent="0.25">
      <c r="A18" s="40"/>
      <c r="B18" s="105" t="s">
        <v>58</v>
      </c>
      <c r="C18" s="106">
        <f>VLOOKUP($B18,'County Data'!$B$10:$C$46,2,FALSE)</f>
        <v>24105</v>
      </c>
      <c r="D18" s="135">
        <f>VLOOKUP($B18,Floor!$B$6:$M$45,4,FALSE)</f>
        <v>44637.096774193546</v>
      </c>
      <c r="E18" s="107">
        <f>VLOOKUP($B18,Burden!$B$6:$H$40,6,FALSE)</f>
        <v>10230.267923000134</v>
      </c>
      <c r="F18" s="107">
        <f>VLOOKUP($B18,'Health Status'!$B$6:$H$40,6,FALSE)</f>
        <v>6251.4191677699982</v>
      </c>
      <c r="G18" s="107">
        <f>VLOOKUP($B18,Ethnicity!$B$6:$H$40,6,FALSE)</f>
        <v>14239.861696629319</v>
      </c>
      <c r="H18" s="107">
        <f>VLOOKUP($B18,Poverty!$B$6:$H$40,6,FALSE)</f>
        <v>5003.1059369791519</v>
      </c>
      <c r="I18" s="107">
        <f>VLOOKUP($B18,Rurality!$B$6:$H$40,6,FALSE)</f>
        <v>26055.863460221364</v>
      </c>
      <c r="J18" s="107">
        <f>VLOOKUP($B18,Education!$B$6:$H$40,6,FALSE)</f>
        <v>5570.391934727033</v>
      </c>
      <c r="K18" s="136">
        <f>VLOOKUP($B18,Language!$B$6:$H$40,6,FALSE)</f>
        <v>6477.6855775604436</v>
      </c>
      <c r="L18" s="172">
        <f>VLOOKUP($B18,Matching!$B$7:$L$40,10,FALSE)</f>
        <v>0</v>
      </c>
      <c r="M18" s="173">
        <f>VLOOKUP($B18,Incentives!$B$7:$Y$40,23,FALSE)</f>
        <v>0</v>
      </c>
      <c r="N18" s="149">
        <f t="shared" si="0"/>
        <v>118465.69247108098</v>
      </c>
      <c r="O18" s="108">
        <f t="shared" si="1"/>
        <v>1.1846569247108099E-2</v>
      </c>
      <c r="P18" s="108">
        <f t="shared" si="2"/>
        <v>5.6477716430552091E-3</v>
      </c>
      <c r="Q18" s="150">
        <f t="shared" si="3"/>
        <v>4.914569279032607</v>
      </c>
      <c r="R18" s="103"/>
      <c r="T18" s="22"/>
      <c r="U18" s="22"/>
    </row>
    <row r="19" spans="1:21" x14ac:dyDescent="0.25">
      <c r="B19" s="105" t="s">
        <v>59</v>
      </c>
      <c r="C19" s="106">
        <f>VLOOKUP($B19,'County Data'!$B$10:$C$46,2,FALSE)</f>
        <v>25640</v>
      </c>
      <c r="D19" s="135">
        <f>VLOOKUP($B19,Floor!$B$6:$M$45,4,FALSE)</f>
        <v>44637.096774193546</v>
      </c>
      <c r="E19" s="107">
        <f>VLOOKUP($B19,Burden!$B$6:$H$40,6,FALSE)</f>
        <v>6013.7217352235521</v>
      </c>
      <c r="F19" s="107">
        <f>VLOOKUP($B19,'Health Status'!$B$6:$H$40,6,FALSE)</f>
        <v>7959.994835158871</v>
      </c>
      <c r="G19" s="107">
        <f>VLOOKUP($B19,Ethnicity!$B$6:$H$40,6,FALSE)</f>
        <v>7017.0248660983043</v>
      </c>
      <c r="H19" s="107">
        <f>VLOOKUP($B19,Poverty!$B$6:$H$40,6,FALSE)</f>
        <v>3631.4089046515314</v>
      </c>
      <c r="I19" s="107">
        <f>VLOOKUP($B19,Rurality!$B$6:$H$40,6,FALSE)</f>
        <v>22927.542044540314</v>
      </c>
      <c r="J19" s="107">
        <f>VLOOKUP($B19,Education!$B$6:$H$40,6,FALSE)</f>
        <v>8015.3393357096611</v>
      </c>
      <c r="K19" s="136">
        <f>VLOOKUP($B19,Language!$B$6:$H$40,6,FALSE)</f>
        <v>21512.901263831143</v>
      </c>
      <c r="L19" s="172">
        <f>VLOOKUP($B19,Matching!$B$7:$L$40,10,FALSE)</f>
        <v>0</v>
      </c>
      <c r="M19" s="173">
        <f>VLOOKUP($B19,Incentives!$B$7:$Y$40,23,FALSE)</f>
        <v>0</v>
      </c>
      <c r="N19" s="149">
        <f t="shared" si="0"/>
        <v>121715.02975940691</v>
      </c>
      <c r="O19" s="108">
        <f t="shared" si="1"/>
        <v>1.2171502975940692E-2</v>
      </c>
      <c r="P19" s="108">
        <f t="shared" si="2"/>
        <v>6.0074202417728919E-3</v>
      </c>
      <c r="Q19" s="150">
        <f t="shared" si="3"/>
        <v>4.7470760436586161</v>
      </c>
      <c r="R19" s="103"/>
      <c r="T19" s="22"/>
      <c r="U19" s="22"/>
    </row>
    <row r="20" spans="1:21" x14ac:dyDescent="0.25">
      <c r="B20" s="105" t="s">
        <v>60</v>
      </c>
      <c r="C20" s="106">
        <f>VLOOKUP($B20,'County Data'!$B$10:$C$46,2,FALSE)</f>
        <v>26530</v>
      </c>
      <c r="D20" s="135">
        <f>VLOOKUP($B20,Floor!$B$6:$M$45,4,FALSE)</f>
        <v>44637.096774193546</v>
      </c>
      <c r="E20" s="107">
        <f>VLOOKUP($B20,Burden!$B$6:$H$40,6,FALSE)</f>
        <v>10768.578193726808</v>
      </c>
      <c r="F20" s="107">
        <f>VLOOKUP($B20,'Health Status'!$B$6:$H$40,6,FALSE)</f>
        <v>8487.4039332296306</v>
      </c>
      <c r="G20" s="107">
        <f>VLOOKUP($B20,Ethnicity!$B$6:$H$40,6,FALSE)</f>
        <v>4067.9600061731535</v>
      </c>
      <c r="H20" s="107">
        <f>VLOOKUP($B20,Poverty!$B$6:$H$40,6,FALSE)</f>
        <v>4615.1705463044036</v>
      </c>
      <c r="I20" s="107">
        <f>VLOOKUP($B20,Rurality!$B$6:$H$40,6,FALSE)</f>
        <v>31631.185150372046</v>
      </c>
      <c r="J20" s="107">
        <f>VLOOKUP($B20,Education!$B$6:$H$40,6,FALSE)</f>
        <v>4238.8086589210643</v>
      </c>
      <c r="K20" s="136">
        <f>VLOOKUP($B20,Language!$B$6:$H$40,6,FALSE)</f>
        <v>4522.599115579138</v>
      </c>
      <c r="L20" s="172">
        <f>VLOOKUP($B20,Matching!$B$7:$L$40,10,FALSE)</f>
        <v>0</v>
      </c>
      <c r="M20" s="173">
        <f>VLOOKUP($B20,Incentives!$B$7:$Y$40,23,FALSE)</f>
        <v>0</v>
      </c>
      <c r="N20" s="149">
        <f t="shared" si="0"/>
        <v>112968.80237849979</v>
      </c>
      <c r="O20" s="108">
        <f t="shared" si="1"/>
        <v>1.129688023784998E-2</v>
      </c>
      <c r="P20" s="108">
        <f t="shared" si="2"/>
        <v>6.215946139400734E-3</v>
      </c>
      <c r="Q20" s="150">
        <f t="shared" si="3"/>
        <v>4.2581531239540062</v>
      </c>
      <c r="R20" s="103"/>
      <c r="T20" s="22"/>
      <c r="U20" s="22"/>
    </row>
    <row r="21" spans="1:21" x14ac:dyDescent="0.25">
      <c r="B21" s="105" t="s">
        <v>61</v>
      </c>
      <c r="C21" s="106">
        <f>VLOOKUP($B21,'County Data'!$B$10:$C$46,2,FALSE)</f>
        <v>26840</v>
      </c>
      <c r="D21" s="135">
        <f>VLOOKUP($B21,Floor!$B$6:$M$45,4,FALSE)</f>
        <v>44637.096774193546</v>
      </c>
      <c r="E21" s="107">
        <f>VLOOKUP($B21,Burden!$B$6:$H$40,6,FALSE)</f>
        <v>10318.606007364684</v>
      </c>
      <c r="F21" s="107">
        <f>VLOOKUP($B21,'Health Status'!$B$6:$H$40,6,FALSE)</f>
        <v>5385.6644785730177</v>
      </c>
      <c r="G21" s="107">
        <f>VLOOKUP($B21,Ethnicity!$B$6:$H$40,6,FALSE)</f>
        <v>4352.6114433950333</v>
      </c>
      <c r="H21" s="107">
        <f>VLOOKUP($B21,Poverty!$B$6:$H$40,6,FALSE)</f>
        <v>5591.389268180541</v>
      </c>
      <c r="I21" s="107">
        <f>VLOOKUP($B21,Rurality!$B$6:$H$40,6,FALSE)</f>
        <v>19356.800855058358</v>
      </c>
      <c r="J21" s="107">
        <f>VLOOKUP($B21,Education!$B$6:$H$40,6,FALSE)</f>
        <v>3406.5567060876901</v>
      </c>
      <c r="K21" s="136">
        <f>VLOOKUP($B21,Language!$B$6:$H$40,6,FALSE)</f>
        <v>2343.029134042411</v>
      </c>
      <c r="L21" s="172">
        <f>VLOOKUP($B21,Matching!$B$7:$L$40,10,FALSE)</f>
        <v>0</v>
      </c>
      <c r="M21" s="173">
        <f>VLOOKUP($B21,Incentives!$B$7:$Y$40,23,FALSE)</f>
        <v>0</v>
      </c>
      <c r="N21" s="149">
        <f t="shared" si="0"/>
        <v>95391.754666895285</v>
      </c>
      <c r="O21" s="108">
        <f t="shared" si="1"/>
        <v>9.5391754666895277E-3</v>
      </c>
      <c r="P21" s="108">
        <f t="shared" si="2"/>
        <v>6.2885787554284095E-3</v>
      </c>
      <c r="Q21" s="150">
        <f t="shared" si="3"/>
        <v>3.5540892200780658</v>
      </c>
      <c r="R21" s="103"/>
      <c r="T21" s="22"/>
      <c r="U21" s="22"/>
    </row>
    <row r="22" spans="1:21" x14ac:dyDescent="0.25">
      <c r="B22" s="109" t="s">
        <v>62</v>
      </c>
      <c r="C22" s="106">
        <f>VLOOKUP($B22,'County Data'!$B$10:$C$46,2,FALSE)</f>
        <v>31080</v>
      </c>
      <c r="D22" s="135">
        <f>VLOOKUP($B22,Floor!$B$6:$M$45,4,FALSE)</f>
        <v>104153.22580645161</v>
      </c>
      <c r="E22" s="107">
        <f>VLOOKUP($B22,Burden!$B$6:$H$40,6,FALSE)</f>
        <v>12530.955398359034</v>
      </c>
      <c r="F22" s="107">
        <f>VLOOKUP($B22,'Health Status'!$B$6:$H$40,6,FALSE)</f>
        <v>8119.1583862366861</v>
      </c>
      <c r="G22" s="107">
        <f>VLOOKUP($B22,Ethnicity!$B$6:$H$40,6,FALSE)</f>
        <v>7591.5114300225496</v>
      </c>
      <c r="H22" s="107">
        <f>VLOOKUP($B22,Poverty!$B$6:$H$40,6,FALSE)</f>
        <v>5070.2727809506905</v>
      </c>
      <c r="I22" s="107">
        <f>VLOOKUP($B22,Rurality!$B$6:$H$40,6,FALSE)</f>
        <v>22095.20735073982</v>
      </c>
      <c r="J22" s="107">
        <f>VLOOKUP($B22,Education!$B$6:$H$40,6,FALSE)</f>
        <v>6931.3501656918206</v>
      </c>
      <c r="K22" s="136">
        <f>VLOOKUP($B22,Language!$B$6:$H$40,6,FALSE)</f>
        <v>9195.88654676029</v>
      </c>
      <c r="L22" s="172">
        <f>VLOOKUP($B22,Matching!$B$7:$L$40,10,FALSE)</f>
        <v>0</v>
      </c>
      <c r="M22" s="173">
        <f>VLOOKUP($B22,Incentives!$B$7:$Y$40,23,FALSE)</f>
        <v>0</v>
      </c>
      <c r="N22" s="149">
        <f t="shared" si="0"/>
        <v>175687.56786521251</v>
      </c>
      <c r="O22" s="108">
        <f t="shared" si="1"/>
        <v>1.7568756786521252E-2</v>
      </c>
      <c r="P22" s="108">
        <f t="shared" si="2"/>
        <v>7.2820055036779052E-3</v>
      </c>
      <c r="Q22" s="150">
        <f t="shared" si="3"/>
        <v>5.6527531488163616</v>
      </c>
      <c r="R22" s="103"/>
      <c r="T22" s="22"/>
      <c r="U22" s="22"/>
    </row>
    <row r="23" spans="1:21" x14ac:dyDescent="0.25">
      <c r="B23" s="105" t="s">
        <v>63</v>
      </c>
      <c r="C23" s="106">
        <f>VLOOKUP($B23,'County Data'!$B$10:$C$46,2,FALSE)</f>
        <v>32105</v>
      </c>
      <c r="D23" s="135">
        <f>VLOOKUP($B23,Floor!$B$6:$M$45,4,FALSE)</f>
        <v>44637.096774193546</v>
      </c>
      <c r="E23" s="107">
        <f>VLOOKUP($B23,Burden!$B$6:$H$40,6,FALSE)</f>
        <v>12251.353475011647</v>
      </c>
      <c r="F23" s="107">
        <f>VLOOKUP($B23,'Health Status'!$B$6:$H$40,6,FALSE)</f>
        <v>16469.972809142582</v>
      </c>
      <c r="G23" s="107">
        <f>VLOOKUP($B23,Ethnicity!$B$6:$H$40,6,FALSE)</f>
        <v>7163.3440304169835</v>
      </c>
      <c r="H23" s="107">
        <f>VLOOKUP($B23,Poverty!$B$6:$H$40,6,FALSE)</f>
        <v>8018.6309892042218</v>
      </c>
      <c r="I23" s="107">
        <f>VLOOKUP($B23,Rurality!$B$6:$H$40,6,FALSE)</f>
        <v>26618.7103538341</v>
      </c>
      <c r="J23" s="107">
        <f>VLOOKUP($B23,Education!$B$6:$H$40,6,FALSE)</f>
        <v>10121.643302949056</v>
      </c>
      <c r="K23" s="136">
        <f>VLOOKUP($B23,Language!$B$6:$H$40,6,FALSE)</f>
        <v>13646.154674032248</v>
      </c>
      <c r="L23" s="172">
        <f>VLOOKUP($B23,Matching!$B$7:$L$40,10,FALSE)</f>
        <v>0</v>
      </c>
      <c r="M23" s="173">
        <f>VLOOKUP($B23,Incentives!$B$7:$Y$40,23,FALSE)</f>
        <v>0</v>
      </c>
      <c r="N23" s="149">
        <f t="shared" si="0"/>
        <v>138926.90640878439</v>
      </c>
      <c r="O23" s="108">
        <f t="shared" si="1"/>
        <v>1.3892690640878438E-2</v>
      </c>
      <c r="P23" s="108">
        <f t="shared" si="2"/>
        <v>7.5221617340919924E-3</v>
      </c>
      <c r="Q23" s="150">
        <f t="shared" si="3"/>
        <v>4.3272669804947634</v>
      </c>
      <c r="R23" s="103"/>
      <c r="T23" s="22"/>
      <c r="U23" s="22"/>
    </row>
    <row r="24" spans="1:21" x14ac:dyDescent="0.25">
      <c r="B24" s="105" t="s">
        <v>64</v>
      </c>
      <c r="C24" s="106">
        <f>VLOOKUP($B24,'County Data'!$B$10:$C$46,2,FALSE)</f>
        <v>39455</v>
      </c>
      <c r="D24" s="135">
        <f>VLOOKUP($B24,Floor!$B$6:$M$45,4,FALSE)</f>
        <v>44637.096774193546</v>
      </c>
      <c r="E24" s="107">
        <f>VLOOKUP($B24,Burden!$B$6:$H$40,6,FALSE)</f>
        <v>15932.472508197841</v>
      </c>
      <c r="F24" s="107">
        <f>VLOOKUP($B24,'Health Status'!$B$6:$H$40,6,FALSE)</f>
        <v>11203.255068580676</v>
      </c>
      <c r="G24" s="107">
        <f>VLOOKUP($B24,Ethnicity!$B$6:$H$40,6,FALSE)</f>
        <v>7087.0590354905535</v>
      </c>
      <c r="H24" s="107">
        <f>VLOOKUP($B24,Poverty!$B$6:$H$40,6,FALSE)</f>
        <v>6190.7004947460227</v>
      </c>
      <c r="I24" s="107">
        <f>VLOOKUP($B24,Rurality!$B$6:$H$40,6,FALSE)</f>
        <v>26359.406610933427</v>
      </c>
      <c r="J24" s="107">
        <f>VLOOKUP($B24,Education!$B$6:$H$40,6,FALSE)</f>
        <v>5493.0619610257236</v>
      </c>
      <c r="K24" s="136">
        <f>VLOOKUP($B24,Language!$B$6:$H$40,6,FALSE)</f>
        <v>6561.4722216310092</v>
      </c>
      <c r="L24" s="172">
        <f>VLOOKUP($B24,Matching!$B$7:$L$40,10,FALSE)</f>
        <v>0</v>
      </c>
      <c r="M24" s="173">
        <f>VLOOKUP($B24,Incentives!$B$7:$Y$40,23,FALSE)</f>
        <v>0</v>
      </c>
      <c r="N24" s="149">
        <f t="shared" si="0"/>
        <v>123464.5246747988</v>
      </c>
      <c r="O24" s="108">
        <f t="shared" si="1"/>
        <v>1.234645246747988E-2</v>
      </c>
      <c r="P24" s="108">
        <f t="shared" si="2"/>
        <v>9.2442576302320372E-3</v>
      </c>
      <c r="Q24" s="150">
        <f t="shared" si="3"/>
        <v>3.1292491363527764</v>
      </c>
      <c r="R24" s="103"/>
      <c r="T24" s="22"/>
      <c r="U24" s="22"/>
    </row>
    <row r="25" spans="1:21" x14ac:dyDescent="0.25">
      <c r="B25" s="105" t="s">
        <v>65</v>
      </c>
      <c r="C25" s="106">
        <f>VLOOKUP($B25,'County Data'!$B$10:$C$46,2,FALSE)</f>
        <v>48305</v>
      </c>
      <c r="D25" s="135">
        <f>VLOOKUP($B25,Floor!$B$6:$M$45,4,FALSE)</f>
        <v>44637.096774193546</v>
      </c>
      <c r="E25" s="107">
        <f>VLOOKUP($B25,Burden!$B$6:$H$40,6,FALSE)</f>
        <v>23326.940646856521</v>
      </c>
      <c r="F25" s="107">
        <f>VLOOKUP($B25,'Health Status'!$B$6:$H$40,6,FALSE)</f>
        <v>19477.024337717936</v>
      </c>
      <c r="G25" s="107">
        <f>VLOOKUP($B25,Ethnicity!$B$6:$H$40,6,FALSE)</f>
        <v>11654.207934956907</v>
      </c>
      <c r="H25" s="107">
        <f>VLOOKUP($B25,Poverty!$B$6:$H$40,6,FALSE)</f>
        <v>9281.2676447443464</v>
      </c>
      <c r="I25" s="107">
        <f>VLOOKUP($B25,Rurality!$B$6:$H$40,6,FALSE)</f>
        <v>31113.502709303251</v>
      </c>
      <c r="J25" s="107">
        <f>VLOOKUP($B25,Education!$B$6:$H$40,6,FALSE)</f>
        <v>7504.5358181522333</v>
      </c>
      <c r="K25" s="136">
        <f>VLOOKUP($B25,Language!$B$6:$H$40,6,FALSE)</f>
        <v>5184.472432752741</v>
      </c>
      <c r="L25" s="172">
        <f>VLOOKUP($B25,Matching!$B$7:$L$40,10,FALSE)</f>
        <v>0</v>
      </c>
      <c r="M25" s="173">
        <f>VLOOKUP($B25,Incentives!$B$7:$Y$40,23,FALSE)</f>
        <v>0</v>
      </c>
      <c r="N25" s="149">
        <f t="shared" si="0"/>
        <v>152179.04829867752</v>
      </c>
      <c r="O25" s="108">
        <f t="shared" si="1"/>
        <v>1.5217904829867752E-2</v>
      </c>
      <c r="P25" s="108">
        <f t="shared" si="2"/>
        <v>1.131780166844148E-2</v>
      </c>
      <c r="Q25" s="150">
        <f t="shared" si="3"/>
        <v>3.1503788075494774</v>
      </c>
      <c r="R25" s="103"/>
      <c r="T25" s="22"/>
      <c r="U25" s="22"/>
    </row>
    <row r="26" spans="1:21" x14ac:dyDescent="0.25">
      <c r="B26" s="105" t="s">
        <v>66</v>
      </c>
      <c r="C26" s="106">
        <f>VLOOKUP($B26,'County Data'!$B$10:$C$46,2,FALSE)</f>
        <v>53280</v>
      </c>
      <c r="D26" s="135">
        <f>VLOOKUP($B26,Floor!$B$6:$M$45,4,FALSE)</f>
        <v>44637.096774193546</v>
      </c>
      <c r="E26" s="107">
        <f>VLOOKUP($B26,Burden!$B$6:$H$40,6,FALSE)</f>
        <v>18914.121064816205</v>
      </c>
      <c r="F26" s="107">
        <f>VLOOKUP($B26,'Health Status'!$B$6:$H$40,6,FALSE)</f>
        <v>20676.117629546839</v>
      </c>
      <c r="G26" s="107">
        <f>VLOOKUP($B26,Ethnicity!$B$6:$H$40,6,FALSE)</f>
        <v>7794.5599019096226</v>
      </c>
      <c r="H26" s="107">
        <f>VLOOKUP($B26,Poverty!$B$6:$H$40,6,FALSE)</f>
        <v>7667.6847503259578</v>
      </c>
      <c r="I26" s="107">
        <f>VLOOKUP($B26,Rurality!$B$6:$H$40,6,FALSE)</f>
        <v>39794.191001401297</v>
      </c>
      <c r="J26" s="107">
        <f>VLOOKUP($B26,Education!$B$6:$H$40,6,FALSE)</f>
        <v>8428.9927682229772</v>
      </c>
      <c r="K26" s="136">
        <f>VLOOKUP($B26,Language!$B$6:$H$40,6,FALSE)</f>
        <v>3899.8671926645488</v>
      </c>
      <c r="L26" s="172">
        <f>VLOOKUP($B26,Matching!$B$7:$L$40,10,FALSE)</f>
        <v>0</v>
      </c>
      <c r="M26" s="173">
        <f>VLOOKUP($B26,Incentives!$B$7:$Y$40,23,FALSE)</f>
        <v>0</v>
      </c>
      <c r="N26" s="149">
        <f t="shared" si="0"/>
        <v>151812.63108308104</v>
      </c>
      <c r="O26" s="108">
        <f t="shared" si="1"/>
        <v>1.5181263108308104E-2</v>
      </c>
      <c r="P26" s="108">
        <f t="shared" si="2"/>
        <v>1.248343800630498E-2</v>
      </c>
      <c r="Q26" s="150">
        <f t="shared" si="3"/>
        <v>2.8493361689767465</v>
      </c>
      <c r="R26" s="103"/>
      <c r="T26" s="22"/>
      <c r="U26" s="22"/>
    </row>
    <row r="27" spans="1:21" x14ac:dyDescent="0.25">
      <c r="B27" s="105" t="s">
        <v>67</v>
      </c>
      <c r="C27" s="106">
        <f>VLOOKUP($B27,'County Data'!$B$10:$C$46,2,FALSE)</f>
        <v>63315</v>
      </c>
      <c r="D27" s="135">
        <f>VLOOKUP($B27,Floor!$B$6:$M$45,4,FALSE)</f>
        <v>44637.096774193546</v>
      </c>
      <c r="E27" s="107">
        <f>VLOOKUP($B27,Burden!$B$6:$H$40,6,FALSE)</f>
        <v>30761.988432556154</v>
      </c>
      <c r="F27" s="107">
        <f>VLOOKUP($B27,'Health Status'!$B$6:$H$40,6,FALSE)</f>
        <v>25649.05103008114</v>
      </c>
      <c r="G27" s="107">
        <f>VLOOKUP($B27,Ethnicity!$B$6:$H$40,6,FALSE)</f>
        <v>15106.760557364452</v>
      </c>
      <c r="H27" s="107">
        <f>VLOOKUP($B27,Poverty!$B$6:$H$40,6,FALSE)</f>
        <v>12942.135085762533</v>
      </c>
      <c r="I27" s="107">
        <f>VLOOKUP($B27,Rurality!$B$6:$H$40,6,FALSE)</f>
        <v>41649.214038411817</v>
      </c>
      <c r="J27" s="107">
        <f>VLOOKUP($B27,Education!$B$6:$H$40,6,FALSE)</f>
        <v>11652.338434689133</v>
      </c>
      <c r="K27" s="136">
        <f>VLOOKUP($B27,Language!$B$6:$H$40,6,FALSE)</f>
        <v>5090.0109514125206</v>
      </c>
      <c r="L27" s="172">
        <f>VLOOKUP($B27,Matching!$B$7:$L$40,10,FALSE)</f>
        <v>0</v>
      </c>
      <c r="M27" s="173">
        <f>VLOOKUP($B27,Incentives!$B$7:$Y$40,23,FALSE)</f>
        <v>0</v>
      </c>
      <c r="N27" s="149">
        <f t="shared" si="0"/>
        <v>187488.5953044713</v>
      </c>
      <c r="O27" s="108">
        <f t="shared" si="1"/>
        <v>1.874885953044713E-2</v>
      </c>
      <c r="P27" s="108">
        <f t="shared" si="2"/>
        <v>1.4834626076749246E-2</v>
      </c>
      <c r="Q27" s="150">
        <f t="shared" si="3"/>
        <v>2.9612034321167386</v>
      </c>
      <c r="R27" s="103"/>
      <c r="T27" s="22"/>
      <c r="U27" s="22"/>
    </row>
    <row r="28" spans="1:21" x14ac:dyDescent="0.25">
      <c r="B28" s="105" t="s">
        <v>68</v>
      </c>
      <c r="C28" s="106">
        <f>VLOOKUP($B28,'County Data'!$B$10:$C$46,2,FALSE)</f>
        <v>68075</v>
      </c>
      <c r="D28" s="135">
        <f>VLOOKUP($B28,Floor!$B$6:$M$45,4,FALSE)</f>
        <v>44637.096774193546</v>
      </c>
      <c r="E28" s="107">
        <f>VLOOKUP($B28,Burden!$B$6:$H$40,6,FALSE)</f>
        <v>32540.547329947512</v>
      </c>
      <c r="F28" s="107">
        <f>VLOOKUP($B28,'Health Status'!$B$6:$H$40,6,FALSE)</f>
        <v>22422.695298456725</v>
      </c>
      <c r="G28" s="107">
        <f>VLOOKUP($B28,Ethnicity!$B$6:$H$40,6,FALSE)</f>
        <v>16689.52419540863</v>
      </c>
      <c r="H28" s="107">
        <f>VLOOKUP($B28,Poverty!$B$6:$H$40,6,FALSE)</f>
        <v>15455.055154601132</v>
      </c>
      <c r="I28" s="107">
        <f>VLOOKUP($B28,Rurality!$B$6:$H$40,6,FALSE)</f>
        <v>43847.462932115079</v>
      </c>
      <c r="J28" s="107">
        <f>VLOOKUP($B28,Education!$B$6:$H$40,6,FALSE)</f>
        <v>14149.80313034075</v>
      </c>
      <c r="K28" s="136">
        <f>VLOOKUP($B28,Language!$B$6:$H$40,6,FALSE)</f>
        <v>12354.63071981993</v>
      </c>
      <c r="L28" s="172">
        <f>VLOOKUP($B28,Matching!$B$7:$L$40,10,FALSE)</f>
        <v>0</v>
      </c>
      <c r="M28" s="173">
        <f>VLOOKUP($B28,Incentives!$B$7:$Y$40,23,FALSE)</f>
        <v>0</v>
      </c>
      <c r="N28" s="149">
        <f t="shared" si="0"/>
        <v>202096.8155348833</v>
      </c>
      <c r="O28" s="108">
        <f t="shared" si="1"/>
        <v>2.0209681553488328E-2</v>
      </c>
      <c r="P28" s="108">
        <f t="shared" si="2"/>
        <v>1.5949888180916132E-2</v>
      </c>
      <c r="Q28" s="150">
        <f t="shared" si="3"/>
        <v>2.9687376501635447</v>
      </c>
      <c r="R28" s="110">
        <f>SUM(N16:N28)/SUM(C16:C28)</f>
        <v>3.6526274240925427</v>
      </c>
      <c r="T28" s="22"/>
      <c r="U28" s="22"/>
    </row>
    <row r="29" spans="1:21" x14ac:dyDescent="0.25">
      <c r="A29" s="40"/>
      <c r="B29" s="111" t="s">
        <v>69</v>
      </c>
      <c r="C29" s="112">
        <f>VLOOKUP($B29,'County Data'!$B$10:$C$46,2,FALSE)</f>
        <v>81495</v>
      </c>
      <c r="D29" s="137">
        <f>VLOOKUP($B29,Floor!$B$6:$M$45,4,FALSE)</f>
        <v>59516.129032258061</v>
      </c>
      <c r="E29" s="113">
        <f>VLOOKUP($B29,Burden!$B$6:$H$40,6,FALSE)</f>
        <v>28509.352935998719</v>
      </c>
      <c r="F29" s="113">
        <f>VLOOKUP($B29,'Health Status'!$B$6:$H$40,6,FALSE)</f>
        <v>28385.706249951039</v>
      </c>
      <c r="G29" s="113">
        <f>VLOOKUP($B29,Ethnicity!$B$6:$H$40,6,FALSE)</f>
        <v>24156.034829093933</v>
      </c>
      <c r="H29" s="113">
        <f>VLOOKUP($B29,Poverty!$B$6:$H$40,6,FALSE)</f>
        <v>16425.380068090646</v>
      </c>
      <c r="I29" s="113">
        <f>VLOOKUP($B29,Rurality!$B$6:$H$40,6,FALSE)</f>
        <v>40624.958258293846</v>
      </c>
      <c r="J29" s="113">
        <f>VLOOKUP($B29,Education!$B$6:$H$40,6,FALSE)</f>
        <v>23966.668976521021</v>
      </c>
      <c r="K29" s="138">
        <f>VLOOKUP($B29,Language!$B$6:$H$40,6,FALSE)</f>
        <v>46541.934653861186</v>
      </c>
      <c r="L29" s="174">
        <f>VLOOKUP($B29,Matching!$B$7:$L$40,10,FALSE)</f>
        <v>0</v>
      </c>
      <c r="M29" s="175">
        <f>VLOOKUP($B29,Incentives!$B$7:$Y$40,23,FALSE)</f>
        <v>0</v>
      </c>
      <c r="N29" s="151">
        <f t="shared" si="0"/>
        <v>268126.16500406846</v>
      </c>
      <c r="O29" s="114">
        <f t="shared" si="1"/>
        <v>2.6812616500406845E-2</v>
      </c>
      <c r="P29" s="114">
        <f t="shared" si="2"/>
        <v>1.9094177558630337E-2</v>
      </c>
      <c r="Q29" s="152">
        <f t="shared" si="3"/>
        <v>3.2900934413653409</v>
      </c>
      <c r="R29" s="103"/>
      <c r="T29" s="22"/>
      <c r="U29" s="22"/>
    </row>
    <row r="30" spans="1:21" x14ac:dyDescent="0.25">
      <c r="A30" s="40"/>
      <c r="B30" s="111" t="s">
        <v>70</v>
      </c>
      <c r="C30" s="112">
        <f>VLOOKUP($B30,'County Data'!$B$10:$C$46,2,FALSE)</f>
        <v>83805</v>
      </c>
      <c r="D30" s="137">
        <f>VLOOKUP($B30,Floor!$B$6:$M$45,4,FALSE)</f>
        <v>59516.129032258061</v>
      </c>
      <c r="E30" s="113">
        <f>VLOOKUP($B30,Burden!$B$6:$H$40,6,FALSE)</f>
        <v>24855.975786735486</v>
      </c>
      <c r="F30" s="113">
        <f>VLOOKUP($B30,'Health Status'!$B$6:$H$40,6,FALSE)</f>
        <v>29031.66455575548</v>
      </c>
      <c r="G30" s="113">
        <f>VLOOKUP($B30,Ethnicity!$B$6:$H$40,6,FALSE)</f>
        <v>20569.265965132905</v>
      </c>
      <c r="H30" s="113">
        <f>VLOOKUP($B30,Poverty!$B$6:$H$40,6,FALSE)</f>
        <v>13447.393904246492</v>
      </c>
      <c r="I30" s="113">
        <f>VLOOKUP($B30,Rurality!$B$6:$H$40,6,FALSE)</f>
        <v>28568.798867572332</v>
      </c>
      <c r="J30" s="113">
        <f>VLOOKUP($B30,Education!$B$6:$H$40,6,FALSE)</f>
        <v>13228.303115106713</v>
      </c>
      <c r="K30" s="138">
        <f>VLOOKUP($B30,Language!$B$6:$H$40,6,FALSE)</f>
        <v>23274.279358983531</v>
      </c>
      <c r="L30" s="174">
        <f>VLOOKUP($B30,Matching!$B$7:$L$40,10,FALSE)</f>
        <v>0</v>
      </c>
      <c r="M30" s="175">
        <f>VLOOKUP($B30,Incentives!$B$7:$Y$40,23,FALSE)</f>
        <v>0</v>
      </c>
      <c r="N30" s="151">
        <f t="shared" si="0"/>
        <v>212491.81058579098</v>
      </c>
      <c r="O30" s="114">
        <f t="shared" si="1"/>
        <v>2.1249181058579099E-2</v>
      </c>
      <c r="P30" s="114">
        <f t="shared" si="2"/>
        <v>1.9635407697417208E-2</v>
      </c>
      <c r="Q30" s="152">
        <f t="shared" si="3"/>
        <v>2.5355505111364596</v>
      </c>
      <c r="R30" s="103"/>
      <c r="T30" s="22"/>
      <c r="U30" s="22"/>
    </row>
    <row r="31" spans="1:21" x14ac:dyDescent="0.25">
      <c r="B31" s="111" t="s">
        <v>71</v>
      </c>
      <c r="C31" s="112">
        <f>VLOOKUP($B31,'County Data'!$B$10:$C$46,2,FALSE)</f>
        <v>86560</v>
      </c>
      <c r="D31" s="137">
        <f>VLOOKUP($B31,Floor!$B$6:$M$45,4,FALSE)</f>
        <v>59516.129032258061</v>
      </c>
      <c r="E31" s="113">
        <f>VLOOKUP($B31,Burden!$B$6:$H$40,6,FALSE)</f>
        <v>42395.497201553662</v>
      </c>
      <c r="F31" s="113">
        <f>VLOOKUP($B31,'Health Status'!$B$6:$H$40,6,FALSE)</f>
        <v>35721.086369200835</v>
      </c>
      <c r="G31" s="113">
        <f>VLOOKUP($B31,Ethnicity!$B$6:$H$40,6,FALSE)</f>
        <v>14050.922040627385</v>
      </c>
      <c r="H31" s="113">
        <f>VLOOKUP($B31,Poverty!$B$6:$H$40,6,FALSE)</f>
        <v>19842.883350398231</v>
      </c>
      <c r="I31" s="113">
        <f>VLOOKUP($B31,Rurality!$B$6:$H$40,6,FALSE)</f>
        <v>66726.560041402496</v>
      </c>
      <c r="J31" s="113">
        <f>VLOOKUP($B31,Education!$B$6:$H$40,6,FALSE)</f>
        <v>13986.918561555851</v>
      </c>
      <c r="K31" s="138">
        <f>VLOOKUP($B31,Language!$B$6:$H$40,6,FALSE)</f>
        <v>6163.4339651012342</v>
      </c>
      <c r="L31" s="174">
        <f>VLOOKUP($B31,Matching!$B$7:$L$40,10,FALSE)</f>
        <v>0</v>
      </c>
      <c r="M31" s="175">
        <f>VLOOKUP($B31,Incentives!$B$7:$Y$40,23,FALSE)</f>
        <v>0</v>
      </c>
      <c r="N31" s="151">
        <f t="shared" si="0"/>
        <v>258403.43056209775</v>
      </c>
      <c r="O31" s="114">
        <f t="shared" si="1"/>
        <v>2.5840343056209775E-2</v>
      </c>
      <c r="P31" s="114">
        <f t="shared" si="2"/>
        <v>2.0280900785018E-2</v>
      </c>
      <c r="Q31" s="152">
        <f t="shared" si="3"/>
        <v>2.9852522015029779</v>
      </c>
      <c r="R31" s="103"/>
      <c r="T31" s="22"/>
      <c r="U31" s="22"/>
    </row>
    <row r="32" spans="1:21" x14ac:dyDescent="0.25">
      <c r="B32" s="111" t="s">
        <v>72</v>
      </c>
      <c r="C32" s="112">
        <f>VLOOKUP($B32,'County Data'!$B$10:$C$46,2,FALSE)</f>
        <v>94665</v>
      </c>
      <c r="D32" s="137">
        <f>VLOOKUP($B32,Floor!$B$6:$M$45,4,FALSE)</f>
        <v>59516.129032258061</v>
      </c>
      <c r="E32" s="113">
        <f>VLOOKUP($B32,Burden!$B$6:$H$40,6,FALSE)</f>
        <v>19006.184072928794</v>
      </c>
      <c r="F32" s="113">
        <f>VLOOKUP($B32,'Health Status'!$B$6:$H$40,6,FALSE)</f>
        <v>20249.709616963199</v>
      </c>
      <c r="G32" s="113">
        <f>VLOOKUP($B32,Ethnicity!$B$6:$H$40,6,FALSE)</f>
        <v>27762.924592830685</v>
      </c>
      <c r="H32" s="113">
        <f>VLOOKUP($B32,Poverty!$B$6:$H$40,6,FALSE)</f>
        <v>18048.732379708792</v>
      </c>
      <c r="I32" s="113">
        <f>VLOOKUP($B32,Rurality!$B$6:$H$40,6,FALSE)</f>
        <v>30487.110381701608</v>
      </c>
      <c r="J32" s="113">
        <f>VLOOKUP($B32,Education!$B$6:$H$40,6,FALSE)</f>
        <v>7122.8878346205875</v>
      </c>
      <c r="K32" s="138">
        <f>VLOOKUP($B32,Language!$B$6:$H$40,6,FALSE)</f>
        <v>24499.636562300231</v>
      </c>
      <c r="L32" s="174">
        <f>VLOOKUP($B32,Matching!$B$7:$L$40,10,FALSE)</f>
        <v>0</v>
      </c>
      <c r="M32" s="175">
        <f>VLOOKUP($B32,Incentives!$B$7:$Y$40,23,FALSE)</f>
        <v>0</v>
      </c>
      <c r="N32" s="151">
        <f t="shared" si="0"/>
        <v>206693.31447331194</v>
      </c>
      <c r="O32" s="114">
        <f t="shared" si="1"/>
        <v>2.0669331447331196E-2</v>
      </c>
      <c r="P32" s="114">
        <f t="shared" si="2"/>
        <v>2.217989224599964E-2</v>
      </c>
      <c r="Q32" s="152">
        <f t="shared" si="3"/>
        <v>2.1834185229315159</v>
      </c>
      <c r="R32" s="103"/>
      <c r="T32" s="22"/>
      <c r="U32" s="22"/>
    </row>
    <row r="33" spans="2:21" x14ac:dyDescent="0.25">
      <c r="B33" s="111" t="s">
        <v>73</v>
      </c>
      <c r="C33" s="112">
        <f>VLOOKUP($B33,'County Data'!$B$10:$C$46,2,FALSE)</f>
        <v>108605</v>
      </c>
      <c r="D33" s="137">
        <f>VLOOKUP($B33,Floor!$B$6:$M$45,4,FALSE)</f>
        <v>59516.129032258061</v>
      </c>
      <c r="E33" s="113">
        <f>VLOOKUP($B33,Burden!$B$6:$H$40,6,FALSE)</f>
        <v>33695.555867642375</v>
      </c>
      <c r="F33" s="113">
        <f>VLOOKUP($B33,'Health Status'!$B$6:$H$40,6,FALSE)</f>
        <v>37828.451159898548</v>
      </c>
      <c r="G33" s="113">
        <f>VLOOKUP($B33,Ethnicity!$B$6:$H$40,6,FALSE)</f>
        <v>25918.19198132923</v>
      </c>
      <c r="H33" s="113">
        <f>VLOOKUP($B33,Poverty!$B$6:$H$40,6,FALSE)</f>
        <v>16018.536337508691</v>
      </c>
      <c r="I33" s="113">
        <f>VLOOKUP($B33,Rurality!$B$6:$H$40,6,FALSE)</f>
        <v>42046.24666371465</v>
      </c>
      <c r="J33" s="113">
        <f>VLOOKUP($B33,Education!$B$6:$H$40,6,FALSE)</f>
        <v>21055.525061107008</v>
      </c>
      <c r="K33" s="138">
        <f>VLOOKUP($B33,Language!$B$6:$H$40,6,FALSE)</f>
        <v>31152.528470578243</v>
      </c>
      <c r="L33" s="174">
        <f>VLOOKUP($B33,Matching!$B$7:$L$40,10,FALSE)</f>
        <v>0</v>
      </c>
      <c r="M33" s="175">
        <f>VLOOKUP($B33,Incentives!$B$7:$Y$40,23,FALSE)</f>
        <v>0</v>
      </c>
      <c r="N33" s="151">
        <f t="shared" si="0"/>
        <v>267231.16457403678</v>
      </c>
      <c r="O33" s="114">
        <f t="shared" si="1"/>
        <v>2.6723116457403679E-2</v>
      </c>
      <c r="P33" s="114">
        <f t="shared" si="2"/>
        <v>2.5446016979631236E-2</v>
      </c>
      <c r="Q33" s="152">
        <f t="shared" si="3"/>
        <v>2.4605788368310555</v>
      </c>
      <c r="R33" s="103"/>
      <c r="T33" s="22"/>
      <c r="U33" s="22"/>
    </row>
    <row r="34" spans="2:21" x14ac:dyDescent="0.25">
      <c r="B34" s="111" t="s">
        <v>74</v>
      </c>
      <c r="C34" s="112">
        <f>VLOOKUP($B34,'County Data'!$B$10:$C$46,2,FALSE)</f>
        <v>112530</v>
      </c>
      <c r="D34" s="137">
        <f>VLOOKUP($B34,Floor!$B$6:$M$45,4,FALSE)</f>
        <v>59516.129032258061</v>
      </c>
      <c r="E34" s="113">
        <f>VLOOKUP($B34,Burden!$B$6:$H$40,6,FALSE)</f>
        <v>56073.295230134237</v>
      </c>
      <c r="F34" s="113">
        <f>VLOOKUP($B34,'Health Status'!$B$6:$H$40,6,FALSE)</f>
        <v>47290.315383189147</v>
      </c>
      <c r="G34" s="113">
        <f>VLOOKUP($B34,Ethnicity!$B$6:$H$40,6,FALSE)</f>
        <v>17195.782703349549</v>
      </c>
      <c r="H34" s="113">
        <f>VLOOKUP($B34,Poverty!$B$6:$H$40,6,FALSE)</f>
        <v>21366.283181144085</v>
      </c>
      <c r="I34" s="113">
        <f>VLOOKUP($B34,Rurality!$B$6:$H$40,6,FALSE)</f>
        <v>79420.846123462659</v>
      </c>
      <c r="J34" s="113">
        <f>VLOOKUP($B34,Education!$B$6:$H$40,6,FALSE)</f>
        <v>20224.981586905764</v>
      </c>
      <c r="K34" s="138">
        <f>VLOOKUP($B34,Language!$B$6:$H$40,6,FALSE)</f>
        <v>7246.3636771410365</v>
      </c>
      <c r="L34" s="174">
        <f>VLOOKUP($B34,Matching!$B$7:$L$40,10,FALSE)</f>
        <v>0</v>
      </c>
      <c r="M34" s="175">
        <f>VLOOKUP($B34,Incentives!$B$7:$Y$40,23,FALSE)</f>
        <v>0</v>
      </c>
      <c r="N34" s="151">
        <f t="shared" si="0"/>
        <v>308333.99691758456</v>
      </c>
      <c r="O34" s="114">
        <f t="shared" si="1"/>
        <v>3.0833399691758457E-2</v>
      </c>
      <c r="P34" s="114">
        <f t="shared" si="2"/>
        <v>2.6365639618046159E-2</v>
      </c>
      <c r="Q34" s="152">
        <f t="shared" si="3"/>
        <v>2.7400159683425271</v>
      </c>
      <c r="R34" s="103"/>
      <c r="T34" s="22"/>
      <c r="U34" s="22"/>
    </row>
    <row r="35" spans="2:21" x14ac:dyDescent="0.25">
      <c r="B35" s="111" t="s">
        <v>75</v>
      </c>
      <c r="C35" s="112">
        <f>VLOOKUP($B35,'County Data'!$B$10:$C$46,2,FALSE)</f>
        <v>127320</v>
      </c>
      <c r="D35" s="137">
        <f>VLOOKUP($B35,Floor!$B$6:$M$45,4,FALSE)</f>
        <v>59516.129032258061</v>
      </c>
      <c r="E35" s="113">
        <f>VLOOKUP($B35,Burden!$B$6:$H$40,6,FALSE)</f>
        <v>46940.13393826886</v>
      </c>
      <c r="F35" s="113">
        <f>VLOOKUP($B35,'Health Status'!$B$6:$H$40,6,FALSE)</f>
        <v>43624.064004568274</v>
      </c>
      <c r="G35" s="113">
        <f>VLOOKUP($B35,Ethnicity!$B$6:$H$40,6,FALSE)</f>
        <v>24928.757741156143</v>
      </c>
      <c r="H35" s="113">
        <f>VLOOKUP($B35,Poverty!$B$6:$H$40,6,FALSE)</f>
        <v>22271.525718155597</v>
      </c>
      <c r="I35" s="113">
        <f>VLOOKUP($B35,Rurality!$B$6:$H$40,6,FALSE)</f>
        <v>68921.177278007584</v>
      </c>
      <c r="J35" s="113">
        <f>VLOOKUP($B35,Education!$B$6:$H$40,6,FALSE)</f>
        <v>21196.770813414489</v>
      </c>
      <c r="K35" s="138">
        <f>VLOOKUP($B35,Language!$B$6:$H$40,6,FALSE)</f>
        <v>16671.693569494932</v>
      </c>
      <c r="L35" s="174">
        <f>VLOOKUP($B35,Matching!$B$7:$L$40,10,FALSE)</f>
        <v>0</v>
      </c>
      <c r="M35" s="175">
        <f>VLOOKUP($B35,Incentives!$B$7:$Y$40,23,FALSE)</f>
        <v>0</v>
      </c>
      <c r="N35" s="151">
        <f t="shared" si="0"/>
        <v>304070.25209532393</v>
      </c>
      <c r="O35" s="114">
        <f t="shared" si="1"/>
        <v>3.0407025209532392E-2</v>
      </c>
      <c r="P35" s="114">
        <f t="shared" si="2"/>
        <v>2.9830918298850415E-2</v>
      </c>
      <c r="Q35" s="152">
        <f t="shared" si="3"/>
        <v>2.3882363501046493</v>
      </c>
      <c r="R35" s="115">
        <f>SUM(N29:N35)/SUM(C29:C35)</f>
        <v>2.6264786529284505</v>
      </c>
      <c r="T35" s="22"/>
      <c r="U35" s="22"/>
    </row>
    <row r="36" spans="2:21" x14ac:dyDescent="0.25">
      <c r="B36" s="116" t="s">
        <v>76</v>
      </c>
      <c r="C36" s="117">
        <f>VLOOKUP($B36,'County Data'!$B$10:$C$46,2,FALSE)</f>
        <v>197015</v>
      </c>
      <c r="D36" s="139">
        <f>VLOOKUP($B36,Floor!$B$6:$M$45,4,FALSE)</f>
        <v>74395.161290322576</v>
      </c>
      <c r="E36" s="118">
        <f>VLOOKUP($B36,Burden!$B$6:$H$40,6,FALSE)</f>
        <v>52279.479287374103</v>
      </c>
      <c r="F36" s="118">
        <f>VLOOKUP($B36,'Health Status'!$B$6:$H$40,6,FALSE)</f>
        <v>51094.102772794286</v>
      </c>
      <c r="G36" s="118">
        <f>VLOOKUP($B36,Ethnicity!$B$6:$H$40,6,FALSE)</f>
        <v>26184.820197183246</v>
      </c>
      <c r="H36" s="118">
        <f>VLOOKUP($B36,Poverty!$B$6:$H$40,6,FALSE)</f>
        <v>25286.549616498967</v>
      </c>
      <c r="I36" s="118">
        <f>VLOOKUP($B36,Rurality!$B$6:$H$40,6,FALSE)</f>
        <v>93148.818302775413</v>
      </c>
      <c r="J36" s="118">
        <f>VLOOKUP($B36,Education!$B$6:$H$40,6,FALSE)</f>
        <v>21036.198970193826</v>
      </c>
      <c r="K36" s="140">
        <f>VLOOKUP($B36,Language!$B$6:$H$40,6,FALSE)</f>
        <v>22576.085163040992</v>
      </c>
      <c r="L36" s="176">
        <f>VLOOKUP($B36,Matching!$B$7:$L$40,10,FALSE)</f>
        <v>0</v>
      </c>
      <c r="M36" s="177">
        <f>VLOOKUP($B36,Incentives!$B$7:$Y$40,23,FALSE)</f>
        <v>0</v>
      </c>
      <c r="N36" s="153">
        <f t="shared" si="0"/>
        <v>366001.21560018341</v>
      </c>
      <c r="O36" s="119">
        <f t="shared" si="1"/>
        <v>3.6600121560018344E-2</v>
      </c>
      <c r="P36" s="119">
        <f t="shared" si="2"/>
        <v>4.6160370473201491E-2</v>
      </c>
      <c r="Q36" s="154">
        <f t="shared" si="3"/>
        <v>1.8577327391324692</v>
      </c>
      <c r="R36" s="103"/>
      <c r="T36" s="22"/>
      <c r="U36" s="22"/>
    </row>
    <row r="37" spans="2:21" x14ac:dyDescent="0.25">
      <c r="B37" s="116" t="s">
        <v>77</v>
      </c>
      <c r="C37" s="117">
        <f>VLOOKUP($B37,'County Data'!$B$10:$C$46,2,FALSE)</f>
        <v>223240</v>
      </c>
      <c r="D37" s="139">
        <f>VLOOKUP($B37,Floor!$B$6:$M$45,4,FALSE)</f>
        <v>74395.161290322576</v>
      </c>
      <c r="E37" s="118">
        <f>VLOOKUP($B37,Burden!$B$6:$H$40,6,FALSE)</f>
        <v>84049.291076002002</v>
      </c>
      <c r="F37" s="118">
        <f>VLOOKUP($B37,'Health Status'!$B$6:$H$40,6,FALSE)</f>
        <v>77757.225145580334</v>
      </c>
      <c r="G37" s="118">
        <f>VLOOKUP($B37,Ethnicity!$B$6:$H$40,6,FALSE)</f>
        <v>39355.842095347747</v>
      </c>
      <c r="H37" s="118">
        <f>VLOOKUP($B37,Poverty!$B$6:$H$40,6,FALSE)</f>
        <v>40951.95697146585</v>
      </c>
      <c r="I37" s="118">
        <f>VLOOKUP($B37,Rurality!$B$6:$H$40,6,FALSE)</f>
        <v>76866.489268642996</v>
      </c>
      <c r="J37" s="118">
        <f>VLOOKUP($B37,Education!$B$6:$H$40,6,FALSE)</f>
        <v>38213.633718588178</v>
      </c>
      <c r="K37" s="140">
        <f>VLOOKUP($B37,Language!$B$6:$H$40,6,FALSE)</f>
        <v>42609.646790723084</v>
      </c>
      <c r="L37" s="176">
        <f>VLOOKUP($B37,Matching!$B$7:$L$40,10,FALSE)</f>
        <v>0</v>
      </c>
      <c r="M37" s="177">
        <f>VLOOKUP($B37,Incentives!$B$7:$Y$40,23,FALSE)</f>
        <v>0</v>
      </c>
      <c r="N37" s="153">
        <f t="shared" si="0"/>
        <v>474199.24635667272</v>
      </c>
      <c r="O37" s="119">
        <f t="shared" si="1"/>
        <v>4.7419924635667271E-2</v>
      </c>
      <c r="P37" s="119">
        <f t="shared" si="2"/>
        <v>5.2304855490381448E-2</v>
      </c>
      <c r="Q37" s="154">
        <f t="shared" si="3"/>
        <v>2.1241679195335634</v>
      </c>
      <c r="R37" s="103"/>
      <c r="T37" s="22"/>
      <c r="U37" s="22"/>
    </row>
    <row r="38" spans="2:21" x14ac:dyDescent="0.25">
      <c r="B38" s="116" t="s">
        <v>78</v>
      </c>
      <c r="C38" s="117">
        <f>VLOOKUP($B38,'County Data'!$B$10:$C$46,2,FALSE)</f>
        <v>349120</v>
      </c>
      <c r="D38" s="139">
        <f>VLOOKUP($B38,Floor!$B$6:$M$45,4,FALSE)</f>
        <v>74395.161290322576</v>
      </c>
      <c r="E38" s="118">
        <f>VLOOKUP($B38,Burden!$B$6:$H$40,6,FALSE)</f>
        <v>109629.10518917401</v>
      </c>
      <c r="F38" s="118">
        <f>VLOOKUP($B38,'Health Status'!$B$6:$H$40,6,FALSE)</f>
        <v>126889.84727448724</v>
      </c>
      <c r="G38" s="118">
        <f>VLOOKUP($B38,Ethnicity!$B$6:$H$40,6,FALSE)</f>
        <v>135049.36030544352</v>
      </c>
      <c r="H38" s="118">
        <f>VLOOKUP($B38,Poverty!$B$6:$H$40,6,FALSE)</f>
        <v>65460.298208954242</v>
      </c>
      <c r="I38" s="118">
        <f>VLOOKUP($B38,Rurality!$B$6:$H$40,6,FALSE)</f>
        <v>78345.670056909323</v>
      </c>
      <c r="J38" s="118">
        <f>VLOOKUP($B38,Education!$B$6:$H$40,6,FALSE)</f>
        <v>84921.388056148207</v>
      </c>
      <c r="K38" s="140">
        <f>VLOOKUP($B38,Language!$B$6:$H$40,6,FALSE)</f>
        <v>197378.54551618159</v>
      </c>
      <c r="L38" s="176">
        <f>VLOOKUP($B38,Matching!$B$7:$L$40,10,FALSE)</f>
        <v>0</v>
      </c>
      <c r="M38" s="177">
        <f>VLOOKUP($B38,Incentives!$B$7:$Y$40,23,FALSE)</f>
        <v>0</v>
      </c>
      <c r="N38" s="153">
        <f t="shared" si="0"/>
        <v>872069.37589762069</v>
      </c>
      <c r="O38" s="119">
        <f t="shared" si="1"/>
        <v>8.7206937589762071E-2</v>
      </c>
      <c r="P38" s="119">
        <f t="shared" si="2"/>
        <v>8.1798383572845246E-2</v>
      </c>
      <c r="Q38" s="154">
        <f t="shared" si="3"/>
        <v>2.4979072407699952</v>
      </c>
      <c r="R38" s="120">
        <f>SUM(N36:N38)/SUM(C36:C38)</f>
        <v>2.2255335016792546</v>
      </c>
      <c r="T38" s="22"/>
      <c r="U38" s="22"/>
    </row>
    <row r="39" spans="2:21" x14ac:dyDescent="0.25">
      <c r="B39" s="121" t="s">
        <v>79</v>
      </c>
      <c r="C39" s="122">
        <f>VLOOKUP($B39,'County Data'!$B$10:$C$46,2,FALSE)</f>
        <v>381365</v>
      </c>
      <c r="D39" s="141">
        <f>VLOOKUP($B39,Floor!$B$6:$M$45,4,FALSE)</f>
        <v>89274.193548387091</v>
      </c>
      <c r="E39" s="123">
        <f>VLOOKUP($B39,Burden!$B$6:$H$40,6,FALSE)</f>
        <v>128291.06639524647</v>
      </c>
      <c r="F39" s="123">
        <f>VLOOKUP($B39,'Health Status'!$B$6:$H$40,6,FALSE)</f>
        <v>119839.45850412855</v>
      </c>
      <c r="G39" s="123">
        <f>VLOOKUP($B39,Ethnicity!$B$6:$H$40,6,FALSE)</f>
        <v>101255.43954112445</v>
      </c>
      <c r="H39" s="123">
        <f>VLOOKUP($B39,Poverty!$B$6:$H$40,6,FALSE)</f>
        <v>74931.573810145914</v>
      </c>
      <c r="I39" s="123">
        <f>VLOOKUP($B39,Rurality!$B$6:$H$40,6,FALSE)</f>
        <v>114326.74958367107</v>
      </c>
      <c r="J39" s="123">
        <f>VLOOKUP($B39,Education!$B$6:$H$40,6,FALSE)</f>
        <v>54227.585405796031</v>
      </c>
      <c r="K39" s="142">
        <f>VLOOKUP($B39,Language!$B$6:$H$40,6,FALSE)</f>
        <v>53427.83555135483</v>
      </c>
      <c r="L39" s="178">
        <f>VLOOKUP($B39,Matching!$B$7:$L$40,10,FALSE)</f>
        <v>0</v>
      </c>
      <c r="M39" s="179">
        <f>VLOOKUP($B39,Incentives!$B$7:$Y$40,23,FALSE)</f>
        <v>0</v>
      </c>
      <c r="N39" s="155">
        <f t="shared" si="0"/>
        <v>735573.90233985439</v>
      </c>
      <c r="O39" s="124">
        <f t="shared" si="1"/>
        <v>7.3557390233985442E-2</v>
      </c>
      <c r="P39" s="124">
        <f t="shared" si="2"/>
        <v>8.9353347133530381E-2</v>
      </c>
      <c r="Q39" s="156">
        <f t="shared" si="3"/>
        <v>1.9287923704059218</v>
      </c>
      <c r="R39" s="190"/>
      <c r="T39" s="22"/>
      <c r="U39" s="22"/>
    </row>
    <row r="40" spans="2:21" x14ac:dyDescent="0.25">
      <c r="B40" s="121" t="s">
        <v>80</v>
      </c>
      <c r="C40" s="122">
        <f>VLOOKUP($B40,'County Data'!$B$10:$C$46,2,FALSE)</f>
        <v>426515</v>
      </c>
      <c r="D40" s="141">
        <f>VLOOKUP($B40,Floor!$B$6:$M$45,4,FALSE)</f>
        <v>89274.193548387091</v>
      </c>
      <c r="E40" s="123">
        <f>VLOOKUP($B40,Burden!$B$6:$H$40,6,FALSE)</f>
        <v>119241.25293201991</v>
      </c>
      <c r="F40" s="123">
        <f>VLOOKUP($B40,'Health Status'!$B$6:$H$40,6,FALSE)</f>
        <v>117072.05147779743</v>
      </c>
      <c r="G40" s="123">
        <f>VLOOKUP($B40,Ethnicity!$B$6:$H$40,6,FALSE)</f>
        <v>104201.54593385805</v>
      </c>
      <c r="H40" s="123">
        <f>VLOOKUP($B40,Poverty!$B$6:$H$40,6,FALSE)</f>
        <v>40286.352214135753</v>
      </c>
      <c r="I40" s="123">
        <f>VLOOKUP($B40,Rurality!$B$6:$H$40,6,FALSE)</f>
        <v>132245.7910979318</v>
      </c>
      <c r="J40" s="123">
        <f>VLOOKUP($B40,Education!$B$6:$H$40,6,FALSE)</f>
        <v>47335.011930352019</v>
      </c>
      <c r="K40" s="142">
        <f>VLOOKUP($B40,Language!$B$6:$H$40,6,FALSE)</f>
        <v>94697.682188073624</v>
      </c>
      <c r="L40" s="178">
        <f>VLOOKUP($B40,Matching!$B$7:$L$40,10,FALSE)</f>
        <v>0</v>
      </c>
      <c r="M40" s="179">
        <f>VLOOKUP($B40,Incentives!$B$7:$Y$40,23,FALSE)</f>
        <v>0</v>
      </c>
      <c r="N40" s="155">
        <f t="shared" si="0"/>
        <v>744353.88132255571</v>
      </c>
      <c r="O40" s="124">
        <f t="shared" si="1"/>
        <v>7.4435388132255573E-2</v>
      </c>
      <c r="P40" s="124">
        <f t="shared" si="2"/>
        <v>9.993193620981923E-2</v>
      </c>
      <c r="Q40" s="156">
        <f t="shared" si="3"/>
        <v>1.7451997733316664</v>
      </c>
      <c r="R40" s="103"/>
      <c r="T40" s="22"/>
      <c r="U40" s="22"/>
    </row>
    <row r="41" spans="2:21" x14ac:dyDescent="0.25">
      <c r="B41" s="121" t="s">
        <v>81</v>
      </c>
      <c r="C41" s="122">
        <f>VLOOKUP($B41,'County Data'!$B$10:$C$46,2,FALSE)</f>
        <v>620080</v>
      </c>
      <c r="D41" s="141">
        <f>VLOOKUP($B41,Floor!$B$6:$M$45,4,FALSE)</f>
        <v>89274.193548387091</v>
      </c>
      <c r="E41" s="123">
        <f>VLOOKUP($B41,Burden!$B$6:$H$40,6,FALSE)</f>
        <v>130562.80862793204</v>
      </c>
      <c r="F41" s="123">
        <f>VLOOKUP($B41,'Health Status'!$B$6:$H$40,6,FALSE)</f>
        <v>177245.651137034</v>
      </c>
      <c r="G41" s="123">
        <f>VLOOKUP($B41,Ethnicity!$B$6:$H$40,6,FALSE)</f>
        <v>302136.44021440338</v>
      </c>
      <c r="H41" s="123">
        <f>VLOOKUP($B41,Poverty!$B$6:$H$40,6,FALSE)</f>
        <v>69249.502681591737</v>
      </c>
      <c r="I41" s="123">
        <f>VLOOKUP($B41,Rurality!$B$6:$H$40,6,FALSE)</f>
        <v>59484.624656666674</v>
      </c>
      <c r="J41" s="123">
        <f>VLOOKUP($B41,Education!$B$6:$H$40,6,FALSE)</f>
        <v>85895.457636064573</v>
      </c>
      <c r="K41" s="142">
        <f>VLOOKUP($B41,Language!$B$6:$H$40,6,FALSE)</f>
        <v>305247.69803847093</v>
      </c>
      <c r="L41" s="178">
        <f>VLOOKUP($B41,Matching!$B$7:$L$40,10,FALSE)</f>
        <v>0</v>
      </c>
      <c r="M41" s="179">
        <f>VLOOKUP($B41,Incentives!$B$7:$Y$40,23,FALSE)</f>
        <v>0</v>
      </c>
      <c r="N41" s="155">
        <f t="shared" si="0"/>
        <v>1219096.3765405505</v>
      </c>
      <c r="O41" s="124">
        <f t="shared" si="1"/>
        <v>0.12190963765405505</v>
      </c>
      <c r="P41" s="124">
        <f t="shared" si="2"/>
        <v>0.14528397595626111</v>
      </c>
      <c r="Q41" s="156">
        <f t="shared" si="3"/>
        <v>1.9660307968980624</v>
      </c>
      <c r="R41" s="103"/>
      <c r="T41" s="22"/>
      <c r="U41" s="22"/>
    </row>
    <row r="42" spans="2:21" x14ac:dyDescent="0.25">
      <c r="B42" s="121" t="s">
        <v>82</v>
      </c>
      <c r="C42" s="122">
        <f>VLOOKUP($B42,'County Data'!$B$10:$C$46,2,FALSE)</f>
        <v>829560</v>
      </c>
      <c r="D42" s="141">
        <f>VLOOKUP($B42,Floor!$B$6:$M$45,4,FALSE)</f>
        <v>89274.193548387091</v>
      </c>
      <c r="E42" s="123">
        <f>VLOOKUP($B42,Burden!$B$6:$H$40,6,FALSE)</f>
        <v>254817.0259197875</v>
      </c>
      <c r="F42" s="123">
        <f>VLOOKUP($B42,'Health Status'!$B$6:$H$40,6,FALSE)</f>
        <v>252827.66632456848</v>
      </c>
      <c r="G42" s="123">
        <f>VLOOKUP($B42,Ethnicity!$B$6:$H$40,6,FALSE)</f>
        <v>375875.4593357924</v>
      </c>
      <c r="H42" s="123">
        <f>VLOOKUP($B42,Poverty!$B$6:$H$40,6,FALSE)</f>
        <v>132648.56038383086</v>
      </c>
      <c r="I42" s="123">
        <f>VLOOKUP($B42,Rurality!$B$6:$H$40,6,FALSE)</f>
        <v>18473.965571043744</v>
      </c>
      <c r="J42" s="123">
        <f>VLOOKUP($B42,Education!$B$6:$H$40,6,FALSE)</f>
        <v>119165.72475571366</v>
      </c>
      <c r="K42" s="142">
        <f>VLOOKUP($B42,Language!$B$6:$H$40,6,FALSE)</f>
        <v>379658.54195206211</v>
      </c>
      <c r="L42" s="178">
        <f>VLOOKUP($B42,Matching!$B$7:$L$40,10,FALSE)</f>
        <v>0</v>
      </c>
      <c r="M42" s="179">
        <f>VLOOKUP($B42,Incentives!$B$7:$Y$40,23,FALSE)</f>
        <v>0</v>
      </c>
      <c r="N42" s="155">
        <f t="shared" si="0"/>
        <v>1622741.1377911861</v>
      </c>
      <c r="O42" s="124">
        <f t="shared" si="1"/>
        <v>0.1622741137791186</v>
      </c>
      <c r="P42" s="124">
        <f t="shared" si="2"/>
        <v>0.19436488049005929</v>
      </c>
      <c r="Q42" s="156">
        <f t="shared" si="3"/>
        <v>1.9561467980509983</v>
      </c>
      <c r="R42" s="125">
        <f>SUM(N39:N42)/SUM(C39:C42)</f>
        <v>1.9143862725442726</v>
      </c>
      <c r="T42" s="22"/>
      <c r="U42" s="22"/>
    </row>
    <row r="43" spans="2:21" ht="15.75" thickBot="1" x14ac:dyDescent="0.3">
      <c r="B43" s="126" t="s">
        <v>83</v>
      </c>
      <c r="C43" s="127">
        <f t="shared" ref="C43:H43" si="4">SUM(C9:C42)</f>
        <v>4268055</v>
      </c>
      <c r="D43" s="143">
        <f t="shared" si="4"/>
        <v>1845000.0000000002</v>
      </c>
      <c r="E43" s="128">
        <f t="shared" si="4"/>
        <v>1359166.666666666</v>
      </c>
      <c r="F43" s="128">
        <f t="shared" si="4"/>
        <v>1359166.6666666667</v>
      </c>
      <c r="G43" s="128">
        <f t="shared" si="4"/>
        <v>1359166.6666666667</v>
      </c>
      <c r="H43" s="128">
        <f t="shared" si="4"/>
        <v>679583.33333333326</v>
      </c>
      <c r="I43" s="128">
        <f t="shared" ref="I43:J43" si="5">SUM(I9:I42)</f>
        <v>1359166.666666667</v>
      </c>
      <c r="J43" s="128">
        <f t="shared" si="5"/>
        <v>679583.33333333326</v>
      </c>
      <c r="K43" s="144">
        <f t="shared" ref="K43:P43" si="6">SUM(K9:K42)</f>
        <v>1359166.6666666665</v>
      </c>
      <c r="L43" s="180">
        <f t="shared" si="6"/>
        <v>0</v>
      </c>
      <c r="M43" s="181">
        <f t="shared" si="6"/>
        <v>0</v>
      </c>
      <c r="N43" s="143">
        <f t="shared" si="6"/>
        <v>10000000</v>
      </c>
      <c r="O43" s="129">
        <f t="shared" si="6"/>
        <v>1</v>
      </c>
      <c r="P43" s="129">
        <f t="shared" si="6"/>
        <v>0.99999999999999989</v>
      </c>
      <c r="Q43" s="157">
        <f t="shared" si="3"/>
        <v>2.3429876137959798</v>
      </c>
      <c r="R43" s="130">
        <f>N43/C43</f>
        <v>2.3429876137959798</v>
      </c>
      <c r="U43" s="22"/>
    </row>
    <row r="44" spans="2:21" ht="15.75" thickTop="1" x14ac:dyDescent="0.25">
      <c r="N44" s="38"/>
    </row>
    <row r="45" spans="2:21" ht="17.25" x14ac:dyDescent="0.25">
      <c r="B45" s="195" t="s">
        <v>84</v>
      </c>
      <c r="L45" s="210" t="s">
        <v>85</v>
      </c>
      <c r="M45" s="210"/>
      <c r="N45" s="210"/>
      <c r="O45" s="210"/>
      <c r="P45" s="210"/>
    </row>
    <row r="46" spans="2:21" ht="17.25" x14ac:dyDescent="0.25">
      <c r="B46" s="196" t="s">
        <v>86</v>
      </c>
      <c r="C46" s="39"/>
      <c r="D46" s="39"/>
      <c r="E46" s="39"/>
      <c r="F46" s="39"/>
      <c r="L46" s="41" t="s">
        <v>87</v>
      </c>
      <c r="M46" s="42" t="s">
        <v>88</v>
      </c>
      <c r="N46" s="43" t="s">
        <v>89</v>
      </c>
      <c r="O46" s="44" t="s">
        <v>90</v>
      </c>
      <c r="P46" s="45" t="s">
        <v>91</v>
      </c>
    </row>
    <row r="47" spans="2:21" ht="17.25" x14ac:dyDescent="0.25">
      <c r="B47" s="196" t="s">
        <v>92</v>
      </c>
      <c r="C47" s="25"/>
      <c r="L47" t="s">
        <v>93</v>
      </c>
      <c r="M47" t="s">
        <v>94</v>
      </c>
      <c r="N47" t="s">
        <v>95</v>
      </c>
      <c r="O47" t="s">
        <v>96</v>
      </c>
      <c r="P47" t="s">
        <v>97</v>
      </c>
    </row>
    <row r="48" spans="2:21" ht="17.25" x14ac:dyDescent="0.25">
      <c r="B48" s="196" t="s">
        <v>98</v>
      </c>
      <c r="C48" s="25"/>
      <c r="N48" s="38"/>
    </row>
    <row r="49" spans="2:3" ht="17.25" x14ac:dyDescent="0.25">
      <c r="B49" s="196" t="s">
        <v>99</v>
      </c>
      <c r="C49" s="25"/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7" zoomScaleNormal="100" workbookViewId="0">
      <selection activeCell="W30" sqref="W30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Jeff Luck, Alejandro Queral, Akiko Saito</v>
      </c>
    </row>
    <row r="3" spans="2:21" ht="15.75" x14ac:dyDescent="0.25">
      <c r="B3" s="23" t="str">
        <f>Input!$B$3</f>
        <v>Updated March, 2021</v>
      </c>
    </row>
    <row r="4" spans="2:21" ht="15" customHeight="1" x14ac:dyDescent="0.25"/>
    <row r="5" spans="2:21" x14ac:dyDescent="0.25">
      <c r="B5" t="s">
        <v>100</v>
      </c>
      <c r="C5" s="9">
        <f>Input!C5</f>
        <v>10000000</v>
      </c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8" t="s">
        <v>32</v>
      </c>
      <c r="C7" s="193" t="s">
        <v>101</v>
      </c>
      <c r="D7" s="69" t="s">
        <v>34</v>
      </c>
      <c r="E7" s="193" t="s">
        <v>102</v>
      </c>
      <c r="F7" s="193" t="s">
        <v>103</v>
      </c>
      <c r="G7" s="193" t="s">
        <v>104</v>
      </c>
      <c r="H7" s="193" t="s">
        <v>105</v>
      </c>
      <c r="I7" s="193" t="s">
        <v>106</v>
      </c>
      <c r="J7" s="193" t="s">
        <v>107</v>
      </c>
      <c r="K7" s="193" t="s">
        <v>108</v>
      </c>
      <c r="L7" s="191" t="s">
        <v>109</v>
      </c>
      <c r="M7" s="191" t="s">
        <v>110</v>
      </c>
      <c r="N7" s="191" t="s">
        <v>111</v>
      </c>
      <c r="O7" s="191" t="s">
        <v>112</v>
      </c>
      <c r="P7" s="192" t="s">
        <v>113</v>
      </c>
    </row>
    <row r="8" spans="2:21" x14ac:dyDescent="0.25">
      <c r="B8" s="62" t="s">
        <v>114</v>
      </c>
      <c r="C8" s="63">
        <f>Input!C15</f>
        <v>0</v>
      </c>
      <c r="D8" s="63">
        <f>Input!C7</f>
        <v>0.1845</v>
      </c>
      <c r="E8" s="63">
        <f>Input!C16</f>
        <v>0.13591666666666666</v>
      </c>
      <c r="F8" s="63">
        <f>Input!C17</f>
        <v>0.13591666666666666</v>
      </c>
      <c r="G8" s="63">
        <f>Input!C18</f>
        <v>0.13591666666666666</v>
      </c>
      <c r="H8" s="63">
        <f>Input!C20</f>
        <v>6.7958333333333329E-2</v>
      </c>
      <c r="I8" s="63">
        <f>Input!C19</f>
        <v>0.13591666666666666</v>
      </c>
      <c r="J8" s="63">
        <f>Input!C21</f>
        <v>6.7958333333333329E-2</v>
      </c>
      <c r="K8" s="63">
        <f>Input!C22</f>
        <v>0.13591666666666666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 x14ac:dyDescent="0.25">
      <c r="B9" s="65" t="s">
        <v>115</v>
      </c>
      <c r="C9" s="66">
        <f>$C$5*C$8</f>
        <v>0</v>
      </c>
      <c r="D9" s="66">
        <f t="shared" ref="D9:P9" si="0">$C$5*D$8</f>
        <v>1845000</v>
      </c>
      <c r="E9" s="66">
        <f t="shared" si="0"/>
        <v>1359166.6666666665</v>
      </c>
      <c r="F9" s="66">
        <f t="shared" si="0"/>
        <v>1359166.6666666665</v>
      </c>
      <c r="G9" s="66">
        <f t="shared" si="0"/>
        <v>1359166.6666666665</v>
      </c>
      <c r="H9" s="66">
        <f t="shared" si="0"/>
        <v>679583.33333333326</v>
      </c>
      <c r="I9" s="66">
        <f t="shared" si="0"/>
        <v>1359166.6666666665</v>
      </c>
      <c r="J9" s="66">
        <f t="shared" si="0"/>
        <v>679583.33333333326</v>
      </c>
      <c r="K9" s="66">
        <f t="shared" si="0"/>
        <v>1359166.6666666665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25">
      <c r="B10" s="17" t="s">
        <v>55</v>
      </c>
      <c r="C10" s="159">
        <v>16910</v>
      </c>
      <c r="D10" s="56" t="str">
        <f>IF(C10&gt;375000,"Extra Large",IF(C10&gt;150000,"Large",IF(C10&gt;75000,"Medium",IF(C10&gt;20000,"Small","Extra Small"))))</f>
        <v>Extra Small</v>
      </c>
      <c r="E10" s="162">
        <v>8.6297479999999996E-2</v>
      </c>
      <c r="F10" s="162">
        <v>0.18899999999999997</v>
      </c>
      <c r="G10" s="162">
        <v>7.063313313313313E-2</v>
      </c>
      <c r="H10" s="165">
        <v>0.26671850699844479</v>
      </c>
      <c r="I10" s="35">
        <v>0.41</v>
      </c>
      <c r="J10" s="162">
        <v>0.10388846896783405</v>
      </c>
      <c r="K10" s="162">
        <v>1.370043472533263E-2</v>
      </c>
      <c r="L10" s="84">
        <v>361764</v>
      </c>
      <c r="M10" s="78" t="s">
        <v>116</v>
      </c>
      <c r="N10" s="78"/>
      <c r="O10" s="78"/>
      <c r="P10" s="79"/>
      <c r="Q10" s="7"/>
      <c r="T10" s="209"/>
      <c r="U10" s="209"/>
    </row>
    <row r="11" spans="2:21" x14ac:dyDescent="0.25">
      <c r="B11" s="18" t="s">
        <v>72</v>
      </c>
      <c r="C11" s="160">
        <v>94665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4.0668929999999999E-2</v>
      </c>
      <c r="F11" s="163">
        <v>0.113</v>
      </c>
      <c r="G11" s="163">
        <v>0.14361773223435065</v>
      </c>
      <c r="H11" s="166">
        <v>0.2787920514707628</v>
      </c>
      <c r="I11" s="36">
        <v>0.188</v>
      </c>
      <c r="J11" s="163">
        <v>4.5600029431241265E-2</v>
      </c>
      <c r="K11" s="163">
        <v>4.7645036926935759E-2</v>
      </c>
      <c r="L11" s="85">
        <v>1791995</v>
      </c>
      <c r="M11" s="80" t="s">
        <v>116</v>
      </c>
      <c r="N11" s="80"/>
      <c r="O11" s="80"/>
      <c r="P11" s="81"/>
      <c r="Q11" s="7"/>
      <c r="T11" s="209"/>
      <c r="U11" s="209"/>
    </row>
    <row r="12" spans="2:21" x14ac:dyDescent="0.25">
      <c r="B12" s="18" t="s">
        <v>80</v>
      </c>
      <c r="C12" s="160">
        <v>426515</v>
      </c>
      <c r="D12" s="57" t="str">
        <f t="shared" si="1"/>
        <v>Extra Large</v>
      </c>
      <c r="E12" s="163">
        <v>5.6630379999999994E-2</v>
      </c>
      <c r="F12" s="163">
        <v>0.14499999999999999</v>
      </c>
      <c r="G12" s="163">
        <v>0.11963882618510158</v>
      </c>
      <c r="H12" s="166">
        <v>0.13811687940583775</v>
      </c>
      <c r="I12" s="36">
        <v>0.18099999999999999</v>
      </c>
      <c r="J12" s="163">
        <v>6.7258416497069859E-2</v>
      </c>
      <c r="K12" s="163">
        <v>4.0874504898895145E-2</v>
      </c>
      <c r="L12" s="85">
        <v>5019520</v>
      </c>
      <c r="M12" s="80" t="s">
        <v>116</v>
      </c>
      <c r="N12" s="80"/>
      <c r="O12" s="80"/>
      <c r="P12" s="81"/>
      <c r="Q12" s="7"/>
      <c r="T12" s="209"/>
      <c r="U12" s="209"/>
    </row>
    <row r="13" spans="2:21" x14ac:dyDescent="0.25">
      <c r="B13" s="18" t="s">
        <v>64</v>
      </c>
      <c r="C13" s="160">
        <v>39455</v>
      </c>
      <c r="D13" s="57" t="str">
        <f t="shared" si="1"/>
        <v>Small</v>
      </c>
      <c r="E13" s="163">
        <v>8.1797190000000006E-2</v>
      </c>
      <c r="F13" s="163">
        <v>0.15</v>
      </c>
      <c r="G13" s="163">
        <v>8.7962242622270634E-2</v>
      </c>
      <c r="H13" s="166">
        <v>0.22943563260789376</v>
      </c>
      <c r="I13" s="36">
        <v>0.39</v>
      </c>
      <c r="J13" s="163">
        <v>8.4374440665831399E-2</v>
      </c>
      <c r="K13" s="163">
        <v>3.0615877536489856E-2</v>
      </c>
      <c r="L13" s="85">
        <v>446000</v>
      </c>
      <c r="M13" s="80" t="s">
        <v>116</v>
      </c>
      <c r="N13" s="80"/>
      <c r="O13" s="80"/>
      <c r="P13" s="81"/>
      <c r="Q13" s="7"/>
      <c r="T13" s="209"/>
      <c r="U13" s="209"/>
    </row>
    <row r="14" spans="2:21" x14ac:dyDescent="0.25">
      <c r="B14" s="18" t="s">
        <v>66</v>
      </c>
      <c r="C14" s="160">
        <v>53280</v>
      </c>
      <c r="D14" s="57" t="str">
        <f t="shared" si="1"/>
        <v>Small</v>
      </c>
      <c r="E14" s="163">
        <v>7.1908329999999993E-2</v>
      </c>
      <c r="F14" s="163">
        <v>0.20499999999999999</v>
      </c>
      <c r="G14" s="163">
        <v>7.1640675699592926E-2</v>
      </c>
      <c r="H14" s="166">
        <v>0.21043750992536128</v>
      </c>
      <c r="I14" s="36">
        <v>0.436</v>
      </c>
      <c r="J14" s="163">
        <v>9.5876003321339609E-2</v>
      </c>
      <c r="K14" s="163">
        <v>1.3475133196508903E-2</v>
      </c>
      <c r="L14" s="85">
        <v>615328</v>
      </c>
      <c r="M14" s="80" t="s">
        <v>116</v>
      </c>
      <c r="N14" s="80"/>
      <c r="O14" s="80"/>
      <c r="P14" s="81"/>
      <c r="Q14" s="7"/>
      <c r="T14" s="209"/>
      <c r="U14" s="209"/>
    </row>
    <row r="15" spans="2:21" x14ac:dyDescent="0.25">
      <c r="B15" s="18" t="s">
        <v>67</v>
      </c>
      <c r="C15" s="160">
        <v>63315</v>
      </c>
      <c r="D15" s="57" t="str">
        <f t="shared" si="1"/>
        <v>Small</v>
      </c>
      <c r="E15" s="163">
        <v>9.8415849999999985E-2</v>
      </c>
      <c r="F15" s="163">
        <v>0.214</v>
      </c>
      <c r="G15" s="163">
        <v>0.11684147343147785</v>
      </c>
      <c r="H15" s="166">
        <v>0.29889760747123673</v>
      </c>
      <c r="I15" s="36">
        <v>0.38400000000000001</v>
      </c>
      <c r="J15" s="163">
        <v>0.11153339844579388</v>
      </c>
      <c r="K15" s="163">
        <v>1.4799926913941166E-2</v>
      </c>
      <c r="L15" s="85">
        <v>332653</v>
      </c>
      <c r="M15" s="80" t="s">
        <v>116</v>
      </c>
      <c r="N15" s="80"/>
      <c r="O15" s="80"/>
      <c r="P15" s="81"/>
      <c r="Q15" s="7"/>
      <c r="T15" s="209"/>
      <c r="U15" s="209"/>
    </row>
    <row r="16" spans="2:21" x14ac:dyDescent="0.25">
      <c r="B16" s="18" t="s">
        <v>56</v>
      </c>
      <c r="C16" s="160">
        <v>23440</v>
      </c>
      <c r="D16" s="57" t="str">
        <f t="shared" si="1"/>
        <v>Small</v>
      </c>
      <c r="E16" s="163">
        <v>8.3662790000000001E-2</v>
      </c>
      <c r="F16" s="163">
        <v>0.23</v>
      </c>
      <c r="G16" s="163">
        <v>7.2167256122129209E-2</v>
      </c>
      <c r="H16" s="166">
        <v>0.26902958152958151</v>
      </c>
      <c r="I16" s="36">
        <v>0.48</v>
      </c>
      <c r="J16" s="163">
        <v>0.12438408845090734</v>
      </c>
      <c r="K16" s="163">
        <v>1.2850082372322899E-2</v>
      </c>
      <c r="L16" s="85">
        <v>1584688</v>
      </c>
      <c r="M16" s="80" t="s">
        <v>116</v>
      </c>
      <c r="N16" s="80"/>
      <c r="O16" s="80"/>
      <c r="P16" s="81"/>
      <c r="Q16" s="7"/>
      <c r="T16" s="209"/>
      <c r="U16" s="209"/>
    </row>
    <row r="17" spans="2:21" x14ac:dyDescent="0.25">
      <c r="B17" s="18" t="s">
        <v>57</v>
      </c>
      <c r="C17" s="160">
        <v>23005</v>
      </c>
      <c r="D17" s="57" t="str">
        <f t="shared" si="1"/>
        <v>Small</v>
      </c>
      <c r="E17" s="163">
        <v>9.8974709999999994E-2</v>
      </c>
      <c r="F17" s="163">
        <v>0.20399999999999999</v>
      </c>
      <c r="G17" s="163">
        <v>9.2726707246634385E-2</v>
      </c>
      <c r="H17" s="166">
        <v>0.24108864278348205</v>
      </c>
      <c r="I17" s="36">
        <v>0.38700000000000001</v>
      </c>
      <c r="J17" s="163">
        <v>0.10947055258663435</v>
      </c>
      <c r="K17" s="163">
        <v>1.3102458447150332E-2</v>
      </c>
      <c r="L17" s="85">
        <v>703878</v>
      </c>
      <c r="M17" s="80" t="s">
        <v>116</v>
      </c>
      <c r="N17" s="80"/>
      <c r="O17" s="80"/>
      <c r="P17" s="81"/>
      <c r="Q17" s="7"/>
      <c r="T17" s="209"/>
      <c r="U17" s="209"/>
    </row>
    <row r="18" spans="2:21" x14ac:dyDescent="0.25">
      <c r="B18" s="18" t="s">
        <v>76</v>
      </c>
      <c r="C18" s="160">
        <v>197015</v>
      </c>
      <c r="D18" s="57" t="str">
        <f t="shared" si="1"/>
        <v>Large</v>
      </c>
      <c r="E18" s="163">
        <v>5.375133E-2</v>
      </c>
      <c r="F18" s="163">
        <v>0.13699999999999998</v>
      </c>
      <c r="G18" s="163">
        <v>6.5085252435783877E-2</v>
      </c>
      <c r="H18" s="166">
        <v>0.18767801513128615</v>
      </c>
      <c r="I18" s="36">
        <v>0.27600000000000002</v>
      </c>
      <c r="J18" s="163">
        <v>6.4709260039046049E-2</v>
      </c>
      <c r="K18" s="163">
        <v>2.1095839220861116E-2</v>
      </c>
      <c r="L18" s="85">
        <v>3814900</v>
      </c>
      <c r="M18" s="80" t="s">
        <v>116</v>
      </c>
      <c r="N18" s="80"/>
      <c r="O18" s="80"/>
      <c r="P18" s="81"/>
      <c r="Q18" s="7"/>
      <c r="T18" s="209"/>
      <c r="U18" s="209"/>
    </row>
    <row r="19" spans="2:21" x14ac:dyDescent="0.25">
      <c r="B19" s="18" t="s">
        <v>74</v>
      </c>
      <c r="C19" s="160">
        <v>112530</v>
      </c>
      <c r="D19" s="57" t="str">
        <f t="shared" si="1"/>
        <v>Medium</v>
      </c>
      <c r="E19" s="163">
        <v>0.10093575</v>
      </c>
      <c r="F19" s="163">
        <v>0.222</v>
      </c>
      <c r="G19" s="163">
        <v>7.483175318261126E-2</v>
      </c>
      <c r="H19" s="166">
        <v>0.27764111677500819</v>
      </c>
      <c r="I19" s="36">
        <v>0.41199999999999998</v>
      </c>
      <c r="J19" s="163">
        <v>0.10892266853651207</v>
      </c>
      <c r="K19" s="163">
        <v>1.1854937610714216E-2</v>
      </c>
      <c r="L19" s="85">
        <v>444652</v>
      </c>
      <c r="M19" s="80" t="s">
        <v>116</v>
      </c>
      <c r="N19" s="80"/>
      <c r="O19" s="80"/>
      <c r="P19" s="81"/>
      <c r="Q19" s="7"/>
      <c r="T19" s="209"/>
      <c r="U19" s="209"/>
    </row>
    <row r="20" spans="2:21" x14ac:dyDescent="0.25">
      <c r="B20" s="27" t="s">
        <v>117</v>
      </c>
      <c r="C20" s="54">
        <v>1990</v>
      </c>
      <c r="D20" s="54" t="str">
        <f t="shared" si="1"/>
        <v>Extra Small</v>
      </c>
      <c r="E20" s="55"/>
      <c r="F20" s="55"/>
      <c r="G20" s="55">
        <v>7.0267435762978503E-2</v>
      </c>
      <c r="H20" s="184">
        <v>0.2425039452919516</v>
      </c>
      <c r="I20" s="55"/>
      <c r="J20" s="55">
        <v>9.668508287292818E-2</v>
      </c>
      <c r="K20" s="55">
        <v>2.7442371020856202E-2</v>
      </c>
      <c r="L20" s="197"/>
      <c r="M20" s="197"/>
      <c r="N20" s="197"/>
      <c r="O20" s="197"/>
      <c r="P20" s="198"/>
      <c r="Q20" s="7"/>
      <c r="T20" s="209"/>
      <c r="U20" s="209"/>
    </row>
    <row r="21" spans="2:21" x14ac:dyDescent="0.25">
      <c r="B21" s="18" t="s">
        <v>52</v>
      </c>
      <c r="C21" s="160">
        <v>7315</v>
      </c>
      <c r="D21" s="57" t="str">
        <f t="shared" si="1"/>
        <v>Extra Small</v>
      </c>
      <c r="E21" s="163">
        <v>7.9334200000000007E-2</v>
      </c>
      <c r="F21" s="163">
        <v>0.155</v>
      </c>
      <c r="G21" s="163">
        <v>5.3181122093832661E-2</v>
      </c>
      <c r="H21" s="166">
        <v>0.27554486272289841</v>
      </c>
      <c r="I21" s="36">
        <v>1</v>
      </c>
      <c r="J21" s="163">
        <v>0.11228389444949954</v>
      </c>
      <c r="K21" s="163">
        <v>6.2718786464410732E-3</v>
      </c>
      <c r="L21" s="85">
        <v>0</v>
      </c>
      <c r="M21" s="80" t="s">
        <v>116</v>
      </c>
      <c r="N21" s="80"/>
      <c r="O21" s="80"/>
      <c r="P21" s="81"/>
      <c r="Q21" s="7"/>
      <c r="T21" s="209"/>
      <c r="U21" s="209"/>
    </row>
    <row r="22" spans="2:21" x14ac:dyDescent="0.25">
      <c r="B22" s="18" t="s">
        <v>51</v>
      </c>
      <c r="C22" s="160">
        <v>7280</v>
      </c>
      <c r="D22" s="57" t="str">
        <f t="shared" si="1"/>
        <v>Extra Small</v>
      </c>
      <c r="E22" s="163">
        <v>9.5802139999999994E-2</v>
      </c>
      <c r="F22" s="163">
        <v>0.122</v>
      </c>
      <c r="G22" s="163">
        <v>9.0896513558384059E-2</v>
      </c>
      <c r="H22" s="166">
        <v>0.27595435976898153</v>
      </c>
      <c r="I22" s="36">
        <v>0.443</v>
      </c>
      <c r="J22" s="163">
        <v>0.1021883920076118</v>
      </c>
      <c r="K22" s="163">
        <v>1.5169194865810968E-2</v>
      </c>
      <c r="L22" s="85">
        <v>172270</v>
      </c>
      <c r="M22" s="80" t="s">
        <v>116</v>
      </c>
      <c r="N22" s="80"/>
      <c r="O22" s="80"/>
      <c r="P22" s="81"/>
      <c r="Q22" s="7"/>
      <c r="T22" s="209"/>
      <c r="U22" s="209"/>
    </row>
    <row r="23" spans="2:21" x14ac:dyDescent="0.25">
      <c r="B23" s="18" t="s">
        <v>59</v>
      </c>
      <c r="C23" s="160">
        <v>25640</v>
      </c>
      <c r="D23" s="57" t="str">
        <f t="shared" si="1"/>
        <v>Small</v>
      </c>
      <c r="E23" s="163">
        <v>4.750973E-2</v>
      </c>
      <c r="F23" s="163">
        <v>0.16399999999999998</v>
      </c>
      <c r="G23" s="163">
        <v>0.13401928148372313</v>
      </c>
      <c r="H23" s="166">
        <v>0.2071000743234381</v>
      </c>
      <c r="I23" s="36">
        <v>0.52200000000000002</v>
      </c>
      <c r="J23" s="163">
        <v>0.18945337620578778</v>
      </c>
      <c r="K23" s="163">
        <v>0.15446440944154463</v>
      </c>
      <c r="L23" s="85">
        <v>729676</v>
      </c>
      <c r="M23" s="80" t="s">
        <v>116</v>
      </c>
      <c r="N23" s="80"/>
      <c r="O23" s="80"/>
      <c r="P23" s="81"/>
      <c r="Q23" s="7"/>
      <c r="T23" s="209"/>
      <c r="U23" s="209"/>
    </row>
    <row r="24" spans="2:21" x14ac:dyDescent="0.25">
      <c r="B24" s="18" t="s">
        <v>77</v>
      </c>
      <c r="C24" s="160">
        <v>223240</v>
      </c>
      <c r="D24" s="57" t="str">
        <f t="shared" si="1"/>
        <v>Large</v>
      </c>
      <c r="E24" s="163">
        <v>7.6263950000000011E-2</v>
      </c>
      <c r="F24" s="163">
        <v>0.184</v>
      </c>
      <c r="G24" s="163">
        <v>8.6331539621126913E-2</v>
      </c>
      <c r="H24" s="166">
        <v>0.26824137573224915</v>
      </c>
      <c r="I24" s="36">
        <v>0.20100000000000001</v>
      </c>
      <c r="J24" s="163">
        <v>0.10373965023348289</v>
      </c>
      <c r="K24" s="163">
        <v>3.5138513530205188E-2</v>
      </c>
      <c r="L24" s="85">
        <v>2298330</v>
      </c>
      <c r="M24" s="80" t="s">
        <v>116</v>
      </c>
      <c r="N24" s="80"/>
      <c r="O24" s="80"/>
      <c r="P24" s="81"/>
      <c r="Q24" s="7"/>
      <c r="T24" s="209"/>
      <c r="U24" s="209"/>
    </row>
    <row r="25" spans="2:21" x14ac:dyDescent="0.25">
      <c r="B25" s="18" t="s">
        <v>58</v>
      </c>
      <c r="C25" s="160">
        <v>24105</v>
      </c>
      <c r="D25" s="57" t="str">
        <f t="shared" si="1"/>
        <v>Small</v>
      </c>
      <c r="E25" s="163">
        <v>8.5968059999999999E-2</v>
      </c>
      <c r="F25" s="163">
        <v>0.13699999999999998</v>
      </c>
      <c r="G25" s="163">
        <v>0.28928833772631035</v>
      </c>
      <c r="H25" s="166">
        <v>0.30349789583239062</v>
      </c>
      <c r="I25" s="36">
        <v>0.63100000000000001</v>
      </c>
      <c r="J25" s="163">
        <v>0.14004805260495701</v>
      </c>
      <c r="K25" s="163">
        <v>4.9472082622527551E-2</v>
      </c>
      <c r="L25" s="85">
        <v>261557</v>
      </c>
      <c r="M25" s="80" t="s">
        <v>116</v>
      </c>
      <c r="N25" s="80"/>
      <c r="O25" s="80"/>
      <c r="P25" s="81"/>
      <c r="Q25" s="7"/>
      <c r="T25" s="209"/>
      <c r="U25" s="209"/>
    </row>
    <row r="26" spans="2:21" x14ac:dyDescent="0.25">
      <c r="B26" s="18" t="s">
        <v>71</v>
      </c>
      <c r="C26" s="160">
        <v>86560</v>
      </c>
      <c r="D26" s="57" t="str">
        <f t="shared" si="1"/>
        <v>Medium</v>
      </c>
      <c r="E26" s="163">
        <v>9.9210980000000004E-2</v>
      </c>
      <c r="F26" s="163">
        <v>0.218</v>
      </c>
      <c r="G26" s="163">
        <v>7.9491348954738486E-2</v>
      </c>
      <c r="H26" s="166">
        <v>0.33520512729383611</v>
      </c>
      <c r="I26" s="36">
        <v>0.45</v>
      </c>
      <c r="J26" s="163">
        <v>9.7927181538266198E-2</v>
      </c>
      <c r="K26" s="163">
        <v>1.3108498984552895E-2</v>
      </c>
      <c r="L26" s="85">
        <v>657998</v>
      </c>
      <c r="M26" s="80" t="s">
        <v>116</v>
      </c>
      <c r="N26" s="80"/>
      <c r="O26" s="80"/>
      <c r="P26" s="81"/>
      <c r="Q26" s="7"/>
      <c r="T26" s="209"/>
      <c r="U26" s="209"/>
    </row>
    <row r="27" spans="2:21" x14ac:dyDescent="0.25">
      <c r="B27" s="18" t="s">
        <v>68</v>
      </c>
      <c r="C27" s="160">
        <v>68075</v>
      </c>
      <c r="D27" s="57" t="str">
        <f t="shared" si="1"/>
        <v>Small</v>
      </c>
      <c r="E27" s="163">
        <v>9.6826550000000011E-2</v>
      </c>
      <c r="F27" s="163">
        <v>0.17399999999999999</v>
      </c>
      <c r="G27" s="163">
        <v>0.12005730659025787</v>
      </c>
      <c r="H27" s="166">
        <v>0.33197549770290963</v>
      </c>
      <c r="I27" s="36">
        <v>0.376</v>
      </c>
      <c r="J27" s="163">
        <v>0.12596828136800087</v>
      </c>
      <c r="K27" s="163">
        <v>3.3411008437123343E-2</v>
      </c>
      <c r="L27" s="85">
        <v>542426</v>
      </c>
      <c r="M27" s="80" t="s">
        <v>116</v>
      </c>
      <c r="N27" s="80"/>
      <c r="O27" s="80"/>
      <c r="P27" s="81"/>
      <c r="Q27" s="7"/>
      <c r="T27" s="209"/>
      <c r="U27" s="209"/>
    </row>
    <row r="28" spans="2:21" x14ac:dyDescent="0.25">
      <c r="B28" s="18" t="s">
        <v>53</v>
      </c>
      <c r="C28" s="160">
        <v>8075</v>
      </c>
      <c r="D28" s="57" t="str">
        <f t="shared" si="1"/>
        <v>Extra Small</v>
      </c>
      <c r="E28" s="163">
        <v>9.3079839999999997E-2</v>
      </c>
      <c r="F28" s="163">
        <v>0.17899999999999999</v>
      </c>
      <c r="G28" s="163">
        <v>8.9506566364911389E-2</v>
      </c>
      <c r="H28" s="166">
        <v>0.32648275862068965</v>
      </c>
      <c r="I28" s="36">
        <v>0.63300000000000001</v>
      </c>
      <c r="J28" s="163">
        <v>0.13104736038024103</v>
      </c>
      <c r="K28" s="163">
        <v>1.7890772128060263E-2</v>
      </c>
      <c r="L28" s="85">
        <v>187877</v>
      </c>
      <c r="M28" s="80" t="s">
        <v>116</v>
      </c>
      <c r="N28" s="80"/>
      <c r="O28" s="80"/>
      <c r="P28" s="81"/>
      <c r="Q28" s="7"/>
      <c r="T28" s="209"/>
      <c r="U28" s="209"/>
    </row>
    <row r="29" spans="2:21" x14ac:dyDescent="0.25">
      <c r="B29" s="18" t="s">
        <v>79</v>
      </c>
      <c r="C29" s="160">
        <v>381365</v>
      </c>
      <c r="D29" s="57" t="str">
        <f t="shared" si="1"/>
        <v>Extra Large</v>
      </c>
      <c r="E29" s="163">
        <v>6.8141679999999996E-2</v>
      </c>
      <c r="F29" s="163">
        <v>0.16600000000000001</v>
      </c>
      <c r="G29" s="163">
        <v>0.1300198979619499</v>
      </c>
      <c r="H29" s="166">
        <v>0.28730761886047818</v>
      </c>
      <c r="I29" s="36">
        <v>0.17499999999999999</v>
      </c>
      <c r="J29" s="163">
        <v>8.6174325107355759E-2</v>
      </c>
      <c r="K29" s="163">
        <v>2.5791358183192822E-2</v>
      </c>
      <c r="L29" s="85">
        <v>4024080</v>
      </c>
      <c r="M29" s="80" t="s">
        <v>116</v>
      </c>
      <c r="N29" s="80"/>
      <c r="O29" s="80"/>
      <c r="P29" s="81"/>
      <c r="Q29" s="7"/>
      <c r="T29" s="209"/>
      <c r="U29" s="209"/>
    </row>
    <row r="30" spans="2:21" x14ac:dyDescent="0.25">
      <c r="B30" s="18" t="s">
        <v>65</v>
      </c>
      <c r="C30" s="160">
        <v>48305</v>
      </c>
      <c r="D30" s="57" t="str">
        <f t="shared" si="1"/>
        <v>Small</v>
      </c>
      <c r="E30" s="163">
        <v>9.7818940000000007E-2</v>
      </c>
      <c r="F30" s="163">
        <v>0.21299999999999999</v>
      </c>
      <c r="G30" s="163">
        <v>0.11814707295169274</v>
      </c>
      <c r="H30" s="166">
        <v>0.28095601322145947</v>
      </c>
      <c r="I30" s="36">
        <v>0.376</v>
      </c>
      <c r="J30" s="163">
        <v>9.4152142042677966E-2</v>
      </c>
      <c r="K30" s="163">
        <v>1.9758771929824562E-2</v>
      </c>
      <c r="L30" s="85">
        <v>1458472</v>
      </c>
      <c r="M30" s="80" t="s">
        <v>116</v>
      </c>
      <c r="N30" s="80"/>
      <c r="O30" s="80"/>
      <c r="P30" s="81"/>
      <c r="Q30" s="7"/>
      <c r="T30" s="209"/>
      <c r="U30" s="209"/>
    </row>
    <row r="31" spans="2:21" x14ac:dyDescent="0.25">
      <c r="B31" s="18" t="s">
        <v>75</v>
      </c>
      <c r="C31" s="160">
        <v>127320</v>
      </c>
      <c r="D31" s="57" t="str">
        <f t="shared" si="1"/>
        <v>Medium</v>
      </c>
      <c r="E31" s="163">
        <v>7.4680110000000008E-2</v>
      </c>
      <c r="F31" s="163">
        <v>0.18100000000000002</v>
      </c>
      <c r="G31" s="163">
        <v>9.5881826320501337E-2</v>
      </c>
      <c r="H31" s="166">
        <v>0.25578581775085596</v>
      </c>
      <c r="I31" s="36">
        <v>0.316</v>
      </c>
      <c r="J31" s="163">
        <v>0.10089543820066277</v>
      </c>
      <c r="K31" s="163">
        <v>2.4106299860542066E-2</v>
      </c>
      <c r="L31" s="85">
        <v>1327242</v>
      </c>
      <c r="M31" s="80" t="s">
        <v>116</v>
      </c>
      <c r="N31" s="80"/>
      <c r="O31" s="80"/>
      <c r="P31" s="81"/>
      <c r="Q31" s="7"/>
      <c r="T31" s="209"/>
      <c r="U31" s="209"/>
    </row>
    <row r="32" spans="2:21" x14ac:dyDescent="0.25">
      <c r="B32" s="18" t="s">
        <v>63</v>
      </c>
      <c r="C32" s="160">
        <v>32105</v>
      </c>
      <c r="D32" s="57" t="str">
        <f t="shared" si="1"/>
        <v>Small</v>
      </c>
      <c r="E32" s="163">
        <v>7.7298069999999997E-2</v>
      </c>
      <c r="F32" s="163">
        <v>0.27100000000000002</v>
      </c>
      <c r="G32" s="163">
        <v>0.10926357990207354</v>
      </c>
      <c r="H32" s="166">
        <v>0.36521673972500096</v>
      </c>
      <c r="I32" s="36">
        <v>0.48399999999999999</v>
      </c>
      <c r="J32" s="163">
        <v>0.1910630959626699</v>
      </c>
      <c r="K32" s="163">
        <v>7.8250132298465336E-2</v>
      </c>
      <c r="L32" s="85">
        <v>474185</v>
      </c>
      <c r="M32" s="80" t="s">
        <v>116</v>
      </c>
      <c r="N32" s="80"/>
      <c r="O32" s="80"/>
      <c r="P32" s="81"/>
      <c r="Q32" s="7"/>
      <c r="T32" s="209"/>
      <c r="U32" s="209"/>
    </row>
    <row r="33" spans="2:21" x14ac:dyDescent="0.25">
      <c r="B33" s="18" t="s">
        <v>78</v>
      </c>
      <c r="C33" s="160">
        <v>349120</v>
      </c>
      <c r="D33" s="57" t="str">
        <f t="shared" si="1"/>
        <v>Large</v>
      </c>
      <c r="E33" s="163">
        <v>6.3607510000000006E-2</v>
      </c>
      <c r="F33" s="163">
        <v>0.192</v>
      </c>
      <c r="G33" s="163">
        <v>0.18943058175608621</v>
      </c>
      <c r="H33" s="166">
        <v>0.27417406553517121</v>
      </c>
      <c r="I33" s="36">
        <v>0.13100000000000001</v>
      </c>
      <c r="J33" s="163">
        <v>0.14741470645743621</v>
      </c>
      <c r="K33" s="163">
        <v>0.10408129343246751</v>
      </c>
      <c r="L33" s="85">
        <v>4647307</v>
      </c>
      <c r="M33" s="80" t="s">
        <v>116</v>
      </c>
      <c r="N33" s="80"/>
      <c r="O33" s="80"/>
      <c r="P33" s="81"/>
      <c r="Q33" s="7"/>
      <c r="T33" s="209"/>
      <c r="U33" s="209"/>
    </row>
    <row r="34" spans="2:21" x14ac:dyDescent="0.25">
      <c r="B34" s="18" t="s">
        <v>54</v>
      </c>
      <c r="C34" s="160">
        <v>12825</v>
      </c>
      <c r="D34" s="57" t="str">
        <f t="shared" si="1"/>
        <v>Extra Small</v>
      </c>
      <c r="E34" s="163">
        <v>6.6599549999999993E-2</v>
      </c>
      <c r="F34" s="163">
        <v>0.312</v>
      </c>
      <c r="G34" s="163">
        <v>0.11404369148461882</v>
      </c>
      <c r="H34" s="166">
        <v>0.29377013963480131</v>
      </c>
      <c r="I34" s="36">
        <v>0.45900000000000002</v>
      </c>
      <c r="J34" s="163">
        <v>0.24689265536723165</v>
      </c>
      <c r="K34" s="163">
        <v>0.15267839876232836</v>
      </c>
      <c r="L34" s="85">
        <v>712823</v>
      </c>
      <c r="M34" s="80" t="s">
        <v>116</v>
      </c>
      <c r="N34" s="80"/>
      <c r="O34" s="80"/>
      <c r="P34" s="81"/>
      <c r="Q34" s="7"/>
      <c r="T34" s="209"/>
      <c r="U34" s="209"/>
    </row>
    <row r="35" spans="2:21" x14ac:dyDescent="0.25">
      <c r="B35" s="18" t="s">
        <v>82</v>
      </c>
      <c r="C35" s="160">
        <v>829560</v>
      </c>
      <c r="D35" s="57" t="str">
        <f t="shared" si="1"/>
        <v>Extra Large</v>
      </c>
      <c r="E35" s="163">
        <v>6.2221129999999999E-2</v>
      </c>
      <c r="F35" s="163">
        <v>0.161</v>
      </c>
      <c r="G35" s="163">
        <v>0.22188526345181289</v>
      </c>
      <c r="H35" s="166">
        <v>0.23381795591069882</v>
      </c>
      <c r="I35" s="36">
        <v>1.2999999999999999E-2</v>
      </c>
      <c r="J35" s="163">
        <v>8.7056662281201555E-2</v>
      </c>
      <c r="K35" s="163">
        <v>8.4254448034793039E-2</v>
      </c>
      <c r="L35" s="85">
        <v>25329190</v>
      </c>
      <c r="M35" s="80" t="s">
        <v>116</v>
      </c>
      <c r="N35" s="80"/>
      <c r="O35" s="80"/>
      <c r="P35" s="81"/>
      <c r="Q35" s="7"/>
      <c r="T35" s="209"/>
      <c r="U35" s="209"/>
    </row>
    <row r="36" spans="2:21" x14ac:dyDescent="0.25">
      <c r="B36" s="48" t="s">
        <v>62</v>
      </c>
      <c r="C36" s="54">
        <f>C20+C38+C43</f>
        <v>31080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84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9">
        <v>772441</v>
      </c>
      <c r="M36" s="197" t="s">
        <v>116</v>
      </c>
      <c r="N36" s="197"/>
      <c r="O36" s="197"/>
      <c r="P36" s="198"/>
      <c r="Q36" s="7"/>
    </row>
    <row r="37" spans="2:21" x14ac:dyDescent="0.25">
      <c r="B37" s="18" t="s">
        <v>70</v>
      </c>
      <c r="C37" s="160">
        <v>83805</v>
      </c>
      <c r="D37" s="57" t="str">
        <f t="shared" si="1"/>
        <v>Medium</v>
      </c>
      <c r="E37" s="163">
        <v>6.0078370000000006E-2</v>
      </c>
      <c r="F37" s="163">
        <v>0.183</v>
      </c>
      <c r="G37" s="163">
        <v>0.12019354759477814</v>
      </c>
      <c r="H37" s="166">
        <v>0.23463420155701728</v>
      </c>
      <c r="I37" s="36">
        <v>0.19900000000000001</v>
      </c>
      <c r="J37" s="163">
        <v>9.566050387968196E-2</v>
      </c>
      <c r="K37" s="163">
        <v>5.112740819862184E-2</v>
      </c>
      <c r="L37" s="85">
        <v>291010</v>
      </c>
      <c r="M37" s="80" t="s">
        <v>116</v>
      </c>
      <c r="N37" s="80"/>
      <c r="O37" s="80"/>
      <c r="P37" s="81"/>
      <c r="Q37" s="7"/>
      <c r="T37" s="209"/>
      <c r="U37" s="209"/>
    </row>
    <row r="38" spans="2:21" x14ac:dyDescent="0.25">
      <c r="B38" s="27" t="s">
        <v>118</v>
      </c>
      <c r="C38" s="54">
        <v>1795</v>
      </c>
      <c r="D38" s="54" t="str">
        <f t="shared" si="1"/>
        <v>Extra Small</v>
      </c>
      <c r="E38" s="55"/>
      <c r="F38" s="55"/>
      <c r="G38" s="55">
        <v>4.5482866043613707E-2</v>
      </c>
      <c r="H38" s="184">
        <v>0.22423485321673953</v>
      </c>
      <c r="I38" s="55"/>
      <c r="J38" s="55">
        <v>8.6429725363489501E-2</v>
      </c>
      <c r="K38" s="55">
        <v>2.5974025974025974E-3</v>
      </c>
      <c r="L38" s="199"/>
      <c r="M38" s="197"/>
      <c r="N38" s="197"/>
      <c r="O38" s="197"/>
      <c r="P38" s="198"/>
      <c r="Q38" s="7"/>
      <c r="T38" s="209"/>
      <c r="U38" s="209"/>
    </row>
    <row r="39" spans="2:21" x14ac:dyDescent="0.25">
      <c r="B39" s="18" t="s">
        <v>60</v>
      </c>
      <c r="C39" s="160">
        <v>26530</v>
      </c>
      <c r="D39" s="57" t="str">
        <f t="shared" si="1"/>
        <v>Small</v>
      </c>
      <c r="E39" s="163">
        <v>8.2220169999999995E-2</v>
      </c>
      <c r="F39" s="163">
        <v>0.16899999999999998</v>
      </c>
      <c r="G39" s="163">
        <v>7.5088203712225798E-2</v>
      </c>
      <c r="H39" s="166">
        <v>0.25437453094758461</v>
      </c>
      <c r="I39" s="36">
        <v>0.69599999999999995</v>
      </c>
      <c r="J39" s="163">
        <v>9.6828904764352158E-2</v>
      </c>
      <c r="K39" s="163">
        <v>3.1383278345537939E-2</v>
      </c>
      <c r="L39" s="85">
        <v>119798</v>
      </c>
      <c r="M39" s="80" t="s">
        <v>116</v>
      </c>
      <c r="N39" s="80"/>
      <c r="O39" s="80"/>
      <c r="P39" s="81"/>
      <c r="Q39" s="7"/>
      <c r="T39" s="209"/>
      <c r="U39" s="209"/>
    </row>
    <row r="40" spans="2:21" x14ac:dyDescent="0.25">
      <c r="B40" s="18" t="s">
        <v>69</v>
      </c>
      <c r="C40" s="160">
        <v>81495</v>
      </c>
      <c r="D40" s="57" t="str">
        <f t="shared" si="1"/>
        <v>Medium</v>
      </c>
      <c r="E40" s="163">
        <v>7.0862040000000001E-2</v>
      </c>
      <c r="F40" s="163">
        <v>0.184</v>
      </c>
      <c r="G40" s="163">
        <v>0.14515331998231423</v>
      </c>
      <c r="H40" s="166">
        <v>0.2947186267045061</v>
      </c>
      <c r="I40" s="36">
        <v>0.29099999999999998</v>
      </c>
      <c r="J40" s="163">
        <v>0.1782276866667995</v>
      </c>
      <c r="K40" s="163">
        <v>0.10513829579390996</v>
      </c>
      <c r="L40" s="85">
        <v>532317</v>
      </c>
      <c r="M40" s="80" t="s">
        <v>116</v>
      </c>
      <c r="N40" s="80"/>
      <c r="O40" s="80"/>
      <c r="P40" s="81"/>
      <c r="Q40" s="7"/>
      <c r="T40" s="209"/>
      <c r="U40" s="209"/>
    </row>
    <row r="41" spans="2:21" x14ac:dyDescent="0.25">
      <c r="B41" s="18" t="s">
        <v>61</v>
      </c>
      <c r="C41" s="160">
        <v>26840</v>
      </c>
      <c r="D41" s="57" t="str">
        <f t="shared" si="1"/>
        <v>Small</v>
      </c>
      <c r="E41" s="163">
        <v>7.7874589999999994E-2</v>
      </c>
      <c r="F41" s="163">
        <v>0.106</v>
      </c>
      <c r="G41" s="163">
        <v>7.9414476717381277E-2</v>
      </c>
      <c r="H41" s="166">
        <v>0.30462135000395663</v>
      </c>
      <c r="I41" s="36">
        <v>0.42099999999999999</v>
      </c>
      <c r="J41" s="163">
        <v>7.6918634867471275E-2</v>
      </c>
      <c r="K41" s="163">
        <v>1.6070990431013329E-2</v>
      </c>
      <c r="L41" s="85">
        <v>153290</v>
      </c>
      <c r="M41" s="80" t="s">
        <v>116</v>
      </c>
      <c r="N41" s="80"/>
      <c r="O41" s="80"/>
      <c r="P41" s="81"/>
      <c r="Q41" s="7"/>
      <c r="T41" s="209"/>
      <c r="U41" s="209"/>
    </row>
    <row r="42" spans="2:21" x14ac:dyDescent="0.25">
      <c r="B42" s="18" t="s">
        <v>50</v>
      </c>
      <c r="C42" s="160">
        <v>7160</v>
      </c>
      <c r="D42" s="57" t="str">
        <f t="shared" si="1"/>
        <v>Extra Small</v>
      </c>
      <c r="E42" s="163">
        <v>6.8052559999999998E-2</v>
      </c>
      <c r="F42" s="163">
        <v>0.14899999999999999</v>
      </c>
      <c r="G42" s="163">
        <v>4.9393414211438474E-2</v>
      </c>
      <c r="H42" s="166">
        <v>0.25040316669110102</v>
      </c>
      <c r="I42" s="36">
        <v>1</v>
      </c>
      <c r="J42" s="163">
        <v>7.5023041474654384E-2</v>
      </c>
      <c r="K42" s="163">
        <v>1.0912397696271597E-2</v>
      </c>
      <c r="L42" s="85">
        <v>0</v>
      </c>
      <c r="M42" s="80" t="s">
        <v>116</v>
      </c>
      <c r="N42" s="80"/>
      <c r="O42" s="80"/>
      <c r="P42" s="81"/>
      <c r="Q42" s="7"/>
      <c r="T42" s="209"/>
      <c r="U42" s="209"/>
    </row>
    <row r="43" spans="2:21" x14ac:dyDescent="0.25">
      <c r="B43" s="27" t="s">
        <v>119</v>
      </c>
      <c r="C43" s="54">
        <v>27295</v>
      </c>
      <c r="D43" s="54" t="str">
        <f t="shared" si="1"/>
        <v>Small</v>
      </c>
      <c r="E43" s="55"/>
      <c r="F43" s="55"/>
      <c r="G43" s="55">
        <v>0.12785123327920822</v>
      </c>
      <c r="H43" s="184">
        <v>0.23915268918812504</v>
      </c>
      <c r="I43" s="55"/>
      <c r="J43" s="55">
        <v>0.1415831163795491</v>
      </c>
      <c r="K43" s="55">
        <v>5.9799430481614464E-2</v>
      </c>
      <c r="L43" s="199"/>
      <c r="M43" s="197"/>
      <c r="N43" s="197"/>
      <c r="O43" s="197"/>
      <c r="P43" s="198"/>
      <c r="Q43" s="7"/>
      <c r="T43" s="209"/>
      <c r="U43" s="209"/>
    </row>
    <row r="44" spans="2:21" x14ac:dyDescent="0.25">
      <c r="B44" s="18" t="s">
        <v>81</v>
      </c>
      <c r="C44" s="160">
        <v>620080</v>
      </c>
      <c r="D44" s="57" t="str">
        <f t="shared" si="1"/>
        <v>Extra Large</v>
      </c>
      <c r="E44" s="163">
        <v>4.2650979999999998E-2</v>
      </c>
      <c r="F44" s="163">
        <v>0.151</v>
      </c>
      <c r="G44" s="163">
        <v>0.2386094692353834</v>
      </c>
      <c r="H44" s="166">
        <v>0.16330220782308263</v>
      </c>
      <c r="I44" s="36">
        <v>5.6000000000000001E-2</v>
      </c>
      <c r="J44" s="163">
        <v>8.3950044504063362E-2</v>
      </c>
      <c r="K44" s="163">
        <v>9.0625859571268771E-2</v>
      </c>
      <c r="L44" s="85">
        <v>8674852</v>
      </c>
      <c r="M44" s="80" t="s">
        <v>116</v>
      </c>
      <c r="N44" s="80"/>
      <c r="O44" s="80"/>
      <c r="P44" s="81"/>
      <c r="Q44" s="7"/>
      <c r="T44" s="209"/>
      <c r="U44" s="209"/>
    </row>
    <row r="45" spans="2:21" x14ac:dyDescent="0.25">
      <c r="B45" s="18" t="s">
        <v>49</v>
      </c>
      <c r="C45" s="160">
        <v>1440</v>
      </c>
      <c r="D45" s="57" t="str">
        <f t="shared" si="1"/>
        <v>Extra Small</v>
      </c>
      <c r="E45" s="163">
        <v>6.5306119999999995E-2</v>
      </c>
      <c r="F45" s="163">
        <v>0.33399999999999996</v>
      </c>
      <c r="G45" s="163">
        <v>6.1711079943899017E-2</v>
      </c>
      <c r="H45" s="166">
        <v>0.3383084577114428</v>
      </c>
      <c r="I45" s="36">
        <v>1</v>
      </c>
      <c r="J45" s="163">
        <v>7.9234972677595633E-2</v>
      </c>
      <c r="K45" s="163">
        <v>7.3637702503681884E-4</v>
      </c>
      <c r="L45" s="85">
        <v>6791</v>
      </c>
      <c r="M45" s="80" t="s">
        <v>116</v>
      </c>
      <c r="N45" s="80"/>
      <c r="O45" s="80"/>
      <c r="P45" s="81"/>
      <c r="Q45" s="7"/>
      <c r="T45" s="209"/>
      <c r="U45" s="209"/>
    </row>
    <row r="46" spans="2:21" x14ac:dyDescent="0.25">
      <c r="B46" s="19" t="s">
        <v>73</v>
      </c>
      <c r="C46" s="161">
        <v>108605</v>
      </c>
      <c r="D46" s="58" t="str">
        <f t="shared" si="1"/>
        <v>Medium</v>
      </c>
      <c r="E46" s="164">
        <v>6.2846349999999995E-2</v>
      </c>
      <c r="F46" s="164">
        <v>0.184</v>
      </c>
      <c r="G46" s="164">
        <v>0.11686572914659989</v>
      </c>
      <c r="H46" s="167">
        <v>0.21567317522496532</v>
      </c>
      <c r="I46" s="37">
        <v>0.22600000000000001</v>
      </c>
      <c r="J46" s="164">
        <v>0.11749373577949944</v>
      </c>
      <c r="K46" s="164">
        <v>5.2806933273375781E-2</v>
      </c>
      <c r="L46" s="86">
        <v>1553242</v>
      </c>
      <c r="M46" s="82" t="s">
        <v>116</v>
      </c>
      <c r="N46" s="82"/>
      <c r="O46" s="82"/>
      <c r="P46" s="83"/>
      <c r="Q46" s="7"/>
      <c r="T46" s="209"/>
      <c r="U46" s="209"/>
    </row>
    <row r="47" spans="2:21" ht="15.75" thickBot="1" x14ac:dyDescent="0.3">
      <c r="C47" s="16">
        <f>SUM(C10:C46)-C36</f>
        <v>4268055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120</v>
      </c>
      <c r="C3" s="1">
        <f>'County Data'!C5</f>
        <v>10000000</v>
      </c>
    </row>
    <row r="4" spans="2:6" x14ac:dyDescent="0.25">
      <c r="B4" t="s">
        <v>121</v>
      </c>
      <c r="C4" s="14">
        <f>'County Data'!C9</f>
        <v>0</v>
      </c>
    </row>
    <row r="6" spans="2:6" s="2" customFormat="1" ht="30" x14ac:dyDescent="0.25">
      <c r="B6" s="3" t="s">
        <v>32</v>
      </c>
      <c r="C6" s="3" t="s">
        <v>101</v>
      </c>
      <c r="D6" s="3" t="s">
        <v>122</v>
      </c>
      <c r="E6" s="13" t="s">
        <v>123</v>
      </c>
      <c r="F6" s="3" t="s">
        <v>124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83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120</v>
      </c>
      <c r="C3" s="1">
        <f>'County Data'!C5</f>
        <v>10000000</v>
      </c>
    </row>
    <row r="4" spans="2:20" x14ac:dyDescent="0.25">
      <c r="B4" t="s">
        <v>121</v>
      </c>
      <c r="C4" s="14">
        <f>C3*Input!C7</f>
        <v>1845000</v>
      </c>
    </row>
    <row r="6" spans="2:20" s="2" customFormat="1" ht="30" x14ac:dyDescent="0.25">
      <c r="B6" s="3" t="s">
        <v>32</v>
      </c>
      <c r="C6" s="3" t="s">
        <v>101</v>
      </c>
      <c r="D6" s="3" t="s">
        <v>125</v>
      </c>
      <c r="E6" s="13" t="s">
        <v>126</v>
      </c>
      <c r="F6" s="3" t="s">
        <v>124</v>
      </c>
      <c r="P6" s="2" t="s">
        <v>127</v>
      </c>
      <c r="Q6" s="2" t="s">
        <v>128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29758.06451612903</v>
      </c>
      <c r="F7" s="10">
        <f t="shared" ref="F7:F42" si="0">E7/C7</f>
        <v>1.7597909234848628</v>
      </c>
      <c r="H7" t="s">
        <v>87</v>
      </c>
      <c r="I7" s="7">
        <f>Input!$C$8</f>
        <v>2.975806451612903E-3</v>
      </c>
      <c r="J7" s="61">
        <f>$C$3*I7</f>
        <v>29758.06451612903</v>
      </c>
      <c r="O7" t="s">
        <v>87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59516.129032258061</v>
      </c>
      <c r="F8" s="10">
        <f t="shared" si="0"/>
        <v>0.62870257256914441</v>
      </c>
      <c r="H8" t="s">
        <v>88</v>
      </c>
      <c r="I8" s="7">
        <f>Input!$C$9</f>
        <v>4.4637096774193547E-3</v>
      </c>
      <c r="J8" s="61">
        <f t="shared" ref="J8:J11" si="2">$C$3*I8</f>
        <v>44637.096774193546</v>
      </c>
      <c r="O8" t="s">
        <v>88</v>
      </c>
      <c r="P8">
        <v>13</v>
      </c>
      <c r="Q8">
        <v>1.5</v>
      </c>
      <c r="R8">
        <f>P8*Q8</f>
        <v>19.5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89274.193548387091</v>
      </c>
      <c r="F9" s="10">
        <f t="shared" si="0"/>
        <v>0.20931079457554153</v>
      </c>
      <c r="H9" t="s">
        <v>89</v>
      </c>
      <c r="I9" s="7">
        <f>Input!$C$10</f>
        <v>5.951612903225806E-3</v>
      </c>
      <c r="J9" s="61">
        <f t="shared" si="2"/>
        <v>59516.129032258061</v>
      </c>
      <c r="O9" t="s">
        <v>89</v>
      </c>
      <c r="P9">
        <v>7</v>
      </c>
      <c r="Q9">
        <v>2</v>
      </c>
      <c r="R9">
        <f>P9*Q9</f>
        <v>14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44637.096774193546</v>
      </c>
      <c r="F10" s="10">
        <f t="shared" si="0"/>
        <v>1.1313419534708793</v>
      </c>
      <c r="H10" t="s">
        <v>90</v>
      </c>
      <c r="I10" s="7">
        <f>Input!$C$11</f>
        <v>7.4395161290322573E-3</v>
      </c>
      <c r="J10" s="61">
        <f t="shared" si="2"/>
        <v>74395.161290322576</v>
      </c>
      <c r="O10" t="s">
        <v>90</v>
      </c>
      <c r="P10">
        <v>3</v>
      </c>
      <c r="Q10">
        <v>2.5</v>
      </c>
      <c r="R10">
        <f>P10*Q10</f>
        <v>7.5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44637.096774193546</v>
      </c>
      <c r="F11" s="10">
        <f t="shared" si="0"/>
        <v>0.837783347863993</v>
      </c>
      <c r="H11" t="s">
        <v>91</v>
      </c>
      <c r="I11" s="7">
        <f>Input!$C$12</f>
        <v>8.9274193548387094E-3</v>
      </c>
      <c r="J11" s="61">
        <f t="shared" si="2"/>
        <v>89274.193548387091</v>
      </c>
      <c r="O11" t="s">
        <v>91</v>
      </c>
      <c r="P11">
        <v>4</v>
      </c>
      <c r="Q11">
        <v>3</v>
      </c>
      <c r="R11">
        <f>P11*Q11</f>
        <v>12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44637.096774193546</v>
      </c>
      <c r="F12" s="10">
        <f t="shared" si="0"/>
        <v>0.70500034390260669</v>
      </c>
      <c r="R12">
        <f>SUM(R7:R11)</f>
        <v>62</v>
      </c>
      <c r="S12" s="204">
        <f>1/R12</f>
        <v>1.6129032258064516E-2</v>
      </c>
      <c r="T12" s="71" t="s">
        <v>129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44637.096774193546</v>
      </c>
      <c r="F13" s="10">
        <f t="shared" si="0"/>
        <v>1.9043130023120114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44637.096774193546</v>
      </c>
      <c r="F14" s="10">
        <f t="shared" si="0"/>
        <v>1.9403215289803759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74395.161290322576</v>
      </c>
      <c r="F15" s="10">
        <f t="shared" si="0"/>
        <v>0.37761166048434169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59516.129032258061</v>
      </c>
      <c r="F16" s="10">
        <f t="shared" si="0"/>
        <v>0.52889122040574121</v>
      </c>
    </row>
    <row r="17" spans="2:6" x14ac:dyDescent="0.25">
      <c r="B17" s="200" t="str">
        <f>+'County Data'!$B$20</f>
        <v>Gilliam</v>
      </c>
      <c r="C17" s="201">
        <f>VLOOKUP($B17,'County Data'!$B$10:$P$46,2,FALSE)</f>
        <v>1990</v>
      </c>
      <c r="D17" s="201" t="str">
        <f>VLOOKUP($B17,'County Data'!$B$10:$P$46,3,FALSE)</f>
        <v>Extra Small</v>
      </c>
      <c r="E17" s="203">
        <f t="shared" si="1"/>
        <v>29758.06451612903</v>
      </c>
      <c r="F17" s="202">
        <f t="shared" si="0"/>
        <v>14.953801264386447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29758.06451612903</v>
      </c>
      <c r="F18" s="10">
        <f t="shared" si="0"/>
        <v>4.0680881088351377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29758.06451612903</v>
      </c>
      <c r="F19" s="10">
        <f t="shared" si="0"/>
        <v>4.0876462247429988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44637.096774193546</v>
      </c>
      <c r="F20" s="10">
        <f t="shared" si="0"/>
        <v>1.7409164108499824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74395.161290322576</v>
      </c>
      <c r="F21" s="10">
        <f t="shared" si="0"/>
        <v>0.33325193195808356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44637.096774193546</v>
      </c>
      <c r="F22" s="10">
        <f t="shared" si="0"/>
        <v>1.8517775056707548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59516.129032258061</v>
      </c>
      <c r="F23" s="10">
        <f t="shared" si="0"/>
        <v>0.68757080674974658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44637.096774193546</v>
      </c>
      <c r="F24" s="10">
        <f t="shared" si="0"/>
        <v>0.65570469003589493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29758.06451612903</v>
      </c>
      <c r="F25" s="10">
        <f t="shared" si="0"/>
        <v>3.6852092280035951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89274.193548387091</v>
      </c>
      <c r="F26" s="10">
        <f t="shared" si="0"/>
        <v>0.23409120802482422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44637.096774193546</v>
      </c>
      <c r="F27" s="10">
        <f t="shared" si="0"/>
        <v>0.92406783509354196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59516.129032258061</v>
      </c>
      <c r="F28" s="10">
        <f t="shared" si="0"/>
        <v>0.46745310267246354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44637.096774193546</v>
      </c>
      <c r="F29" s="10">
        <f t="shared" si="0"/>
        <v>1.3903471974519093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74395.161290322576</v>
      </c>
      <c r="F30" s="10">
        <f t="shared" si="0"/>
        <v>0.21309338133112563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29758.06451612903</v>
      </c>
      <c r="F31" s="10">
        <f t="shared" si="0"/>
        <v>2.3203169213355967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89274.193548387091</v>
      </c>
      <c r="F32" s="10">
        <f t="shared" si="0"/>
        <v>0.10761631895027134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59516.129032258061</v>
      </c>
      <c r="F33" s="10">
        <f t="shared" si="0"/>
        <v>0.71017396375225894</v>
      </c>
    </row>
    <row r="34" spans="2:6" x14ac:dyDescent="0.25">
      <c r="B34" s="200" t="str">
        <f>+'County Data'!$B$38</f>
        <v>Sherman</v>
      </c>
      <c r="C34" s="201">
        <f>VLOOKUP($B34,'County Data'!$B$10:$P$46,2,FALSE)</f>
        <v>1795</v>
      </c>
      <c r="D34" s="201" t="str">
        <f>VLOOKUP($B34,'County Data'!$B$10:$P$46,3,FALSE)</f>
        <v>Extra Small</v>
      </c>
      <c r="E34" s="203">
        <f t="shared" si="1"/>
        <v>29758.06451612903</v>
      </c>
      <c r="F34" s="202">
        <f t="shared" si="0"/>
        <v>16.578308922634559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44637.096774193546</v>
      </c>
      <c r="F35" s="10">
        <f t="shared" si="0"/>
        <v>1.6825140133506802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59516.129032258061</v>
      </c>
      <c r="F36" s="10">
        <f t="shared" si="0"/>
        <v>0.7303040558593541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44637.096774193546</v>
      </c>
      <c r="F37" s="10">
        <f t="shared" si="0"/>
        <v>1.6630811018701024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29758.06451612903</v>
      </c>
      <c r="F38" s="10">
        <f t="shared" si="0"/>
        <v>4.1561542620291938</v>
      </c>
    </row>
    <row r="39" spans="2:6" x14ac:dyDescent="0.25">
      <c r="B39" s="200" t="str">
        <f>+'County Data'!$B$43</f>
        <v>Wasco</v>
      </c>
      <c r="C39" s="201">
        <f>VLOOKUP($B39,'County Data'!$B$10:$P$46,2,FALSE)</f>
        <v>27295</v>
      </c>
      <c r="D39" s="201" t="str">
        <f>VLOOKUP($B39,'County Data'!$B$10:$P$46,3,FALSE)</f>
        <v>Small</v>
      </c>
      <c r="E39" s="203">
        <f t="shared" si="1"/>
        <v>44637.096774193546</v>
      </c>
      <c r="F39" s="202">
        <f t="shared" si="0"/>
        <v>1.6353580060155173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89274.193548387091</v>
      </c>
      <c r="F40" s="10">
        <f t="shared" si="0"/>
        <v>0.1439720577157578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29758.06451612903</v>
      </c>
      <c r="F41" s="10">
        <f t="shared" si="0"/>
        <v>20.66532258064516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59516.129032258061</v>
      </c>
      <c r="F42" s="10">
        <f t="shared" si="0"/>
        <v>0.54800542362007332</v>
      </c>
    </row>
    <row r="43" spans="2:6" x14ac:dyDescent="0.25">
      <c r="B43" s="4" t="s">
        <v>83</v>
      </c>
      <c r="C43" s="5">
        <f t="shared" ref="C43:D43" si="3">SUM(C7:C42)</f>
        <v>4268055</v>
      </c>
      <c r="D43" s="8">
        <f t="shared" si="3"/>
        <v>0</v>
      </c>
      <c r="E43" s="11">
        <f>SUM(E7:E42)</f>
        <v>1844999.9999999995</v>
      </c>
      <c r="F43" s="12">
        <f t="shared" ref="F43" si="4">E43/C43</f>
        <v>0.43228121474535813</v>
      </c>
    </row>
    <row r="44" spans="2:6" x14ac:dyDescent="0.25">
      <c r="E44" s="22">
        <f>E43-C4</f>
        <v>0</v>
      </c>
    </row>
    <row r="45" spans="2:6" x14ac:dyDescent="0.25">
      <c r="B45" s="59" t="s">
        <v>62</v>
      </c>
      <c r="C45" s="60">
        <f>SUM(C17,C34,C39)</f>
        <v>31080</v>
      </c>
      <c r="D45" s="59"/>
      <c r="E45" s="60">
        <f>SUM(E17,E34,E39)</f>
        <v>104153.22580645161</v>
      </c>
      <c r="F45" s="10">
        <f>E45/C45</f>
        <v>3.351133391455972</v>
      </c>
    </row>
    <row r="51" spans="13:19" x14ac:dyDescent="0.25">
      <c r="N51">
        <v>1.6299999999999999E-2</v>
      </c>
    </row>
    <row r="52" spans="13:19" x14ac:dyDescent="0.25">
      <c r="N52" t="s">
        <v>127</v>
      </c>
      <c r="Q52" t="s">
        <v>130</v>
      </c>
    </row>
    <row r="53" spans="13:19" x14ac:dyDescent="0.25">
      <c r="M53" t="s">
        <v>131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132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133</v>
      </c>
      <c r="N55">
        <v>7</v>
      </c>
      <c r="Q55">
        <v>2</v>
      </c>
      <c r="S55">
        <f>Q55*N55</f>
        <v>14</v>
      </c>
    </row>
    <row r="56" spans="13:19" x14ac:dyDescent="0.25">
      <c r="M56" t="s">
        <v>134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135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120</v>
      </c>
      <c r="C3" s="1">
        <f>'County Data'!C5</f>
        <v>10000000</v>
      </c>
    </row>
    <row r="4" spans="2:11" x14ac:dyDescent="0.25">
      <c r="B4" t="s">
        <v>121</v>
      </c>
      <c r="C4" s="14">
        <f>'County Data'!E9</f>
        <v>1359166.6666666665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1" x14ac:dyDescent="0.25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19006.184072928794</v>
      </c>
      <c r="H7" s="10">
        <f t="shared" ref="H7:H40" si="3">G7/C7</f>
        <v>0.20077308480355774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130562.80862793204</v>
      </c>
      <c r="H8" s="10">
        <f t="shared" si="3"/>
        <v>0.21055800643131861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6013.7217352235521</v>
      </c>
      <c r="H9" s="10">
        <f t="shared" si="3"/>
        <v>0.23454452945489673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119241.25293201991</v>
      </c>
      <c r="H10" s="10">
        <f t="shared" si="3"/>
        <v>0.27957106533655302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24855.975786735486</v>
      </c>
      <c r="H11" s="10">
        <f t="shared" si="3"/>
        <v>0.29659299309988052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52279.479287374103</v>
      </c>
      <c r="H12" s="10">
        <f t="shared" si="3"/>
        <v>0.26535786253520849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33695.555867642375</v>
      </c>
      <c r="H13" s="10">
        <f t="shared" si="3"/>
        <v>0.31025786904509345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2864.9531387044108</v>
      </c>
      <c r="H14" s="10">
        <f t="shared" si="3"/>
        <v>0.3916545644161874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4216.6874763577298</v>
      </c>
      <c r="H15" s="10">
        <f t="shared" si="3"/>
        <v>0.32878654786415046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464.25770442669381</v>
      </c>
      <c r="H16" s="10">
        <f t="shared" si="3"/>
        <v>0.32240118362964848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109629.10518917401</v>
      </c>
      <c r="H17" s="10">
        <f t="shared" si="3"/>
        <v>0.3140155396115204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254817.0259197875</v>
      </c>
      <c r="H18" s="10">
        <f t="shared" si="3"/>
        <v>0.30717130276265431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128291.06639524647</v>
      </c>
      <c r="H19" s="10">
        <f t="shared" si="3"/>
        <v>0.33639968637721468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10318.606007364684</v>
      </c>
      <c r="H20" s="10">
        <f t="shared" si="3"/>
        <v>0.38444880802401954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12251.353475011647</v>
      </c>
      <c r="H21" s="10">
        <f t="shared" si="3"/>
        <v>0.38160266235825097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46940.13393826886</v>
      </c>
      <c r="H22" s="10">
        <f t="shared" si="3"/>
        <v>0.36867840039482297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28509.352935998719</v>
      </c>
      <c r="H23" s="10">
        <f t="shared" si="3"/>
        <v>0.34982947341553122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84049.291076002002</v>
      </c>
      <c r="H24" s="10">
        <f t="shared" si="3"/>
        <v>0.37649745151407454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9681.2781146701782</v>
      </c>
      <c r="H25" s="10">
        <f t="shared" si="3"/>
        <v>0.41302381035282332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18914.121064816205</v>
      </c>
      <c r="H26" s="10">
        <f t="shared" si="3"/>
        <v>0.35499476473003388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2405.4716065520065</v>
      </c>
      <c r="H27" s="10">
        <f t="shared" si="3"/>
        <v>0.33595972158547577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10768.578193726808</v>
      </c>
      <c r="H28" s="10">
        <f t="shared" si="3"/>
        <v>0.40590192965423322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3710.5723552183281</v>
      </c>
      <c r="H29" s="10">
        <f t="shared" si="3"/>
        <v>0.45951360436140287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12530.955398359034</v>
      </c>
      <c r="H30" s="10">
        <f t="shared" si="3"/>
        <v>0.40318389312609504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7204.1785358506604</v>
      </c>
      <c r="H31" s="10">
        <f t="shared" si="3"/>
        <v>0.4260306644500686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15932.472508197841</v>
      </c>
      <c r="H32" s="10">
        <f t="shared" si="3"/>
        <v>0.40381377539469882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42395.497201553662</v>
      </c>
      <c r="H33" s="10">
        <f t="shared" si="3"/>
        <v>0.48978162201425213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56073.295230134237</v>
      </c>
      <c r="H34" s="10">
        <f t="shared" si="3"/>
        <v>0.49829641189135554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32540.547329947512</v>
      </c>
      <c r="H35" s="10">
        <f t="shared" si="3"/>
        <v>0.47801024355413163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30761.988432556154</v>
      </c>
      <c r="H36" s="10">
        <f t="shared" si="3"/>
        <v>0.48585624942835276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23326.940646856521</v>
      </c>
      <c r="H37" s="10">
        <f t="shared" si="3"/>
        <v>0.48290944305675437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10230.267923000134</v>
      </c>
      <c r="H38" s="10">
        <f t="shared" si="3"/>
        <v>0.42440439423356707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3443.0976123561459</v>
      </c>
      <c r="H39" s="10">
        <f t="shared" si="3"/>
        <v>0.47295296873023984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11240.592946671686</v>
      </c>
      <c r="H40" s="10">
        <f t="shared" si="3"/>
        <v>0.48861521176577638</v>
      </c>
      <c r="I40" s="22"/>
    </row>
    <row r="41" spans="2:9" x14ac:dyDescent="0.25">
      <c r="B41" s="4" t="s">
        <v>83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1359166.6666666656</v>
      </c>
      <c r="H41" s="12">
        <f t="shared" ref="H41" si="4">G41/C41</f>
        <v>0.31845106650843663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120</v>
      </c>
      <c r="C3" s="1">
        <f>'County Data'!C5</f>
        <v>10000000</v>
      </c>
    </row>
    <row r="4" spans="2:12" x14ac:dyDescent="0.25">
      <c r="B4" t="s">
        <v>121</v>
      </c>
      <c r="C4" s="14">
        <f>'County Data'!F9</f>
        <v>1359166.6666666665</v>
      </c>
      <c r="D4" s="9"/>
    </row>
    <row r="6" spans="2:12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51094.102772794286</v>
      </c>
      <c r="H7" s="10">
        <f t="shared" ref="H7:H40" si="3">G7/C7</f>
        <v>0.25934118099025094</v>
      </c>
      <c r="J7" s="185"/>
      <c r="K7" s="185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2019.5295293988268</v>
      </c>
      <c r="H8" s="10">
        <f t="shared" si="3"/>
        <v>0.28205719684341157</v>
      </c>
      <c r="J8" s="185"/>
      <c r="K8" s="185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2736.1914345462296</v>
      </c>
      <c r="H9" s="10">
        <f t="shared" si="3"/>
        <v>0.33884723647631326</v>
      </c>
      <c r="J9" s="185"/>
      <c r="K9" s="185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177245.651137034</v>
      </c>
      <c r="H10" s="10">
        <f t="shared" si="3"/>
        <v>0.2858431994856051</v>
      </c>
      <c r="J10" s="185"/>
      <c r="K10" s="185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6050.0132922119128</v>
      </c>
      <c r="H11" s="10">
        <f t="shared" si="3"/>
        <v>0.35777724968728047</v>
      </c>
      <c r="J11" s="185"/>
      <c r="K11" s="185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20249.709616963199</v>
      </c>
      <c r="H12" s="10">
        <f t="shared" si="3"/>
        <v>0.21390914928392962</v>
      </c>
      <c r="J12" s="185"/>
      <c r="K12" s="185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5385.6644785730177</v>
      </c>
      <c r="H13" s="10">
        <f t="shared" si="3"/>
        <v>0.20065814003625251</v>
      </c>
      <c r="J13" s="185"/>
      <c r="K13" s="185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29031.66455575548</v>
      </c>
      <c r="H14" s="10">
        <f t="shared" si="3"/>
        <v>0.34641924176070021</v>
      </c>
      <c r="J14" s="185"/>
      <c r="K14" s="185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117072.05147779743</v>
      </c>
      <c r="H15" s="10">
        <f t="shared" si="3"/>
        <v>0.27448519155902473</v>
      </c>
      <c r="J15" s="185"/>
      <c r="K15" s="185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11203.255068580676</v>
      </c>
      <c r="H16" s="10">
        <f t="shared" si="3"/>
        <v>0.28395019816450834</v>
      </c>
      <c r="J16" s="185"/>
      <c r="K16" s="185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8119.1583862366861</v>
      </c>
      <c r="H17" s="10">
        <f t="shared" si="3"/>
        <v>0.26123418231134771</v>
      </c>
      <c r="J17" s="185"/>
      <c r="K17" s="185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119839.45850412855</v>
      </c>
      <c r="H18" s="10">
        <f t="shared" si="3"/>
        <v>0.31423821930205592</v>
      </c>
      <c r="J18" s="185"/>
      <c r="K18" s="185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252827.66632456848</v>
      </c>
      <c r="H19" s="10">
        <f t="shared" si="3"/>
        <v>0.30477321269657226</v>
      </c>
      <c r="J19" s="185"/>
      <c r="K19" s="185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2146.3322228924912</v>
      </c>
      <c r="H20" s="10">
        <f t="shared" si="3"/>
        <v>0.29341520476999194</v>
      </c>
      <c r="J20" s="185"/>
      <c r="K20" s="185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77757.225145580334</v>
      </c>
      <c r="H21" s="10">
        <f t="shared" si="3"/>
        <v>0.34831224308179687</v>
      </c>
      <c r="J21" s="185"/>
      <c r="K21" s="185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43624.064004568274</v>
      </c>
      <c r="H22" s="10">
        <f t="shared" si="3"/>
        <v>0.34263323911850668</v>
      </c>
      <c r="J22" s="185"/>
      <c r="K22" s="185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6251.4191677699982</v>
      </c>
      <c r="H23" s="10">
        <f t="shared" si="3"/>
        <v>0.25934118099025089</v>
      </c>
      <c r="J23" s="185"/>
      <c r="K23" s="185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37828.451159898548</v>
      </c>
      <c r="H24" s="10">
        <f t="shared" si="3"/>
        <v>0.34831224308179687</v>
      </c>
      <c r="J24" s="185"/>
      <c r="K24" s="185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35721.086369200835</v>
      </c>
      <c r="H25" s="10">
        <f t="shared" si="3"/>
        <v>0.41267428799908545</v>
      </c>
      <c r="J25" s="185"/>
      <c r="K25" s="185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20676.117629546839</v>
      </c>
      <c r="H26" s="10">
        <f t="shared" si="3"/>
        <v>0.38806527082482806</v>
      </c>
      <c r="J26" s="185"/>
      <c r="K26" s="185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8487.4039332296306</v>
      </c>
      <c r="H27" s="10">
        <f t="shared" si="3"/>
        <v>0.31991722326534605</v>
      </c>
      <c r="J27" s="185"/>
      <c r="K27" s="185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126889.84727448724</v>
      </c>
      <c r="H28" s="10">
        <f t="shared" si="3"/>
        <v>0.36345625365057072</v>
      </c>
      <c r="J28" s="185"/>
      <c r="K28" s="185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7959.994835158871</v>
      </c>
      <c r="H29" s="10">
        <f t="shared" si="3"/>
        <v>0.31045221665986233</v>
      </c>
      <c r="J29" s="185"/>
      <c r="K29" s="185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19477.024337717936</v>
      </c>
      <c r="H30" s="10">
        <f t="shared" si="3"/>
        <v>0.40320928139360179</v>
      </c>
      <c r="J30" s="185"/>
      <c r="K30" s="185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22422.695298456725</v>
      </c>
      <c r="H31" s="10">
        <f t="shared" si="3"/>
        <v>0.3293822298708296</v>
      </c>
      <c r="J31" s="185"/>
      <c r="K31" s="185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25649.05103008114</v>
      </c>
      <c r="H32" s="10">
        <f t="shared" si="3"/>
        <v>0.40510228271469856</v>
      </c>
      <c r="J32" s="185"/>
      <c r="K32" s="185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28385.706249951039</v>
      </c>
      <c r="H33" s="10">
        <f t="shared" si="3"/>
        <v>0.34831224308179692</v>
      </c>
      <c r="J33" s="185"/>
      <c r="K33" s="185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47290.315383189147</v>
      </c>
      <c r="H34" s="10">
        <f t="shared" si="3"/>
        <v>0.42024629328347241</v>
      </c>
      <c r="J34" s="185"/>
      <c r="K34" s="185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8883.893059933338</v>
      </c>
      <c r="H35" s="10">
        <f t="shared" si="3"/>
        <v>0.38617226950373129</v>
      </c>
      <c r="J35" s="185"/>
      <c r="K35" s="185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10205.548722296648</v>
      </c>
      <c r="H36" s="10">
        <f t="shared" si="3"/>
        <v>0.43539030385224609</v>
      </c>
      <c r="J36" s="185"/>
      <c r="K36" s="185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7574.6554862364246</v>
      </c>
      <c r="H37" s="10">
        <f t="shared" si="3"/>
        <v>0.59061641218217731</v>
      </c>
      <c r="J37" s="185"/>
      <c r="K37" s="185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1681.2880533452646</v>
      </c>
      <c r="H38" s="10">
        <f t="shared" si="3"/>
        <v>0.2309461611738001</v>
      </c>
      <c r="J38" s="185"/>
      <c r="K38" s="185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16469.972809142582</v>
      </c>
      <c r="H39" s="10">
        <f t="shared" si="3"/>
        <v>0.51300335801721175</v>
      </c>
      <c r="J39" s="185"/>
      <c r="K39" s="185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910.45791539467928</v>
      </c>
      <c r="H40" s="10">
        <f t="shared" si="3"/>
        <v>0.63226244124630504</v>
      </c>
      <c r="J40" s="185"/>
      <c r="K40" s="185"/>
      <c r="L40" s="22"/>
    </row>
    <row r="41" spans="2:12" x14ac:dyDescent="0.25">
      <c r="B41" s="4" t="s">
        <v>83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1359166.6666666667</v>
      </c>
      <c r="H41" s="12">
        <f t="shared" ref="H41" si="4">G41/C41</f>
        <v>0.31845106650843691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120</v>
      </c>
      <c r="C3" s="1">
        <f>'County Data'!C5</f>
        <v>10000000</v>
      </c>
    </row>
    <row r="4" spans="2:8" x14ac:dyDescent="0.25">
      <c r="B4" t="s">
        <v>121</v>
      </c>
      <c r="C4" s="14">
        <f>'County Data'!G9</f>
        <v>1359166.6666666665</v>
      </c>
      <c r="D4" s="9"/>
    </row>
    <row r="6" spans="2:8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181.46519853158645</v>
      </c>
      <c r="H7" s="10">
        <f t="shared" ref="H7:H40" si="3">G7/C7</f>
        <v>0.12601749898026837</v>
      </c>
    </row>
    <row r="8" spans="2:8" x14ac:dyDescent="0.25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722.18718647724791</v>
      </c>
      <c r="H8" s="10">
        <f t="shared" si="3"/>
        <v>0.10086413218955977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794.40055041861865</v>
      </c>
      <c r="H9" s="10">
        <f t="shared" si="3"/>
        <v>0.10859884489659859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2439.0448598569792</v>
      </c>
      <c r="H10" s="10">
        <f t="shared" si="3"/>
        <v>0.14423683381768063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4352.6114433950333</v>
      </c>
      <c r="H11" s="10">
        <f t="shared" si="3"/>
        <v>0.16216883172112642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7794.5599019096226</v>
      </c>
      <c r="H12" s="10">
        <f t="shared" si="3"/>
        <v>0.14629429245325867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17195.782703349549</v>
      </c>
      <c r="H13" s="10">
        <f t="shared" si="3"/>
        <v>0.15281065230027147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3454.3434080008992</v>
      </c>
      <c r="H14" s="10">
        <f t="shared" si="3"/>
        <v>0.14736959931744451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26184.820197183246</v>
      </c>
      <c r="H15" s="10">
        <f t="shared" si="3"/>
        <v>0.13290774914185846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14050.922040627385</v>
      </c>
      <c r="H16" s="10">
        <f t="shared" si="3"/>
        <v>0.16232580915697073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4356.0693494373509</v>
      </c>
      <c r="H17" s="10">
        <f t="shared" si="3"/>
        <v>0.18935315581123022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1351.283004181528</v>
      </c>
      <c r="H18" s="10">
        <f t="shared" si="3"/>
        <v>0.1856157972776824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7087.0590354905535</v>
      </c>
      <c r="H19" s="10">
        <f t="shared" si="3"/>
        <v>0.17962385085516547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24928.757741156143</v>
      </c>
      <c r="H20" s="10">
        <f t="shared" si="3"/>
        <v>0.19579608656264644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15106.760557364452</v>
      </c>
      <c r="H21" s="10">
        <f t="shared" si="3"/>
        <v>0.23859686578795627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1475.9278834597073</v>
      </c>
      <c r="H22" s="10">
        <f t="shared" si="3"/>
        <v>0.18277744686807521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4067.9600061731535</v>
      </c>
      <c r="H23" s="10">
        <f t="shared" si="3"/>
        <v>0.15333433871742003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104201.54593385805</v>
      </c>
      <c r="H24" s="10">
        <f t="shared" si="3"/>
        <v>0.24430921757466456</v>
      </c>
    </row>
    <row r="25" spans="2:8" x14ac:dyDescent="0.25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101255.43954112445</v>
      </c>
      <c r="H25" s="10">
        <f t="shared" si="3"/>
        <v>0.26550795049657006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11654.207934956907</v>
      </c>
      <c r="H26" s="10">
        <f t="shared" si="3"/>
        <v>0.2412629735008158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39355.842095347747</v>
      </c>
      <c r="H27" s="10">
        <f t="shared" si="3"/>
        <v>0.17629386353407878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27762.924592830685</v>
      </c>
      <c r="H28" s="10">
        <f t="shared" si="3"/>
        <v>0.29327549350689996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16689.52419540863</v>
      </c>
      <c r="H29" s="10">
        <f t="shared" si="3"/>
        <v>0.24516377811837869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20569.265965132905</v>
      </c>
      <c r="H30" s="10">
        <f t="shared" si="3"/>
        <v>0.24544198991865526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25918.19198132923</v>
      </c>
      <c r="H31" s="10">
        <f t="shared" si="3"/>
        <v>0.2386463973235968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7591.5114300225496</v>
      </c>
      <c r="H32" s="10">
        <f t="shared" si="3"/>
        <v>0.24425712451810005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375875.4593357924</v>
      </c>
      <c r="H33" s="10">
        <f t="shared" si="3"/>
        <v>0.45310219795529244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302136.44021440338</v>
      </c>
      <c r="H34" s="10">
        <f t="shared" si="3"/>
        <v>0.48725396757580214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24156.034829093933</v>
      </c>
      <c r="H35" s="10">
        <f t="shared" si="3"/>
        <v>0.29641125012692721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135049.36030544352</v>
      </c>
      <c r="H36" s="10">
        <f t="shared" si="3"/>
        <v>0.38682791104904768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7017.0248660983043</v>
      </c>
      <c r="H37" s="10">
        <f t="shared" si="3"/>
        <v>0.27367491677450484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7163.3440304169835</v>
      </c>
      <c r="H38" s="10">
        <f t="shared" si="3"/>
        <v>0.22312238063905881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2986.7326517647393</v>
      </c>
      <c r="H39" s="10">
        <f t="shared" si="3"/>
        <v>0.23288363756450209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14239.861696629319</v>
      </c>
      <c r="H40" s="10">
        <f t="shared" si="3"/>
        <v>0.59074306976267654</v>
      </c>
    </row>
    <row r="41" spans="2:8" x14ac:dyDescent="0.25">
      <c r="B41" s="4" t="s">
        <v>83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120</v>
      </c>
      <c r="C3" s="1">
        <f>'County Data'!C5</f>
        <v>10000000</v>
      </c>
    </row>
    <row r="4" spans="2:8" x14ac:dyDescent="0.25">
      <c r="B4" t="s">
        <v>121</v>
      </c>
      <c r="C4" s="14">
        <f>'County Data'!I9</f>
        <v>1359166.6666666665</v>
      </c>
      <c r="D4" s="9"/>
    </row>
    <row r="6" spans="2:8" s="2" customFormat="1" ht="30" x14ac:dyDescent="0.25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18473.965571043744</v>
      </c>
      <c r="H7" s="10">
        <f t="shared" ref="H7:H40" si="3">G7/C7</f>
        <v>2.2269595413283841E-2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59484.624656666674</v>
      </c>
      <c r="H8" s="10">
        <f t="shared" si="3"/>
        <v>9.5930564857222733E-2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78345.670056909323</v>
      </c>
      <c r="H9" s="10">
        <f t="shared" si="3"/>
        <v>0.22440899993386035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114326.74958367107</v>
      </c>
      <c r="H10" s="10">
        <f t="shared" si="3"/>
        <v>0.299783015178821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132245.7910979318</v>
      </c>
      <c r="H11" s="10">
        <f t="shared" si="3"/>
        <v>0.31006128998495197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30487.110381701608</v>
      </c>
      <c r="H12" s="10">
        <f t="shared" si="3"/>
        <v>0.32205261059210488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28568.798867572332</v>
      </c>
      <c r="H13" s="10">
        <f t="shared" si="3"/>
        <v>0.34089611440334505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76866.489268642996</v>
      </c>
      <c r="H14" s="10">
        <f t="shared" si="3"/>
        <v>0.34432220600538882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42046.24666371465</v>
      </c>
      <c r="H15" s="10">
        <f t="shared" si="3"/>
        <v>0.38714835103093459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93148.818302775413</v>
      </c>
      <c r="H16" s="10">
        <f t="shared" si="3"/>
        <v>0.4728006410820263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40624.958258293846</v>
      </c>
      <c r="H17" s="10">
        <f t="shared" si="3"/>
        <v>0.49849632809735378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68921.177278007584</v>
      </c>
      <c r="H18" s="10">
        <f t="shared" si="3"/>
        <v>0.54132247312289961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43847.462932115079</v>
      </c>
      <c r="H19" s="10">
        <f t="shared" si="3"/>
        <v>0.64410522118420976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31113.502709303251</v>
      </c>
      <c r="H20" s="10">
        <f t="shared" si="3"/>
        <v>0.64410522118420976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41649.214038411817</v>
      </c>
      <c r="H21" s="10">
        <f t="shared" si="3"/>
        <v>0.65780958759238439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15251.135418520324</v>
      </c>
      <c r="H22" s="10">
        <f t="shared" si="3"/>
        <v>0.66294872499544988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26359.406610933427</v>
      </c>
      <c r="H23" s="10">
        <f t="shared" si="3"/>
        <v>0.66808786239851548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11876.717843064478</v>
      </c>
      <c r="H24" s="10">
        <f t="shared" si="3"/>
        <v>0.70234877841895194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79420.846123462659</v>
      </c>
      <c r="H25" s="10">
        <f t="shared" si="3"/>
        <v>0.70577487002099581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22095.20735073982</v>
      </c>
      <c r="H26" s="10">
        <f t="shared" si="3"/>
        <v>0.71091400742406108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19356.800855058358</v>
      </c>
      <c r="H27" s="10">
        <f t="shared" si="3"/>
        <v>0.72119228223019216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39794.191001401297</v>
      </c>
      <c r="H28" s="10">
        <f t="shared" si="3"/>
        <v>0.74688796924551981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5524.6412301274568</v>
      </c>
      <c r="H29" s="10">
        <f t="shared" si="3"/>
        <v>0.75887928985267261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66726.560041402496</v>
      </c>
      <c r="H30" s="10">
        <f t="shared" si="3"/>
        <v>0.77087061045982552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10084.143890730207</v>
      </c>
      <c r="H31" s="10">
        <f t="shared" si="3"/>
        <v>0.78628802266902198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19273.820916456862</v>
      </c>
      <c r="H32" s="10">
        <f t="shared" si="3"/>
        <v>0.82226198449048049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26618.7103538341</v>
      </c>
      <c r="H33" s="10">
        <f t="shared" si="3"/>
        <v>0.82911416769456781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22927.542044540314</v>
      </c>
      <c r="H34" s="10">
        <f t="shared" si="3"/>
        <v>0.89420990813339762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26055.863460221364</v>
      </c>
      <c r="H35" s="10">
        <f t="shared" si="3"/>
        <v>1.0809319004447777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8756.1907857780807</v>
      </c>
      <c r="H36" s="10">
        <f t="shared" si="3"/>
        <v>1.0843579920468212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31631.185150372046</v>
      </c>
      <c r="H37" s="10">
        <f t="shared" si="3"/>
        <v>1.1922798775111967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12530.930034474719</v>
      </c>
      <c r="H38" s="10">
        <f t="shared" si="3"/>
        <v>1.7130458010218343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12265.407935316336</v>
      </c>
      <c r="H39" s="10">
        <f t="shared" si="3"/>
        <v>1.7130458010218346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2466.7859534714416</v>
      </c>
      <c r="H40" s="10">
        <f t="shared" si="3"/>
        <v>1.7130458010218346</v>
      </c>
    </row>
    <row r="41" spans="2:8" x14ac:dyDescent="0.25">
      <c r="B41" s="4" t="s">
        <v>83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e5a6155-81d0-4b93-93b6-2738d35fba9d" xsi:nil="true"/>
    <Meta_x0020_Keywords xmlns="8e5a6155-81d0-4b93-93b6-2738d35fba9d" xsi:nil="true"/>
    <Category xmlns="8e5a6155-81d0-4b93-93b6-2738d35fba9d">Incentives and Funding Subcommittee</Category>
    <Meeting xmlns="8e5a6155-81d0-4b93-93b6-2738d35fba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51E5A-8DD2-46A9-B16F-E60CFAC6EC88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09207eb7-70e0-4957-a658-5743f843bb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CC20CE-57CE-496B-A87C-044129D9F8CF}"/>
</file>

<file path=customXml/itemProps3.xml><?xml version="1.0" encoding="utf-8"?>
<ds:datastoreItem xmlns:ds="http://schemas.openxmlformats.org/officeDocument/2006/customXml" ds:itemID="{8CDF707D-B078-4D42-A6A0-D8DBB5F12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Manager/>
  <Company>Oregon 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2022-04-15 Incentives and Funding Fund Formula</dc:title>
  <dc:subject/>
  <dc:creator>Curtis Christopher J</dc:creator>
  <cp:keywords/>
  <dc:description/>
  <cp:lastModifiedBy>Ceglie Adriane</cp:lastModifiedBy>
  <cp:revision/>
  <dcterms:created xsi:type="dcterms:W3CDTF">2016-05-10T19:52:04Z</dcterms:created>
  <dcterms:modified xsi:type="dcterms:W3CDTF">2024-06-17T20:13:03Z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2024-06-17T20:13:02Z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58cf7937-b50e-4edd-97cf-6d24adaa5102</vt:lpwstr>
  </property>
  <property fmtid="{D5CDD505-2E9C-101B-9397-08002B2CF9AE}" pid="9" name="MSIP_Label_ebdd6eeb-0dd0-4927-947e-a759f08fcf55_ContentBits">
    <vt:lpwstr>0</vt:lpwstr>
  </property>
</Properties>
</file>