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dhsoha-my.sharepoint.com/personal/adriane_ceglie_odhsoha_oregon_gov1/Documents/Desktop/Lab/"/>
    </mc:Choice>
  </mc:AlternateContent>
  <xr:revisionPtr revIDLastSave="0" documentId="8_{9EFF25CA-20F1-47EC-8BAE-AEDDCE68BF3C}" xr6:coauthVersionLast="47" xr6:coauthVersionMax="47" xr10:uidLastSave="{00000000-0000-0000-0000-000000000000}"/>
  <bookViews>
    <workbookView xWindow="-120" yWindow="-120" windowWidth="29040" windowHeight="15840" tabRatio="684" firstSheet="1" activeTab="1" xr2:uid="{00000000-000D-0000-FFFF-FFFF00000000}"/>
  </bookViews>
  <sheets>
    <sheet name="Input" sheetId="13" r:id="rId1"/>
    <sheet name="Summary" sheetId="1" r:id="rId2"/>
    <sheet name="County Data" sheetId="2" r:id="rId3"/>
    <sheet name="Population" sheetId="4" state="hidden" r:id="rId4"/>
    <sheet name="Floor" sheetId="21" state="hidden" r:id="rId5"/>
    <sheet name="Burden" sheetId="14" state="hidden" r:id="rId6"/>
    <sheet name="Health Status" sheetId="15" state="hidden" r:id="rId7"/>
    <sheet name="Ethnicity" sheetId="16" state="hidden" r:id="rId8"/>
    <sheet name="Rurality" sheetId="19" state="hidden" r:id="rId9"/>
    <sheet name="Poverty" sheetId="17" state="hidden" r:id="rId10"/>
    <sheet name="Education" sheetId="20" state="hidden" r:id="rId11"/>
    <sheet name="Language" sheetId="18" state="hidden" r:id="rId12"/>
    <sheet name="Matching" sheetId="8" state="hidden" r:id="rId13"/>
    <sheet name="Incentives" sheetId="9" state="hidden" r:id="rId14"/>
  </sheets>
  <externalReferences>
    <externalReference r:id="rId15"/>
  </externalReferences>
  <definedNames>
    <definedName name="_xlnm._FilterDatabase" localSheetId="2" hidden="1">'County Data'!#REF!</definedName>
    <definedName name="_xlnm._FilterDatabase" localSheetId="4" hidden="1">Floor!$B$6:$F$45</definedName>
    <definedName name="_xlnm._FilterDatabase" localSheetId="8" hidden="1">Rurality!$B$6:$H$41</definedName>
    <definedName name="_xlnm.Print_Area" localSheetId="2">'County Data'!$A$1:$P$48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10" i="1" l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9" i="1"/>
  <c r="AC44" i="1"/>
  <c r="A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I43" i="1"/>
  <c r="I42" i="1"/>
  <c r="J42" i="1" s="1"/>
  <c r="I41" i="1"/>
  <c r="I40" i="1"/>
  <c r="J40" i="1" s="1"/>
  <c r="I39" i="1"/>
  <c r="I38" i="1"/>
  <c r="I37" i="1"/>
  <c r="I36" i="1"/>
  <c r="I35" i="1"/>
  <c r="I34" i="1"/>
  <c r="J34" i="1" s="1"/>
  <c r="I33" i="1"/>
  <c r="I32" i="1"/>
  <c r="J32" i="1" s="1"/>
  <c r="I31" i="1"/>
  <c r="I30" i="1"/>
  <c r="I29" i="1"/>
  <c r="I28" i="1"/>
  <c r="I27" i="1"/>
  <c r="I26" i="1"/>
  <c r="J26" i="1" s="1"/>
  <c r="I25" i="1"/>
  <c r="I24" i="1"/>
  <c r="J24" i="1" s="1"/>
  <c r="I23" i="1"/>
  <c r="I22" i="1"/>
  <c r="I21" i="1"/>
  <c r="I20" i="1"/>
  <c r="I19" i="1"/>
  <c r="I18" i="1"/>
  <c r="J18" i="1" s="1"/>
  <c r="I17" i="1"/>
  <c r="I16" i="1"/>
  <c r="J16" i="1" s="1"/>
  <c r="I15" i="1"/>
  <c r="I14" i="1"/>
  <c r="I13" i="1"/>
  <c r="I12" i="1"/>
  <c r="I11" i="1"/>
  <c r="I10" i="1"/>
  <c r="J10" i="1" s="1"/>
  <c r="I9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M13" i="1" l="1"/>
  <c r="M21" i="1"/>
  <c r="M29" i="1"/>
  <c r="M37" i="1"/>
  <c r="M30" i="1"/>
  <c r="M38" i="1"/>
  <c r="P16" i="1"/>
  <c r="P24" i="1"/>
  <c r="P32" i="1"/>
  <c r="P40" i="1"/>
  <c r="S10" i="1"/>
  <c r="S18" i="1"/>
  <c r="S26" i="1"/>
  <c r="S34" i="1"/>
  <c r="S42" i="1"/>
  <c r="V12" i="1"/>
  <c r="V20" i="1"/>
  <c r="V28" i="1"/>
  <c r="V36" i="1"/>
  <c r="Y14" i="1"/>
  <c r="Y22" i="1"/>
  <c r="Y30" i="1"/>
  <c r="Y38" i="1"/>
  <c r="G16" i="1"/>
  <c r="G24" i="1"/>
  <c r="G32" i="1"/>
  <c r="G40" i="1"/>
  <c r="M12" i="1"/>
  <c r="M20" i="1"/>
  <c r="M28" i="1"/>
  <c r="M36" i="1"/>
  <c r="P14" i="1"/>
  <c r="P22" i="1"/>
  <c r="P30" i="1"/>
  <c r="P38" i="1"/>
  <c r="S16" i="1"/>
  <c r="S24" i="1"/>
  <c r="S32" i="1"/>
  <c r="S40" i="1"/>
  <c r="V10" i="1"/>
  <c r="V18" i="1"/>
  <c r="V26" i="1"/>
  <c r="V34" i="1"/>
  <c r="V42" i="1"/>
  <c r="Y12" i="1"/>
  <c r="Y20" i="1"/>
  <c r="Y28" i="1"/>
  <c r="Y36" i="1"/>
  <c r="G14" i="1"/>
  <c r="G22" i="1"/>
  <c r="G30" i="1"/>
  <c r="G38" i="1"/>
  <c r="P15" i="1"/>
  <c r="P23" i="1"/>
  <c r="P31" i="1"/>
  <c r="P39" i="1"/>
  <c r="V11" i="1"/>
  <c r="V19" i="1"/>
  <c r="V27" i="1"/>
  <c r="V35" i="1"/>
  <c r="V43" i="1"/>
  <c r="G15" i="1"/>
  <c r="G23" i="1"/>
  <c r="G31" i="1"/>
  <c r="G39" i="1"/>
  <c r="J9" i="1"/>
  <c r="J17" i="1"/>
  <c r="J25" i="1"/>
  <c r="J33" i="1"/>
  <c r="J41" i="1"/>
  <c r="S11" i="1"/>
  <c r="S19" i="1"/>
  <c r="S27" i="1"/>
  <c r="S35" i="1"/>
  <c r="S43" i="1"/>
  <c r="Y15" i="1"/>
  <c r="Y23" i="1"/>
  <c r="Y31" i="1"/>
  <c r="Y39" i="1"/>
  <c r="J11" i="1"/>
  <c r="J19" i="1"/>
  <c r="J27" i="1"/>
  <c r="J35" i="1"/>
  <c r="J43" i="1"/>
  <c r="AD44" i="1"/>
  <c r="M11" i="1"/>
  <c r="M19" i="1"/>
  <c r="M27" i="1"/>
  <c r="M35" i="1"/>
  <c r="M43" i="1"/>
  <c r="P13" i="1"/>
  <c r="P21" i="1"/>
  <c r="P29" i="1"/>
  <c r="P37" i="1"/>
  <c r="V9" i="1"/>
  <c r="V17" i="1"/>
  <c r="V25" i="1"/>
  <c r="V33" i="1"/>
  <c r="V41" i="1"/>
  <c r="G13" i="1"/>
  <c r="G21" i="1"/>
  <c r="G29" i="1"/>
  <c r="G37" i="1"/>
  <c r="J15" i="1"/>
  <c r="J23" i="1"/>
  <c r="J31" i="1"/>
  <c r="J39" i="1"/>
  <c r="J12" i="1"/>
  <c r="J20" i="1"/>
  <c r="J28" i="1"/>
  <c r="J36" i="1"/>
  <c r="S13" i="1"/>
  <c r="S21" i="1"/>
  <c r="S29" i="1"/>
  <c r="S37" i="1"/>
  <c r="G11" i="1"/>
  <c r="G19" i="1"/>
  <c r="G27" i="1"/>
  <c r="G35" i="1"/>
  <c r="G43" i="1"/>
  <c r="J13" i="1"/>
  <c r="J21" i="1"/>
  <c r="J29" i="1"/>
  <c r="J37" i="1"/>
  <c r="V15" i="1"/>
  <c r="Y33" i="1"/>
  <c r="M16" i="1"/>
  <c r="M24" i="1"/>
  <c r="M32" i="1"/>
  <c r="M40" i="1"/>
  <c r="P10" i="1"/>
  <c r="P18" i="1"/>
  <c r="P26" i="1"/>
  <c r="P34" i="1"/>
  <c r="P42" i="1"/>
  <c r="S12" i="1"/>
  <c r="S20" i="1"/>
  <c r="S28" i="1"/>
  <c r="S36" i="1"/>
  <c r="V14" i="1"/>
  <c r="V22" i="1"/>
  <c r="V30" i="1"/>
  <c r="V38" i="1"/>
  <c r="Y16" i="1"/>
  <c r="Y24" i="1"/>
  <c r="Y32" i="1"/>
  <c r="Y40" i="1"/>
  <c r="V16" i="1"/>
  <c r="V24" i="1"/>
  <c r="V32" i="1"/>
  <c r="V40" i="1"/>
  <c r="Y18" i="1"/>
  <c r="Y26" i="1"/>
  <c r="Y34" i="1"/>
  <c r="Y42" i="1"/>
  <c r="G12" i="1"/>
  <c r="G20" i="1"/>
  <c r="G28" i="1"/>
  <c r="G36" i="1"/>
  <c r="M10" i="1"/>
  <c r="M26" i="1"/>
  <c r="M34" i="1"/>
  <c r="M42" i="1"/>
  <c r="P12" i="1"/>
  <c r="P20" i="1"/>
  <c r="P28" i="1"/>
  <c r="P36" i="1"/>
  <c r="S14" i="1"/>
  <c r="S22" i="1"/>
  <c r="S30" i="1"/>
  <c r="S38" i="1"/>
  <c r="V23" i="1"/>
  <c r="V31" i="1"/>
  <c r="V39" i="1"/>
  <c r="Y9" i="1"/>
  <c r="Y17" i="1"/>
  <c r="Y25" i="1"/>
  <c r="Y41" i="1"/>
  <c r="G10" i="1"/>
  <c r="G18" i="1"/>
  <c r="G26" i="1"/>
  <c r="G34" i="1"/>
  <c r="G42" i="1"/>
  <c r="M18" i="1"/>
  <c r="X44" i="1"/>
  <c r="M14" i="1"/>
  <c r="M15" i="1"/>
  <c r="M23" i="1"/>
  <c r="M31" i="1"/>
  <c r="M39" i="1"/>
  <c r="P17" i="1"/>
  <c r="P25" i="1"/>
  <c r="P33" i="1"/>
  <c r="P41" i="1"/>
  <c r="S15" i="1"/>
  <c r="S23" i="1"/>
  <c r="S31" i="1"/>
  <c r="S39" i="1"/>
  <c r="V13" i="1"/>
  <c r="V21" i="1"/>
  <c r="V29" i="1"/>
  <c r="V37" i="1"/>
  <c r="Y11" i="1"/>
  <c r="Y19" i="1"/>
  <c r="Y27" i="1"/>
  <c r="Y35" i="1"/>
  <c r="Y43" i="1"/>
  <c r="G9" i="1"/>
  <c r="G17" i="1"/>
  <c r="G25" i="1"/>
  <c r="G33" i="1"/>
  <c r="G41" i="1"/>
  <c r="M22" i="1"/>
  <c r="M25" i="1"/>
  <c r="M33" i="1"/>
  <c r="M41" i="1"/>
  <c r="P11" i="1"/>
  <c r="P19" i="1"/>
  <c r="P27" i="1"/>
  <c r="P35" i="1"/>
  <c r="P43" i="1"/>
  <c r="S9" i="1"/>
  <c r="S17" i="1"/>
  <c r="S25" i="1"/>
  <c r="S33" i="1"/>
  <c r="S41" i="1"/>
  <c r="Y13" i="1"/>
  <c r="Y21" i="1"/>
  <c r="Y29" i="1"/>
  <c r="Y37" i="1"/>
  <c r="J14" i="1"/>
  <c r="J22" i="1"/>
  <c r="J30" i="1"/>
  <c r="J38" i="1"/>
  <c r="M17" i="1"/>
  <c r="L44" i="1"/>
  <c r="N44" i="1"/>
  <c r="E44" i="1"/>
  <c r="W44" i="1"/>
  <c r="K44" i="1"/>
  <c r="R44" i="1"/>
  <c r="M9" i="1"/>
  <c r="I44" i="1"/>
  <c r="U44" i="1"/>
  <c r="O44" i="1"/>
  <c r="Q44" i="1"/>
  <c r="F44" i="1"/>
  <c r="T44" i="1"/>
  <c r="P9" i="1"/>
  <c r="Y10" i="1"/>
  <c r="S44" i="1" l="1"/>
  <c r="J44" i="1"/>
  <c r="G44" i="1"/>
  <c r="V44" i="1"/>
  <c r="Y44" i="1"/>
  <c r="M44" i="1"/>
  <c r="P44" i="1"/>
  <c r="D22" i="13" l="1"/>
  <c r="D21" i="13"/>
  <c r="D20" i="13"/>
  <c r="D19" i="13"/>
  <c r="D18" i="13"/>
  <c r="D17" i="13"/>
  <c r="D16" i="13"/>
  <c r="C14" i="13"/>
  <c r="C9" i="9" l="1"/>
  <c r="I9" i="9"/>
  <c r="J9" i="9" s="1"/>
  <c r="N9" i="9"/>
  <c r="O9" i="9" s="1"/>
  <c r="S9" i="9"/>
  <c r="U9" i="9" s="1"/>
  <c r="B9" i="9"/>
  <c r="C9" i="8"/>
  <c r="E9" i="8"/>
  <c r="F9" i="8" s="1"/>
  <c r="B9" i="8"/>
  <c r="C9" i="18"/>
  <c r="D9" i="18"/>
  <c r="B9" i="18"/>
  <c r="C9" i="20"/>
  <c r="D9" i="20"/>
  <c r="B9" i="20"/>
  <c r="C9" i="17"/>
  <c r="D9" i="17"/>
  <c r="B9" i="17"/>
  <c r="C9" i="19"/>
  <c r="D9" i="19"/>
  <c r="B9" i="19"/>
  <c r="C10" i="16"/>
  <c r="D10" i="16"/>
  <c r="B10" i="16"/>
  <c r="C9" i="15"/>
  <c r="D9" i="15"/>
  <c r="B9" i="15"/>
  <c r="C9" i="14"/>
  <c r="D9" i="14"/>
  <c r="B9" i="14"/>
  <c r="C8" i="4"/>
  <c r="B8" i="4"/>
  <c r="C10" i="1"/>
  <c r="AJ10" i="1" s="1"/>
  <c r="C12" i="13"/>
  <c r="C11" i="13"/>
  <c r="C10" i="13"/>
  <c r="C9" i="13"/>
  <c r="C7" i="13"/>
  <c r="C36" i="2"/>
  <c r="E9" i="19" l="1"/>
  <c r="E10" i="16"/>
  <c r="E9" i="17"/>
  <c r="E9" i="20"/>
  <c r="E9" i="14"/>
  <c r="E9" i="18"/>
  <c r="E9" i="15"/>
  <c r="P9" i="9"/>
  <c r="K9" i="9"/>
  <c r="T9" i="9"/>
  <c r="H9" i="8"/>
  <c r="G9" i="8"/>
  <c r="R11" i="21"/>
  <c r="R10" i="21"/>
  <c r="R9" i="21"/>
  <c r="R8" i="21"/>
  <c r="R7" i="21"/>
  <c r="S59" i="21"/>
  <c r="S58" i="21"/>
  <c r="S57" i="21"/>
  <c r="S56" i="21"/>
  <c r="S55" i="21"/>
  <c r="S54" i="21"/>
  <c r="S53" i="21"/>
  <c r="N58" i="21"/>
  <c r="R12" i="21" l="1"/>
  <c r="S12" i="21" s="1"/>
  <c r="K5" i="1"/>
  <c r="C8" i="13" l="1"/>
  <c r="D14" i="13" l="1"/>
  <c r="D42" i="8"/>
  <c r="T4" i="9"/>
  <c r="O4" i="9"/>
  <c r="J4" i="9"/>
  <c r="E4" i="9"/>
  <c r="I7" i="21" l="1"/>
  <c r="B39" i="21"/>
  <c r="C39" i="21" s="1"/>
  <c r="B34" i="21"/>
  <c r="C34" i="21" s="1"/>
  <c r="C45" i="21" s="1"/>
  <c r="B17" i="21"/>
  <c r="C17" i="21" l="1"/>
  <c r="C47" i="2" l="1"/>
  <c r="D11" i="2" l="1"/>
  <c r="D12" i="2"/>
  <c r="D13" i="2"/>
  <c r="D14" i="2"/>
  <c r="D15" i="2"/>
  <c r="D16" i="2"/>
  <c r="D17" i="2"/>
  <c r="D18" i="2"/>
  <c r="D19" i="2"/>
  <c r="D20" i="2"/>
  <c r="D17" i="21" s="1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4" i="21" s="1"/>
  <c r="D39" i="2"/>
  <c r="D40" i="2"/>
  <c r="D41" i="2"/>
  <c r="D42" i="2"/>
  <c r="D43" i="2"/>
  <c r="D39" i="21" s="1"/>
  <c r="D44" i="2"/>
  <c r="D45" i="2"/>
  <c r="D46" i="2"/>
  <c r="D10" i="2"/>
  <c r="C11" i="1"/>
  <c r="AJ11" i="1" s="1"/>
  <c r="C12" i="1"/>
  <c r="AJ12" i="1" s="1"/>
  <c r="C13" i="1"/>
  <c r="AJ13" i="1" s="1"/>
  <c r="C14" i="1"/>
  <c r="AJ14" i="1" s="1"/>
  <c r="C15" i="1"/>
  <c r="AJ15" i="1" s="1"/>
  <c r="C16" i="1"/>
  <c r="AJ16" i="1" s="1"/>
  <c r="C17" i="1"/>
  <c r="C18" i="1"/>
  <c r="AJ18" i="1" s="1"/>
  <c r="C19" i="1"/>
  <c r="AJ19" i="1" s="1"/>
  <c r="C20" i="1"/>
  <c r="AJ20" i="1" s="1"/>
  <c r="C21" i="1"/>
  <c r="AJ21" i="1" s="1"/>
  <c r="C22" i="1"/>
  <c r="AJ22" i="1" s="1"/>
  <c r="C23" i="1"/>
  <c r="AJ23" i="1" s="1"/>
  <c r="C24" i="1"/>
  <c r="AJ24" i="1" s="1"/>
  <c r="C25" i="1"/>
  <c r="AJ25" i="1" s="1"/>
  <c r="C26" i="1"/>
  <c r="AJ26" i="1" s="1"/>
  <c r="C27" i="1"/>
  <c r="AJ27" i="1" s="1"/>
  <c r="C28" i="1"/>
  <c r="AJ28" i="1" s="1"/>
  <c r="C29" i="1"/>
  <c r="AJ29" i="1" s="1"/>
  <c r="C30" i="1"/>
  <c r="C31" i="1"/>
  <c r="AJ31" i="1" s="1"/>
  <c r="C32" i="1"/>
  <c r="AJ32" i="1" s="1"/>
  <c r="C33" i="1"/>
  <c r="AJ33" i="1" s="1"/>
  <c r="C34" i="1"/>
  <c r="AJ34" i="1" s="1"/>
  <c r="C35" i="1"/>
  <c r="AJ35" i="1" s="1"/>
  <c r="C36" i="1"/>
  <c r="AJ36" i="1" s="1"/>
  <c r="C37" i="1"/>
  <c r="C38" i="1"/>
  <c r="AJ38" i="1" s="1"/>
  <c r="C39" i="1"/>
  <c r="AJ39" i="1" s="1"/>
  <c r="C40" i="1"/>
  <c r="C41" i="1"/>
  <c r="AJ41" i="1" s="1"/>
  <c r="C42" i="1"/>
  <c r="AJ42" i="1" s="1"/>
  <c r="C43" i="1"/>
  <c r="AJ43" i="1" s="1"/>
  <c r="C9" i="1"/>
  <c r="I11" i="21"/>
  <c r="I10" i="21"/>
  <c r="I9" i="21"/>
  <c r="I8" i="21"/>
  <c r="D8" i="2"/>
  <c r="B41" i="21"/>
  <c r="B38" i="21"/>
  <c r="B25" i="21"/>
  <c r="B19" i="21"/>
  <c r="B18" i="21"/>
  <c r="B15" i="21"/>
  <c r="B14" i="21"/>
  <c r="B13" i="21"/>
  <c r="B12" i="21"/>
  <c r="B11" i="21"/>
  <c r="B10" i="21"/>
  <c r="B42" i="21"/>
  <c r="B40" i="21"/>
  <c r="B37" i="21"/>
  <c r="B9" i="21"/>
  <c r="B36" i="21"/>
  <c r="B35" i="21"/>
  <c r="B33" i="21"/>
  <c r="B32" i="21"/>
  <c r="B31" i="21"/>
  <c r="B30" i="21"/>
  <c r="B29" i="21"/>
  <c r="B28" i="21"/>
  <c r="B27" i="21"/>
  <c r="B8" i="21"/>
  <c r="B26" i="21"/>
  <c r="B24" i="21"/>
  <c r="B23" i="21"/>
  <c r="B22" i="21"/>
  <c r="B21" i="21"/>
  <c r="B20" i="21"/>
  <c r="B16" i="21"/>
  <c r="B7" i="21"/>
  <c r="B3" i="2"/>
  <c r="B2" i="2"/>
  <c r="B1" i="2"/>
  <c r="C28" i="13"/>
  <c r="C25" i="13"/>
  <c r="AJ40" i="1" l="1"/>
  <c r="AM43" i="1"/>
  <c r="AJ37" i="1"/>
  <c r="AM39" i="1"/>
  <c r="AJ17" i="1"/>
  <c r="AM29" i="1"/>
  <c r="AJ9" i="1"/>
  <c r="AM16" i="1"/>
  <c r="AJ30" i="1"/>
  <c r="AM36" i="1"/>
  <c r="C16" i="13"/>
  <c r="C32" i="13"/>
  <c r="N8" i="2" s="1"/>
  <c r="C33" i="13"/>
  <c r="O8" i="2" s="1"/>
  <c r="C34" i="13"/>
  <c r="P8" i="2" s="1"/>
  <c r="C31" i="13"/>
  <c r="M8" i="2" s="1"/>
  <c r="D7" i="21"/>
  <c r="C7" i="21"/>
  <c r="D8" i="21"/>
  <c r="C8" i="21"/>
  <c r="C35" i="21"/>
  <c r="D35" i="21"/>
  <c r="D12" i="21"/>
  <c r="C12" i="21"/>
  <c r="D41" i="21"/>
  <c r="C41" i="21"/>
  <c r="C16" i="21"/>
  <c r="D16" i="21"/>
  <c r="C27" i="21"/>
  <c r="D27" i="21"/>
  <c r="C36" i="21"/>
  <c r="D36" i="21"/>
  <c r="C20" i="21"/>
  <c r="D20" i="21"/>
  <c r="C28" i="21"/>
  <c r="D28" i="21"/>
  <c r="D9" i="21"/>
  <c r="C9" i="21"/>
  <c r="C14" i="21"/>
  <c r="D14" i="21"/>
  <c r="C21" i="21"/>
  <c r="D21" i="21"/>
  <c r="C29" i="21"/>
  <c r="D29" i="21"/>
  <c r="D37" i="21"/>
  <c r="C37" i="21"/>
  <c r="C15" i="21"/>
  <c r="D15" i="21"/>
  <c r="D22" i="21"/>
  <c r="C22" i="21"/>
  <c r="D30" i="21"/>
  <c r="C30" i="21"/>
  <c r="C40" i="21"/>
  <c r="D40" i="21"/>
  <c r="D18" i="21"/>
  <c r="C18" i="21"/>
  <c r="C23" i="21"/>
  <c r="D23" i="21"/>
  <c r="C31" i="21"/>
  <c r="D31" i="21"/>
  <c r="C42" i="21"/>
  <c r="D42" i="21"/>
  <c r="C19" i="21"/>
  <c r="D19" i="21"/>
  <c r="C24" i="21"/>
  <c r="D24" i="21"/>
  <c r="C32" i="21"/>
  <c r="D32" i="21"/>
  <c r="C10" i="21"/>
  <c r="D10" i="21"/>
  <c r="C25" i="21"/>
  <c r="D25" i="21"/>
  <c r="D26" i="21"/>
  <c r="C26" i="21"/>
  <c r="D33" i="21"/>
  <c r="C33" i="21"/>
  <c r="C11" i="21"/>
  <c r="D11" i="21"/>
  <c r="C38" i="21"/>
  <c r="D38" i="21"/>
  <c r="C13" i="21"/>
  <c r="D13" i="21"/>
  <c r="C20" i="13" l="1"/>
  <c r="C21" i="13"/>
  <c r="C17" i="13"/>
  <c r="C22" i="13"/>
  <c r="C18" i="13"/>
  <c r="C15" i="13"/>
  <c r="C19" i="13"/>
  <c r="C43" i="21"/>
  <c r="D43" i="21" l="1"/>
  <c r="B7" i="9" l="1"/>
  <c r="B8" i="9"/>
  <c r="B12" i="9"/>
  <c r="B10" i="9"/>
  <c r="B11" i="9"/>
  <c r="B35" i="9"/>
  <c r="B17" i="9"/>
  <c r="B15" i="9"/>
  <c r="B26" i="9"/>
  <c r="B25" i="9"/>
  <c r="B23" i="9"/>
  <c r="B32" i="9"/>
  <c r="B40" i="9"/>
  <c r="B20" i="9"/>
  <c r="B39" i="9"/>
  <c r="B29" i="9"/>
  <c r="B19" i="9"/>
  <c r="B28" i="9"/>
  <c r="B21" i="9"/>
  <c r="B41" i="9"/>
  <c r="B13" i="9"/>
  <c r="B37" i="9"/>
  <c r="B22" i="9"/>
  <c r="B34" i="9"/>
  <c r="B24" i="9"/>
  <c r="B31" i="9"/>
  <c r="B38" i="9"/>
  <c r="B27" i="9"/>
  <c r="B30" i="9"/>
  <c r="B16" i="9"/>
  <c r="B36" i="9"/>
  <c r="B18" i="9"/>
  <c r="B33" i="9"/>
  <c r="B14" i="9"/>
  <c r="B7" i="8"/>
  <c r="E7" i="8" s="1"/>
  <c r="F7" i="8" s="1"/>
  <c r="B8" i="8"/>
  <c r="E8" i="8" s="1"/>
  <c r="B12" i="8"/>
  <c r="E12" i="8" s="1"/>
  <c r="B10" i="8"/>
  <c r="E10" i="8" s="1"/>
  <c r="B11" i="8"/>
  <c r="E11" i="8" s="1"/>
  <c r="B35" i="8"/>
  <c r="E35" i="8" s="1"/>
  <c r="B16" i="8"/>
  <c r="B15" i="8"/>
  <c r="B26" i="8"/>
  <c r="B25" i="8"/>
  <c r="E25" i="8" s="1"/>
  <c r="B23" i="8"/>
  <c r="E23" i="8" s="1"/>
  <c r="B32" i="8"/>
  <c r="E32" i="8" s="1"/>
  <c r="B40" i="8"/>
  <c r="B20" i="8"/>
  <c r="B39" i="8"/>
  <c r="E39" i="8" s="1"/>
  <c r="B28" i="8"/>
  <c r="B19" i="8"/>
  <c r="E19" i="8" s="1"/>
  <c r="B29" i="8"/>
  <c r="E29" i="8" s="1"/>
  <c r="B21" i="8"/>
  <c r="B41" i="8"/>
  <c r="E41" i="8" s="1"/>
  <c r="B13" i="8"/>
  <c r="B37" i="8"/>
  <c r="B22" i="8"/>
  <c r="B34" i="8"/>
  <c r="B24" i="8"/>
  <c r="E24" i="8" s="1"/>
  <c r="B31" i="8"/>
  <c r="E31" i="8" s="1"/>
  <c r="B38" i="8"/>
  <c r="B27" i="8"/>
  <c r="E27" i="8" s="1"/>
  <c r="B30" i="8"/>
  <c r="E30" i="8" s="1"/>
  <c r="B17" i="8"/>
  <c r="B36" i="8"/>
  <c r="B18" i="8"/>
  <c r="B33" i="8"/>
  <c r="E33" i="8" s="1"/>
  <c r="B14" i="8"/>
  <c r="E14" i="8" s="1"/>
  <c r="B7" i="18"/>
  <c r="B10" i="18"/>
  <c r="C10" i="18" s="1"/>
  <c r="B23" i="18"/>
  <c r="C23" i="18" s="1"/>
  <c r="B19" i="18"/>
  <c r="B11" i="18"/>
  <c r="C11" i="18" s="1"/>
  <c r="B20" i="18"/>
  <c r="C20" i="18" s="1"/>
  <c r="B14" i="18"/>
  <c r="C14" i="18" s="1"/>
  <c r="B8" i="18"/>
  <c r="C8" i="18" s="1"/>
  <c r="B18" i="18"/>
  <c r="C18" i="18" s="1"/>
  <c r="B16" i="18"/>
  <c r="C16" i="18" s="1"/>
  <c r="B25" i="18"/>
  <c r="B33" i="18"/>
  <c r="B37" i="18"/>
  <c r="C37" i="18" s="1"/>
  <c r="B17" i="18"/>
  <c r="B30" i="18"/>
  <c r="C30" i="18" s="1"/>
  <c r="B38" i="18"/>
  <c r="C38" i="18" s="1"/>
  <c r="B22" i="18"/>
  <c r="C22" i="18" s="1"/>
  <c r="B31" i="18"/>
  <c r="C31" i="18" s="1"/>
  <c r="B34" i="18"/>
  <c r="C34" i="18" s="1"/>
  <c r="B35" i="18"/>
  <c r="C35" i="18" s="1"/>
  <c r="B41" i="18"/>
  <c r="B39" i="18"/>
  <c r="C39" i="18" s="1"/>
  <c r="B36" i="18"/>
  <c r="C36" i="18" s="1"/>
  <c r="B21" i="18"/>
  <c r="C21" i="18" s="1"/>
  <c r="B27" i="18"/>
  <c r="C27" i="18" s="1"/>
  <c r="B29" i="18"/>
  <c r="C29" i="18" s="1"/>
  <c r="B24" i="18"/>
  <c r="B26" i="18"/>
  <c r="C26" i="18" s="1"/>
  <c r="B15" i="18"/>
  <c r="B32" i="18"/>
  <c r="B28" i="18"/>
  <c r="C28" i="18" s="1"/>
  <c r="B40" i="18"/>
  <c r="B13" i="18"/>
  <c r="C13" i="18" s="1"/>
  <c r="B12" i="18"/>
  <c r="C12" i="18" s="1"/>
  <c r="B14" i="20"/>
  <c r="B10" i="20"/>
  <c r="B36" i="20"/>
  <c r="C36" i="20" s="1"/>
  <c r="B25" i="20"/>
  <c r="C25" i="20" s="1"/>
  <c r="B24" i="20"/>
  <c r="C24" i="20" s="1"/>
  <c r="B11" i="20"/>
  <c r="C11" i="20" s="1"/>
  <c r="B22" i="20"/>
  <c r="B33" i="20"/>
  <c r="C33" i="20" s="1"/>
  <c r="B29" i="20"/>
  <c r="B20" i="20"/>
  <c r="C20" i="20" s="1"/>
  <c r="B13" i="20"/>
  <c r="B31" i="20"/>
  <c r="B17" i="20"/>
  <c r="C17" i="20" s="1"/>
  <c r="B12" i="20"/>
  <c r="B8" i="20"/>
  <c r="B38" i="20"/>
  <c r="C38" i="20" s="1"/>
  <c r="B21" i="20"/>
  <c r="C21" i="20" s="1"/>
  <c r="B16" i="20"/>
  <c r="C16" i="20" s="1"/>
  <c r="B34" i="20"/>
  <c r="C34" i="20" s="1"/>
  <c r="B18" i="20"/>
  <c r="C18" i="20" s="1"/>
  <c r="B41" i="20"/>
  <c r="B35" i="20"/>
  <c r="C35" i="20" s="1"/>
  <c r="B40" i="20"/>
  <c r="C40" i="20" s="1"/>
  <c r="B23" i="20"/>
  <c r="C23" i="20" s="1"/>
  <c r="B26" i="20"/>
  <c r="C26" i="20" s="1"/>
  <c r="B7" i="20"/>
  <c r="B15" i="20"/>
  <c r="C15" i="20" s="1"/>
  <c r="B32" i="20"/>
  <c r="C32" i="20" s="1"/>
  <c r="B30" i="20"/>
  <c r="C30" i="20" s="1"/>
  <c r="B37" i="20"/>
  <c r="B28" i="20"/>
  <c r="C28" i="20" s="1"/>
  <c r="B39" i="20"/>
  <c r="C39" i="20" s="1"/>
  <c r="B27" i="20"/>
  <c r="B19" i="20"/>
  <c r="C19" i="20" s="1"/>
  <c r="B41" i="19"/>
  <c r="B40" i="19"/>
  <c r="B37" i="19"/>
  <c r="B30" i="19"/>
  <c r="B39" i="19"/>
  <c r="B17" i="19"/>
  <c r="B23" i="19"/>
  <c r="B33" i="19"/>
  <c r="B22" i="19"/>
  <c r="B29" i="19"/>
  <c r="B24" i="19"/>
  <c r="B16" i="19"/>
  <c r="B8" i="19"/>
  <c r="B28" i="19"/>
  <c r="B12" i="19"/>
  <c r="B18" i="19"/>
  <c r="B38" i="19"/>
  <c r="B14" i="19"/>
  <c r="B27" i="19"/>
  <c r="B7" i="19"/>
  <c r="B32" i="19"/>
  <c r="B10" i="19"/>
  <c r="B34" i="19"/>
  <c r="B19" i="19"/>
  <c r="B21" i="19"/>
  <c r="B13" i="19"/>
  <c r="B11" i="19"/>
  <c r="B20" i="19"/>
  <c r="B31" i="19"/>
  <c r="B36" i="19"/>
  <c r="B15" i="19"/>
  <c r="B35" i="19"/>
  <c r="B26" i="19"/>
  <c r="B25" i="19"/>
  <c r="B37" i="17"/>
  <c r="C37" i="17" s="1"/>
  <c r="B16" i="17"/>
  <c r="C16" i="17" s="1"/>
  <c r="B39" i="17"/>
  <c r="C39" i="17" s="1"/>
  <c r="B24" i="17"/>
  <c r="C24" i="17" s="1"/>
  <c r="B25" i="17"/>
  <c r="C25" i="17" s="1"/>
  <c r="B10" i="17"/>
  <c r="C10" i="17" s="1"/>
  <c r="B22" i="17"/>
  <c r="C22" i="17" s="1"/>
  <c r="B33" i="17"/>
  <c r="C33" i="17" s="1"/>
  <c r="B35" i="17"/>
  <c r="C35" i="17" s="1"/>
  <c r="B11" i="17"/>
  <c r="C11" i="17" s="1"/>
  <c r="B17" i="17"/>
  <c r="C17" i="17" s="1"/>
  <c r="B14" i="17"/>
  <c r="C14" i="17" s="1"/>
  <c r="B8" i="17"/>
  <c r="C8" i="17" s="1"/>
  <c r="B38" i="17"/>
  <c r="C38" i="17" s="1"/>
  <c r="B7" i="17"/>
  <c r="B29" i="17"/>
  <c r="C29" i="17" s="1"/>
  <c r="B20" i="17"/>
  <c r="C20" i="17" s="1"/>
  <c r="B12" i="17"/>
  <c r="C12" i="17" s="1"/>
  <c r="B18" i="17"/>
  <c r="B15" i="17"/>
  <c r="C15" i="17" s="1"/>
  <c r="B19" i="17"/>
  <c r="C19" i="17" s="1"/>
  <c r="B28" i="17"/>
  <c r="C28" i="17" s="1"/>
  <c r="B41" i="17"/>
  <c r="C41" i="17" s="1"/>
  <c r="B23" i="17"/>
  <c r="C23" i="17" s="1"/>
  <c r="B30" i="17"/>
  <c r="C30" i="17" s="1"/>
  <c r="B31" i="17"/>
  <c r="C31" i="17" s="1"/>
  <c r="B32" i="17"/>
  <c r="C32" i="17" s="1"/>
  <c r="B36" i="17"/>
  <c r="C36" i="17" s="1"/>
  <c r="B40" i="17"/>
  <c r="C40" i="17" s="1"/>
  <c r="B34" i="17"/>
  <c r="C34" i="17" s="1"/>
  <c r="B27" i="17"/>
  <c r="C27" i="17" s="1"/>
  <c r="B13" i="17"/>
  <c r="C13" i="17" s="1"/>
  <c r="B26" i="17"/>
  <c r="C26" i="17" s="1"/>
  <c r="B21" i="17"/>
  <c r="C21" i="17" s="1"/>
  <c r="B7" i="16"/>
  <c r="B8" i="16"/>
  <c r="C8" i="16" s="1"/>
  <c r="B23" i="16"/>
  <c r="B19" i="16"/>
  <c r="C19" i="16" s="1"/>
  <c r="B9" i="16"/>
  <c r="C9" i="16" s="1"/>
  <c r="B16" i="16"/>
  <c r="C16" i="16" s="1"/>
  <c r="B18" i="16"/>
  <c r="B15" i="16"/>
  <c r="B22" i="16"/>
  <c r="C22" i="16" s="1"/>
  <c r="B13" i="16"/>
  <c r="C13" i="16" s="1"/>
  <c r="B20" i="16"/>
  <c r="C20" i="16" s="1"/>
  <c r="B32" i="16"/>
  <c r="C32" i="16" s="1"/>
  <c r="B35" i="16"/>
  <c r="B12" i="16"/>
  <c r="C12" i="16" s="1"/>
  <c r="B25" i="16"/>
  <c r="C25" i="16" s="1"/>
  <c r="B36" i="16"/>
  <c r="C36" i="16" s="1"/>
  <c r="B24" i="16"/>
  <c r="C24" i="16" s="1"/>
  <c r="B31" i="16"/>
  <c r="C31" i="16" s="1"/>
  <c r="B33" i="16"/>
  <c r="B34" i="16"/>
  <c r="B40" i="16"/>
  <c r="B37" i="16"/>
  <c r="C37" i="16" s="1"/>
  <c r="B39" i="16"/>
  <c r="C39" i="16" s="1"/>
  <c r="B21" i="16"/>
  <c r="C21" i="16" s="1"/>
  <c r="B27" i="16"/>
  <c r="C27" i="16" s="1"/>
  <c r="B29" i="16"/>
  <c r="C29" i="16" s="1"/>
  <c r="B26" i="16"/>
  <c r="B30" i="16"/>
  <c r="C30" i="16" s="1"/>
  <c r="B17" i="16"/>
  <c r="C17" i="16" s="1"/>
  <c r="B41" i="16"/>
  <c r="C41" i="16" s="1"/>
  <c r="B28" i="16"/>
  <c r="C28" i="16" s="1"/>
  <c r="B38" i="16"/>
  <c r="C38" i="16" s="1"/>
  <c r="B14" i="16"/>
  <c r="C14" i="16" s="1"/>
  <c r="B11" i="16"/>
  <c r="C11" i="16" s="1"/>
  <c r="B41" i="15"/>
  <c r="D41" i="15" s="1"/>
  <c r="B8" i="15"/>
  <c r="D8" i="15" s="1"/>
  <c r="B10" i="15"/>
  <c r="B39" i="15"/>
  <c r="B21" i="15"/>
  <c r="D21" i="15" s="1"/>
  <c r="B7" i="15"/>
  <c r="B36" i="15"/>
  <c r="D36" i="15" s="1"/>
  <c r="B37" i="15"/>
  <c r="D37" i="15" s="1"/>
  <c r="B33" i="15"/>
  <c r="D33" i="15" s="1"/>
  <c r="B27" i="15"/>
  <c r="B17" i="15"/>
  <c r="B25" i="15"/>
  <c r="B11" i="15"/>
  <c r="B14" i="15"/>
  <c r="B16" i="15"/>
  <c r="D16" i="15" s="1"/>
  <c r="B34" i="15"/>
  <c r="B28" i="15"/>
  <c r="B15" i="15"/>
  <c r="B18" i="15"/>
  <c r="D18" i="15" s="1"/>
  <c r="B20" i="15"/>
  <c r="D20" i="15" s="1"/>
  <c r="B38" i="15"/>
  <c r="B29" i="15"/>
  <c r="B40" i="15"/>
  <c r="B23" i="15"/>
  <c r="B31" i="15"/>
  <c r="D31" i="15" s="1"/>
  <c r="B13" i="15"/>
  <c r="D13" i="15" s="1"/>
  <c r="B19" i="15"/>
  <c r="B32" i="15"/>
  <c r="B26" i="15"/>
  <c r="B24" i="15"/>
  <c r="D24" i="15" s="1"/>
  <c r="B22" i="15"/>
  <c r="D22" i="15" s="1"/>
  <c r="B30" i="15"/>
  <c r="D30" i="15" s="1"/>
  <c r="B35" i="15"/>
  <c r="D35" i="15" s="1"/>
  <c r="B12" i="15"/>
  <c r="D12" i="15" s="1"/>
  <c r="B17" i="4"/>
  <c r="C17" i="4" s="1"/>
  <c r="B14" i="14"/>
  <c r="C14" i="14" s="1"/>
  <c r="B17" i="14"/>
  <c r="B8" i="14"/>
  <c r="B28" i="14"/>
  <c r="C28" i="14" s="1"/>
  <c r="B21" i="14"/>
  <c r="B24" i="14"/>
  <c r="B29" i="14"/>
  <c r="C29" i="14" s="1"/>
  <c r="B12" i="14"/>
  <c r="B31" i="14"/>
  <c r="C31" i="14" s="1"/>
  <c r="B19" i="14"/>
  <c r="C19" i="14" s="1"/>
  <c r="B16" i="14"/>
  <c r="B18" i="14"/>
  <c r="B22" i="14"/>
  <c r="C22" i="14" s="1"/>
  <c r="B23" i="14"/>
  <c r="B38" i="14"/>
  <c r="C38" i="14" s="1"/>
  <c r="B20" i="14"/>
  <c r="B30" i="14"/>
  <c r="B36" i="14"/>
  <c r="C36" i="14" s="1"/>
  <c r="B34" i="14"/>
  <c r="C34" i="14" s="1"/>
  <c r="B39" i="14"/>
  <c r="C39" i="14" s="1"/>
  <c r="B25" i="14"/>
  <c r="B10" i="14"/>
  <c r="C10" i="14" s="1"/>
  <c r="B40" i="14"/>
  <c r="C40" i="14" s="1"/>
  <c r="B15" i="14"/>
  <c r="B35" i="14"/>
  <c r="B13" i="14"/>
  <c r="B41" i="14"/>
  <c r="B26" i="14"/>
  <c r="B37" i="14"/>
  <c r="C37" i="14" s="1"/>
  <c r="B27" i="14"/>
  <c r="B33" i="14"/>
  <c r="C33" i="14" s="1"/>
  <c r="B11" i="14"/>
  <c r="B7" i="14"/>
  <c r="B32" i="14"/>
  <c r="B22" i="4"/>
  <c r="C22" i="4" s="1"/>
  <c r="B29" i="4"/>
  <c r="C29" i="4" s="1"/>
  <c r="B27" i="4"/>
  <c r="C27" i="4" s="1"/>
  <c r="B15" i="4"/>
  <c r="C15" i="4" s="1"/>
  <c r="B20" i="4"/>
  <c r="C20" i="4" s="1"/>
  <c r="B11" i="4"/>
  <c r="C11" i="4" s="1"/>
  <c r="B36" i="4"/>
  <c r="C36" i="4" s="1"/>
  <c r="B18" i="4"/>
  <c r="C18" i="4" s="1"/>
  <c r="B9" i="4"/>
  <c r="C9" i="4" s="1"/>
  <c r="B30" i="4"/>
  <c r="C30" i="4" s="1"/>
  <c r="B16" i="4"/>
  <c r="C16" i="4" s="1"/>
  <c r="B13" i="4"/>
  <c r="C13" i="4" s="1"/>
  <c r="B26" i="4"/>
  <c r="C26" i="4" s="1"/>
  <c r="B24" i="4"/>
  <c r="C24" i="4" s="1"/>
  <c r="B14" i="4"/>
  <c r="C14" i="4" s="1"/>
  <c r="B33" i="4"/>
  <c r="C33" i="4" s="1"/>
  <c r="B32" i="4"/>
  <c r="C32" i="4" s="1"/>
  <c r="B31" i="4"/>
  <c r="C31" i="4" s="1"/>
  <c r="B19" i="4"/>
  <c r="C19" i="4" s="1"/>
  <c r="B23" i="4"/>
  <c r="C23" i="4" s="1"/>
  <c r="B28" i="4"/>
  <c r="C28" i="4" s="1"/>
  <c r="B25" i="4"/>
  <c r="C25" i="4" s="1"/>
  <c r="B10" i="4"/>
  <c r="C10" i="4" s="1"/>
  <c r="B35" i="4"/>
  <c r="C35" i="4" s="1"/>
  <c r="B12" i="4"/>
  <c r="C12" i="4" s="1"/>
  <c r="B34" i="4"/>
  <c r="C34" i="4" s="1"/>
  <c r="B7" i="4"/>
  <c r="C7" i="4" s="1"/>
  <c r="B21" i="4"/>
  <c r="C21" i="4" s="1"/>
  <c r="B39" i="4"/>
  <c r="C39" i="4" s="1"/>
  <c r="B37" i="4"/>
  <c r="C37" i="4" s="1"/>
  <c r="B38" i="4"/>
  <c r="C38" i="4" s="1"/>
  <c r="B40" i="4"/>
  <c r="C40" i="4" s="1"/>
  <c r="B41" i="4"/>
  <c r="C41" i="4" s="1"/>
  <c r="D11" i="18"/>
  <c r="D12" i="18"/>
  <c r="J8" i="2"/>
  <c r="I8" i="2"/>
  <c r="L8" i="2"/>
  <c r="K8" i="2"/>
  <c r="H8" i="2"/>
  <c r="G8" i="2"/>
  <c r="F8" i="2"/>
  <c r="C5" i="2"/>
  <c r="E8" i="2"/>
  <c r="C8" i="2"/>
  <c r="C7" i="20" l="1"/>
  <c r="C7" i="17"/>
  <c r="C7" i="16"/>
  <c r="D7" i="15"/>
  <c r="Q8" i="2"/>
  <c r="C29" i="15"/>
  <c r="D29" i="15"/>
  <c r="C15" i="15"/>
  <c r="D15" i="15"/>
  <c r="C14" i="15"/>
  <c r="D14" i="15"/>
  <c r="C27" i="15"/>
  <c r="D27" i="15"/>
  <c r="C26" i="15"/>
  <c r="D26" i="15"/>
  <c r="C38" i="15"/>
  <c r="D38" i="15"/>
  <c r="C28" i="15"/>
  <c r="D28" i="15"/>
  <c r="C11" i="15"/>
  <c r="D11" i="15"/>
  <c r="C32" i="15"/>
  <c r="D32" i="15"/>
  <c r="C23" i="15"/>
  <c r="D23" i="15"/>
  <c r="C34" i="15"/>
  <c r="D34" i="15"/>
  <c r="C25" i="15"/>
  <c r="D25" i="15"/>
  <c r="C39" i="15"/>
  <c r="D39" i="15"/>
  <c r="C19" i="15"/>
  <c r="D19" i="15"/>
  <c r="C40" i="15"/>
  <c r="D40" i="15"/>
  <c r="C17" i="15"/>
  <c r="D17" i="15"/>
  <c r="C10" i="15"/>
  <c r="D10" i="15"/>
  <c r="H7" i="8"/>
  <c r="G7" i="8"/>
  <c r="E18" i="8"/>
  <c r="F18" i="8" s="1"/>
  <c r="E36" i="8"/>
  <c r="F36" i="8" s="1"/>
  <c r="E38" i="8"/>
  <c r="F38" i="8" s="1"/>
  <c r="E22" i="8"/>
  <c r="F22" i="8" s="1"/>
  <c r="E21" i="8"/>
  <c r="F21" i="8" s="1"/>
  <c r="E16" i="8"/>
  <c r="F16" i="8" s="1"/>
  <c r="E34" i="8"/>
  <c r="F34" i="8" s="1"/>
  <c r="E17" i="8"/>
  <c r="F17" i="8" s="1"/>
  <c r="E37" i="8"/>
  <c r="F37" i="8" s="1"/>
  <c r="E20" i="8"/>
  <c r="F20" i="8" s="1"/>
  <c r="E28" i="8"/>
  <c r="F28" i="8" s="1"/>
  <c r="E15" i="8"/>
  <c r="F15" i="8" s="1"/>
  <c r="E13" i="8"/>
  <c r="F13" i="8" s="1"/>
  <c r="E40" i="8"/>
  <c r="F40" i="8" s="1"/>
  <c r="E26" i="8"/>
  <c r="F26" i="8" s="1"/>
  <c r="C7" i="8"/>
  <c r="D25" i="17"/>
  <c r="E25" i="17" s="1"/>
  <c r="F8" i="8"/>
  <c r="G8" i="8" s="1"/>
  <c r="C32" i="8"/>
  <c r="F32" i="8"/>
  <c r="C23" i="8"/>
  <c r="F23" i="8"/>
  <c r="C24" i="8"/>
  <c r="F24" i="8"/>
  <c r="D41" i="16"/>
  <c r="E41" i="16" s="1"/>
  <c r="C39" i="8"/>
  <c r="F39" i="8"/>
  <c r="C41" i="8"/>
  <c r="F41" i="8"/>
  <c r="C14" i="8"/>
  <c r="F14" i="8"/>
  <c r="C25" i="8"/>
  <c r="F25" i="8"/>
  <c r="C35" i="8"/>
  <c r="F35" i="8"/>
  <c r="C27" i="8"/>
  <c r="F27" i="8"/>
  <c r="C10" i="8"/>
  <c r="F10" i="8"/>
  <c r="C12" i="8"/>
  <c r="F12" i="8"/>
  <c r="C31" i="8"/>
  <c r="F31" i="8"/>
  <c r="C29" i="8"/>
  <c r="F29" i="8"/>
  <c r="C33" i="8"/>
  <c r="F33" i="8"/>
  <c r="C19" i="8"/>
  <c r="F19" i="8"/>
  <c r="C30" i="8"/>
  <c r="F30" i="8"/>
  <c r="C11" i="8"/>
  <c r="F11" i="8"/>
  <c r="D19" i="20"/>
  <c r="E19" i="20" s="1"/>
  <c r="D17" i="16"/>
  <c r="E17" i="16" s="1"/>
  <c r="D36" i="20"/>
  <c r="E36" i="20" s="1"/>
  <c r="D30" i="17"/>
  <c r="E30" i="17" s="1"/>
  <c r="D20" i="17"/>
  <c r="E20" i="17" s="1"/>
  <c r="D25" i="20"/>
  <c r="E25" i="20" s="1"/>
  <c r="D40" i="14"/>
  <c r="E40" i="14" s="1"/>
  <c r="C16" i="9"/>
  <c r="N16" i="9"/>
  <c r="O16" i="9" s="1"/>
  <c r="I16" i="9"/>
  <c r="J16" i="9" s="1"/>
  <c r="D16" i="9"/>
  <c r="S16" i="9"/>
  <c r="T16" i="9" s="1"/>
  <c r="C20" i="9"/>
  <c r="D20" i="9"/>
  <c r="S20" i="9"/>
  <c r="T20" i="9" s="1"/>
  <c r="N20" i="9"/>
  <c r="O20" i="9" s="1"/>
  <c r="I20" i="9"/>
  <c r="J20" i="9" s="1"/>
  <c r="C30" i="9"/>
  <c r="I30" i="9"/>
  <c r="J30" i="9" s="1"/>
  <c r="D30" i="9"/>
  <c r="S30" i="9"/>
  <c r="T30" i="9" s="1"/>
  <c r="N30" i="9"/>
  <c r="O30" i="9" s="1"/>
  <c r="C40" i="9"/>
  <c r="N40" i="9"/>
  <c r="O40" i="9" s="1"/>
  <c r="I40" i="9"/>
  <c r="J40" i="9" s="1"/>
  <c r="D40" i="9"/>
  <c r="S40" i="9"/>
  <c r="T40" i="9" s="1"/>
  <c r="D33" i="14"/>
  <c r="E33" i="14" s="1"/>
  <c r="C41" i="9"/>
  <c r="S41" i="9"/>
  <c r="T41" i="9" s="1"/>
  <c r="N41" i="9"/>
  <c r="O41" i="9" s="1"/>
  <c r="I41" i="9"/>
  <c r="J41" i="9" s="1"/>
  <c r="D41" i="9"/>
  <c r="C10" i="9"/>
  <c r="S10" i="9"/>
  <c r="T10" i="9" s="1"/>
  <c r="I10" i="9"/>
  <c r="J10" i="9" s="1"/>
  <c r="N10" i="9"/>
  <c r="O10" i="9" s="1"/>
  <c r="D10" i="9"/>
  <c r="M9" i="2"/>
  <c r="N9" i="2"/>
  <c r="O9" i="2"/>
  <c r="D38" i="14"/>
  <c r="E38" i="14" s="1"/>
  <c r="C38" i="9"/>
  <c r="I38" i="9"/>
  <c r="J38" i="9" s="1"/>
  <c r="S38" i="9"/>
  <c r="T38" i="9" s="1"/>
  <c r="D38" i="9"/>
  <c r="N38" i="9"/>
  <c r="O38" i="9" s="1"/>
  <c r="C21" i="9"/>
  <c r="I21" i="9"/>
  <c r="J21" i="9" s="1"/>
  <c r="S21" i="9"/>
  <c r="T21" i="9" s="1"/>
  <c r="D21" i="9"/>
  <c r="E21" i="9" s="1"/>
  <c r="N21" i="9"/>
  <c r="O21" i="9" s="1"/>
  <c r="C23" i="9"/>
  <c r="N23" i="9"/>
  <c r="O23" i="9" s="1"/>
  <c r="I23" i="9"/>
  <c r="J23" i="9" s="1"/>
  <c r="D23" i="9"/>
  <c r="S23" i="9"/>
  <c r="T23" i="9" s="1"/>
  <c r="C12" i="9"/>
  <c r="D12" i="9"/>
  <c r="S12" i="9"/>
  <c r="T12" i="9" s="1"/>
  <c r="N12" i="9"/>
  <c r="O12" i="9" s="1"/>
  <c r="I12" i="9"/>
  <c r="J12" i="9" s="1"/>
  <c r="C37" i="9"/>
  <c r="I37" i="9"/>
  <c r="J37" i="9" s="1"/>
  <c r="S37" i="9"/>
  <c r="T37" i="9" s="1"/>
  <c r="D37" i="9"/>
  <c r="N37" i="9"/>
  <c r="O37" i="9" s="1"/>
  <c r="C35" i="9"/>
  <c r="D35" i="9"/>
  <c r="N35" i="9"/>
  <c r="O35" i="9" s="1"/>
  <c r="S35" i="9"/>
  <c r="T35" i="9" s="1"/>
  <c r="I35" i="9"/>
  <c r="J35" i="9" s="1"/>
  <c r="D7" i="17"/>
  <c r="E7" i="17" s="1"/>
  <c r="C13" i="9"/>
  <c r="I13" i="9"/>
  <c r="J13" i="9" s="1"/>
  <c r="S13" i="9"/>
  <c r="T13" i="9" s="1"/>
  <c r="N13" i="9"/>
  <c r="O13" i="9" s="1"/>
  <c r="C11" i="9"/>
  <c r="D11" i="9"/>
  <c r="S11" i="9"/>
  <c r="T11" i="9" s="1"/>
  <c r="N11" i="9"/>
  <c r="O11" i="9" s="1"/>
  <c r="I11" i="9"/>
  <c r="J11" i="9" s="1"/>
  <c r="C27" i="9"/>
  <c r="D27" i="9"/>
  <c r="S27" i="9"/>
  <c r="T27" i="9" s="1"/>
  <c r="N27" i="9"/>
  <c r="O27" i="9" s="1"/>
  <c r="I27" i="9"/>
  <c r="J27" i="9" s="1"/>
  <c r="C32" i="9"/>
  <c r="N32" i="9"/>
  <c r="O32" i="9" s="1"/>
  <c r="I32" i="9"/>
  <c r="J32" i="9" s="1"/>
  <c r="S32" i="9"/>
  <c r="T32" i="9" s="1"/>
  <c r="D32" i="9"/>
  <c r="D15" i="20"/>
  <c r="E15" i="20" s="1"/>
  <c r="C14" i="9"/>
  <c r="I14" i="9"/>
  <c r="J14" i="9" s="1"/>
  <c r="D14" i="9"/>
  <c r="S14" i="9"/>
  <c r="T14" i="9" s="1"/>
  <c r="N14" i="9"/>
  <c r="O14" i="9" s="1"/>
  <c r="C31" i="9"/>
  <c r="N31" i="9"/>
  <c r="O31" i="9" s="1"/>
  <c r="D31" i="9"/>
  <c r="I31" i="9"/>
  <c r="J31" i="9" s="1"/>
  <c r="S31" i="9"/>
  <c r="T31" i="9" s="1"/>
  <c r="C28" i="9"/>
  <c r="D28" i="9"/>
  <c r="N28" i="9"/>
  <c r="O28" i="9" s="1"/>
  <c r="S28" i="9"/>
  <c r="T28" i="9" s="1"/>
  <c r="I28" i="9"/>
  <c r="J28" i="9" s="1"/>
  <c r="C25" i="9"/>
  <c r="S25" i="9"/>
  <c r="T25" i="9" s="1"/>
  <c r="N25" i="9"/>
  <c r="O25" i="9" s="1"/>
  <c r="I25" i="9"/>
  <c r="J25" i="9" s="1"/>
  <c r="D25" i="9"/>
  <c r="C8" i="9"/>
  <c r="S8" i="9"/>
  <c r="T8" i="9" s="1"/>
  <c r="N8" i="9"/>
  <c r="O8" i="9" s="1"/>
  <c r="I8" i="9"/>
  <c r="J8" i="9" s="1"/>
  <c r="D8" i="9"/>
  <c r="C33" i="9"/>
  <c r="S33" i="9"/>
  <c r="T33" i="9" s="1"/>
  <c r="I33" i="9"/>
  <c r="J33" i="9" s="1"/>
  <c r="N33" i="9"/>
  <c r="O33" i="9" s="1"/>
  <c r="D33" i="9"/>
  <c r="C24" i="9"/>
  <c r="N24" i="9"/>
  <c r="O24" i="9" s="1"/>
  <c r="I24" i="9"/>
  <c r="J24" i="9" s="1"/>
  <c r="S24" i="9"/>
  <c r="T24" i="9" s="1"/>
  <c r="D24" i="9"/>
  <c r="C19" i="9"/>
  <c r="D19" i="9"/>
  <c r="N19" i="9"/>
  <c r="O19" i="9" s="1"/>
  <c r="S19" i="9"/>
  <c r="T19" i="9" s="1"/>
  <c r="I19" i="9"/>
  <c r="J19" i="9" s="1"/>
  <c r="C26" i="9"/>
  <c r="S26" i="9"/>
  <c r="T26" i="9" s="1"/>
  <c r="I26" i="9"/>
  <c r="J26" i="9" s="1"/>
  <c r="N26" i="9"/>
  <c r="O26" i="9" s="1"/>
  <c r="D26" i="9"/>
  <c r="C7" i="9"/>
  <c r="S7" i="9"/>
  <c r="T7" i="9" s="1"/>
  <c r="I7" i="9"/>
  <c r="J7" i="9" s="1"/>
  <c r="N7" i="9"/>
  <c r="O7" i="9" s="1"/>
  <c r="D7" i="9"/>
  <c r="D22" i="17"/>
  <c r="E22" i="17" s="1"/>
  <c r="C18" i="9"/>
  <c r="S18" i="9"/>
  <c r="T18" i="9" s="1"/>
  <c r="N18" i="9"/>
  <c r="O18" i="9" s="1"/>
  <c r="I18" i="9"/>
  <c r="J18" i="9" s="1"/>
  <c r="D18" i="9"/>
  <c r="C34" i="9"/>
  <c r="S34" i="9"/>
  <c r="T34" i="9" s="1"/>
  <c r="N34" i="9"/>
  <c r="O34" i="9" s="1"/>
  <c r="I34" i="9"/>
  <c r="J34" i="9" s="1"/>
  <c r="D34" i="9"/>
  <c r="C29" i="9"/>
  <c r="I29" i="9"/>
  <c r="J29" i="9" s="1"/>
  <c r="D29" i="9"/>
  <c r="S29" i="9"/>
  <c r="T29" i="9" s="1"/>
  <c r="N29" i="9"/>
  <c r="O29" i="9" s="1"/>
  <c r="C15" i="9"/>
  <c r="N15" i="9"/>
  <c r="O15" i="9" s="1"/>
  <c r="D15" i="9"/>
  <c r="I15" i="9"/>
  <c r="J15" i="9" s="1"/>
  <c r="S15" i="9"/>
  <c r="T15" i="9" s="1"/>
  <c r="D16" i="20"/>
  <c r="E16" i="20" s="1"/>
  <c r="C36" i="9"/>
  <c r="D36" i="9"/>
  <c r="S36" i="9"/>
  <c r="T36" i="9" s="1"/>
  <c r="N36" i="9"/>
  <c r="O36" i="9" s="1"/>
  <c r="I36" i="9"/>
  <c r="J36" i="9" s="1"/>
  <c r="C22" i="9"/>
  <c r="I22" i="9"/>
  <c r="J22" i="9" s="1"/>
  <c r="S22" i="9"/>
  <c r="T22" i="9" s="1"/>
  <c r="D22" i="9"/>
  <c r="N22" i="9"/>
  <c r="O22" i="9" s="1"/>
  <c r="C39" i="9"/>
  <c r="N39" i="9"/>
  <c r="O39" i="9" s="1"/>
  <c r="I39" i="9"/>
  <c r="J39" i="9" s="1"/>
  <c r="D39" i="9"/>
  <c r="S39" i="9"/>
  <c r="T39" i="9" s="1"/>
  <c r="C17" i="9"/>
  <c r="S17" i="9"/>
  <c r="T17" i="9" s="1"/>
  <c r="I17" i="9"/>
  <c r="J17" i="9" s="1"/>
  <c r="N17" i="9"/>
  <c r="O17" i="9" s="1"/>
  <c r="D17" i="9"/>
  <c r="D25" i="14"/>
  <c r="C25" i="14"/>
  <c r="D26" i="14"/>
  <c r="C26" i="14"/>
  <c r="D18" i="14"/>
  <c r="C18" i="14"/>
  <c r="C38" i="8"/>
  <c r="C21" i="8"/>
  <c r="D29" i="14"/>
  <c r="E29" i="14" s="1"/>
  <c r="D41" i="14"/>
  <c r="C41" i="14"/>
  <c r="D16" i="14"/>
  <c r="C16" i="14"/>
  <c r="D8" i="14"/>
  <c r="C8" i="14"/>
  <c r="C8" i="8"/>
  <c r="D13" i="14"/>
  <c r="C13" i="14"/>
  <c r="C26" i="8"/>
  <c r="D7" i="14"/>
  <c r="C7" i="14"/>
  <c r="D35" i="14"/>
  <c r="C35" i="14"/>
  <c r="D30" i="14"/>
  <c r="C30" i="14"/>
  <c r="C18" i="8"/>
  <c r="C34" i="8"/>
  <c r="C28" i="8"/>
  <c r="C15" i="8"/>
  <c r="D11" i="14"/>
  <c r="C11" i="14"/>
  <c r="D15" i="14"/>
  <c r="C15" i="14"/>
  <c r="D20" i="14"/>
  <c r="C20" i="14"/>
  <c r="D12" i="14"/>
  <c r="C12" i="14"/>
  <c r="C36" i="8"/>
  <c r="C22" i="8"/>
  <c r="C16" i="8"/>
  <c r="D21" i="14"/>
  <c r="C21" i="14"/>
  <c r="D32" i="14"/>
  <c r="C32" i="14"/>
  <c r="D17" i="14"/>
  <c r="C17" i="14"/>
  <c r="D38" i="20"/>
  <c r="E38" i="20" s="1"/>
  <c r="C17" i="8"/>
  <c r="C37" i="8"/>
  <c r="C20" i="8"/>
  <c r="D27" i="14"/>
  <c r="C27" i="14"/>
  <c r="D23" i="14"/>
  <c r="C23" i="14"/>
  <c r="D24" i="14"/>
  <c r="C24" i="14"/>
  <c r="C13" i="8"/>
  <c r="C40" i="8"/>
  <c r="D7" i="18"/>
  <c r="C7" i="18"/>
  <c r="D10" i="18"/>
  <c r="E10" i="18" s="1"/>
  <c r="D37" i="18"/>
  <c r="E37" i="18" s="1"/>
  <c r="D32" i="18"/>
  <c r="C32" i="18"/>
  <c r="D17" i="18"/>
  <c r="C17" i="18"/>
  <c r="D40" i="18"/>
  <c r="C40" i="18"/>
  <c r="D31" i="18"/>
  <c r="E31" i="18" s="1"/>
  <c r="D15" i="18"/>
  <c r="C15" i="18"/>
  <c r="D41" i="18"/>
  <c r="C41" i="18"/>
  <c r="D29" i="18"/>
  <c r="E29" i="18" s="1"/>
  <c r="D33" i="18"/>
  <c r="C33" i="18"/>
  <c r="D19" i="18"/>
  <c r="C19" i="18"/>
  <c r="D16" i="18"/>
  <c r="E16" i="18" s="1"/>
  <c r="D24" i="18"/>
  <c r="C24" i="18"/>
  <c r="D25" i="18"/>
  <c r="C25" i="18"/>
  <c r="D22" i="20"/>
  <c r="C22" i="20"/>
  <c r="D37" i="20"/>
  <c r="C37" i="20"/>
  <c r="D12" i="20"/>
  <c r="C12" i="20"/>
  <c r="D39" i="20"/>
  <c r="E39" i="20" s="1"/>
  <c r="D41" i="20"/>
  <c r="C41" i="20"/>
  <c r="D23" i="20"/>
  <c r="E23" i="20" s="1"/>
  <c r="D31" i="20"/>
  <c r="C31" i="20"/>
  <c r="D13" i="20"/>
  <c r="C13" i="20"/>
  <c r="D8" i="20"/>
  <c r="C8" i="20"/>
  <c r="D33" i="20"/>
  <c r="E33" i="20" s="1"/>
  <c r="D10" i="20"/>
  <c r="C10" i="20"/>
  <c r="D32" i="20"/>
  <c r="E32" i="20" s="1"/>
  <c r="D27" i="20"/>
  <c r="C27" i="20"/>
  <c r="D29" i="20"/>
  <c r="C29" i="20"/>
  <c r="D14" i="20"/>
  <c r="C14" i="20"/>
  <c r="D10" i="19"/>
  <c r="C10" i="19"/>
  <c r="D28" i="19"/>
  <c r="C28" i="19"/>
  <c r="D31" i="19"/>
  <c r="C31" i="19"/>
  <c r="D32" i="19"/>
  <c r="C32" i="19"/>
  <c r="D39" i="19"/>
  <c r="C39" i="19"/>
  <c r="D20" i="19"/>
  <c r="C20" i="19"/>
  <c r="D7" i="19"/>
  <c r="C7" i="19"/>
  <c r="D16" i="19"/>
  <c r="C16" i="19"/>
  <c r="D30" i="19"/>
  <c r="C30" i="19"/>
  <c r="D11" i="19"/>
  <c r="C11" i="19"/>
  <c r="D27" i="19"/>
  <c r="C27" i="19"/>
  <c r="D24" i="19"/>
  <c r="C24" i="19"/>
  <c r="D37" i="19"/>
  <c r="C37" i="19"/>
  <c r="D25" i="19"/>
  <c r="C25" i="19"/>
  <c r="D13" i="19"/>
  <c r="C13" i="19"/>
  <c r="D14" i="19"/>
  <c r="C14" i="19"/>
  <c r="D29" i="19"/>
  <c r="C29" i="19"/>
  <c r="D40" i="19"/>
  <c r="C40" i="19"/>
  <c r="D36" i="19"/>
  <c r="C36" i="19"/>
  <c r="D17" i="19"/>
  <c r="C17" i="19"/>
  <c r="D8" i="19"/>
  <c r="C8" i="19"/>
  <c r="D26" i="19"/>
  <c r="C26" i="19"/>
  <c r="D21" i="19"/>
  <c r="C21" i="19"/>
  <c r="D38" i="19"/>
  <c r="C38" i="19"/>
  <c r="D22" i="19"/>
  <c r="C22" i="19"/>
  <c r="D41" i="19"/>
  <c r="C41" i="19"/>
  <c r="D35" i="19"/>
  <c r="C35" i="19"/>
  <c r="D19" i="19"/>
  <c r="C19" i="19"/>
  <c r="D18" i="19"/>
  <c r="C18" i="19"/>
  <c r="D33" i="19"/>
  <c r="C33" i="19"/>
  <c r="D15" i="19"/>
  <c r="C15" i="19"/>
  <c r="D34" i="19"/>
  <c r="C34" i="19"/>
  <c r="D12" i="19"/>
  <c r="C12" i="19"/>
  <c r="D23" i="19"/>
  <c r="C23" i="19"/>
  <c r="D18" i="17"/>
  <c r="C18" i="17"/>
  <c r="D24" i="17"/>
  <c r="E24" i="17" s="1"/>
  <c r="D23" i="17"/>
  <c r="E23" i="17" s="1"/>
  <c r="D29" i="17"/>
  <c r="E29" i="17" s="1"/>
  <c r="D36" i="17"/>
  <c r="E36" i="17" s="1"/>
  <c r="D15" i="17"/>
  <c r="E15" i="17" s="1"/>
  <c r="D13" i="17"/>
  <c r="E13" i="17" s="1"/>
  <c r="D11" i="16"/>
  <c r="E11" i="16" s="1"/>
  <c r="D15" i="16"/>
  <c r="C15" i="16"/>
  <c r="D13" i="16"/>
  <c r="E13" i="16" s="1"/>
  <c r="D18" i="16"/>
  <c r="C18" i="16"/>
  <c r="D8" i="16"/>
  <c r="E8" i="16" s="1"/>
  <c r="D40" i="16"/>
  <c r="C40" i="16"/>
  <c r="D35" i="16"/>
  <c r="C35" i="16"/>
  <c r="D31" i="16"/>
  <c r="E31" i="16" s="1"/>
  <c r="D34" i="16"/>
  <c r="C34" i="16"/>
  <c r="D29" i="16"/>
  <c r="E29" i="16" s="1"/>
  <c r="D26" i="16"/>
  <c r="C26" i="16"/>
  <c r="D33" i="16"/>
  <c r="C33" i="16"/>
  <c r="D23" i="16"/>
  <c r="C23" i="16"/>
  <c r="C16" i="15"/>
  <c r="C36" i="15"/>
  <c r="C24" i="15"/>
  <c r="C7" i="15"/>
  <c r="C21" i="15"/>
  <c r="C20" i="15"/>
  <c r="C30" i="15"/>
  <c r="C37" i="15"/>
  <c r="C22" i="15"/>
  <c r="C18" i="15"/>
  <c r="C12" i="15"/>
  <c r="C13" i="15"/>
  <c r="C8" i="15"/>
  <c r="C35" i="15"/>
  <c r="C31" i="15"/>
  <c r="C33" i="15"/>
  <c r="C41" i="15"/>
  <c r="D32" i="17"/>
  <c r="E9" i="2"/>
  <c r="P9" i="2"/>
  <c r="G9" i="2"/>
  <c r="H9" i="2"/>
  <c r="I9" i="2"/>
  <c r="F9" i="2"/>
  <c r="C9" i="2"/>
  <c r="J9" i="2"/>
  <c r="K9" i="2"/>
  <c r="D9" i="2"/>
  <c r="L9" i="2"/>
  <c r="D12" i="16"/>
  <c r="E12" i="16" s="1"/>
  <c r="D18" i="20"/>
  <c r="E18" i="20" s="1"/>
  <c r="D20" i="18"/>
  <c r="E20" i="18" s="1"/>
  <c r="D36" i="16"/>
  <c r="E36" i="16" s="1"/>
  <c r="D30" i="18"/>
  <c r="E30" i="18" s="1"/>
  <c r="D16" i="16"/>
  <c r="E16" i="16" s="1"/>
  <c r="D27" i="17"/>
  <c r="E27" i="17" s="1"/>
  <c r="D41" i="17"/>
  <c r="E41" i="17" s="1"/>
  <c r="D10" i="14"/>
  <c r="E10" i="14" s="1"/>
  <c r="D37" i="17"/>
  <c r="E37" i="17" s="1"/>
  <c r="D39" i="14"/>
  <c r="E39" i="14" s="1"/>
  <c r="D28" i="14"/>
  <c r="E28" i="14" s="1"/>
  <c r="D20" i="20"/>
  <c r="E20" i="20" s="1"/>
  <c r="D18" i="18"/>
  <c r="E18" i="18" s="1"/>
  <c r="D22" i="16"/>
  <c r="E22" i="16" s="1"/>
  <c r="D40" i="20"/>
  <c r="E40" i="20" s="1"/>
  <c r="D24" i="16"/>
  <c r="E24" i="16" s="1"/>
  <c r="D17" i="17"/>
  <c r="E17" i="17" s="1"/>
  <c r="D37" i="14"/>
  <c r="E37" i="14" s="1"/>
  <c r="D27" i="16"/>
  <c r="E27" i="16" s="1"/>
  <c r="D34" i="14"/>
  <c r="E34" i="14" s="1"/>
  <c r="D9" i="16"/>
  <c r="E9" i="16" s="1"/>
  <c r="D17" i="20"/>
  <c r="E17" i="20" s="1"/>
  <c r="D39" i="18"/>
  <c r="E39" i="18" s="1"/>
  <c r="D27" i="18"/>
  <c r="E27" i="18" s="1"/>
  <c r="D13" i="18"/>
  <c r="E13" i="18" s="1"/>
  <c r="D33" i="17"/>
  <c r="E33" i="17" s="1"/>
  <c r="D40" i="17"/>
  <c r="E40" i="17" s="1"/>
  <c r="D19" i="17"/>
  <c r="E19" i="17" s="1"/>
  <c r="D14" i="16"/>
  <c r="E14" i="16" s="1"/>
  <c r="D7" i="16"/>
  <c r="E7" i="16" s="1"/>
  <c r="D28" i="20"/>
  <c r="E28" i="20" s="1"/>
  <c r="D22" i="18"/>
  <c r="E22" i="18" s="1"/>
  <c r="D25" i="16"/>
  <c r="E25" i="16" s="1"/>
  <c r="D14" i="18"/>
  <c r="E14" i="18" s="1"/>
  <c r="D14" i="14"/>
  <c r="E14" i="14" s="1"/>
  <c r="D30" i="20"/>
  <c r="E30" i="20" s="1"/>
  <c r="D21" i="20"/>
  <c r="E21" i="20" s="1"/>
  <c r="D36" i="18"/>
  <c r="E36" i="18" s="1"/>
  <c r="D20" i="16"/>
  <c r="E20" i="16" s="1"/>
  <c r="D22" i="14"/>
  <c r="E22" i="14" s="1"/>
  <c r="D26" i="20"/>
  <c r="E26" i="20" s="1"/>
  <c r="D34" i="18"/>
  <c r="E34" i="18" s="1"/>
  <c r="D23" i="18"/>
  <c r="E23" i="18" s="1"/>
  <c r="C3" i="17"/>
  <c r="C3" i="21"/>
  <c r="J7" i="21" s="1"/>
  <c r="D12" i="17"/>
  <c r="E12" i="17" s="1"/>
  <c r="D39" i="16"/>
  <c r="E39" i="16" s="1"/>
  <c r="D26" i="17"/>
  <c r="E26" i="17" s="1"/>
  <c r="D38" i="17"/>
  <c r="E38" i="17" s="1"/>
  <c r="D28" i="18"/>
  <c r="E28" i="18" s="1"/>
  <c r="D21" i="18"/>
  <c r="E21" i="18" s="1"/>
  <c r="D11" i="17"/>
  <c r="E11" i="17" s="1"/>
  <c r="D28" i="16"/>
  <c r="E28" i="16" s="1"/>
  <c r="D31" i="17"/>
  <c r="E31" i="17" s="1"/>
  <c r="D16" i="17"/>
  <c r="E16" i="17" s="1"/>
  <c r="D7" i="20"/>
  <c r="E7" i="20" s="1"/>
  <c r="D35" i="20"/>
  <c r="E35" i="20" s="1"/>
  <c r="D24" i="20"/>
  <c r="E24" i="20" s="1"/>
  <c r="D35" i="18"/>
  <c r="E35" i="18" s="1"/>
  <c r="D26" i="18"/>
  <c r="E26" i="18" s="1"/>
  <c r="D35" i="17"/>
  <c r="E35" i="17" s="1"/>
  <c r="D34" i="17"/>
  <c r="E34" i="17" s="1"/>
  <c r="D28" i="17"/>
  <c r="E28" i="17" s="1"/>
  <c r="D38" i="16"/>
  <c r="E38" i="16" s="1"/>
  <c r="D11" i="20"/>
  <c r="E11" i="20" s="1"/>
  <c r="D38" i="18"/>
  <c r="E38" i="18" s="1"/>
  <c r="D30" i="16"/>
  <c r="E30" i="16" s="1"/>
  <c r="D21" i="16"/>
  <c r="E21" i="16" s="1"/>
  <c r="D19" i="16"/>
  <c r="E19" i="16" s="1"/>
  <c r="D8" i="18"/>
  <c r="E8" i="18" s="1"/>
  <c r="D36" i="14"/>
  <c r="E36" i="14" s="1"/>
  <c r="D19" i="14"/>
  <c r="E19" i="14" s="1"/>
  <c r="D37" i="16"/>
  <c r="E37" i="16" s="1"/>
  <c r="D32" i="16"/>
  <c r="E32" i="16" s="1"/>
  <c r="D8" i="17"/>
  <c r="E8" i="17" s="1"/>
  <c r="D21" i="17"/>
  <c r="E21" i="17" s="1"/>
  <c r="D10" i="17"/>
  <c r="E10" i="17" s="1"/>
  <c r="D39" i="17"/>
  <c r="E39" i="17" s="1"/>
  <c r="D14" i="17"/>
  <c r="E14" i="17" s="1"/>
  <c r="C3" i="18"/>
  <c r="C3" i="8"/>
  <c r="C3" i="4"/>
  <c r="C2" i="9"/>
  <c r="C3" i="9" s="1"/>
  <c r="C3" i="14"/>
  <c r="C44" i="1"/>
  <c r="AJ44" i="1" s="1"/>
  <c r="D31" i="14"/>
  <c r="E31" i="14" s="1"/>
  <c r="D34" i="20"/>
  <c r="E34" i="20" s="1"/>
  <c r="C42" i="4"/>
  <c r="E11" i="18"/>
  <c r="C3" i="16"/>
  <c r="C3" i="15"/>
  <c r="C3" i="20"/>
  <c r="C3" i="19"/>
  <c r="E12" i="18"/>
  <c r="E32" i="15" l="1"/>
  <c r="E29" i="15"/>
  <c r="E19" i="15"/>
  <c r="E23" i="15"/>
  <c r="E10" i="15"/>
  <c r="E39" i="15"/>
  <c r="E26" i="15"/>
  <c r="D42" i="14"/>
  <c r="D40" i="4"/>
  <c r="D8" i="4"/>
  <c r="E8" i="4" s="1"/>
  <c r="F8" i="4" s="1"/>
  <c r="E38" i="15"/>
  <c r="E40" i="15"/>
  <c r="E34" i="15"/>
  <c r="E17" i="15"/>
  <c r="E25" i="15"/>
  <c r="E27" i="15"/>
  <c r="E15" i="15"/>
  <c r="E28" i="15"/>
  <c r="E14" i="15"/>
  <c r="E7" i="21"/>
  <c r="H8" i="8"/>
  <c r="H10" i="8"/>
  <c r="H20" i="8"/>
  <c r="H36" i="8"/>
  <c r="H13" i="8"/>
  <c r="H37" i="8"/>
  <c r="H15" i="8"/>
  <c r="H40" i="8"/>
  <c r="H17" i="8"/>
  <c r="H16" i="8"/>
  <c r="H28" i="8"/>
  <c r="H21" i="8"/>
  <c r="H18" i="8"/>
  <c r="H22" i="8"/>
  <c r="H34" i="8"/>
  <c r="H26" i="8"/>
  <c r="H38" i="8"/>
  <c r="E25" i="9"/>
  <c r="E28" i="9"/>
  <c r="E37" i="9"/>
  <c r="E40" i="9"/>
  <c r="E36" i="9"/>
  <c r="E24" i="9"/>
  <c r="E14" i="9"/>
  <c r="E41" i="9"/>
  <c r="E22" i="9"/>
  <c r="E7" i="9"/>
  <c r="E11" i="9"/>
  <c r="E23" i="9"/>
  <c r="E8" i="9"/>
  <c r="E29" i="9"/>
  <c r="E18" i="9"/>
  <c r="E31" i="9"/>
  <c r="E38" i="9"/>
  <c r="E10" i="9"/>
  <c r="E20" i="9"/>
  <c r="E39" i="9"/>
  <c r="E32" i="9"/>
  <c r="E27" i="9"/>
  <c r="E35" i="9"/>
  <c r="E33" i="9"/>
  <c r="E13" i="9"/>
  <c r="E30" i="9"/>
  <c r="E17" i="9"/>
  <c r="E15" i="9"/>
  <c r="E34" i="9"/>
  <c r="E26" i="9"/>
  <c r="E19" i="9"/>
  <c r="E12" i="9"/>
  <c r="E16" i="9"/>
  <c r="D42" i="19"/>
  <c r="H39" i="8"/>
  <c r="H41" i="8"/>
  <c r="H19" i="8"/>
  <c r="H12" i="8"/>
  <c r="H30" i="8"/>
  <c r="H31" i="8"/>
  <c r="H35" i="8"/>
  <c r="H32" i="8"/>
  <c r="H24" i="8"/>
  <c r="H11" i="8"/>
  <c r="H29" i="8"/>
  <c r="H27" i="8"/>
  <c r="H14" i="8"/>
  <c r="H23" i="8"/>
  <c r="H25" i="8"/>
  <c r="H33" i="8"/>
  <c r="E42" i="8"/>
  <c r="F42" i="8" s="1"/>
  <c r="E8" i="14"/>
  <c r="F21" i="9"/>
  <c r="F16" i="9"/>
  <c r="F17" i="9"/>
  <c r="F34" i="9"/>
  <c r="F26" i="9"/>
  <c r="E17" i="18"/>
  <c r="E21" i="14"/>
  <c r="F39" i="9"/>
  <c r="F13" i="9"/>
  <c r="E11" i="14"/>
  <c r="F18" i="9"/>
  <c r="F19" i="9"/>
  <c r="F12" i="9"/>
  <c r="F10" i="9"/>
  <c r="F30" i="9"/>
  <c r="F15" i="9"/>
  <c r="F32" i="9"/>
  <c r="E41" i="15"/>
  <c r="E18" i="15"/>
  <c r="E20" i="15"/>
  <c r="E36" i="15"/>
  <c r="E26" i="16"/>
  <c r="E40" i="16"/>
  <c r="E41" i="14"/>
  <c r="F14" i="9"/>
  <c r="F11" i="9"/>
  <c r="F22" i="9"/>
  <c r="E24" i="14"/>
  <c r="E35" i="15"/>
  <c r="E30" i="15"/>
  <c r="E24" i="15"/>
  <c r="E35" i="16"/>
  <c r="E41" i="20"/>
  <c r="E33" i="18"/>
  <c r="E40" i="18"/>
  <c r="E7" i="18"/>
  <c r="E27" i="14"/>
  <c r="F33" i="9"/>
  <c r="F23" i="9"/>
  <c r="K24" i="9"/>
  <c r="U25" i="9"/>
  <c r="K23" i="9"/>
  <c r="P41" i="9"/>
  <c r="U20" i="9"/>
  <c r="K22" i="9"/>
  <c r="K19" i="9"/>
  <c r="K8" i="9"/>
  <c r="U27" i="9"/>
  <c r="K12" i="9"/>
  <c r="U41" i="9"/>
  <c r="P30" i="9"/>
  <c r="E25" i="14"/>
  <c r="U15" i="9"/>
  <c r="K18" i="9"/>
  <c r="U19" i="9"/>
  <c r="P8" i="9"/>
  <c r="U38" i="9"/>
  <c r="P10" i="9"/>
  <c r="F41" i="9"/>
  <c r="F20" i="9"/>
  <c r="K39" i="9"/>
  <c r="K36" i="9"/>
  <c r="K15" i="9"/>
  <c r="F29" i="9"/>
  <c r="P18" i="9"/>
  <c r="F7" i="9"/>
  <c r="P19" i="9"/>
  <c r="U8" i="9"/>
  <c r="U28" i="9"/>
  <c r="F31" i="9"/>
  <c r="U32" i="9"/>
  <c r="F27" i="9"/>
  <c r="F35" i="9"/>
  <c r="U12" i="9"/>
  <c r="P21" i="9"/>
  <c r="K38" i="9"/>
  <c r="K10" i="9"/>
  <c r="U16" i="9"/>
  <c r="U22" i="9"/>
  <c r="U29" i="9"/>
  <c r="N42" i="9"/>
  <c r="P7" i="9"/>
  <c r="K31" i="9"/>
  <c r="P27" i="9"/>
  <c r="U35" i="9"/>
  <c r="F37" i="9"/>
  <c r="P38" i="9"/>
  <c r="F40" i="9"/>
  <c r="U39" i="9"/>
  <c r="K7" i="9"/>
  <c r="I42" i="9"/>
  <c r="P24" i="9"/>
  <c r="F25" i="9"/>
  <c r="P13" i="9"/>
  <c r="P35" i="9"/>
  <c r="P23" i="9"/>
  <c r="E30" i="14"/>
  <c r="K29" i="9"/>
  <c r="U7" i="9"/>
  <c r="S42" i="9"/>
  <c r="F24" i="9"/>
  <c r="K28" i="9"/>
  <c r="P31" i="9"/>
  <c r="U13" i="9"/>
  <c r="P12" i="9"/>
  <c r="U30" i="9"/>
  <c r="E23" i="14"/>
  <c r="E17" i="14"/>
  <c r="P39" i="9"/>
  <c r="P36" i="9"/>
  <c r="U18" i="9"/>
  <c r="P33" i="9"/>
  <c r="F8" i="9"/>
  <c r="P28" i="9"/>
  <c r="P14" i="9"/>
  <c r="K32" i="9"/>
  <c r="K11" i="9"/>
  <c r="K13" i="9"/>
  <c r="P37" i="9"/>
  <c r="F38" i="9"/>
  <c r="U10" i="9"/>
  <c r="U40" i="9"/>
  <c r="K30" i="9"/>
  <c r="P17" i="9"/>
  <c r="U36" i="9"/>
  <c r="P15" i="9"/>
  <c r="K34" i="9"/>
  <c r="P26" i="9"/>
  <c r="K33" i="9"/>
  <c r="U14" i="9"/>
  <c r="P32" i="9"/>
  <c r="P11" i="9"/>
  <c r="U21" i="9"/>
  <c r="K16" i="9"/>
  <c r="E12" i="14"/>
  <c r="E7" i="14"/>
  <c r="K17" i="9"/>
  <c r="P22" i="9"/>
  <c r="P34" i="9"/>
  <c r="K26" i="9"/>
  <c r="U33" i="9"/>
  <c r="K25" i="9"/>
  <c r="F28" i="9"/>
  <c r="U11" i="9"/>
  <c r="U37" i="9"/>
  <c r="U23" i="9"/>
  <c r="K21" i="9"/>
  <c r="K40" i="9"/>
  <c r="K20" i="9"/>
  <c r="P16" i="9"/>
  <c r="E20" i="14"/>
  <c r="E26" i="14"/>
  <c r="U17" i="9"/>
  <c r="F36" i="9"/>
  <c r="P29" i="9"/>
  <c r="U34" i="9"/>
  <c r="D42" i="9"/>
  <c r="U26" i="9"/>
  <c r="U24" i="9"/>
  <c r="P25" i="9"/>
  <c r="U31" i="9"/>
  <c r="K14" i="9"/>
  <c r="K27" i="9"/>
  <c r="K35" i="9"/>
  <c r="K37" i="9"/>
  <c r="K41" i="9"/>
  <c r="P40" i="9"/>
  <c r="P20" i="9"/>
  <c r="E32" i="14"/>
  <c r="E16" i="14"/>
  <c r="E18" i="17"/>
  <c r="E35" i="19"/>
  <c r="E21" i="19"/>
  <c r="E13" i="19"/>
  <c r="E29" i="20"/>
  <c r="E25" i="18"/>
  <c r="E33" i="19"/>
  <c r="E26" i="19"/>
  <c r="E40" i="19"/>
  <c r="E11" i="19"/>
  <c r="E20" i="19"/>
  <c r="E28" i="19"/>
  <c r="E27" i="20"/>
  <c r="E13" i="20"/>
  <c r="E12" i="20"/>
  <c r="E24" i="18"/>
  <c r="E41" i="18"/>
  <c r="E15" i="14"/>
  <c r="E13" i="14"/>
  <c r="E35" i="14"/>
  <c r="E18" i="14"/>
  <c r="E12" i="19"/>
  <c r="E18" i="19"/>
  <c r="E22" i="19"/>
  <c r="E8" i="19"/>
  <c r="E29" i="19"/>
  <c r="E37" i="19"/>
  <c r="E30" i="19"/>
  <c r="E39" i="19"/>
  <c r="E10" i="19"/>
  <c r="E15" i="18"/>
  <c r="E17" i="19"/>
  <c r="E22" i="20"/>
  <c r="E33" i="15"/>
  <c r="E22" i="15"/>
  <c r="E21" i="15"/>
  <c r="E16" i="15"/>
  <c r="E32" i="18"/>
  <c r="E31" i="15"/>
  <c r="E37" i="15"/>
  <c r="E7" i="15"/>
  <c r="E23" i="16"/>
  <c r="E10" i="20"/>
  <c r="E19" i="19"/>
  <c r="E14" i="20"/>
  <c r="E23" i="19"/>
  <c r="E8" i="15"/>
  <c r="E41" i="19"/>
  <c r="E25" i="19"/>
  <c r="E34" i="16"/>
  <c r="E18" i="16"/>
  <c r="E31" i="20"/>
  <c r="E37" i="20"/>
  <c r="E12" i="15"/>
  <c r="E34" i="19"/>
  <c r="E38" i="19"/>
  <c r="E14" i="19"/>
  <c r="E24" i="19"/>
  <c r="E16" i="19"/>
  <c r="E32" i="19"/>
  <c r="E19" i="18"/>
  <c r="E33" i="16"/>
  <c r="E15" i="16"/>
  <c r="E15" i="19"/>
  <c r="E36" i="19"/>
  <c r="E7" i="19"/>
  <c r="E31" i="19"/>
  <c r="E8" i="20"/>
  <c r="E13" i="15"/>
  <c r="C4" i="21"/>
  <c r="J8" i="21"/>
  <c r="J9" i="21"/>
  <c r="J10" i="21"/>
  <c r="J11" i="21"/>
  <c r="E32" i="17"/>
  <c r="C42" i="17"/>
  <c r="C42" i="15"/>
  <c r="C42" i="18"/>
  <c r="C42" i="14"/>
  <c r="C42" i="16"/>
  <c r="C42" i="19"/>
  <c r="D42" i="15"/>
  <c r="C42" i="8"/>
  <c r="C42" i="9"/>
  <c r="C42" i="20"/>
  <c r="E11" i="15"/>
  <c r="E27" i="19"/>
  <c r="D14" i="4"/>
  <c r="D28" i="4"/>
  <c r="D37" i="4"/>
  <c r="D25" i="4"/>
  <c r="D31" i="4"/>
  <c r="D27" i="4"/>
  <c r="D19" i="4"/>
  <c r="D12" i="4"/>
  <c r="D34" i="4"/>
  <c r="D30" i="4"/>
  <c r="D16" i="4"/>
  <c r="D26" i="4"/>
  <c r="D18" i="4"/>
  <c r="D20" i="4"/>
  <c r="D29" i="4"/>
  <c r="D13" i="4"/>
  <c r="D21" i="4"/>
  <c r="D33" i="4"/>
  <c r="D23" i="4"/>
  <c r="D15" i="4"/>
  <c r="D35" i="4"/>
  <c r="D7" i="4"/>
  <c r="D32" i="4"/>
  <c r="D11" i="4"/>
  <c r="D9" i="4"/>
  <c r="D17" i="4"/>
  <c r="D22" i="4"/>
  <c r="D10" i="4"/>
  <c r="D38" i="4"/>
  <c r="D39" i="4"/>
  <c r="D41" i="4"/>
  <c r="D24" i="4"/>
  <c r="D36" i="4"/>
  <c r="H42" i="8" l="1"/>
  <c r="I9" i="8" s="1"/>
  <c r="U42" i="9"/>
  <c r="F42" i="9"/>
  <c r="E42" i="9"/>
  <c r="E42" i="17"/>
  <c r="J42" i="9"/>
  <c r="P42" i="9"/>
  <c r="O42" i="9"/>
  <c r="E42" i="14"/>
  <c r="T42" i="9"/>
  <c r="V9" i="9" s="1"/>
  <c r="W9" i="9" s="1"/>
  <c r="K42" i="9"/>
  <c r="E42" i="18"/>
  <c r="E42" i="16"/>
  <c r="E42" i="20"/>
  <c r="E42" i="15"/>
  <c r="E17" i="21"/>
  <c r="D10" i="1" s="1"/>
  <c r="E25" i="21"/>
  <c r="D14" i="1" s="1"/>
  <c r="D16" i="1"/>
  <c r="E41" i="21"/>
  <c r="D9" i="1" s="1"/>
  <c r="E34" i="21"/>
  <c r="E18" i="21"/>
  <c r="D13" i="1" s="1"/>
  <c r="E38" i="21"/>
  <c r="D11" i="1" s="1"/>
  <c r="E19" i="21"/>
  <c r="D12" i="1" s="1"/>
  <c r="E31" i="21"/>
  <c r="D15" i="1" s="1"/>
  <c r="E28" i="21"/>
  <c r="D36" i="1" s="1"/>
  <c r="E36" i="21"/>
  <c r="D30" i="1" s="1"/>
  <c r="E8" i="21"/>
  <c r="D33" i="1" s="1"/>
  <c r="E33" i="21"/>
  <c r="D31" i="1" s="1"/>
  <c r="E42" i="21"/>
  <c r="D34" i="1" s="1"/>
  <c r="E23" i="21"/>
  <c r="D32" i="1" s="1"/>
  <c r="E16" i="21"/>
  <c r="D35" i="1" s="1"/>
  <c r="E9" i="21"/>
  <c r="D41" i="1" s="1"/>
  <c r="E32" i="21"/>
  <c r="D43" i="1" s="1"/>
  <c r="E40" i="21"/>
  <c r="D42" i="1" s="1"/>
  <c r="E26" i="21"/>
  <c r="D40" i="1" s="1"/>
  <c r="E30" i="21"/>
  <c r="D39" i="1" s="1"/>
  <c r="E21" i="21"/>
  <c r="D38" i="1" s="1"/>
  <c r="E15" i="21"/>
  <c r="D37" i="1" s="1"/>
  <c r="E10" i="21"/>
  <c r="D25" i="1" s="1"/>
  <c r="E11" i="21"/>
  <c r="D27" i="1" s="1"/>
  <c r="E39" i="21"/>
  <c r="F39" i="21" s="1"/>
  <c r="E20" i="21"/>
  <c r="D20" i="1" s="1"/>
  <c r="E14" i="21"/>
  <c r="D18" i="1" s="1"/>
  <c r="E24" i="21"/>
  <c r="D29" i="1" s="1"/>
  <c r="E29" i="21"/>
  <c r="D24" i="1" s="1"/>
  <c r="E37" i="21"/>
  <c r="D22" i="1" s="1"/>
  <c r="E12" i="21"/>
  <c r="D28" i="1" s="1"/>
  <c r="E13" i="21"/>
  <c r="D17" i="1" s="1"/>
  <c r="E22" i="21"/>
  <c r="D19" i="1" s="1"/>
  <c r="E27" i="21"/>
  <c r="D26" i="1" s="1"/>
  <c r="E35" i="21"/>
  <c r="D21" i="1" s="1"/>
  <c r="E42" i="19"/>
  <c r="D42" i="4"/>
  <c r="C4" i="8"/>
  <c r="G10" i="8" s="1"/>
  <c r="F27" i="19" l="1"/>
  <c r="F9" i="19"/>
  <c r="H9" i="9"/>
  <c r="Q9" i="9"/>
  <c r="R9" i="9" s="1"/>
  <c r="F34" i="21"/>
  <c r="E45" i="21"/>
  <c r="L9" i="9"/>
  <c r="M9" i="9" s="1"/>
  <c r="F12" i="18"/>
  <c r="F9" i="18"/>
  <c r="F7" i="20"/>
  <c r="F9" i="20"/>
  <c r="F26" i="17"/>
  <c r="F9" i="17"/>
  <c r="G9" i="17" s="1"/>
  <c r="F8" i="16"/>
  <c r="F10" i="16"/>
  <c r="F13" i="15"/>
  <c r="F9" i="15"/>
  <c r="F7" i="14"/>
  <c r="F9" i="14"/>
  <c r="I40" i="8"/>
  <c r="I7" i="8"/>
  <c r="G36" i="8"/>
  <c r="G38" i="8"/>
  <c r="G22" i="8"/>
  <c r="G21" i="8"/>
  <c r="G16" i="8"/>
  <c r="G26" i="8"/>
  <c r="G17" i="8"/>
  <c r="G18" i="8"/>
  <c r="G37" i="8"/>
  <c r="G34" i="8"/>
  <c r="G20" i="8"/>
  <c r="G28" i="8"/>
  <c r="G13" i="8"/>
  <c r="G15" i="8"/>
  <c r="G40" i="8"/>
  <c r="G14" i="8"/>
  <c r="G39" i="8"/>
  <c r="G33" i="8"/>
  <c r="G30" i="8"/>
  <c r="G19" i="8"/>
  <c r="G11" i="8"/>
  <c r="G31" i="8"/>
  <c r="G12" i="8"/>
  <c r="G24" i="8"/>
  <c r="G29" i="8"/>
  <c r="G35" i="8"/>
  <c r="G25" i="8"/>
  <c r="G27" i="8"/>
  <c r="G41" i="8"/>
  <c r="G32" i="8"/>
  <c r="G23" i="8"/>
  <c r="F25" i="19"/>
  <c r="I30" i="8"/>
  <c r="I35" i="8"/>
  <c r="I17" i="8"/>
  <c r="I14" i="8"/>
  <c r="I15" i="8"/>
  <c r="I31" i="8"/>
  <c r="I21" i="8"/>
  <c r="I41" i="8"/>
  <c r="I26" i="8"/>
  <c r="I39" i="8"/>
  <c r="I28" i="8"/>
  <c r="I24" i="8"/>
  <c r="I38" i="8"/>
  <c r="I36" i="8"/>
  <c r="I27" i="8"/>
  <c r="I11" i="8"/>
  <c r="I13" i="8"/>
  <c r="I19" i="8"/>
  <c r="I25" i="8"/>
  <c r="I16" i="8"/>
  <c r="I34" i="8"/>
  <c r="F33" i="18"/>
  <c r="I33" i="8"/>
  <c r="I12" i="8"/>
  <c r="I20" i="8"/>
  <c r="I22" i="8"/>
  <c r="I29" i="8"/>
  <c r="I32" i="8"/>
  <c r="I8" i="8"/>
  <c r="I37" i="8"/>
  <c r="I23" i="8"/>
  <c r="I10" i="8"/>
  <c r="I18" i="8"/>
  <c r="F34" i="18"/>
  <c r="F29" i="18"/>
  <c r="F21" i="18"/>
  <c r="F14" i="17"/>
  <c r="F33" i="17"/>
  <c r="F21" i="17"/>
  <c r="F32" i="18"/>
  <c r="F22" i="17"/>
  <c r="F20" i="18"/>
  <c r="F35" i="17"/>
  <c r="F22" i="18"/>
  <c r="F40" i="17"/>
  <c r="F15" i="17"/>
  <c r="F12" i="17"/>
  <c r="F24" i="17"/>
  <c r="F13" i="18"/>
  <c r="F18" i="17"/>
  <c r="F23" i="17"/>
  <c r="F25" i="18"/>
  <c r="F32" i="17"/>
  <c r="F27" i="17"/>
  <c r="F7" i="18"/>
  <c r="F15" i="18"/>
  <c r="F38" i="17"/>
  <c r="F35" i="14"/>
  <c r="F11" i="14"/>
  <c r="F32" i="14"/>
  <c r="F16" i="14"/>
  <c r="F19" i="18"/>
  <c r="F39" i="18"/>
  <c r="F35" i="18"/>
  <c r="F19" i="17"/>
  <c r="F37" i="17"/>
  <c r="F39" i="14"/>
  <c r="F34" i="14"/>
  <c r="F22" i="14"/>
  <c r="F23" i="14"/>
  <c r="F13" i="14"/>
  <c r="F18" i="14"/>
  <c r="F41" i="18"/>
  <c r="F26" i="18"/>
  <c r="F29" i="17"/>
  <c r="F36" i="17"/>
  <c r="F7" i="17"/>
  <c r="F19" i="14"/>
  <c r="F8" i="14"/>
  <c r="F28" i="14"/>
  <c r="F41" i="14"/>
  <c r="F33" i="14"/>
  <c r="F21" i="14"/>
  <c r="F17" i="14"/>
  <c r="F27" i="14"/>
  <c r="F36" i="14"/>
  <c r="F12" i="14"/>
  <c r="F31" i="14"/>
  <c r="F15" i="14"/>
  <c r="F40" i="14"/>
  <c r="F24" i="18"/>
  <c r="F30" i="18"/>
  <c r="F13" i="17"/>
  <c r="F30" i="14"/>
  <c r="F14" i="14"/>
  <c r="F30" i="17"/>
  <c r="F8" i="18"/>
  <c r="F31" i="18"/>
  <c r="F16" i="17"/>
  <c r="F25" i="17"/>
  <c r="F10" i="17"/>
  <c r="F38" i="14"/>
  <c r="F29" i="14"/>
  <c r="F37" i="14"/>
  <c r="F10" i="14"/>
  <c r="Q12" i="9"/>
  <c r="R12" i="9" s="1"/>
  <c r="Q21" i="9"/>
  <c r="R21" i="9" s="1"/>
  <c r="Q41" i="9"/>
  <c r="R41" i="9" s="1"/>
  <c r="Q29" i="9"/>
  <c r="R29" i="9" s="1"/>
  <c r="Q10" i="9"/>
  <c r="R10" i="9" s="1"/>
  <c r="Q31" i="9"/>
  <c r="R31" i="9" s="1"/>
  <c r="Q24" i="9"/>
  <c r="R24" i="9" s="1"/>
  <c r="Q27" i="9"/>
  <c r="R27" i="9" s="1"/>
  <c r="Q35" i="9"/>
  <c r="R35" i="9" s="1"/>
  <c r="Q20" i="9"/>
  <c r="R20" i="9" s="1"/>
  <c r="Q7" i="9"/>
  <c r="Q11" i="9"/>
  <c r="R11" i="9" s="1"/>
  <c r="Q8" i="9"/>
  <c r="R8" i="9" s="1"/>
  <c r="Q34" i="9"/>
  <c r="R34" i="9" s="1"/>
  <c r="Q15" i="9"/>
  <c r="R15" i="9" s="1"/>
  <c r="Q40" i="9"/>
  <c r="R40" i="9" s="1"/>
  <c r="Q14" i="9"/>
  <c r="R14" i="9" s="1"/>
  <c r="Q19" i="9"/>
  <c r="R19" i="9" s="1"/>
  <c r="Q32" i="9"/>
  <c r="R32" i="9" s="1"/>
  <c r="Q16" i="9"/>
  <c r="R16" i="9" s="1"/>
  <c r="Q37" i="9"/>
  <c r="R37" i="9" s="1"/>
  <c r="Q25" i="9"/>
  <c r="R25" i="9" s="1"/>
  <c r="Q23" i="9"/>
  <c r="R23" i="9" s="1"/>
  <c r="Q26" i="9"/>
  <c r="R26" i="9" s="1"/>
  <c r="Q22" i="9"/>
  <c r="R22" i="9" s="1"/>
  <c r="Q17" i="9"/>
  <c r="R17" i="9" s="1"/>
  <c r="Q33" i="9"/>
  <c r="R33" i="9" s="1"/>
  <c r="Q13" i="9"/>
  <c r="R13" i="9" s="1"/>
  <c r="Q28" i="9"/>
  <c r="R28" i="9" s="1"/>
  <c r="Q36" i="9"/>
  <c r="R36" i="9" s="1"/>
  <c r="Q18" i="9"/>
  <c r="R18" i="9" s="1"/>
  <c r="Q38" i="9"/>
  <c r="R38" i="9" s="1"/>
  <c r="Q30" i="9"/>
  <c r="R30" i="9" s="1"/>
  <c r="Q39" i="9"/>
  <c r="R39" i="9" s="1"/>
  <c r="L11" i="9"/>
  <c r="M11" i="9" s="1"/>
  <c r="L24" i="9"/>
  <c r="M24" i="9" s="1"/>
  <c r="L36" i="9"/>
  <c r="M36" i="9" s="1"/>
  <c r="L15" i="9"/>
  <c r="M15" i="9" s="1"/>
  <c r="L33" i="9"/>
  <c r="M33" i="9" s="1"/>
  <c r="L27" i="9"/>
  <c r="M27" i="9" s="1"/>
  <c r="L34" i="9"/>
  <c r="M34" i="9" s="1"/>
  <c r="L14" i="9"/>
  <c r="M14" i="9" s="1"/>
  <c r="L26" i="9"/>
  <c r="M26" i="9" s="1"/>
  <c r="L35" i="9"/>
  <c r="M35" i="9" s="1"/>
  <c r="L40" i="9"/>
  <c r="M40" i="9" s="1"/>
  <c r="L12" i="9"/>
  <c r="M12" i="9" s="1"/>
  <c r="L28" i="9"/>
  <c r="M28" i="9" s="1"/>
  <c r="L20" i="9"/>
  <c r="M20" i="9" s="1"/>
  <c r="L10" i="9"/>
  <c r="M10" i="9" s="1"/>
  <c r="L25" i="9"/>
  <c r="M25" i="9" s="1"/>
  <c r="L7" i="9"/>
  <c r="L29" i="9"/>
  <c r="M29" i="9" s="1"/>
  <c r="L30" i="9"/>
  <c r="M30" i="9" s="1"/>
  <c r="L8" i="9"/>
  <c r="M8" i="9" s="1"/>
  <c r="L31" i="9"/>
  <c r="M31" i="9" s="1"/>
  <c r="L19" i="9"/>
  <c r="M19" i="9" s="1"/>
  <c r="L16" i="9"/>
  <c r="M16" i="9" s="1"/>
  <c r="L17" i="9"/>
  <c r="M17" i="9" s="1"/>
  <c r="L21" i="9"/>
  <c r="M21" i="9" s="1"/>
  <c r="L39" i="9"/>
  <c r="M39" i="9" s="1"/>
  <c r="L22" i="9"/>
  <c r="M22" i="9" s="1"/>
  <c r="L32" i="9"/>
  <c r="M32" i="9" s="1"/>
  <c r="L13" i="9"/>
  <c r="M13" i="9" s="1"/>
  <c r="L18" i="9"/>
  <c r="M18" i="9" s="1"/>
  <c r="L23" i="9"/>
  <c r="M23" i="9" s="1"/>
  <c r="L37" i="9"/>
  <c r="M37" i="9" s="1"/>
  <c r="L38" i="9"/>
  <c r="M38" i="9" s="1"/>
  <c r="L41" i="9"/>
  <c r="M41" i="9" s="1"/>
  <c r="F41" i="17"/>
  <c r="F31" i="17"/>
  <c r="F17" i="17"/>
  <c r="F20" i="17"/>
  <c r="F34" i="17"/>
  <c r="G24" i="9"/>
  <c r="H24" i="9" s="1"/>
  <c r="G37" i="9"/>
  <c r="H37" i="9" s="1"/>
  <c r="G34" i="9"/>
  <c r="H34" i="9" s="1"/>
  <c r="G8" i="9"/>
  <c r="H8" i="9" s="1"/>
  <c r="G19" i="9"/>
  <c r="H19" i="9" s="1"/>
  <c r="G16" i="9"/>
  <c r="H16" i="9" s="1"/>
  <c r="G25" i="9"/>
  <c r="H25" i="9" s="1"/>
  <c r="G36" i="9"/>
  <c r="H36" i="9" s="1"/>
  <c r="G40" i="9"/>
  <c r="H40" i="9" s="1"/>
  <c r="G21" i="9"/>
  <c r="H21" i="9" s="1"/>
  <c r="G10" i="9"/>
  <c r="H10" i="9" s="1"/>
  <c r="G26" i="9"/>
  <c r="H26" i="9" s="1"/>
  <c r="G38" i="9"/>
  <c r="H38" i="9" s="1"/>
  <c r="G17" i="9"/>
  <c r="H17" i="9" s="1"/>
  <c r="G27" i="9"/>
  <c r="H27" i="9" s="1"/>
  <c r="G30" i="9"/>
  <c r="H30" i="9" s="1"/>
  <c r="G33" i="9"/>
  <c r="H33" i="9" s="1"/>
  <c r="G7" i="9"/>
  <c r="G41" i="9"/>
  <c r="H41" i="9" s="1"/>
  <c r="G32" i="9"/>
  <c r="H32" i="9" s="1"/>
  <c r="G23" i="9"/>
  <c r="H23" i="9" s="1"/>
  <c r="G22" i="9"/>
  <c r="H22" i="9" s="1"/>
  <c r="G35" i="9"/>
  <c r="H35" i="9" s="1"/>
  <c r="G14" i="9"/>
  <c r="H14" i="9" s="1"/>
  <c r="G11" i="9"/>
  <c r="H11" i="9" s="1"/>
  <c r="G20" i="9"/>
  <c r="H20" i="9" s="1"/>
  <c r="G31" i="9"/>
  <c r="H31" i="9" s="1"/>
  <c r="G29" i="9"/>
  <c r="H29" i="9" s="1"/>
  <c r="G13" i="9"/>
  <c r="H13" i="9" s="1"/>
  <c r="G15" i="9"/>
  <c r="H15" i="9" s="1"/>
  <c r="G28" i="9"/>
  <c r="H28" i="9" s="1"/>
  <c r="G39" i="9"/>
  <c r="H39" i="9" s="1"/>
  <c r="G12" i="9"/>
  <c r="H12" i="9" s="1"/>
  <c r="F16" i="18"/>
  <c r="F40" i="18"/>
  <c r="F28" i="17"/>
  <c r="F11" i="17"/>
  <c r="F39" i="17"/>
  <c r="F8" i="17"/>
  <c r="F35" i="20"/>
  <c r="F25" i="14"/>
  <c r="F20" i="14"/>
  <c r="F26" i="14"/>
  <c r="F24" i="14"/>
  <c r="V38" i="9"/>
  <c r="W38" i="9" s="1"/>
  <c r="V28" i="9"/>
  <c r="W28" i="9" s="1"/>
  <c r="V16" i="9"/>
  <c r="W16" i="9" s="1"/>
  <c r="V10" i="9"/>
  <c r="W10" i="9" s="1"/>
  <c r="V21" i="9"/>
  <c r="W21" i="9" s="1"/>
  <c r="V37" i="9"/>
  <c r="W37" i="9" s="1"/>
  <c r="V40" i="9"/>
  <c r="W40" i="9" s="1"/>
  <c r="V36" i="9"/>
  <c r="W36" i="9" s="1"/>
  <c r="V41" i="9"/>
  <c r="W41" i="9" s="1"/>
  <c r="V24" i="9"/>
  <c r="W24" i="9" s="1"/>
  <c r="V22" i="9"/>
  <c r="W22" i="9" s="1"/>
  <c r="V31" i="9"/>
  <c r="W31" i="9" s="1"/>
  <c r="V14" i="9"/>
  <c r="W14" i="9" s="1"/>
  <c r="V19" i="9"/>
  <c r="W19" i="9" s="1"/>
  <c r="V12" i="9"/>
  <c r="W12" i="9" s="1"/>
  <c r="V8" i="9"/>
  <c r="W8" i="9" s="1"/>
  <c r="V11" i="9"/>
  <c r="W11" i="9" s="1"/>
  <c r="V20" i="9"/>
  <c r="W20" i="9" s="1"/>
  <c r="V15" i="9"/>
  <c r="W15" i="9" s="1"/>
  <c r="V25" i="9"/>
  <c r="W25" i="9" s="1"/>
  <c r="V33" i="9"/>
  <c r="W33" i="9" s="1"/>
  <c r="V13" i="9"/>
  <c r="W13" i="9" s="1"/>
  <c r="V27" i="9"/>
  <c r="W27" i="9" s="1"/>
  <c r="V23" i="9"/>
  <c r="W23" i="9" s="1"/>
  <c r="V7" i="9"/>
  <c r="V29" i="9"/>
  <c r="W29" i="9" s="1"/>
  <c r="V17" i="9"/>
  <c r="W17" i="9" s="1"/>
  <c r="V35" i="9"/>
  <c r="W35" i="9" s="1"/>
  <c r="V18" i="9"/>
  <c r="W18" i="9" s="1"/>
  <c r="V39" i="9"/>
  <c r="W39" i="9" s="1"/>
  <c r="V32" i="9"/>
  <c r="W32" i="9" s="1"/>
  <c r="V26" i="9"/>
  <c r="W26" i="9" s="1"/>
  <c r="V30" i="9"/>
  <c r="W30" i="9" s="1"/>
  <c r="V34" i="9"/>
  <c r="W34" i="9" s="1"/>
  <c r="G18" i="9"/>
  <c r="H18" i="9" s="1"/>
  <c r="F18" i="16"/>
  <c r="F25" i="20"/>
  <c r="F14" i="18"/>
  <c r="F18" i="18"/>
  <c r="F28" i="18"/>
  <c r="F22" i="20"/>
  <c r="F20" i="20"/>
  <c r="F10" i="18"/>
  <c r="F37" i="18"/>
  <c r="F36" i="18"/>
  <c r="F15" i="20"/>
  <c r="F17" i="18"/>
  <c r="F8" i="20"/>
  <c r="F38" i="18"/>
  <c r="F27" i="18"/>
  <c r="F23" i="18"/>
  <c r="F11" i="18"/>
  <c r="F40" i="20"/>
  <c r="F26" i="20"/>
  <c r="F24" i="20"/>
  <c r="F41" i="20"/>
  <c r="F28" i="20"/>
  <c r="F32" i="20"/>
  <c r="F38" i="20"/>
  <c r="F38" i="15"/>
  <c r="F29" i="20"/>
  <c r="F29" i="15"/>
  <c r="F28" i="15"/>
  <c r="F27" i="20"/>
  <c r="F13" i="20"/>
  <c r="F40" i="15"/>
  <c r="F15" i="15"/>
  <c r="F9" i="16"/>
  <c r="F8" i="15"/>
  <c r="F24" i="16"/>
  <c r="F22" i="15"/>
  <c r="F36" i="16"/>
  <c r="F40" i="16"/>
  <c r="F23" i="16"/>
  <c r="F31" i="16"/>
  <c r="F7" i="16"/>
  <c r="F37" i="16"/>
  <c r="F12" i="16"/>
  <c r="F38" i="16"/>
  <c r="F32" i="16"/>
  <c r="F22" i="16"/>
  <c r="F25" i="16"/>
  <c r="F27" i="16"/>
  <c r="F34" i="16"/>
  <c r="F11" i="16"/>
  <c r="F15" i="16"/>
  <c r="F16" i="16"/>
  <c r="F28" i="16"/>
  <c r="F13" i="16"/>
  <c r="F30" i="16"/>
  <c r="F19" i="16"/>
  <c r="F39" i="16"/>
  <c r="F17" i="16"/>
  <c r="F33" i="16"/>
  <c r="F14" i="16"/>
  <c r="F35" i="16"/>
  <c r="F21" i="16"/>
  <c r="F41" i="16"/>
  <c r="F20" i="16"/>
  <c r="F26" i="16"/>
  <c r="F29" i="16"/>
  <c r="F39" i="15"/>
  <c r="F24" i="15"/>
  <c r="F37" i="15"/>
  <c r="F30" i="15"/>
  <c r="F27" i="15"/>
  <c r="F16" i="15"/>
  <c r="F12" i="15"/>
  <c r="F7" i="15"/>
  <c r="F18" i="15"/>
  <c r="F34" i="15"/>
  <c r="F17" i="15"/>
  <c r="F19" i="15"/>
  <c r="F21" i="15"/>
  <c r="F17" i="20"/>
  <c r="F31" i="20"/>
  <c r="F18" i="20"/>
  <c r="F30" i="20"/>
  <c r="F39" i="20"/>
  <c r="F23" i="20"/>
  <c r="F16" i="20"/>
  <c r="F14" i="20"/>
  <c r="F12" i="20"/>
  <c r="F36" i="20"/>
  <c r="F19" i="20"/>
  <c r="F10" i="20"/>
  <c r="F34" i="20"/>
  <c r="F11" i="20"/>
  <c r="F37" i="20"/>
  <c r="F21" i="20"/>
  <c r="F33" i="20"/>
  <c r="F26" i="15"/>
  <c r="F33" i="15"/>
  <c r="F32" i="15"/>
  <c r="F25" i="15"/>
  <c r="F11" i="15"/>
  <c r="F31" i="15"/>
  <c r="F14" i="15"/>
  <c r="F23" i="15"/>
  <c r="F20" i="15"/>
  <c r="F41" i="15"/>
  <c r="F35" i="15"/>
  <c r="F10" i="15"/>
  <c r="F36" i="15"/>
  <c r="C4" i="4"/>
  <c r="F22" i="19"/>
  <c r="F34" i="19"/>
  <c r="F10" i="19"/>
  <c r="F31" i="19"/>
  <c r="F19" i="19"/>
  <c r="F26" i="19"/>
  <c r="F12" i="19"/>
  <c r="F16" i="19"/>
  <c r="F41" i="19"/>
  <c r="F37" i="19"/>
  <c r="F17" i="19"/>
  <c r="F28" i="19"/>
  <c r="F40" i="19"/>
  <c r="F8" i="19"/>
  <c r="F30" i="19"/>
  <c r="F29" i="19"/>
  <c r="F7" i="19"/>
  <c r="F11" i="19"/>
  <c r="F33" i="19"/>
  <c r="F38" i="19"/>
  <c r="F36" i="19"/>
  <c r="F35" i="19"/>
  <c r="F14" i="19"/>
  <c r="F23" i="19"/>
  <c r="F21" i="19"/>
  <c r="F13" i="19"/>
  <c r="F20" i="19"/>
  <c r="F15" i="19"/>
  <c r="F24" i="19"/>
  <c r="F39" i="19"/>
  <c r="F32" i="19"/>
  <c r="F18" i="19"/>
  <c r="C4" i="15"/>
  <c r="C4" i="18"/>
  <c r="C4" i="20"/>
  <c r="C4" i="19"/>
  <c r="C4" i="17"/>
  <c r="C4" i="16"/>
  <c r="C4" i="14"/>
  <c r="G9" i="18" l="1"/>
  <c r="G9" i="20"/>
  <c r="G9" i="19"/>
  <c r="H9" i="19" s="1"/>
  <c r="G10" i="16"/>
  <c r="G9" i="15"/>
  <c r="H9" i="15" s="1"/>
  <c r="G9" i="14"/>
  <c r="G12" i="18"/>
  <c r="G13" i="15"/>
  <c r="X9" i="9"/>
  <c r="Y9" i="9" s="1"/>
  <c r="H9" i="18"/>
  <c r="H9" i="20"/>
  <c r="H9" i="17"/>
  <c r="H10" i="16"/>
  <c r="H9" i="14"/>
  <c r="G11" i="17"/>
  <c r="H11" i="17" s="1"/>
  <c r="I42" i="8"/>
  <c r="X12" i="9"/>
  <c r="Y12" i="9" s="1"/>
  <c r="F42" i="14"/>
  <c r="X33" i="9"/>
  <c r="AA35" i="1" s="1"/>
  <c r="X14" i="9"/>
  <c r="AA16" i="1" s="1"/>
  <c r="G37" i="14"/>
  <c r="X18" i="9"/>
  <c r="Y18" i="9" s="1"/>
  <c r="F42" i="17"/>
  <c r="X34" i="9"/>
  <c r="AA36" i="1" s="1"/>
  <c r="X31" i="9"/>
  <c r="Y31" i="9" s="1"/>
  <c r="X41" i="9"/>
  <c r="Y41" i="9" s="1"/>
  <c r="X10" i="9"/>
  <c r="Y10" i="9" s="1"/>
  <c r="F42" i="18"/>
  <c r="X21" i="9"/>
  <c r="Y21" i="9" s="1"/>
  <c r="X20" i="9"/>
  <c r="H7" i="9"/>
  <c r="G42" i="9"/>
  <c r="X11" i="9"/>
  <c r="X40" i="9"/>
  <c r="X39" i="9"/>
  <c r="X36" i="9"/>
  <c r="X28" i="9"/>
  <c r="X35" i="9"/>
  <c r="X27" i="9"/>
  <c r="X25" i="9"/>
  <c r="X15" i="9"/>
  <c r="X22" i="9"/>
  <c r="X17" i="9"/>
  <c r="X16" i="9"/>
  <c r="G27" i="16"/>
  <c r="H27" i="16" s="1"/>
  <c r="V42" i="9"/>
  <c r="W7" i="9"/>
  <c r="W42" i="9" s="1"/>
  <c r="R7" i="9"/>
  <c r="R42" i="9" s="1"/>
  <c r="Q42" i="9"/>
  <c r="X30" i="9"/>
  <c r="X13" i="9"/>
  <c r="X23" i="9"/>
  <c r="X38" i="9"/>
  <c r="X19" i="9"/>
  <c r="X37" i="9"/>
  <c r="X24" i="9"/>
  <c r="M7" i="9"/>
  <c r="M42" i="9" s="1"/>
  <c r="L42" i="9"/>
  <c r="X29" i="9"/>
  <c r="X32" i="9"/>
  <c r="X26" i="9"/>
  <c r="X8" i="9"/>
  <c r="G42" i="8"/>
  <c r="G32" i="20"/>
  <c r="F42" i="16"/>
  <c r="F42" i="20"/>
  <c r="F42" i="15"/>
  <c r="F45" i="21"/>
  <c r="D23" i="1"/>
  <c r="G11" i="18"/>
  <c r="G34" i="15"/>
  <c r="H34" i="15" s="1"/>
  <c r="G27" i="15"/>
  <c r="G28" i="15"/>
  <c r="G21" i="18"/>
  <c r="G30" i="18"/>
  <c r="G22" i="14"/>
  <c r="G35" i="20"/>
  <c r="H35" i="20" s="1"/>
  <c r="G19" i="20"/>
  <c r="G26" i="14"/>
  <c r="H26" i="14" s="1"/>
  <c r="G36" i="20"/>
  <c r="G7" i="19"/>
  <c r="H7" i="19" s="1"/>
  <c r="G16" i="15"/>
  <c r="G41" i="18"/>
  <c r="G10" i="15"/>
  <c r="G7" i="15"/>
  <c r="G28" i="20"/>
  <c r="G29" i="15"/>
  <c r="H29" i="15" s="1"/>
  <c r="G26" i="15"/>
  <c r="H26" i="15" s="1"/>
  <c r="G30" i="16"/>
  <c r="H30" i="16" s="1"/>
  <c r="G32" i="15"/>
  <c r="G11" i="15"/>
  <c r="G31" i="15"/>
  <c r="G23" i="15"/>
  <c r="H23" i="15" s="1"/>
  <c r="G32" i="14"/>
  <c r="H32" i="14" s="1"/>
  <c r="G8" i="15"/>
  <c r="H8" i="15" s="1"/>
  <c r="G25" i="15"/>
  <c r="G17" i="19"/>
  <c r="G36" i="15"/>
  <c r="H36" i="15" s="1"/>
  <c r="G40" i="15"/>
  <c r="G19" i="15"/>
  <c r="H19" i="15" s="1"/>
  <c r="G26" i="20"/>
  <c r="G37" i="15"/>
  <c r="H37" i="15" s="1"/>
  <c r="G30" i="15"/>
  <c r="G35" i="15"/>
  <c r="H35" i="15" s="1"/>
  <c r="G40" i="14"/>
  <c r="H40" i="14" s="1"/>
  <c r="G39" i="14"/>
  <c r="G41" i="14"/>
  <c r="G11" i="14"/>
  <c r="H11" i="14" s="1"/>
  <c r="G12" i="14"/>
  <c r="H12" i="14" s="1"/>
  <c r="G30" i="14"/>
  <c r="H30" i="14" s="1"/>
  <c r="G36" i="14"/>
  <c r="G29" i="14"/>
  <c r="G7" i="17"/>
  <c r="G20" i="20"/>
  <c r="G23" i="14"/>
  <c r="G15" i="14"/>
  <c r="H15" i="14" s="1"/>
  <c r="G18" i="17"/>
  <c r="G29" i="20"/>
  <c r="G18" i="18"/>
  <c r="G31" i="14"/>
  <c r="H31" i="14" s="1"/>
  <c r="G28" i="14"/>
  <c r="H28" i="14" s="1"/>
  <c r="G18" i="14"/>
  <c r="G13" i="14"/>
  <c r="F42" i="19"/>
  <c r="G27" i="14"/>
  <c r="G21" i="14"/>
  <c r="G14" i="14"/>
  <c r="G19" i="14"/>
  <c r="H19" i="14" s="1"/>
  <c r="G30" i="17"/>
  <c r="G30" i="20"/>
  <c r="H30" i="20" s="1"/>
  <c r="G22" i="18"/>
  <c r="H22" i="18" s="1"/>
  <c r="E17" i="4"/>
  <c r="F17" i="4" s="1"/>
  <c r="E38" i="4"/>
  <c r="F38" i="4" s="1"/>
  <c r="E20" i="4"/>
  <c r="E30" i="4"/>
  <c r="E23" i="4"/>
  <c r="F23" i="4" s="1"/>
  <c r="E21" i="4"/>
  <c r="F21" i="4" s="1"/>
  <c r="E25" i="4"/>
  <c r="F25" i="4" s="1"/>
  <c r="E9" i="4"/>
  <c r="F9" i="4" s="1"/>
  <c r="E33" i="4"/>
  <c r="E15" i="4"/>
  <c r="E31" i="4"/>
  <c r="E10" i="4"/>
  <c r="F10" i="4" s="1"/>
  <c r="E27" i="4"/>
  <c r="E41" i="4"/>
  <c r="E28" i="4"/>
  <c r="F28" i="4" s="1"/>
  <c r="E24" i="4"/>
  <c r="E18" i="4"/>
  <c r="E14" i="4"/>
  <c r="E40" i="4"/>
  <c r="F40" i="4" s="1"/>
  <c r="E11" i="4"/>
  <c r="E32" i="4"/>
  <c r="E29" i="4"/>
  <c r="E39" i="4"/>
  <c r="E26" i="4"/>
  <c r="F26" i="4" s="1"/>
  <c r="E22" i="4"/>
  <c r="F22" i="4" s="1"/>
  <c r="E12" i="4"/>
  <c r="E34" i="4"/>
  <c r="E13" i="4"/>
  <c r="F13" i="4" s="1"/>
  <c r="E35" i="4"/>
  <c r="F35" i="4" s="1"/>
  <c r="E19" i="4"/>
  <c r="E7" i="4"/>
  <c r="E37" i="4"/>
  <c r="E36" i="4"/>
  <c r="E16" i="4"/>
  <c r="G33" i="20"/>
  <c r="G41" i="19"/>
  <c r="G25" i="20"/>
  <c r="H25" i="20" s="1"/>
  <c r="G39" i="20"/>
  <c r="G13" i="20"/>
  <c r="H13" i="20" s="1"/>
  <c r="G24" i="20"/>
  <c r="H24" i="20" s="1"/>
  <c r="G20" i="18"/>
  <c r="G14" i="20"/>
  <c r="H14" i="20" s="1"/>
  <c r="G21" i="20"/>
  <c r="H21" i="20" s="1"/>
  <c r="G15" i="20"/>
  <c r="G31" i="20"/>
  <c r="G33" i="15"/>
  <c r="G15" i="15"/>
  <c r="G38" i="15"/>
  <c r="H38" i="15" s="1"/>
  <c r="G32" i="18"/>
  <c r="G29" i="18"/>
  <c r="G10" i="19"/>
  <c r="G27" i="20"/>
  <c r="H27" i="20" s="1"/>
  <c r="G11" i="20"/>
  <c r="G38" i="20"/>
  <c r="H38" i="20" s="1"/>
  <c r="G41" i="20"/>
  <c r="H41" i="20" s="1"/>
  <c r="G24" i="18"/>
  <c r="H24" i="18" s="1"/>
  <c r="G18" i="20"/>
  <c r="G37" i="20"/>
  <c r="H37" i="20" s="1"/>
  <c r="G16" i="20"/>
  <c r="G22" i="20"/>
  <c r="G33" i="19"/>
  <c r="G24" i="15"/>
  <c r="G22" i="15"/>
  <c r="G17" i="15"/>
  <c r="G39" i="15"/>
  <c r="G10" i="18"/>
  <c r="G13" i="18"/>
  <c r="G23" i="20"/>
  <c r="G17" i="20"/>
  <c r="G8" i="20"/>
  <c r="H8" i="20" s="1"/>
  <c r="G40" i="20"/>
  <c r="H40" i="20" s="1"/>
  <c r="G34" i="20"/>
  <c r="H34" i="20" s="1"/>
  <c r="G35" i="19"/>
  <c r="H35" i="19" s="1"/>
  <c r="G36" i="18"/>
  <c r="G28" i="18"/>
  <c r="H28" i="18" s="1"/>
  <c r="G12" i="20"/>
  <c r="G7" i="20"/>
  <c r="H7" i="20" s="1"/>
  <c r="G10" i="20"/>
  <c r="H10" i="20" s="1"/>
  <c r="G21" i="19"/>
  <c r="H21" i="19" s="1"/>
  <c r="G41" i="15"/>
  <c r="G20" i="15"/>
  <c r="G18" i="15"/>
  <c r="G12" i="15"/>
  <c r="H12" i="15" s="1"/>
  <c r="G38" i="18"/>
  <c r="H38" i="18" s="1"/>
  <c r="G23" i="18"/>
  <c r="G17" i="16"/>
  <c r="G38" i="16"/>
  <c r="G25" i="17"/>
  <c r="G28" i="16"/>
  <c r="G39" i="19"/>
  <c r="H39" i="19" s="1"/>
  <c r="G21" i="17"/>
  <c r="H21" i="17" s="1"/>
  <c r="G36" i="19"/>
  <c r="H36" i="19" s="1"/>
  <c r="G14" i="15"/>
  <c r="G41" i="17"/>
  <c r="H41" i="17" s="1"/>
  <c r="G39" i="17"/>
  <c r="G19" i="19"/>
  <c r="G29" i="17"/>
  <c r="G24" i="19"/>
  <c r="H24" i="19" s="1"/>
  <c r="G21" i="15"/>
  <c r="H21" i="15" s="1"/>
  <c r="G8" i="16"/>
  <c r="H8" i="16" s="1"/>
  <c r="G37" i="17"/>
  <c r="G23" i="17"/>
  <c r="H23" i="17" s="1"/>
  <c r="G26" i="17"/>
  <c r="G16" i="17"/>
  <c r="H16" i="17" s="1"/>
  <c r="G19" i="17"/>
  <c r="G34" i="16"/>
  <c r="G12" i="16"/>
  <c r="H12" i="16" s="1"/>
  <c r="G7" i="16"/>
  <c r="H7" i="16" s="1"/>
  <c r="G35" i="16"/>
  <c r="G33" i="17"/>
  <c r="H33" i="17" s="1"/>
  <c r="G17" i="17"/>
  <c r="H17" i="17" s="1"/>
  <c r="G10" i="17"/>
  <c r="G24" i="17"/>
  <c r="G40" i="17"/>
  <c r="G31" i="16"/>
  <c r="G21" i="16"/>
  <c r="H21" i="16" s="1"/>
  <c r="G26" i="16"/>
  <c r="G13" i="16"/>
  <c r="G32" i="19"/>
  <c r="G26" i="19"/>
  <c r="H26" i="19" s="1"/>
  <c r="G34" i="19"/>
  <c r="H34" i="19" s="1"/>
  <c r="G31" i="18"/>
  <c r="G35" i="18"/>
  <c r="H35" i="18" s="1"/>
  <c r="G8" i="18"/>
  <c r="G14" i="18"/>
  <c r="G23" i="16"/>
  <c r="H23" i="16" s="1"/>
  <c r="G41" i="16"/>
  <c r="H41" i="16" s="1"/>
  <c r="G13" i="17"/>
  <c r="G32" i="17"/>
  <c r="H32" i="17" s="1"/>
  <c r="G19" i="16"/>
  <c r="G18" i="16"/>
  <c r="H18" i="16" s="1"/>
  <c r="G27" i="17"/>
  <c r="G28" i="17"/>
  <c r="G14" i="17"/>
  <c r="G36" i="17"/>
  <c r="H36" i="17" s="1"/>
  <c r="G9" i="16"/>
  <c r="G32" i="16"/>
  <c r="H32" i="16" s="1"/>
  <c r="G36" i="16"/>
  <c r="G33" i="16"/>
  <c r="H33" i="16" s="1"/>
  <c r="G40" i="16"/>
  <c r="G31" i="19"/>
  <c r="G23" i="19"/>
  <c r="G15" i="19"/>
  <c r="G19" i="18"/>
  <c r="G16" i="18"/>
  <c r="G37" i="18"/>
  <c r="H37" i="18" s="1"/>
  <c r="G15" i="18"/>
  <c r="G8" i="17"/>
  <c r="G34" i="17"/>
  <c r="G20" i="17"/>
  <c r="G35" i="17"/>
  <c r="H35" i="17" s="1"/>
  <c r="G29" i="16"/>
  <c r="H29" i="16" s="1"/>
  <c r="G11" i="16"/>
  <c r="G22" i="16"/>
  <c r="H22" i="16" s="1"/>
  <c r="G37" i="16"/>
  <c r="G22" i="19"/>
  <c r="G20" i="19"/>
  <c r="H20" i="19" s="1"/>
  <c r="G29" i="19"/>
  <c r="H29" i="19" s="1"/>
  <c r="G7" i="18"/>
  <c r="H7" i="18" s="1"/>
  <c r="G17" i="18"/>
  <c r="G27" i="18"/>
  <c r="G25" i="18"/>
  <c r="H25" i="18" s="1"/>
  <c r="G34" i="18"/>
  <c r="F19" i="21"/>
  <c r="F13" i="21"/>
  <c r="F15" i="21"/>
  <c r="F8" i="21"/>
  <c r="F16" i="21"/>
  <c r="F27" i="21"/>
  <c r="F33" i="21"/>
  <c r="F23" i="21"/>
  <c r="F26" i="21"/>
  <c r="F17" i="21"/>
  <c r="F35" i="21"/>
  <c r="F11" i="21"/>
  <c r="F12" i="21"/>
  <c r="F14" i="21"/>
  <c r="F41" i="21"/>
  <c r="F40" i="21"/>
  <c r="F32" i="21"/>
  <c r="F22" i="21"/>
  <c r="F42" i="21"/>
  <c r="F30" i="21"/>
  <c r="F9" i="21"/>
  <c r="F10" i="21"/>
  <c r="F37" i="21"/>
  <c r="F25" i="21"/>
  <c r="F28" i="21"/>
  <c r="F18" i="21"/>
  <c r="F20" i="21"/>
  <c r="F21" i="21"/>
  <c r="F36" i="21"/>
  <c r="F38" i="21"/>
  <c r="F29" i="21"/>
  <c r="F31" i="21"/>
  <c r="F24" i="21"/>
  <c r="G24" i="16"/>
  <c r="H24" i="16" s="1"/>
  <c r="G22" i="17"/>
  <c r="G38" i="17"/>
  <c r="G20" i="16"/>
  <c r="G14" i="16"/>
  <c r="G25" i="16"/>
  <c r="G31" i="17"/>
  <c r="H31" i="17" s="1"/>
  <c r="G15" i="17"/>
  <c r="G12" i="17"/>
  <c r="G39" i="16"/>
  <c r="H39" i="16" s="1"/>
  <c r="G15" i="16"/>
  <c r="G16" i="16"/>
  <c r="G16" i="19"/>
  <c r="G18" i="19"/>
  <c r="G14" i="19"/>
  <c r="G33" i="18"/>
  <c r="H33" i="18" s="1"/>
  <c r="G39" i="18"/>
  <c r="G40" i="18"/>
  <c r="H40" i="18" s="1"/>
  <c r="G26" i="18"/>
  <c r="G16" i="14"/>
  <c r="G35" i="14"/>
  <c r="H35" i="14" s="1"/>
  <c r="G24" i="14"/>
  <c r="H24" i="14" s="1"/>
  <c r="G38" i="14"/>
  <c r="G28" i="19"/>
  <c r="H28" i="19" s="1"/>
  <c r="G30" i="19"/>
  <c r="G25" i="19"/>
  <c r="H25" i="19" s="1"/>
  <c r="G40" i="19"/>
  <c r="H40" i="19" s="1"/>
  <c r="G25" i="14"/>
  <c r="H25" i="14" s="1"/>
  <c r="G34" i="14"/>
  <c r="H34" i="14" s="1"/>
  <c r="G10" i="14"/>
  <c r="H10" i="14" s="1"/>
  <c r="G20" i="14"/>
  <c r="G27" i="19"/>
  <c r="G13" i="19"/>
  <c r="H13" i="19" s="1"/>
  <c r="G38" i="19"/>
  <c r="G37" i="19"/>
  <c r="G8" i="14"/>
  <c r="G7" i="14"/>
  <c r="H7" i="14" s="1"/>
  <c r="G17" i="14"/>
  <c r="H17" i="14" s="1"/>
  <c r="G33" i="14"/>
  <c r="G12" i="19"/>
  <c r="H12" i="19" s="1"/>
  <c r="G8" i="19"/>
  <c r="H8" i="19" s="1"/>
  <c r="G11" i="19"/>
  <c r="H13" i="15"/>
  <c r="H12" i="18"/>
  <c r="D44" i="1" l="1"/>
  <c r="AA10" i="1"/>
  <c r="J7" i="8"/>
  <c r="K7" i="8" s="1"/>
  <c r="J9" i="8"/>
  <c r="K9" i="8" s="1"/>
  <c r="AA20" i="1"/>
  <c r="H37" i="14"/>
  <c r="AA23" i="1"/>
  <c r="AA12" i="1"/>
  <c r="AA14" i="1"/>
  <c r="Y33" i="9"/>
  <c r="Y34" i="9"/>
  <c r="Y14" i="9"/>
  <c r="AA33" i="1"/>
  <c r="H32" i="20"/>
  <c r="AA43" i="1"/>
  <c r="Y27" i="9"/>
  <c r="AA29" i="1"/>
  <c r="AA22" i="1"/>
  <c r="Y20" i="9"/>
  <c r="Y19" i="9"/>
  <c r="AA21" i="1"/>
  <c r="Y28" i="9"/>
  <c r="AA31" i="1"/>
  <c r="AA40" i="1"/>
  <c r="Y38" i="9"/>
  <c r="Y16" i="9"/>
  <c r="AA19" i="1"/>
  <c r="Y8" i="9"/>
  <c r="AA11" i="1"/>
  <c r="Y24" i="9"/>
  <c r="AA26" i="1"/>
  <c r="Y23" i="9"/>
  <c r="AA25" i="1"/>
  <c r="Y17" i="9"/>
  <c r="AA18" i="1"/>
  <c r="Y39" i="9"/>
  <c r="AA41" i="1"/>
  <c r="AA28" i="1"/>
  <c r="Y26" i="9"/>
  <c r="AA15" i="1"/>
  <c r="Y13" i="9"/>
  <c r="AA24" i="1"/>
  <c r="Y22" i="9"/>
  <c r="AA42" i="1"/>
  <c r="Y40" i="9"/>
  <c r="X7" i="9"/>
  <c r="AA9" i="1" s="1"/>
  <c r="H42" i="9"/>
  <c r="J40" i="8"/>
  <c r="K40" i="8" s="1"/>
  <c r="J16" i="8"/>
  <c r="K16" i="8" s="1"/>
  <c r="J24" i="8"/>
  <c r="K24" i="8" s="1"/>
  <c r="J39" i="8"/>
  <c r="K39" i="8" s="1"/>
  <c r="J27" i="8"/>
  <c r="K27" i="8" s="1"/>
  <c r="J20" i="8"/>
  <c r="K20" i="8" s="1"/>
  <c r="J8" i="8"/>
  <c r="K8" i="8" s="1"/>
  <c r="J17" i="8"/>
  <c r="K17" i="8" s="1"/>
  <c r="J10" i="8"/>
  <c r="K10" i="8" s="1"/>
  <c r="J29" i="8"/>
  <c r="K29" i="8" s="1"/>
  <c r="J35" i="8"/>
  <c r="K35" i="8" s="1"/>
  <c r="J41" i="8"/>
  <c r="K41" i="8" s="1"/>
  <c r="J28" i="8"/>
  <c r="K28" i="8" s="1"/>
  <c r="J36" i="8"/>
  <c r="K36" i="8" s="1"/>
  <c r="J33" i="8"/>
  <c r="K33" i="8" s="1"/>
  <c r="J26" i="8"/>
  <c r="K26" i="8" s="1"/>
  <c r="J21" i="8"/>
  <c r="K21" i="8" s="1"/>
  <c r="J25" i="8"/>
  <c r="K25" i="8" s="1"/>
  <c r="J18" i="8"/>
  <c r="K18" i="8" s="1"/>
  <c r="J12" i="8"/>
  <c r="K12" i="8" s="1"/>
  <c r="J13" i="8"/>
  <c r="K13" i="8" s="1"/>
  <c r="J38" i="8"/>
  <c r="K38" i="8" s="1"/>
  <c r="J14" i="8"/>
  <c r="K14" i="8" s="1"/>
  <c r="J31" i="8"/>
  <c r="K31" i="8" s="1"/>
  <c r="J15" i="8"/>
  <c r="K15" i="8" s="1"/>
  <c r="J34" i="8"/>
  <c r="K34" i="8" s="1"/>
  <c r="J22" i="8"/>
  <c r="K22" i="8" s="1"/>
  <c r="J32" i="8"/>
  <c r="K32" i="8" s="1"/>
  <c r="J11" i="8"/>
  <c r="K11" i="8" s="1"/>
  <c r="J37" i="8"/>
  <c r="K37" i="8" s="1"/>
  <c r="J19" i="8"/>
  <c r="K19" i="8" s="1"/>
  <c r="J23" i="8"/>
  <c r="K23" i="8" s="1"/>
  <c r="J30" i="8"/>
  <c r="K30" i="8" s="1"/>
  <c r="Y32" i="9"/>
  <c r="AA34" i="1"/>
  <c r="AA32" i="1"/>
  <c r="Y30" i="9"/>
  <c r="Y15" i="9"/>
  <c r="AA17" i="1"/>
  <c r="Y11" i="9"/>
  <c r="AA13" i="1"/>
  <c r="AA37" i="1"/>
  <c r="Y35" i="9"/>
  <c r="AA38" i="1"/>
  <c r="Y36" i="9"/>
  <c r="AA30" i="1"/>
  <c r="Y29" i="9"/>
  <c r="Y37" i="9"/>
  <c r="AA39" i="1"/>
  <c r="Y25" i="9"/>
  <c r="AA27" i="1"/>
  <c r="H21" i="18"/>
  <c r="H28" i="15"/>
  <c r="H27" i="15"/>
  <c r="H11" i="18"/>
  <c r="E42" i="4"/>
  <c r="F42" i="4" s="1"/>
  <c r="H30" i="18"/>
  <c r="H41" i="14"/>
  <c r="H18" i="14"/>
  <c r="H7" i="15"/>
  <c r="H19" i="20"/>
  <c r="H10" i="19"/>
  <c r="H7" i="17"/>
  <c r="H16" i="19"/>
  <c r="H27" i="14"/>
  <c r="H29" i="20"/>
  <c r="H16" i="15"/>
  <c r="H36" i="20"/>
  <c r="H20" i="16"/>
  <c r="H22" i="14"/>
  <c r="H30" i="15"/>
  <c r="H28" i="20"/>
  <c r="H11" i="19"/>
  <c r="H16" i="20"/>
  <c r="H18" i="15"/>
  <c r="H10" i="15"/>
  <c r="G42" i="18"/>
  <c r="H42" i="18" s="1"/>
  <c r="H29" i="18"/>
  <c r="H12" i="20"/>
  <c r="H9" i="16"/>
  <c r="H25" i="15"/>
  <c r="H23" i="14"/>
  <c r="H18" i="19"/>
  <c r="F29" i="4"/>
  <c r="H41" i="18"/>
  <c r="H12" i="17"/>
  <c r="F41" i="4"/>
  <c r="H30" i="19"/>
  <c r="H15" i="20"/>
  <c r="H14" i="17"/>
  <c r="H20" i="14"/>
  <c r="H38" i="14"/>
  <c r="H39" i="20"/>
  <c r="H23" i="19"/>
  <c r="H16" i="18"/>
  <c r="H16" i="14"/>
  <c r="H19" i="18"/>
  <c r="H32" i="19"/>
  <c r="H29" i="17"/>
  <c r="H20" i="15"/>
  <c r="H32" i="15"/>
  <c r="H8" i="14"/>
  <c r="H20" i="17"/>
  <c r="H31" i="15"/>
  <c r="H18" i="18"/>
  <c r="H28" i="16"/>
  <c r="H11" i="15"/>
  <c r="H38" i="16"/>
  <c r="H39" i="18"/>
  <c r="H17" i="19"/>
  <c r="H13" i="14"/>
  <c r="H24" i="15"/>
  <c r="H36" i="14"/>
  <c r="H19" i="17"/>
  <c r="H14" i="14"/>
  <c r="H40" i="15"/>
  <c r="H17" i="16"/>
  <c r="H24" i="17"/>
  <c r="H31" i="20"/>
  <c r="F16" i="4"/>
  <c r="H36" i="18"/>
  <c r="H18" i="17"/>
  <c r="H20" i="18"/>
  <c r="H38" i="17"/>
  <c r="H18" i="20"/>
  <c r="F19" i="4"/>
  <c r="H32" i="18"/>
  <c r="F36" i="4"/>
  <c r="F18" i="4"/>
  <c r="F33" i="4"/>
  <c r="H13" i="16"/>
  <c r="H34" i="16"/>
  <c r="H39" i="15"/>
  <c r="H17" i="15"/>
  <c r="G42" i="15"/>
  <c r="H42" i="15" s="1"/>
  <c r="F14" i="4"/>
  <c r="H16" i="16"/>
  <c r="H26" i="20"/>
  <c r="H19" i="16"/>
  <c r="F30" i="4"/>
  <c r="H27" i="18"/>
  <c r="H10" i="18"/>
  <c r="H15" i="15"/>
  <c r="H21" i="14"/>
  <c r="F34" i="4"/>
  <c r="F31" i="4"/>
  <c r="H33" i="15"/>
  <c r="H22" i="17"/>
  <c r="H22" i="20"/>
  <c r="H26" i="17"/>
  <c r="H39" i="17"/>
  <c r="H39" i="14"/>
  <c r="H13" i="18"/>
  <c r="H41" i="19"/>
  <c r="H30" i="17"/>
  <c r="H33" i="20"/>
  <c r="F11" i="4"/>
  <c r="H20" i="20"/>
  <c r="H29" i="14"/>
  <c r="H23" i="18"/>
  <c r="G42" i="20"/>
  <c r="H42" i="20" s="1"/>
  <c r="H15" i="19"/>
  <c r="H11" i="20"/>
  <c r="H23" i="20"/>
  <c r="H22" i="15"/>
  <c r="F20" i="4"/>
  <c r="F12" i="4"/>
  <c r="F15" i="4"/>
  <c r="F7" i="4"/>
  <c r="F37" i="4"/>
  <c r="F24" i="4"/>
  <c r="F39" i="4"/>
  <c r="F32" i="4"/>
  <c r="H26" i="18"/>
  <c r="H17" i="18"/>
  <c r="H19" i="19"/>
  <c r="H41" i="15"/>
  <c r="H25" i="17"/>
  <c r="H17" i="20"/>
  <c r="H33" i="19"/>
  <c r="F27" i="4"/>
  <c r="G42" i="16"/>
  <c r="H42" i="16" s="1"/>
  <c r="H33" i="14"/>
  <c r="H31" i="18"/>
  <c r="H8" i="17"/>
  <c r="H8" i="18"/>
  <c r="H40" i="16"/>
  <c r="H13" i="17"/>
  <c r="H15" i="16"/>
  <c r="H15" i="17"/>
  <c r="H14" i="15"/>
  <c r="H37" i="16"/>
  <c r="G42" i="17"/>
  <c r="H42" i="17" s="1"/>
  <c r="H26" i="16"/>
  <c r="H25" i="16"/>
  <c r="H34" i="18"/>
  <c r="H14" i="19"/>
  <c r="H10" i="17"/>
  <c r="H22" i="19"/>
  <c r="H28" i="17"/>
  <c r="H27" i="17"/>
  <c r="H35" i="16"/>
  <c r="H37" i="17"/>
  <c r="H31" i="16"/>
  <c r="H36" i="16"/>
  <c r="H14" i="16"/>
  <c r="H40" i="17"/>
  <c r="H15" i="18"/>
  <c r="H31" i="19"/>
  <c r="G42" i="14"/>
  <c r="H42" i="14" s="1"/>
  <c r="H11" i="16"/>
  <c r="H34" i="17"/>
  <c r="H14" i="18"/>
  <c r="F7" i="21"/>
  <c r="E43" i="21"/>
  <c r="H27" i="19"/>
  <c r="H37" i="19"/>
  <c r="H38" i="19"/>
  <c r="G42" i="19"/>
  <c r="H42" i="19" s="1"/>
  <c r="L9" i="8" l="1"/>
  <c r="Z10" i="1"/>
  <c r="L14" i="8"/>
  <c r="Z16" i="1"/>
  <c r="Z19" i="1"/>
  <c r="L17" i="8"/>
  <c r="L37" i="8"/>
  <c r="Z39" i="1"/>
  <c r="L36" i="8"/>
  <c r="Z38" i="1"/>
  <c r="L11" i="8"/>
  <c r="Z13" i="1"/>
  <c r="L28" i="8"/>
  <c r="Z30" i="1"/>
  <c r="L32" i="8"/>
  <c r="Z34" i="1"/>
  <c r="Z24" i="1"/>
  <c r="L22" i="8"/>
  <c r="Z20" i="1"/>
  <c r="L18" i="8"/>
  <c r="L41" i="8"/>
  <c r="Z43" i="1"/>
  <c r="Z41" i="1"/>
  <c r="L39" i="8"/>
  <c r="Z36" i="1"/>
  <c r="L34" i="8"/>
  <c r="L25" i="8"/>
  <c r="Z27" i="1"/>
  <c r="L35" i="8"/>
  <c r="Z37" i="1"/>
  <c r="Z26" i="1"/>
  <c r="L24" i="8"/>
  <c r="L33" i="8"/>
  <c r="Z35" i="1"/>
  <c r="Z40" i="1"/>
  <c r="L38" i="8"/>
  <c r="L8" i="8"/>
  <c r="Z11" i="1"/>
  <c r="X42" i="9"/>
  <c r="Y42" i="9" s="1"/>
  <c r="AA44" i="1"/>
  <c r="Y7" i="9"/>
  <c r="L13" i="8"/>
  <c r="Z15" i="1"/>
  <c r="Z22" i="1"/>
  <c r="L20" i="8"/>
  <c r="Z14" i="1"/>
  <c r="L12" i="8"/>
  <c r="Z29" i="1"/>
  <c r="L27" i="8"/>
  <c r="Z32" i="1"/>
  <c r="L30" i="8"/>
  <c r="L15" i="8"/>
  <c r="Z17" i="1"/>
  <c r="L21" i="8"/>
  <c r="Z23" i="1"/>
  <c r="L29" i="8"/>
  <c r="Z31" i="1"/>
  <c r="L16" i="8"/>
  <c r="Z18" i="1"/>
  <c r="Z21" i="1"/>
  <c r="L19" i="8"/>
  <c r="J42" i="8"/>
  <c r="L23" i="8"/>
  <c r="Z25" i="1"/>
  <c r="Z33" i="1"/>
  <c r="L31" i="8"/>
  <c r="L26" i="8"/>
  <c r="Z28" i="1"/>
  <c r="Z12" i="1"/>
  <c r="L10" i="8"/>
  <c r="Z42" i="1"/>
  <c r="L40" i="8"/>
  <c r="F43" i="21"/>
  <c r="E44" i="21"/>
  <c r="H44" i="1"/>
  <c r="AI10" i="1" l="1"/>
  <c r="AK10" i="1" s="1"/>
  <c r="AL43" i="1"/>
  <c r="AN43" i="1" s="1"/>
  <c r="AL36" i="1"/>
  <c r="AN36" i="1" s="1"/>
  <c r="AL39" i="1"/>
  <c r="AN39" i="1" s="1"/>
  <c r="AL29" i="1"/>
  <c r="AN29" i="1" s="1"/>
  <c r="AI33" i="1"/>
  <c r="AK33" i="1" s="1"/>
  <c r="AI32" i="1"/>
  <c r="AK32" i="1" s="1"/>
  <c r="AI41" i="1"/>
  <c r="AK41" i="1" s="1"/>
  <c r="AI35" i="1"/>
  <c r="AK35" i="1" s="1"/>
  <c r="AI31" i="1"/>
  <c r="AK31" i="1" s="1"/>
  <c r="AI24" i="1"/>
  <c r="AK24" i="1" s="1"/>
  <c r="AI34" i="1"/>
  <c r="AK34" i="1" s="1"/>
  <c r="AI23" i="1"/>
  <c r="AK23" i="1" s="1"/>
  <c r="AI14" i="1"/>
  <c r="AK14" i="1" s="1"/>
  <c r="AI11" i="1"/>
  <c r="AK11" i="1" s="1"/>
  <c r="AI43" i="1"/>
  <c r="AK43" i="1" s="1"/>
  <c r="AI25" i="1"/>
  <c r="AK25" i="1" s="1"/>
  <c r="AI42" i="1"/>
  <c r="AK42" i="1" s="1"/>
  <c r="AI19" i="1"/>
  <c r="AK19" i="1" s="1"/>
  <c r="AI38" i="1"/>
  <c r="AK38" i="1" s="1"/>
  <c r="AI28" i="1"/>
  <c r="AK28" i="1" s="1"/>
  <c r="AI16" i="1"/>
  <c r="AK16" i="1" s="1"/>
  <c r="AI36" i="1"/>
  <c r="AK36" i="1" s="1"/>
  <c r="AI29" i="1"/>
  <c r="AK29" i="1" s="1"/>
  <c r="AI39" i="1"/>
  <c r="AK39" i="1" s="1"/>
  <c r="AI26" i="1"/>
  <c r="AK26" i="1" s="1"/>
  <c r="AI12" i="1"/>
  <c r="AK12" i="1" s="1"/>
  <c r="AI21" i="1"/>
  <c r="AK21" i="1" s="1"/>
  <c r="AI22" i="1"/>
  <c r="AK22" i="1" s="1"/>
  <c r="AI27" i="1"/>
  <c r="AK27" i="1" s="1"/>
  <c r="AI13" i="1"/>
  <c r="AK13" i="1" s="1"/>
  <c r="AI18" i="1"/>
  <c r="AK18" i="1" s="1"/>
  <c r="AI15" i="1"/>
  <c r="AK15" i="1" s="1"/>
  <c r="AI20" i="1"/>
  <c r="AK20" i="1" s="1"/>
  <c r="AI37" i="1"/>
  <c r="AK37" i="1" s="1"/>
  <c r="AI30" i="1"/>
  <c r="AK30" i="1" s="1"/>
  <c r="AI17" i="1"/>
  <c r="AK17" i="1" s="1"/>
  <c r="AI40" i="1"/>
  <c r="AK40" i="1" s="1"/>
  <c r="Z9" i="1"/>
  <c r="K42" i="8"/>
  <c r="L42" i="8" s="1"/>
  <c r="L7" i="8"/>
  <c r="AI9" i="1" l="1"/>
  <c r="AK9" i="1" s="1"/>
  <c r="AB44" i="1"/>
  <c r="AI44" i="1" s="1"/>
  <c r="Z44" i="1"/>
  <c r="AL16" i="1"/>
  <c r="AN16" i="1" s="1"/>
  <c r="AF36" i="1" l="1"/>
  <c r="AG36" i="1" s="1"/>
  <c r="AF43" i="1"/>
  <c r="AG43" i="1" s="1"/>
  <c r="AF34" i="1"/>
  <c r="AG34" i="1" s="1"/>
  <c r="AF25" i="1"/>
  <c r="AG25" i="1" s="1"/>
  <c r="AF16" i="1"/>
  <c r="AG16" i="1" s="1"/>
  <c r="AF28" i="1"/>
  <c r="AG28" i="1" s="1"/>
  <c r="AF42" i="1"/>
  <c r="AG42" i="1" s="1"/>
  <c r="AF33" i="1"/>
  <c r="AG33" i="1" s="1"/>
  <c r="AF24" i="1"/>
  <c r="AG24" i="1" s="1"/>
  <c r="AF15" i="1"/>
  <c r="AG15" i="1" s="1"/>
  <c r="AF41" i="1"/>
  <c r="AG41" i="1" s="1"/>
  <c r="AF32" i="1"/>
  <c r="AG32" i="1" s="1"/>
  <c r="AF23" i="1"/>
  <c r="AG23" i="1" s="1"/>
  <c r="AF14" i="1"/>
  <c r="AG14" i="1" s="1"/>
  <c r="AF20" i="1"/>
  <c r="AG20" i="1" s="1"/>
  <c r="AF40" i="1"/>
  <c r="AG40" i="1" s="1"/>
  <c r="AF31" i="1"/>
  <c r="AG31" i="1" s="1"/>
  <c r="AF22" i="1"/>
  <c r="AG22" i="1" s="1"/>
  <c r="AF13" i="1"/>
  <c r="AG13" i="1" s="1"/>
  <c r="AF29" i="1"/>
  <c r="AG29" i="1" s="1"/>
  <c r="AF39" i="1"/>
  <c r="AG39" i="1" s="1"/>
  <c r="AF30" i="1"/>
  <c r="AG30" i="1" s="1"/>
  <c r="AF21" i="1"/>
  <c r="AG21" i="1" s="1"/>
  <c r="AF11" i="1"/>
  <c r="AG11" i="1" s="1"/>
  <c r="AF38" i="1"/>
  <c r="AG38" i="1" s="1"/>
  <c r="AF10" i="1"/>
  <c r="AG10" i="1" s="1"/>
  <c r="AF12" i="1"/>
  <c r="AG12" i="1" s="1"/>
  <c r="AF19" i="1"/>
  <c r="AG19" i="1" s="1"/>
  <c r="AF37" i="1"/>
  <c r="AG37" i="1" s="1"/>
  <c r="AF27" i="1"/>
  <c r="AG27" i="1" s="1"/>
  <c r="AF18" i="1"/>
  <c r="AG18" i="1" s="1"/>
  <c r="AF9" i="1"/>
  <c r="AG9" i="1" s="1"/>
  <c r="AF35" i="1"/>
  <c r="AG35" i="1" s="1"/>
  <c r="AF26" i="1"/>
  <c r="AG26" i="1" s="1"/>
  <c r="AF17" i="1"/>
  <c r="AG17" i="1" s="1"/>
  <c r="AG44" i="1" l="1"/>
  <c r="AF44" i="1"/>
  <c r="AL44" i="1"/>
  <c r="AE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500-000001000000}">
      <text>
        <r>
          <rPr>
            <sz val="9"/>
            <color indexed="81"/>
            <rFont val="Tahoma"/>
            <family val="2"/>
          </rPr>
          <t>Weight is calculated as County Population multiplied by rank weight.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600-000001000000}">
      <text>
        <r>
          <rPr>
            <sz val="9"/>
            <color indexed="81"/>
            <rFont val="Tahoma"/>
            <family val="2"/>
          </rPr>
          <t>Weight is calculated as County Population multiplied by rank weight.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7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8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9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A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Curtis Christopher J</author>
  </authors>
  <commentList>
    <comment ref="E6" authorId="0" shapeId="0" xr:uid="{00000000-0006-0000-0B00-000001000000}">
      <text>
        <r>
          <rPr>
            <sz val="9"/>
            <color indexed="81"/>
            <rFont val="Tahoma"/>
            <family val="2"/>
          </rPr>
          <t>Weight is calculated as County Population multiplied population percentage group.</t>
        </r>
      </text>
    </comment>
  </commentList>
</comments>
</file>

<file path=xl/sharedStrings.xml><?xml version="1.0" encoding="utf-8"?>
<sst xmlns="http://schemas.openxmlformats.org/spreadsheetml/2006/main" count="400" uniqueCount="156">
  <si>
    <t>PHAB Funding and Incentives Subcommittee</t>
  </si>
  <si>
    <t>Subcommittee Members: Carrie Brogoitti, Bob Dannenhoffer, Jeff Luck, Alejandro Queral, Akiko Saito</t>
  </si>
  <si>
    <t>Updated March, 2022</t>
  </si>
  <si>
    <t>Total Funding:</t>
  </si>
  <si>
    <t>Base Funding:</t>
  </si>
  <si>
    <t>Extra Small County Floor:</t>
  </si>
  <si>
    <t>Small County Floor:</t>
  </si>
  <si>
    <t>Medium County Floor:</t>
  </si>
  <si>
    <t>Large County Floor:</t>
  </si>
  <si>
    <t>Extra Large County Floor:</t>
  </si>
  <si>
    <t>Indicator Allocations:</t>
  </si>
  <si>
    <t>County Population:</t>
  </si>
  <si>
    <t>Burden of Disease:</t>
  </si>
  <si>
    <t>Health Status:</t>
  </si>
  <si>
    <t>Racial/Ethinic Diversity:</t>
  </si>
  <si>
    <t>Rurality:</t>
  </si>
  <si>
    <t>Poverty:</t>
  </si>
  <si>
    <t>Education:</t>
  </si>
  <si>
    <t>Limited English Proficiency:</t>
  </si>
  <si>
    <t>Matching Funds:</t>
  </si>
  <si>
    <t>Maintenance % Split</t>
  </si>
  <si>
    <t>Incentives:</t>
  </si>
  <si>
    <t>Floor % Split</t>
  </si>
  <si>
    <t>Incentive 1:</t>
  </si>
  <si>
    <t>Incentive 2:</t>
  </si>
  <si>
    <t>Incentive 3:</t>
  </si>
  <si>
    <t>Incentive 4:</t>
  </si>
  <si>
    <t>Public Health Modernization LPHA Funding Formula</t>
  </si>
  <si>
    <t>Updated March, 2021</t>
  </si>
  <si>
    <t xml:space="preserve">This sheet shows changes to LPHA payments for indicators if PHAB makes changes to indicator weights. </t>
  </si>
  <si>
    <t>Total biennial funds available to LPHAs through the funding formula =</t>
  </si>
  <si>
    <t>Current Version</t>
  </si>
  <si>
    <t>Version 2</t>
  </si>
  <si>
    <t>Change</t>
  </si>
  <si>
    <t>Matching and Incentive fund components</t>
  </si>
  <si>
    <t>NO CHANGE</t>
  </si>
  <si>
    <t>County Group</t>
  </si>
  <si>
    <r>
      <t>Population</t>
    </r>
    <r>
      <rPr>
        <vertAlign val="superscript"/>
        <sz val="11"/>
        <color theme="1"/>
        <rFont val="Calibri"/>
        <family val="2"/>
      </rPr>
      <t>1</t>
    </r>
  </si>
  <si>
    <t>Floor</t>
  </si>
  <si>
    <r>
      <t>Burden of Disease</t>
    </r>
    <r>
      <rPr>
        <vertAlign val="superscript"/>
        <sz val="11"/>
        <color theme="1"/>
        <rFont val="Calibri"/>
        <family val="2"/>
        <scheme val="minor"/>
      </rPr>
      <t>2</t>
    </r>
  </si>
  <si>
    <t>Difference</t>
  </si>
  <si>
    <r>
      <t>Health Status</t>
    </r>
    <r>
      <rPr>
        <vertAlign val="superscript"/>
        <sz val="11"/>
        <color theme="1"/>
        <rFont val="Calibri"/>
        <family val="2"/>
        <scheme val="minor"/>
      </rPr>
      <t>3</t>
    </r>
  </si>
  <si>
    <r>
      <t>Race/
Ethnicity</t>
    </r>
    <r>
      <rPr>
        <vertAlign val="superscript"/>
        <sz val="11"/>
        <color theme="1"/>
        <rFont val="Calibri"/>
        <family val="2"/>
        <scheme val="minor"/>
      </rPr>
      <t>4</t>
    </r>
  </si>
  <si>
    <r>
      <t>Poverty 150% FPL</t>
    </r>
    <r>
      <rPr>
        <vertAlign val="superscript"/>
        <sz val="11"/>
        <color theme="1"/>
        <rFont val="Calibri"/>
        <family val="2"/>
        <scheme val="minor"/>
      </rPr>
      <t>4</t>
    </r>
  </si>
  <si>
    <r>
      <t>Rurality</t>
    </r>
    <r>
      <rPr>
        <vertAlign val="superscript"/>
        <sz val="11"/>
        <color theme="1"/>
        <rFont val="Calibri"/>
        <family val="2"/>
        <scheme val="minor"/>
      </rPr>
      <t>5</t>
    </r>
  </si>
  <si>
    <r>
      <t>Education</t>
    </r>
    <r>
      <rPr>
        <vertAlign val="superscript"/>
        <sz val="11"/>
        <color theme="1"/>
        <rFont val="Calibri"/>
        <family val="2"/>
      </rPr>
      <t>4</t>
    </r>
  </si>
  <si>
    <r>
      <t>Limited English Proficiency</t>
    </r>
    <r>
      <rPr>
        <vertAlign val="superscript"/>
        <sz val="11"/>
        <color theme="1"/>
        <rFont val="Calibri"/>
        <family val="2"/>
      </rPr>
      <t>4</t>
    </r>
  </si>
  <si>
    <t>Matching Funds</t>
  </si>
  <si>
    <t>Incentives</t>
  </si>
  <si>
    <t>Total Award</t>
  </si>
  <si>
    <t>Award Percentage</t>
  </si>
  <si>
    <t>% of Total Population</t>
  </si>
  <si>
    <t>Award Per Capita</t>
  </si>
  <si>
    <t>Avg Award Per Capita</t>
  </si>
  <si>
    <t>Wheeler</t>
  </si>
  <si>
    <t>Gilliam</t>
  </si>
  <si>
    <t>Wallowa</t>
  </si>
  <si>
    <t>Harney</t>
  </si>
  <si>
    <t>Grant</t>
  </si>
  <si>
    <t>Lake</t>
  </si>
  <si>
    <t>Morrow</t>
  </si>
  <si>
    <t>Baker</t>
  </si>
  <si>
    <t>Crook</t>
  </si>
  <si>
    <t>Curry</t>
  </si>
  <si>
    <t>Jefferson</t>
  </si>
  <si>
    <t>Hood River</t>
  </si>
  <si>
    <t>Tillamook</t>
  </si>
  <si>
    <t>Union</t>
  </si>
  <si>
    <t>Sherman, Wasco</t>
  </si>
  <si>
    <t>Malheur</t>
  </si>
  <si>
    <t>Clatsop</t>
  </si>
  <si>
    <t>Lincoln</t>
  </si>
  <si>
    <t>Columbia</t>
  </si>
  <si>
    <t>Coos</t>
  </si>
  <si>
    <t>Klamath</t>
  </si>
  <si>
    <t>Umatilla</t>
  </si>
  <si>
    <t>Polk</t>
  </si>
  <si>
    <t>Josephine</t>
  </si>
  <si>
    <t>Benton</t>
  </si>
  <si>
    <t>Yamhill</t>
  </si>
  <si>
    <t>Douglas</t>
  </si>
  <si>
    <t>Linn</t>
  </si>
  <si>
    <t>Deschutes</t>
  </si>
  <si>
    <t>Jackson</t>
  </si>
  <si>
    <t>Marion</t>
  </si>
  <si>
    <t>Lane</t>
  </si>
  <si>
    <t>Clackamas</t>
  </si>
  <si>
    <t>Washington</t>
  </si>
  <si>
    <t>Multnomah</t>
  </si>
  <si>
    <t>Total</t>
  </si>
  <si>
    <r>
      <t>1</t>
    </r>
    <r>
      <rPr>
        <sz val="11"/>
        <rFont val="Calibri"/>
        <family val="2"/>
      </rPr>
      <t xml:space="preserve"> Source: Portland State University Certified Population estimate July 1, 2021</t>
    </r>
  </si>
  <si>
    <t>County Size Bands</t>
  </si>
  <si>
    <r>
      <t xml:space="preserve">2 </t>
    </r>
    <r>
      <rPr>
        <sz val="11"/>
        <rFont val="Calibri"/>
        <family val="2"/>
        <scheme val="minor"/>
      </rPr>
      <t>Source: Premature death: Leading causes of years of potential life lost before age 75. Oregon death certificate data, 2014-2018</t>
    </r>
  </si>
  <si>
    <t>Extra Small</t>
  </si>
  <si>
    <t>Small</t>
  </si>
  <si>
    <t>Medium</t>
  </si>
  <si>
    <t>Large</t>
  </si>
  <si>
    <t>Extra Large</t>
  </si>
  <si>
    <r>
      <t xml:space="preserve">3 </t>
    </r>
    <r>
      <rPr>
        <sz val="11"/>
        <rFont val="Calibri"/>
        <family val="2"/>
        <scheme val="minor"/>
      </rPr>
      <t>Source: Quality of life: Good or excellent health, 2014-2017</t>
    </r>
  </si>
  <si>
    <t>up to 20,000</t>
  </si>
  <si>
    <t>20,000-75,000</t>
  </si>
  <si>
    <t>75,000-150,000</t>
  </si>
  <si>
    <t>150,000-375,000</t>
  </si>
  <si>
    <t>above 375,000</t>
  </si>
  <si>
    <r>
      <t xml:space="preserve">4 </t>
    </r>
    <r>
      <rPr>
        <sz val="11"/>
        <rFont val="Calibri"/>
        <family val="2"/>
        <scheme val="minor"/>
      </rPr>
      <t>Source: American Community Survey population 5-year estimate, 2014-2018</t>
    </r>
  </si>
  <si>
    <r>
      <t xml:space="preserve">5 </t>
    </r>
    <r>
      <rPr>
        <sz val="11"/>
        <rFont val="Calibri"/>
        <family val="2"/>
        <scheme val="minor"/>
      </rPr>
      <t>Source: U.S. Census Bureau, Population estimates, 2010</t>
    </r>
  </si>
  <si>
    <t>Total Pool:</t>
  </si>
  <si>
    <t>County Population</t>
  </si>
  <si>
    <t>Burden of Disease Rank</t>
  </si>
  <si>
    <t>Health Status Rank</t>
  </si>
  <si>
    <t>% Non-white Population</t>
  </si>
  <si>
    <t>Population below 150% FPL</t>
  </si>
  <si>
    <t>Rurality</t>
  </si>
  <si>
    <t>High School Education</t>
  </si>
  <si>
    <t>Limited English Proficiency</t>
  </si>
  <si>
    <t>Matching
(New Funds)</t>
  </si>
  <si>
    <t>Incentive 1</t>
  </si>
  <si>
    <t>Incentive 2</t>
  </si>
  <si>
    <t>Incentive 3</t>
  </si>
  <si>
    <t>Incentive 4</t>
  </si>
  <si>
    <t>Category Weight</t>
  </si>
  <si>
    <t>Category Dollars</t>
  </si>
  <si>
    <t>Y</t>
  </si>
  <si>
    <t>Sherman</t>
  </si>
  <si>
    <t>Wasco</t>
  </si>
  <si>
    <t>Total Pool</t>
  </si>
  <si>
    <t>Indicator Pool</t>
  </si>
  <si>
    <t>% Split</t>
  </si>
  <si>
    <t>Weighted Payout</t>
  </si>
  <si>
    <t>Weighted Per Capita</t>
  </si>
  <si>
    <t>Band</t>
  </si>
  <si>
    <t>Floor Payment</t>
  </si>
  <si>
    <t>#</t>
  </si>
  <si>
    <t>Factor</t>
  </si>
  <si>
    <t>for cell C8 calculation on 'Input' page</t>
  </si>
  <si>
    <t>factor</t>
  </si>
  <si>
    <t>extra small</t>
  </si>
  <si>
    <t>small</t>
  </si>
  <si>
    <t>medium</t>
  </si>
  <si>
    <t>large</t>
  </si>
  <si>
    <t>extra large</t>
  </si>
  <si>
    <t>Rank</t>
  </si>
  <si>
    <t>Weight</t>
  </si>
  <si>
    <t>Weighted Average</t>
  </si>
  <si>
    <t>2017 Funding</t>
  </si>
  <si>
    <t>2018 Funding</t>
  </si>
  <si>
    <t>Increase Funding</t>
  </si>
  <si>
    <t>Maintenance Payout</t>
  </si>
  <si>
    <t>Population Payout</t>
  </si>
  <si>
    <t>Total Payout</t>
  </si>
  <si>
    <t>Payout Per Capita</t>
  </si>
  <si>
    <t>Met? (Y/N)</t>
  </si>
  <si>
    <t>Floor Payout</t>
  </si>
  <si>
    <t>Qualified Population</t>
  </si>
  <si>
    <t>Grand Total Payout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</si>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</sst>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0.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sz val="9"/>
      <color indexed="81"/>
      <name val="Tahoma"/>
      <family val="2"/>
    </font>
    <font>
      <sz val="10"/>
      <name val="MS Sans Serif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vertAlign val="superscript"/>
      <sz val="11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0" fillId="0" borderId="0"/>
  </cellStyleXfs>
  <cellXfs count="227">
    <xf numFmtId="0" fontId="0" fillId="0" borderId="0" xfId="0"/>
    <xf numFmtId="6" fontId="0" fillId="3" borderId="0" xfId="0" applyNumberFormat="1" applyFill="1"/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3" fillId="2" borderId="0" xfId="0" applyFont="1" applyFill="1"/>
    <xf numFmtId="164" fontId="3" fillId="2" borderId="0" xfId="1" applyNumberFormat="1" applyFont="1" applyFill="1"/>
    <xf numFmtId="10" fontId="0" fillId="0" borderId="0" xfId="3" applyNumberFormat="1" applyFont="1"/>
    <xf numFmtId="10" fontId="0" fillId="0" borderId="0" xfId="0" applyNumberFormat="1"/>
    <xf numFmtId="43" fontId="3" fillId="2" borderId="0" xfId="1" applyNumberFormat="1" applyFont="1" applyFill="1"/>
    <xf numFmtId="6" fontId="0" fillId="0" borderId="0" xfId="0" applyNumberFormat="1" applyFill="1"/>
    <xf numFmtId="8" fontId="0" fillId="0" borderId="0" xfId="0" applyNumberFormat="1"/>
    <xf numFmtId="6" fontId="3" fillId="2" borderId="0" xfId="0" applyNumberFormat="1" applyFont="1" applyFill="1"/>
    <xf numFmtId="8" fontId="3" fillId="2" borderId="0" xfId="0" applyNumberFormat="1" applyFont="1" applyFill="1"/>
    <xf numFmtId="0" fontId="0" fillId="6" borderId="0" xfId="0" applyFill="1" applyAlignment="1">
      <alignment horizontal="center" vertical="center" wrapText="1"/>
    </xf>
    <xf numFmtId="6" fontId="0" fillId="6" borderId="0" xfId="0" applyNumberFormat="1" applyFill="1"/>
    <xf numFmtId="164" fontId="0" fillId="0" borderId="0" xfId="1" applyNumberFormat="1" applyFont="1" applyFill="1"/>
    <xf numFmtId="164" fontId="3" fillId="0" borderId="1" xfId="0" applyNumberFormat="1" applyFont="1" applyBorder="1"/>
    <xf numFmtId="0" fontId="0" fillId="0" borderId="2" xfId="0" applyFill="1" applyBorder="1" applyAlignment="1"/>
    <xf numFmtId="0" fontId="0" fillId="0" borderId="5" xfId="0" applyFill="1" applyBorder="1" applyAlignment="1"/>
    <xf numFmtId="0" fontId="0" fillId="0" borderId="7" xfId="0" applyFill="1" applyBorder="1" applyAlignment="1"/>
    <xf numFmtId="0" fontId="0" fillId="0" borderId="0" xfId="0" applyFill="1" applyBorder="1" applyAlignment="1"/>
    <xf numFmtId="166" fontId="3" fillId="2" borderId="0" xfId="3" applyNumberFormat="1" applyFont="1" applyFill="1"/>
    <xf numFmtId="43" fontId="0" fillId="0" borderId="0" xfId="1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9" borderId="5" xfId="0" applyFill="1" applyBorder="1" applyAlignment="1"/>
    <xf numFmtId="0" fontId="0" fillId="0" borderId="0" xfId="0" applyFill="1" applyAlignment="1">
      <alignment vertical="top" wrapText="1"/>
    </xf>
    <xf numFmtId="166" fontId="0" fillId="0" borderId="0" xfId="3" applyNumberFormat="1" applyFont="1" applyFill="1"/>
    <xf numFmtId="0" fontId="3" fillId="0" borderId="0" xfId="0" applyFont="1"/>
    <xf numFmtId="164" fontId="0" fillId="0" borderId="0" xfId="1" applyNumberFormat="1" applyFont="1"/>
    <xf numFmtId="43" fontId="0" fillId="0" borderId="0" xfId="0" applyNumberFormat="1"/>
    <xf numFmtId="10" fontId="3" fillId="2" borderId="0" xfId="1" applyNumberFormat="1" applyFont="1" applyFill="1"/>
    <xf numFmtId="10" fontId="0" fillId="0" borderId="0" xfId="3" applyNumberFormat="1" applyFont="1" applyFill="1"/>
    <xf numFmtId="166" fontId="0" fillId="3" borderId="3" xfId="3" applyNumberFormat="1" applyFont="1" applyFill="1" applyBorder="1"/>
    <xf numFmtId="166" fontId="0" fillId="3" borderId="0" xfId="3" applyNumberFormat="1" applyFont="1" applyFill="1" applyBorder="1"/>
    <xf numFmtId="166" fontId="0" fillId="3" borderId="8" xfId="3" applyNumberFormat="1" applyFont="1" applyFill="1" applyBorder="1"/>
    <xf numFmtId="166" fontId="0" fillId="0" borderId="0" xfId="3" applyNumberFormat="1" applyFont="1"/>
    <xf numFmtId="0" fontId="6" fillId="0" borderId="0" xfId="0" applyFont="1" applyAlignment="1">
      <alignment wrapText="1"/>
    </xf>
    <xf numFmtId="0" fontId="0" fillId="0" borderId="0" xfId="0" quotePrefix="1"/>
    <xf numFmtId="0" fontId="0" fillId="7" borderId="0" xfId="0" applyFill="1" applyBorder="1" applyAlignment="1">
      <alignment horizontal="center"/>
    </xf>
    <xf numFmtId="9" fontId="0" fillId="8" borderId="0" xfId="3" applyFont="1" applyFill="1" applyBorder="1" applyAlignment="1">
      <alignment horizontal="center"/>
    </xf>
    <xf numFmtId="9" fontId="0" fillId="10" borderId="0" xfId="3" applyFont="1" applyFill="1" applyBorder="1" applyAlignment="1">
      <alignment horizontal="center"/>
    </xf>
    <xf numFmtId="9" fontId="0" fillId="5" borderId="0" xfId="3" applyFont="1" applyFill="1" applyBorder="1" applyAlignment="1">
      <alignment horizontal="center"/>
    </xf>
    <xf numFmtId="9" fontId="0" fillId="6" borderId="0" xfId="3" applyFont="1" applyFill="1" applyBorder="1" applyAlignment="1">
      <alignment horizontal="center"/>
    </xf>
    <xf numFmtId="44" fontId="0" fillId="0" borderId="0" xfId="2" applyFont="1"/>
    <xf numFmtId="165" fontId="0" fillId="0" borderId="0" xfId="2" applyNumberFormat="1" applyFont="1"/>
    <xf numFmtId="0" fontId="12" fillId="9" borderId="5" xfId="0" applyFont="1" applyFill="1" applyBorder="1" applyAlignment="1"/>
    <xf numFmtId="10" fontId="3" fillId="5" borderId="0" xfId="3" applyNumberFormat="1" applyFont="1" applyFill="1"/>
    <xf numFmtId="10" fontId="3" fillId="5" borderId="0" xfId="0" applyNumberFormat="1" applyFont="1" applyFill="1"/>
    <xf numFmtId="164" fontId="3" fillId="0" borderId="0" xfId="0" applyNumberFormat="1" applyFont="1" applyBorder="1"/>
    <xf numFmtId="6" fontId="3" fillId="5" borderId="0" xfId="0" applyNumberFormat="1" applyFont="1" applyFill="1"/>
    <xf numFmtId="9" fontId="0" fillId="5" borderId="0" xfId="3" applyFont="1" applyFill="1"/>
    <xf numFmtId="164" fontId="0" fillId="9" borderId="0" xfId="1" applyNumberFormat="1" applyFont="1" applyFill="1" applyBorder="1"/>
    <xf numFmtId="166" fontId="0" fillId="9" borderId="0" xfId="3" applyNumberFormat="1" applyFont="1" applyFill="1" applyBorder="1"/>
    <xf numFmtId="164" fontId="0" fillId="0" borderId="3" xfId="1" applyNumberFormat="1" applyFont="1" applyFill="1" applyBorder="1"/>
    <xf numFmtId="164" fontId="0" fillId="0" borderId="0" xfId="1" applyNumberFormat="1" applyFont="1" applyFill="1" applyBorder="1"/>
    <xf numFmtId="164" fontId="0" fillId="0" borderId="8" xfId="1" applyNumberFormat="1" applyFont="1" applyFill="1" applyBorder="1"/>
    <xf numFmtId="0" fontId="0" fillId="9" borderId="0" xfId="0" applyFill="1"/>
    <xf numFmtId="164" fontId="0" fillId="9" borderId="0" xfId="0" applyNumberFormat="1" applyFill="1"/>
    <xf numFmtId="6" fontId="0" fillId="0" borderId="0" xfId="0" applyNumberFormat="1"/>
    <xf numFmtId="0" fontId="0" fillId="5" borderId="2" xfId="0" applyFill="1" applyBorder="1" applyAlignment="1">
      <alignment horizontal="center"/>
    </xf>
    <xf numFmtId="10" fontId="0" fillId="5" borderId="3" xfId="3" applyNumberFormat="1" applyFont="1" applyFill="1" applyBorder="1" applyAlignment="1"/>
    <xf numFmtId="10" fontId="0" fillId="5" borderId="4" xfId="3" applyNumberFormat="1" applyFont="1" applyFill="1" applyBorder="1" applyAlignment="1"/>
    <xf numFmtId="0" fontId="0" fillId="5" borderId="7" xfId="0" applyFill="1" applyBorder="1" applyAlignment="1">
      <alignment horizontal="center"/>
    </xf>
    <xf numFmtId="6" fontId="0" fillId="5" borderId="8" xfId="0" applyNumberFormat="1" applyFill="1" applyBorder="1"/>
    <xf numFmtId="6" fontId="0" fillId="5" borderId="9" xfId="0" applyNumberFormat="1" applyFill="1" applyBorder="1"/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164" fontId="3" fillId="11" borderId="0" xfId="1" applyNumberFormat="1" applyFont="1" applyFill="1"/>
    <xf numFmtId="0" fontId="13" fillId="0" borderId="0" xfId="0" applyFont="1"/>
    <xf numFmtId="9" fontId="0" fillId="11" borderId="0" xfId="0" applyNumberFormat="1" applyFill="1"/>
    <xf numFmtId="44" fontId="3" fillId="2" borderId="0" xfId="2" applyFont="1" applyFill="1"/>
    <xf numFmtId="165" fontId="3" fillId="2" borderId="0" xfId="2" applyNumberFormat="1" applyFont="1" applyFill="1"/>
    <xf numFmtId="165" fontId="0" fillId="5" borderId="0" xfId="2" applyNumberFormat="1" applyFont="1" applyFill="1"/>
    <xf numFmtId="165" fontId="0" fillId="5" borderId="0" xfId="0" applyNumberFormat="1" applyFill="1"/>
    <xf numFmtId="165" fontId="0" fillId="6" borderId="0" xfId="0" applyNumberFormat="1" applyFill="1"/>
    <xf numFmtId="43" fontId="0" fillId="3" borderId="3" xfId="1" applyFont="1" applyFill="1" applyBorder="1" applyAlignment="1">
      <alignment horizontal="center"/>
    </xf>
    <xf numFmtId="43" fontId="0" fillId="3" borderId="4" xfId="1" applyFont="1" applyFill="1" applyBorder="1" applyAlignment="1">
      <alignment horizontal="center"/>
    </xf>
    <xf numFmtId="43" fontId="0" fillId="3" borderId="0" xfId="1" applyFont="1" applyFill="1" applyBorder="1" applyAlignment="1">
      <alignment horizontal="center"/>
    </xf>
    <xf numFmtId="43" fontId="0" fillId="3" borderId="6" xfId="1" applyFont="1" applyFill="1" applyBorder="1" applyAlignment="1">
      <alignment horizontal="center"/>
    </xf>
    <xf numFmtId="43" fontId="0" fillId="3" borderId="8" xfId="1" applyFont="1" applyFill="1" applyBorder="1" applyAlignment="1">
      <alignment horizontal="center"/>
    </xf>
    <xf numFmtId="43" fontId="0" fillId="3" borderId="9" xfId="1" applyFont="1" applyFill="1" applyBorder="1" applyAlignment="1">
      <alignment horizontal="center"/>
    </xf>
    <xf numFmtId="165" fontId="0" fillId="13" borderId="3" xfId="2" applyNumberFormat="1" applyFont="1" applyFill="1" applyBorder="1" applyAlignment="1">
      <alignment horizontal="center"/>
    </xf>
    <xf numFmtId="165" fontId="0" fillId="13" borderId="0" xfId="2" applyNumberFormat="1" applyFont="1" applyFill="1" applyBorder="1" applyAlignment="1">
      <alignment horizontal="center"/>
    </xf>
    <xf numFmtId="165" fontId="0" fillId="13" borderId="8" xfId="2" applyNumberFormat="1" applyFont="1" applyFill="1" applyBorder="1" applyAlignment="1">
      <alignment horizontal="center"/>
    </xf>
    <xf numFmtId="165" fontId="0" fillId="0" borderId="0" xfId="2" applyNumberFormat="1" applyFont="1" applyFill="1"/>
    <xf numFmtId="10" fontId="3" fillId="0" borderId="0" xfId="3" applyNumberFormat="1" applyFont="1" applyFill="1"/>
    <xf numFmtId="0" fontId="1" fillId="0" borderId="0" xfId="0" applyFont="1"/>
    <xf numFmtId="10" fontId="2" fillId="5" borderId="0" xfId="3" applyNumberFormat="1" applyFont="1" applyFill="1"/>
    <xf numFmtId="0" fontId="0" fillId="0" borderId="0" xfId="0" applyFont="1"/>
    <xf numFmtId="2" fontId="10" fillId="0" borderId="13" xfId="0" applyNumberFormat="1" applyFont="1" applyBorder="1" applyAlignment="1">
      <alignment vertical="top" wrapText="1"/>
    </xf>
    <xf numFmtId="2" fontId="4" fillId="0" borderId="14" xfId="0" applyNumberFormat="1" applyFont="1" applyBorder="1" applyAlignment="1">
      <alignment vertical="top" wrapText="1"/>
    </xf>
    <xf numFmtId="0" fontId="0" fillId="2" borderId="15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0" fillId="7" borderId="15" xfId="0" applyFill="1" applyBorder="1" applyAlignment="1"/>
    <xf numFmtId="164" fontId="0" fillId="7" borderId="0" xfId="1" applyNumberFormat="1" applyFont="1" applyFill="1" applyBorder="1" applyAlignment="1"/>
    <xf numFmtId="165" fontId="2" fillId="7" borderId="0" xfId="2" applyNumberFormat="1" applyFont="1" applyFill="1" applyBorder="1" applyAlignment="1">
      <alignment horizontal="center"/>
    </xf>
    <xf numFmtId="166" fontId="3" fillId="7" borderId="0" xfId="3" applyNumberFormat="1" applyFont="1" applyFill="1" applyBorder="1"/>
    <xf numFmtId="0" fontId="0" fillId="0" borderId="16" xfId="0" applyBorder="1"/>
    <xf numFmtId="44" fontId="3" fillId="7" borderId="16" xfId="2" applyNumberFormat="1" applyFont="1" applyFill="1" applyBorder="1" applyAlignment="1">
      <alignment horizontal="center"/>
    </xf>
    <xf numFmtId="0" fontId="0" fillId="8" borderId="15" xfId="0" applyFill="1" applyBorder="1" applyAlignment="1"/>
    <xf numFmtId="164" fontId="0" fillId="8" borderId="0" xfId="1" applyNumberFormat="1" applyFont="1" applyFill="1" applyBorder="1" applyAlignment="1"/>
    <xf numFmtId="165" fontId="2" fillId="8" borderId="0" xfId="2" applyNumberFormat="1" applyFont="1" applyFill="1" applyBorder="1" applyAlignment="1">
      <alignment horizontal="center"/>
    </xf>
    <xf numFmtId="166" fontId="3" fillId="8" borderId="0" xfId="3" applyNumberFormat="1" applyFont="1" applyFill="1" applyBorder="1"/>
    <xf numFmtId="0" fontId="11" fillId="8" borderId="15" xfId="0" applyFont="1" applyFill="1" applyBorder="1" applyAlignment="1"/>
    <xf numFmtId="44" fontId="3" fillId="8" borderId="16" xfId="2" applyNumberFormat="1" applyFont="1" applyFill="1" applyBorder="1" applyAlignment="1">
      <alignment horizontal="center"/>
    </xf>
    <xf numFmtId="0" fontId="0" fillId="10" borderId="15" xfId="0" applyFill="1" applyBorder="1" applyAlignment="1"/>
    <xf numFmtId="164" fontId="0" fillId="10" borderId="0" xfId="1" applyNumberFormat="1" applyFont="1" applyFill="1" applyBorder="1" applyAlignment="1"/>
    <xf numFmtId="165" fontId="2" fillId="10" borderId="0" xfId="2" applyNumberFormat="1" applyFont="1" applyFill="1" applyBorder="1" applyAlignment="1">
      <alignment horizontal="center"/>
    </xf>
    <xf numFmtId="166" fontId="3" fillId="10" borderId="0" xfId="3" applyNumberFormat="1" applyFont="1" applyFill="1" applyBorder="1"/>
    <xf numFmtId="44" fontId="3" fillId="10" borderId="16" xfId="2" applyNumberFormat="1" applyFont="1" applyFill="1" applyBorder="1" applyAlignment="1">
      <alignment horizontal="center"/>
    </xf>
    <xf numFmtId="0" fontId="0" fillId="5" borderId="15" xfId="0" applyFill="1" applyBorder="1" applyAlignment="1"/>
    <xf numFmtId="164" fontId="0" fillId="5" borderId="0" xfId="1" applyNumberFormat="1" applyFont="1" applyFill="1" applyBorder="1" applyAlignment="1"/>
    <xf numFmtId="165" fontId="2" fillId="5" borderId="0" xfId="2" applyNumberFormat="1" applyFont="1" applyFill="1" applyBorder="1" applyAlignment="1">
      <alignment horizontal="center"/>
    </xf>
    <xf numFmtId="166" fontId="3" fillId="5" borderId="0" xfId="3" applyNumberFormat="1" applyFont="1" applyFill="1" applyBorder="1"/>
    <xf numFmtId="44" fontId="3" fillId="5" borderId="16" xfId="2" applyNumberFormat="1" applyFont="1" applyFill="1" applyBorder="1" applyAlignment="1">
      <alignment horizontal="center"/>
    </xf>
    <xf numFmtId="0" fontId="0" fillId="6" borderId="15" xfId="0" applyFill="1" applyBorder="1" applyAlignment="1"/>
    <xf numFmtId="164" fontId="0" fillId="6" borderId="0" xfId="1" applyNumberFormat="1" applyFont="1" applyFill="1" applyBorder="1" applyAlignment="1"/>
    <xf numFmtId="165" fontId="2" fillId="6" borderId="0" xfId="2" applyNumberFormat="1" applyFont="1" applyFill="1" applyBorder="1" applyAlignment="1">
      <alignment horizontal="center"/>
    </xf>
    <xf numFmtId="166" fontId="3" fillId="6" borderId="0" xfId="3" applyNumberFormat="1" applyFont="1" applyFill="1" applyBorder="1"/>
    <xf numFmtId="44" fontId="3" fillId="6" borderId="16" xfId="2" applyNumberFormat="1" applyFont="1" applyFill="1" applyBorder="1" applyAlignment="1">
      <alignment horizontal="center"/>
    </xf>
    <xf numFmtId="0" fontId="3" fillId="2" borderId="17" xfId="0" applyFont="1" applyFill="1" applyBorder="1"/>
    <xf numFmtId="164" fontId="3" fillId="2" borderId="18" xfId="0" applyNumberFormat="1" applyFont="1" applyFill="1" applyBorder="1"/>
    <xf numFmtId="165" fontId="3" fillId="2" borderId="18" xfId="0" applyNumberFormat="1" applyFont="1" applyFill="1" applyBorder="1"/>
    <xf numFmtId="44" fontId="3" fillId="2" borderId="19" xfId="2" applyNumberFormat="1" applyFont="1" applyFill="1" applyBorder="1" applyAlignment="1">
      <alignment horizontal="center"/>
    </xf>
    <xf numFmtId="165" fontId="2" fillId="7" borderId="5" xfId="2" applyNumberFormat="1" applyFont="1" applyFill="1" applyBorder="1" applyAlignment="1">
      <alignment horizontal="center"/>
    </xf>
    <xf numFmtId="165" fontId="2" fillId="7" borderId="6" xfId="2" applyNumberFormat="1" applyFont="1" applyFill="1" applyBorder="1" applyAlignment="1">
      <alignment horizontal="center"/>
    </xf>
    <xf numFmtId="165" fontId="2" fillId="8" borderId="5" xfId="2" applyNumberFormat="1" applyFont="1" applyFill="1" applyBorder="1" applyAlignment="1">
      <alignment horizontal="center"/>
    </xf>
    <xf numFmtId="165" fontId="2" fillId="8" borderId="6" xfId="2" applyNumberFormat="1" applyFont="1" applyFill="1" applyBorder="1" applyAlignment="1">
      <alignment horizontal="center"/>
    </xf>
    <xf numFmtId="165" fontId="2" fillId="10" borderId="5" xfId="2" applyNumberFormat="1" applyFont="1" applyFill="1" applyBorder="1" applyAlignment="1">
      <alignment horizontal="center"/>
    </xf>
    <xf numFmtId="165" fontId="2" fillId="10" borderId="6" xfId="2" applyNumberFormat="1" applyFont="1" applyFill="1" applyBorder="1" applyAlignment="1">
      <alignment horizontal="center"/>
    </xf>
    <xf numFmtId="165" fontId="2" fillId="5" borderId="5" xfId="2" applyNumberFormat="1" applyFont="1" applyFill="1" applyBorder="1" applyAlignment="1">
      <alignment horizontal="center"/>
    </xf>
    <xf numFmtId="165" fontId="2" fillId="5" borderId="6" xfId="2" applyNumberFormat="1" applyFont="1" applyFill="1" applyBorder="1" applyAlignment="1">
      <alignment horizontal="center"/>
    </xf>
    <xf numFmtId="165" fontId="2" fillId="6" borderId="5" xfId="2" applyNumberFormat="1" applyFont="1" applyFill="1" applyBorder="1" applyAlignment="1">
      <alignment horizontal="center"/>
    </xf>
    <xf numFmtId="165" fontId="2" fillId="6" borderId="6" xfId="2" applyNumberFormat="1" applyFont="1" applyFill="1" applyBorder="1" applyAlignment="1">
      <alignment horizontal="center"/>
    </xf>
    <xf numFmtId="165" fontId="3" fillId="2" borderId="22" xfId="0" applyNumberFormat="1" applyFont="1" applyFill="1" applyBorder="1"/>
    <xf numFmtId="165" fontId="3" fillId="2" borderId="23" xfId="0" applyNumberFormat="1" applyFont="1" applyFill="1" applyBorder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5" fontId="3" fillId="7" borderId="5" xfId="2" applyNumberFormat="1" applyFont="1" applyFill="1" applyBorder="1" applyAlignment="1">
      <alignment horizontal="center"/>
    </xf>
    <xf numFmtId="44" fontId="3" fillId="7" borderId="6" xfId="2" applyNumberFormat="1" applyFont="1" applyFill="1" applyBorder="1" applyAlignment="1">
      <alignment horizontal="center"/>
    </xf>
    <xf numFmtId="165" fontId="3" fillId="8" borderId="5" xfId="2" applyNumberFormat="1" applyFont="1" applyFill="1" applyBorder="1" applyAlignment="1">
      <alignment horizontal="center"/>
    </xf>
    <xf numFmtId="44" fontId="3" fillId="8" borderId="6" xfId="2" applyNumberFormat="1" applyFont="1" applyFill="1" applyBorder="1" applyAlignment="1">
      <alignment horizontal="center"/>
    </xf>
    <xf numFmtId="165" fontId="3" fillId="10" borderId="5" xfId="2" applyNumberFormat="1" applyFont="1" applyFill="1" applyBorder="1" applyAlignment="1">
      <alignment horizontal="center"/>
    </xf>
    <xf numFmtId="44" fontId="3" fillId="10" borderId="6" xfId="2" applyNumberFormat="1" applyFont="1" applyFill="1" applyBorder="1" applyAlignment="1">
      <alignment horizontal="center"/>
    </xf>
    <xf numFmtId="44" fontId="3" fillId="5" borderId="6" xfId="2" applyNumberFormat="1" applyFont="1" applyFill="1" applyBorder="1" applyAlignment="1">
      <alignment horizontal="center"/>
    </xf>
    <xf numFmtId="165" fontId="3" fillId="6" borderId="5" xfId="2" applyNumberFormat="1" applyFont="1" applyFill="1" applyBorder="1" applyAlignment="1">
      <alignment horizontal="center"/>
    </xf>
    <xf numFmtId="44" fontId="3" fillId="6" borderId="6" xfId="2" applyNumberFormat="1" applyFont="1" applyFill="1" applyBorder="1" applyAlignment="1">
      <alignment horizontal="center"/>
    </xf>
    <xf numFmtId="44" fontId="0" fillId="0" borderId="0" xfId="0" applyNumberFormat="1"/>
    <xf numFmtId="164" fontId="0" fillId="15" borderId="3" xfId="1" applyNumberFormat="1" applyFont="1" applyFill="1" applyBorder="1"/>
    <xf numFmtId="164" fontId="0" fillId="15" borderId="0" xfId="1" applyNumberFormat="1" applyFont="1" applyFill="1" applyBorder="1"/>
    <xf numFmtId="164" fontId="0" fillId="15" borderId="8" xfId="1" applyNumberFormat="1" applyFont="1" applyFill="1" applyBorder="1"/>
    <xf numFmtId="166" fontId="0" fillId="15" borderId="3" xfId="3" applyNumberFormat="1" applyFont="1" applyFill="1" applyBorder="1"/>
    <xf numFmtId="166" fontId="0" fillId="15" borderId="0" xfId="3" applyNumberFormat="1" applyFont="1" applyFill="1" applyBorder="1"/>
    <xf numFmtId="166" fontId="0" fillId="15" borderId="8" xfId="3" applyNumberFormat="1" applyFont="1" applyFill="1" applyBorder="1"/>
    <xf numFmtId="166" fontId="0" fillId="15" borderId="3" xfId="3" applyNumberFormat="1" applyFont="1" applyFill="1" applyBorder="1" applyAlignment="1"/>
    <xf numFmtId="166" fontId="0" fillId="15" borderId="0" xfId="3" applyNumberFormat="1" applyFont="1" applyFill="1" applyBorder="1" applyAlignment="1"/>
    <xf numFmtId="166" fontId="0" fillId="15" borderId="8" xfId="3" applyNumberFormat="1" applyFont="1" applyFill="1" applyBorder="1" applyAlignment="1"/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165" fontId="15" fillId="7" borderId="5" xfId="2" applyNumberFormat="1" applyFont="1" applyFill="1" applyBorder="1" applyAlignment="1">
      <alignment horizontal="center"/>
    </xf>
    <xf numFmtId="165" fontId="15" fillId="7" borderId="6" xfId="2" applyNumberFormat="1" applyFont="1" applyFill="1" applyBorder="1" applyAlignment="1">
      <alignment horizontal="center"/>
    </xf>
    <xf numFmtId="165" fontId="15" fillId="8" borderId="5" xfId="2" applyNumberFormat="1" applyFont="1" applyFill="1" applyBorder="1" applyAlignment="1">
      <alignment horizontal="center"/>
    </xf>
    <xf numFmtId="165" fontId="15" fillId="8" borderId="6" xfId="2" applyNumberFormat="1" applyFont="1" applyFill="1" applyBorder="1" applyAlignment="1">
      <alignment horizontal="center"/>
    </xf>
    <xf numFmtId="165" fontId="15" fillId="10" borderId="5" xfId="2" applyNumberFormat="1" applyFont="1" applyFill="1" applyBorder="1" applyAlignment="1">
      <alignment horizontal="center"/>
    </xf>
    <xf numFmtId="165" fontId="15" fillId="10" borderId="6" xfId="2" applyNumberFormat="1" applyFont="1" applyFill="1" applyBorder="1" applyAlignment="1">
      <alignment horizontal="center"/>
    </xf>
    <xf numFmtId="165" fontId="15" fillId="5" borderId="5" xfId="2" applyNumberFormat="1" applyFont="1" applyFill="1" applyBorder="1" applyAlignment="1">
      <alignment horizontal="center"/>
    </xf>
    <xf numFmtId="165" fontId="15" fillId="5" borderId="6" xfId="2" applyNumberFormat="1" applyFont="1" applyFill="1" applyBorder="1" applyAlignment="1">
      <alignment horizontal="center"/>
    </xf>
    <xf numFmtId="165" fontId="15" fillId="6" borderId="5" xfId="2" applyNumberFormat="1" applyFont="1" applyFill="1" applyBorder="1" applyAlignment="1">
      <alignment horizontal="center"/>
    </xf>
    <xf numFmtId="165" fontId="15" fillId="6" borderId="6" xfId="2" applyNumberFormat="1" applyFont="1" applyFill="1" applyBorder="1" applyAlignment="1">
      <alignment horizontal="center"/>
    </xf>
    <xf numFmtId="165" fontId="16" fillId="2" borderId="22" xfId="0" applyNumberFormat="1" applyFont="1" applyFill="1" applyBorder="1"/>
    <xf numFmtId="165" fontId="16" fillId="2" borderId="23" xfId="0" applyNumberFormat="1" applyFont="1" applyFill="1" applyBorder="1"/>
    <xf numFmtId="0" fontId="0" fillId="0" borderId="0" xfId="0" applyFill="1"/>
    <xf numFmtId="166" fontId="0" fillId="9" borderId="0" xfId="3" applyNumberFormat="1" applyFont="1" applyFill="1" applyBorder="1" applyAlignment="1"/>
    <xf numFmtId="167" fontId="0" fillId="0" borderId="0" xfId="0" applyNumberFormat="1"/>
    <xf numFmtId="0" fontId="4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6" fontId="5" fillId="0" borderId="0" xfId="0" applyNumberFormat="1" applyFont="1" applyFill="1"/>
    <xf numFmtId="44" fontId="3" fillId="0" borderId="16" xfId="2" applyNumberFormat="1" applyFont="1" applyFill="1" applyBorder="1" applyAlignment="1">
      <alignment horizontal="center"/>
    </xf>
    <xf numFmtId="0" fontId="17" fillId="5" borderId="11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10" fontId="0" fillId="0" borderId="0" xfId="1" applyNumberFormat="1" applyFont="1"/>
    <xf numFmtId="0" fontId="21" fillId="0" borderId="0" xfId="0" applyFont="1" applyFill="1" applyAlignment="1"/>
    <xf numFmtId="0" fontId="21" fillId="0" borderId="0" xfId="0" applyFont="1" applyFill="1" applyAlignment="1">
      <alignment horizontal="left"/>
    </xf>
    <xf numFmtId="43" fontId="0" fillId="9" borderId="0" xfId="1" applyFont="1" applyFill="1" applyBorder="1" applyAlignment="1">
      <alignment horizontal="center"/>
    </xf>
    <xf numFmtId="43" fontId="0" fillId="9" borderId="6" xfId="1" applyFont="1" applyFill="1" applyBorder="1" applyAlignment="1">
      <alignment horizontal="center"/>
    </xf>
    <xf numFmtId="165" fontId="0" fillId="9" borderId="0" xfId="2" applyNumberFormat="1" applyFont="1" applyFill="1" applyBorder="1" applyAlignment="1">
      <alignment horizontal="center"/>
    </xf>
    <xf numFmtId="0" fontId="0" fillId="9" borderId="0" xfId="0" applyFill="1" applyBorder="1" applyAlignment="1"/>
    <xf numFmtId="164" fontId="0" fillId="9" borderId="0" xfId="1" applyNumberFormat="1" applyFont="1" applyFill="1"/>
    <xf numFmtId="8" fontId="0" fillId="9" borderId="0" xfId="0" applyNumberFormat="1" applyFill="1"/>
    <xf numFmtId="6" fontId="0" fillId="9" borderId="0" xfId="0" applyNumberFormat="1" applyFill="1"/>
    <xf numFmtId="0" fontId="0" fillId="3" borderId="0" xfId="0" applyFill="1"/>
    <xf numFmtId="0" fontId="23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7" fillId="0" borderId="0" xfId="0" applyFont="1" applyFill="1"/>
    <xf numFmtId="3" fontId="0" fillId="0" borderId="0" xfId="0" applyNumberFormat="1"/>
    <xf numFmtId="9" fontId="0" fillId="3" borderId="0" xfId="3" applyNumberFormat="1" applyFont="1" applyFill="1" applyBorder="1"/>
    <xf numFmtId="2" fontId="4" fillId="14" borderId="24" xfId="0" applyNumberFormat="1" applyFont="1" applyFill="1" applyBorder="1" applyAlignment="1">
      <alignment vertical="center" wrapText="1"/>
    </xf>
    <xf numFmtId="2" fontId="4" fillId="14" borderId="24" xfId="0" applyNumberFormat="1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165" fontId="2" fillId="11" borderId="0" xfId="2" applyNumberFormat="1" applyFont="1" applyFill="1" applyBorder="1" applyAlignment="1">
      <alignment horizontal="center"/>
    </xf>
    <xf numFmtId="165" fontId="3" fillId="11" borderId="18" xfId="0" applyNumberFormat="1" applyFont="1" applyFill="1" applyBorder="1"/>
    <xf numFmtId="165" fontId="3" fillId="11" borderId="23" xfId="0" applyNumberFormat="1" applyFont="1" applyFill="1" applyBorder="1"/>
    <xf numFmtId="165" fontId="3" fillId="16" borderId="5" xfId="2" applyNumberFormat="1" applyFont="1" applyFill="1" applyBorder="1" applyAlignment="1">
      <alignment horizontal="center"/>
    </xf>
    <xf numFmtId="165" fontId="3" fillId="11" borderId="0" xfId="2" applyNumberFormat="1" applyFont="1" applyFill="1" applyBorder="1" applyAlignment="1">
      <alignment horizontal="center"/>
    </xf>
    <xf numFmtId="9" fontId="3" fillId="2" borderId="22" xfId="3" applyFont="1" applyFill="1" applyBorder="1"/>
    <xf numFmtId="166" fontId="3" fillId="11" borderId="0" xfId="3" applyNumberFormat="1" applyFont="1" applyFill="1" applyBorder="1"/>
    <xf numFmtId="44" fontId="3" fillId="16" borderId="6" xfId="2" applyNumberFormat="1" applyFont="1" applyFill="1" applyBorder="1" applyAlignment="1">
      <alignment horizontal="center"/>
    </xf>
    <xf numFmtId="43" fontId="3" fillId="2" borderId="22" xfId="1" applyFont="1" applyFill="1" applyBorder="1"/>
    <xf numFmtId="43" fontId="3" fillId="2" borderId="22" xfId="1" applyNumberFormat="1" applyFont="1" applyFill="1" applyBorder="1"/>
    <xf numFmtId="44" fontId="3" fillId="11" borderId="0" xfId="2" applyNumberFormat="1" applyFont="1" applyFill="1" applyBorder="1" applyAlignment="1">
      <alignment horizontal="center"/>
    </xf>
    <xf numFmtId="43" fontId="0" fillId="11" borderId="0" xfId="1" applyFont="1" applyFill="1"/>
    <xf numFmtId="0" fontId="5" fillId="11" borderId="0" xfId="0" applyFont="1" applyFill="1" applyAlignment="1">
      <alignment vertical="center"/>
    </xf>
    <xf numFmtId="0" fontId="4" fillId="11" borderId="0" xfId="0" applyFont="1" applyFill="1" applyAlignment="1">
      <alignment vertical="center"/>
    </xf>
    <xf numFmtId="0" fontId="0" fillId="11" borderId="0" xfId="0" applyFill="1"/>
    <xf numFmtId="0" fontId="0" fillId="0" borderId="0" xfId="0" applyBorder="1" applyAlignment="1">
      <alignment horizontal="center"/>
    </xf>
    <xf numFmtId="2" fontId="14" fillId="14" borderId="20" xfId="0" applyNumberFormat="1" applyFont="1" applyFill="1" applyBorder="1" applyAlignment="1">
      <alignment horizontal="center" vertical="center" wrapText="1"/>
    </xf>
    <xf numFmtId="2" fontId="14" fillId="14" borderId="21" xfId="0" applyNumberFormat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/>
    </xf>
    <xf numFmtId="0" fontId="0" fillId="12" borderId="0" xfId="0" applyFill="1" applyAlignment="1">
      <alignment horizontal="center"/>
    </xf>
  </cellXfs>
  <cellStyles count="6">
    <cellStyle name="Comma" xfId="1" builtinId="3"/>
    <cellStyle name="Comma 2" xfId="4" xr:uid="{00000000-0005-0000-0000-000001000000}"/>
    <cellStyle name="Currency" xfId="2" builtinId="4"/>
    <cellStyle name="Normal" xfId="0" builtinId="0"/>
    <cellStyle name="Normal 2" xfId="5" xr:uid="{8C05642A-5664-4D88-87B1-6919493F0BEF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Offices\Portland%20(800%20NE%20Oregon%20St)\PSOB%20Fiscal\PH%20Modernization\2022%20Funding%20Formula\Formula\PH%20Modernization%20Funding%20Formula%2020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Summary"/>
      <sheetName val="County Data"/>
      <sheetName val="Population"/>
      <sheetName val="Floor"/>
      <sheetName val="Burden"/>
      <sheetName val="Health Status"/>
      <sheetName val="Ethnicity"/>
      <sheetName val="Rurality"/>
      <sheetName val="Poverty"/>
      <sheetName val="Education"/>
      <sheetName val="Language"/>
      <sheetName val="Matching"/>
      <sheetName val="Incentives"/>
    </sheetNames>
    <sheetDataSet>
      <sheetData sheetId="0"/>
      <sheetData sheetId="1"/>
      <sheetData sheetId="2"/>
      <sheetData sheetId="3"/>
      <sheetData sheetId="4"/>
      <sheetData sheetId="5">
        <row r="6">
          <cell r="B6" t="str">
            <v>County Group</v>
          </cell>
          <cell r="C6" t="str">
            <v>County Population</v>
          </cell>
          <cell r="D6" t="str">
            <v>Rank</v>
          </cell>
          <cell r="E6" t="str">
            <v>Weight</v>
          </cell>
          <cell r="F6" t="str">
            <v>Weighted Average</v>
          </cell>
          <cell r="G6" t="str">
            <v>Weighted Payout</v>
          </cell>
          <cell r="H6" t="str">
            <v>Weighted Per Capita</v>
          </cell>
        </row>
        <row r="7">
          <cell r="B7" t="str">
            <v>Benton</v>
          </cell>
          <cell r="C7">
            <v>93976</v>
          </cell>
          <cell r="D7">
            <v>4.0668929999999999E-2</v>
          </cell>
          <cell r="E7">
            <v>3821.9033656799998</v>
          </cell>
          <cell r="F7">
            <v>1.3851753251426862E-2</v>
          </cell>
          <cell r="G7">
            <v>26780.056286091927</v>
          </cell>
          <cell r="H7">
            <v>0.28496697333459531</v>
          </cell>
        </row>
        <row r="8">
          <cell r="B8" t="str">
            <v>Washington</v>
          </cell>
          <cell r="C8">
            <v>605036</v>
          </cell>
          <cell r="D8">
            <v>4.2650979999999998E-2</v>
          </cell>
          <cell r="E8">
            <v>25805.378335279998</v>
          </cell>
          <cell r="F8">
            <v>9.3526627719017943E-2</v>
          </cell>
          <cell r="G8">
            <v>180818.14692343466</v>
          </cell>
          <cell r="H8">
            <v>0.29885518700281416</v>
          </cell>
        </row>
        <row r="9">
          <cell r="B9" t="str">
            <v>Gilliam</v>
          </cell>
          <cell r="C9">
            <v>2039</v>
          </cell>
          <cell r="D9">
            <v>6.8052559999999998E-2</v>
          </cell>
          <cell r="E9">
            <v>138.75916984</v>
          </cell>
          <cell r="F9">
            <v>5.0290590789297369E-4</v>
          </cell>
          <cell r="G9">
            <v>972.28475525974898</v>
          </cell>
          <cell r="H9">
            <v>0.47684392116711571</v>
          </cell>
        </row>
        <row r="10">
          <cell r="B10" t="str">
            <v>Hood River</v>
          </cell>
          <cell r="C10">
            <v>23888</v>
          </cell>
          <cell r="D10">
            <v>4.750973E-2</v>
          </cell>
          <cell r="E10">
            <v>1134.91243024</v>
          </cell>
          <cell r="F10">
            <v>4.1132716977695374E-3</v>
          </cell>
          <cell r="G10">
            <v>7952.3252823544381</v>
          </cell>
          <cell r="H10">
            <v>0.33290042206775111</v>
          </cell>
        </row>
        <row r="11">
          <cell r="B11" t="str">
            <v>Clackamas</v>
          </cell>
          <cell r="C11">
            <v>425316</v>
          </cell>
          <cell r="D11">
            <v>5.6630379999999994E-2</v>
          </cell>
          <cell r="E11">
            <v>24085.806700079997</v>
          </cell>
          <cell r="F11">
            <v>8.7294371246278701E-2</v>
          </cell>
          <cell r="G11">
            <v>168769.11774280545</v>
          </cell>
          <cell r="H11">
            <v>0.39680876746420413</v>
          </cell>
        </row>
        <row r="12">
          <cell r="B12" t="str">
            <v>Polk</v>
          </cell>
          <cell r="C12">
            <v>88916</v>
          </cell>
          <cell r="D12">
            <v>6.0078370000000006E-2</v>
          </cell>
          <cell r="E12">
            <v>5341.9283469200009</v>
          </cell>
          <cell r="F12">
            <v>1.9360791278188978E-2</v>
          </cell>
          <cell r="G12">
            <v>37430.863137832021</v>
          </cell>
          <cell r="H12">
            <v>0.42096881481209253</v>
          </cell>
        </row>
        <row r="13">
          <cell r="B13" t="str">
            <v>Deschutes</v>
          </cell>
          <cell r="C13">
            <v>203390</v>
          </cell>
          <cell r="D13">
            <v>5.375133E-2</v>
          </cell>
          <cell r="E13">
            <v>10932.483008699999</v>
          </cell>
          <cell r="F13">
            <v>3.9622680788263656E-2</v>
          </cell>
          <cell r="G13">
            <v>76603.849523976387</v>
          </cell>
          <cell r="H13">
            <v>0.37663527963015087</v>
          </cell>
        </row>
        <row r="14">
          <cell r="B14" t="str">
            <v>Yamhill</v>
          </cell>
          <cell r="C14">
            <v>108261</v>
          </cell>
          <cell r="D14">
            <v>6.2846349999999995E-2</v>
          </cell>
          <cell r="E14">
            <v>6803.8086973499994</v>
          </cell>
          <cell r="F14">
            <v>2.4659095280091164E-2</v>
          </cell>
          <cell r="G14">
            <v>47674.25087484291</v>
          </cell>
          <cell r="H14">
            <v>0.44036403575473076</v>
          </cell>
        </row>
        <row r="15">
          <cell r="B15" t="str">
            <v>Grant</v>
          </cell>
          <cell r="C15">
            <v>7226</v>
          </cell>
          <cell r="D15">
            <v>7.9334200000000007E-2</v>
          </cell>
          <cell r="E15">
            <v>573.2689292</v>
          </cell>
          <cell r="F15">
            <v>2.0777029124532192E-3</v>
          </cell>
          <cell r="G15">
            <v>4016.8922974095562</v>
          </cell>
          <cell r="H15">
            <v>0.55589431184743376</v>
          </cell>
        </row>
        <row r="16">
          <cell r="B16" t="str">
            <v>Morrow</v>
          </cell>
          <cell r="C16">
            <v>12635</v>
          </cell>
          <cell r="D16">
            <v>6.6599549999999993E-2</v>
          </cell>
          <cell r="E16">
            <v>841.48531424999987</v>
          </cell>
          <cell r="F16">
            <v>3.0498015837761836E-3</v>
          </cell>
          <cell r="G16">
            <v>5896.2830619672877</v>
          </cell>
          <cell r="H16">
            <v>0.46666268792776316</v>
          </cell>
        </row>
        <row r="17">
          <cell r="B17" t="str">
            <v>Wheeler</v>
          </cell>
          <cell r="C17">
            <v>1456</v>
          </cell>
          <cell r="D17">
            <v>6.5306119999999995E-2</v>
          </cell>
          <cell r="E17">
            <v>95.085710719999994</v>
          </cell>
          <cell r="F17">
            <v>3.4461985995181028E-4</v>
          </cell>
          <cell r="G17">
            <v>666.26506257349979</v>
          </cell>
          <cell r="H17">
            <v>0.45759963088839273</v>
          </cell>
        </row>
        <row r="18">
          <cell r="B18" t="str">
            <v>Marion</v>
          </cell>
          <cell r="C18">
            <v>347182</v>
          </cell>
          <cell r="D18">
            <v>6.3607510000000006E-2</v>
          </cell>
          <cell r="E18">
            <v>22083.382536820001</v>
          </cell>
          <cell r="F18">
            <v>8.003697021849597E-2</v>
          </cell>
          <cell r="G18">
            <v>154738.14242242553</v>
          </cell>
          <cell r="H18">
            <v>0.4456974797726424</v>
          </cell>
        </row>
        <row r="19">
          <cell r="B19" t="str">
            <v>Multnomah</v>
          </cell>
          <cell r="C19">
            <v>820672</v>
          </cell>
          <cell r="D19">
            <v>6.2221129999999999E-2</v>
          </cell>
          <cell r="E19">
            <v>51063.139199359997</v>
          </cell>
          <cell r="F19">
            <v>0.1850685212986673</v>
          </cell>
          <cell r="G19">
            <v>357799.14117742341</v>
          </cell>
          <cell r="H19">
            <v>0.43598312258420346</v>
          </cell>
        </row>
        <row r="20">
          <cell r="B20" t="str">
            <v>Lane</v>
          </cell>
          <cell r="C20">
            <v>382647</v>
          </cell>
          <cell r="D20">
            <v>6.8141679999999996E-2</v>
          </cell>
          <cell r="E20">
            <v>26074.209426959998</v>
          </cell>
          <cell r="F20">
            <v>9.4500954276225527E-2</v>
          </cell>
          <cell r="G20">
            <v>182701.84493403599</v>
          </cell>
          <cell r="H20">
            <v>0.477468384526825</v>
          </cell>
        </row>
        <row r="21">
          <cell r="B21" t="str">
            <v>Union</v>
          </cell>
          <cell r="C21">
            <v>26295</v>
          </cell>
          <cell r="D21">
            <v>7.7874589999999994E-2</v>
          </cell>
          <cell r="E21">
            <v>2047.7123440499997</v>
          </cell>
          <cell r="F21">
            <v>7.4215393236754064E-3</v>
          </cell>
          <cell r="G21">
            <v>14348.309359105784</v>
          </cell>
          <cell r="H21">
            <v>0.54566683244365033</v>
          </cell>
        </row>
        <row r="22">
          <cell r="B22" t="str">
            <v>Malheur</v>
          </cell>
          <cell r="C22">
            <v>31995</v>
          </cell>
          <cell r="D22">
            <v>7.7298069999999997E-2</v>
          </cell>
          <cell r="E22">
            <v>2473.1517496500001</v>
          </cell>
          <cell r="F22">
            <v>8.9634625765560843E-3</v>
          </cell>
          <cell r="G22">
            <v>17329.360981341761</v>
          </cell>
          <cell r="H22">
            <v>0.54162715991066601</v>
          </cell>
        </row>
        <row r="23">
          <cell r="B23" t="str">
            <v>Linn</v>
          </cell>
          <cell r="C23">
            <v>130440</v>
          </cell>
          <cell r="D23">
            <v>7.4680110000000008E-2</v>
          </cell>
          <cell r="E23">
            <v>9741.2735484000004</v>
          </cell>
          <cell r="F23">
            <v>3.5305371338995264E-2</v>
          </cell>
          <cell r="G23">
            <v>68257.051255390834</v>
          </cell>
          <cell r="H23">
            <v>0.52328312829953105</v>
          </cell>
        </row>
        <row r="24">
          <cell r="B24" t="str">
            <v>Umatilla</v>
          </cell>
          <cell r="C24">
            <v>80463</v>
          </cell>
          <cell r="D24">
            <v>7.0862040000000001E-2</v>
          </cell>
          <cell r="E24">
            <v>5701.7723245200004</v>
          </cell>
          <cell r="F24">
            <v>2.0664976525646254E-2</v>
          </cell>
          <cell r="G24">
            <v>39952.287949582751</v>
          </cell>
          <cell r="H24">
            <v>0.49652993238609983</v>
          </cell>
        </row>
        <row r="25">
          <cell r="B25" t="str">
            <v>Jackson</v>
          </cell>
          <cell r="C25">
            <v>223827</v>
          </cell>
          <cell r="D25">
            <v>7.6263950000000011E-2</v>
          </cell>
          <cell r="E25">
            <v>17069.931136650004</v>
          </cell>
          <cell r="F25">
            <v>6.1866680420805197E-2</v>
          </cell>
          <cell r="G25">
            <v>119608.91548022337</v>
          </cell>
          <cell r="H25">
            <v>0.5343810866438069</v>
          </cell>
        </row>
        <row r="26">
          <cell r="B26" t="str">
            <v>Crook</v>
          </cell>
          <cell r="C26">
            <v>25482</v>
          </cell>
          <cell r="D26">
            <v>8.3662790000000001E-2</v>
          </cell>
          <cell r="E26">
            <v>2131.8952147800001</v>
          </cell>
          <cell r="F26">
            <v>7.7266439382556494E-3</v>
          </cell>
          <cell r="G26">
            <v>14938.178280627586</v>
          </cell>
          <cell r="H26">
            <v>0.58622471864954029</v>
          </cell>
        </row>
        <row r="27">
          <cell r="B27" t="str">
            <v>Columbia</v>
          </cell>
          <cell r="C27">
            <v>53014</v>
          </cell>
          <cell r="D27">
            <v>7.1908329999999993E-2</v>
          </cell>
          <cell r="E27">
            <v>3812.1482066199997</v>
          </cell>
          <cell r="F27">
            <v>1.3816397554723237E-2</v>
          </cell>
          <cell r="G27">
            <v>26711.701939131588</v>
          </cell>
          <cell r="H27">
            <v>0.5038612807773718</v>
          </cell>
        </row>
        <row r="28">
          <cell r="B28" t="str">
            <v>Wallowa</v>
          </cell>
          <cell r="C28">
            <v>7433</v>
          </cell>
          <cell r="D28">
            <v>6.8052559999999998E-2</v>
          </cell>
          <cell r="E28">
            <v>505.83467847999998</v>
          </cell>
          <cell r="F28">
            <v>1.8333004479492267E-3</v>
          </cell>
          <cell r="G28">
            <v>3544.380866035171</v>
          </cell>
          <cell r="H28">
            <v>0.47684392116711571</v>
          </cell>
        </row>
        <row r="29">
          <cell r="B29" t="str">
            <v>Tillamook</v>
          </cell>
          <cell r="C29">
            <v>27628</v>
          </cell>
          <cell r="D29">
            <v>8.2220169999999995E-2</v>
          </cell>
          <cell r="E29">
            <v>2271.5788567599998</v>
          </cell>
          <cell r="F29">
            <v>8.2329004175121182E-3</v>
          </cell>
          <cell r="G29">
            <v>15916.940807190093</v>
          </cell>
          <cell r="H29">
            <v>0.57611628808419335</v>
          </cell>
        </row>
        <row r="30">
          <cell r="B30" t="str">
            <v>Lake</v>
          </cell>
          <cell r="C30">
            <v>8177</v>
          </cell>
          <cell r="D30">
            <v>9.3079839999999997E-2</v>
          </cell>
          <cell r="E30">
            <v>761.11385167999993</v>
          </cell>
          <cell r="F30">
            <v>2.758510684594108E-3</v>
          </cell>
          <cell r="G30">
            <v>5333.1206568819416</v>
          </cell>
          <cell r="H30">
            <v>0.65220993724861709</v>
          </cell>
        </row>
        <row r="31">
          <cell r="B31" t="str">
            <v>Sherman, Wasco</v>
          </cell>
          <cell r="C31">
            <v>28489</v>
          </cell>
          <cell r="D31">
            <v>8.1669599999999995E-2</v>
          </cell>
          <cell r="E31">
            <v>2326.6852343999999</v>
          </cell>
          <cell r="F31">
            <v>8.4326228784470814E-3</v>
          </cell>
          <cell r="G31">
            <v>16303.070898331021</v>
          </cell>
          <cell r="H31">
            <v>0.57225844706135776</v>
          </cell>
        </row>
        <row r="32">
          <cell r="B32" t="str">
            <v>Baker</v>
          </cell>
          <cell r="C32">
            <v>16860</v>
          </cell>
          <cell r="D32">
            <v>8.6297479999999996E-2</v>
          </cell>
          <cell r="E32">
            <v>1454.9755127999999</v>
          </cell>
          <cell r="F32">
            <v>5.2732787466979918E-3</v>
          </cell>
          <cell r="G32">
            <v>10195.005576949448</v>
          </cell>
          <cell r="H32">
            <v>0.60468597728051299</v>
          </cell>
        </row>
        <row r="33">
          <cell r="B33" t="str">
            <v>Clatsop</v>
          </cell>
          <cell r="C33">
            <v>41428</v>
          </cell>
          <cell r="D33">
            <v>8.1797190000000006E-2</v>
          </cell>
          <cell r="E33">
            <v>3388.6939873200004</v>
          </cell>
          <cell r="F33">
            <v>1.2281669227552262E-2</v>
          </cell>
          <cell r="G33">
            <v>23744.560506601036</v>
          </cell>
          <cell r="H33">
            <v>0.57315246950374232</v>
          </cell>
        </row>
        <row r="34">
          <cell r="B34" t="str">
            <v>Josephine</v>
          </cell>
          <cell r="C34">
            <v>88728</v>
          </cell>
          <cell r="D34">
            <v>9.9210980000000004E-2</v>
          </cell>
          <cell r="E34">
            <v>8802.7918334400001</v>
          </cell>
          <cell r="F34">
            <v>3.1904024967096892E-2</v>
          </cell>
          <cell r="G34">
            <v>61681.114936387312</v>
          </cell>
          <cell r="H34">
            <v>0.69517080218631444</v>
          </cell>
        </row>
        <row r="35">
          <cell r="B35" t="str">
            <v>Douglas</v>
          </cell>
          <cell r="C35">
            <v>111694</v>
          </cell>
          <cell r="D35">
            <v>0.10093575</v>
          </cell>
          <cell r="E35">
            <v>11273.917660500001</v>
          </cell>
          <cell r="F35">
            <v>4.0860144977099576E-2</v>
          </cell>
          <cell r="G35">
            <v>78996.28028905917</v>
          </cell>
          <cell r="H35">
            <v>0.70725625628108202</v>
          </cell>
        </row>
        <row r="36">
          <cell r="B36" t="str">
            <v>Klamath</v>
          </cell>
          <cell r="C36">
            <v>69822</v>
          </cell>
          <cell r="D36">
            <v>9.6826550000000011E-2</v>
          </cell>
          <cell r="E36">
            <v>6760.6233741000005</v>
          </cell>
          <cell r="F36">
            <v>2.4502578386672625E-2</v>
          </cell>
          <cell r="G36">
            <v>47371.651547567068</v>
          </cell>
          <cell r="H36">
            <v>0.67846311402662585</v>
          </cell>
        </row>
        <row r="37">
          <cell r="B37" t="str">
            <v>Coos</v>
          </cell>
          <cell r="C37">
            <v>65154</v>
          </cell>
          <cell r="D37">
            <v>9.8415849999999985E-2</v>
          </cell>
          <cell r="E37">
            <v>6412.1862908999992</v>
          </cell>
          <cell r="F37">
            <v>2.3239735232794354E-2</v>
          </cell>
          <cell r="G37">
            <v>44930.15478340241</v>
          </cell>
          <cell r="H37">
            <v>0.68959933056147604</v>
          </cell>
        </row>
        <row r="38">
          <cell r="B38" t="str">
            <v>Lincoln</v>
          </cell>
          <cell r="C38">
            <v>50903</v>
          </cell>
          <cell r="D38">
            <v>9.7818940000000007E-2</v>
          </cell>
          <cell r="E38">
            <v>4979.2775028200003</v>
          </cell>
          <cell r="F38">
            <v>1.8046433083263473E-2</v>
          </cell>
          <cell r="G38">
            <v>34889.770627642712</v>
          </cell>
          <cell r="H38">
            <v>0.68541678540837891</v>
          </cell>
        </row>
        <row r="39">
          <cell r="B39" t="str">
            <v>Jefferson</v>
          </cell>
          <cell r="C39">
            <v>24889</v>
          </cell>
          <cell r="D39">
            <v>8.5968059999999999E-2</v>
          </cell>
          <cell r="E39">
            <v>2139.6590453399999</v>
          </cell>
          <cell r="F39">
            <v>7.7547824480276957E-3</v>
          </cell>
          <cell r="G39">
            <v>14992.579399520209</v>
          </cell>
          <cell r="H39">
            <v>0.60237773311584275</v>
          </cell>
        </row>
        <row r="40">
          <cell r="B40" t="str">
            <v>Harney</v>
          </cell>
          <cell r="C40">
            <v>7537</v>
          </cell>
          <cell r="D40">
            <v>9.5802139999999994E-2</v>
          </cell>
          <cell r="E40">
            <v>722.06072917999995</v>
          </cell>
          <cell r="F40">
            <v>2.6169701575819867E-3</v>
          </cell>
          <cell r="G40">
            <v>5059.4756379918399</v>
          </cell>
          <cell r="H40">
            <v>0.67128507867743659</v>
          </cell>
        </row>
        <row r="41">
          <cell r="B41" t="str">
            <v>Curry</v>
          </cell>
          <cell r="C41">
            <v>23662</v>
          </cell>
          <cell r="D41">
            <v>9.8974709999999994E-2</v>
          </cell>
          <cell r="E41">
            <v>2341.93958802</v>
          </cell>
          <cell r="F41">
            <v>8.4879093475534653E-3</v>
          </cell>
          <cell r="G41">
            <v>16409.958071936697</v>
          </cell>
          <cell r="H41">
            <v>0.69351525956963467</v>
          </cell>
        </row>
      </sheetData>
      <sheetData sheetId="6">
        <row r="6">
          <cell r="B6" t="str">
            <v>County Group</v>
          </cell>
          <cell r="C6" t="str">
            <v>County Population</v>
          </cell>
          <cell r="D6" t="str">
            <v>Rank</v>
          </cell>
          <cell r="E6" t="str">
            <v>Weight</v>
          </cell>
          <cell r="F6" t="str">
            <v>Weighted Average</v>
          </cell>
          <cell r="G6" t="str">
            <v>Weighted Payout</v>
          </cell>
          <cell r="H6" t="str">
            <v>Weighted Per Capita</v>
          </cell>
        </row>
        <row r="7">
          <cell r="B7" t="str">
            <v>Deschutes</v>
          </cell>
          <cell r="C7">
            <v>203390</v>
          </cell>
          <cell r="D7">
            <v>0.13699999999999998</v>
          </cell>
          <cell r="E7">
            <v>27864.429999999997</v>
          </cell>
          <cell r="F7">
            <v>3.8788371535916313E-2</v>
          </cell>
          <cell r="G7">
            <v>74990.851636104853</v>
          </cell>
          <cell r="H7">
            <v>0.36870471329025445</v>
          </cell>
        </row>
        <row r="8">
          <cell r="B8" t="str">
            <v>Wallowa</v>
          </cell>
          <cell r="C8">
            <v>7433</v>
          </cell>
          <cell r="D8">
            <v>0.14899999999999999</v>
          </cell>
          <cell r="E8">
            <v>1107.5170000000001</v>
          </cell>
          <cell r="F8">
            <v>1.5417067881289314E-3</v>
          </cell>
          <cell r="G8">
            <v>2980.6331237159334</v>
          </cell>
          <cell r="H8">
            <v>0.40100001664414547</v>
          </cell>
        </row>
        <row r="9">
          <cell r="B9" t="str">
            <v>Gilliam</v>
          </cell>
          <cell r="C9">
            <v>2039</v>
          </cell>
          <cell r="D9">
            <v>0.14899999999999999</v>
          </cell>
          <cell r="E9">
            <v>303.81099999999998</v>
          </cell>
          <cell r="F9">
            <v>4.2291674169176515E-4</v>
          </cell>
          <cell r="G9">
            <v>817.63903393741248</v>
          </cell>
          <cell r="H9">
            <v>0.40100001664414542</v>
          </cell>
        </row>
        <row r="10">
          <cell r="B10" t="str">
            <v>Lake</v>
          </cell>
          <cell r="C10">
            <v>8177</v>
          </cell>
          <cell r="D10">
            <v>0.17899999999999999</v>
          </cell>
          <cell r="E10">
            <v>1463.683</v>
          </cell>
          <cell r="F10">
            <v>2.0375037284022894E-3</v>
          </cell>
          <cell r="G10">
            <v>3939.1738749110923</v>
          </cell>
          <cell r="H10">
            <v>0.48173827502887273</v>
          </cell>
        </row>
        <row r="11">
          <cell r="B11" t="str">
            <v>Washington</v>
          </cell>
          <cell r="C11">
            <v>605036</v>
          </cell>
          <cell r="D11">
            <v>0.151</v>
          </cell>
          <cell r="E11">
            <v>91360.436000000002</v>
          </cell>
          <cell r="F11">
            <v>0.12717728427429897</v>
          </cell>
          <cell r="G11">
            <v>245876.0829303113</v>
          </cell>
          <cell r="H11">
            <v>0.40638256720312727</v>
          </cell>
        </row>
        <row r="12">
          <cell r="B12" t="str">
            <v>Baker</v>
          </cell>
          <cell r="C12">
            <v>16860</v>
          </cell>
          <cell r="D12">
            <v>0.18899999999999997</v>
          </cell>
          <cell r="E12">
            <v>3186.5399999999995</v>
          </cell>
          <cell r="F12">
            <v>4.4357877564356694E-3</v>
          </cell>
          <cell r="G12">
            <v>8575.8563291089595</v>
          </cell>
          <cell r="H12">
            <v>0.50865102782378169</v>
          </cell>
        </row>
        <row r="13">
          <cell r="B13" t="str">
            <v>Benton</v>
          </cell>
          <cell r="C13">
            <v>93976</v>
          </cell>
          <cell r="D13">
            <v>0.113</v>
          </cell>
          <cell r="E13">
            <v>10619.288</v>
          </cell>
          <cell r="F13">
            <v>1.478246238630748E-2</v>
          </cell>
          <cell r="G13">
            <v>28579.427280194457</v>
          </cell>
          <cell r="H13">
            <v>0.30411410658247273</v>
          </cell>
        </row>
        <row r="14">
          <cell r="B14" t="str">
            <v>Union</v>
          </cell>
          <cell r="C14">
            <v>26295</v>
          </cell>
          <cell r="D14">
            <v>0.106</v>
          </cell>
          <cell r="E14">
            <v>2787.27</v>
          </cell>
          <cell r="F14">
            <v>3.8799883697930833E-3</v>
          </cell>
          <cell r="G14">
            <v>7501.3108482666266</v>
          </cell>
          <cell r="H14">
            <v>0.28527517962603638</v>
          </cell>
        </row>
        <row r="15">
          <cell r="B15" t="str">
            <v>Polk</v>
          </cell>
          <cell r="C15">
            <v>88916</v>
          </cell>
          <cell r="D15">
            <v>0.183</v>
          </cell>
          <cell r="E15">
            <v>16271.627999999999</v>
          </cell>
          <cell r="F15">
            <v>2.2650739755244193E-2</v>
          </cell>
          <cell r="G15">
            <v>43791.430193472101</v>
          </cell>
          <cell r="H15">
            <v>0.49250337614683637</v>
          </cell>
        </row>
        <row r="16">
          <cell r="B16" t="str">
            <v>Clackamas</v>
          </cell>
          <cell r="C16">
            <v>425316</v>
          </cell>
          <cell r="D16">
            <v>0.14499999999999999</v>
          </cell>
          <cell r="E16">
            <v>61670.819999999992</v>
          </cell>
          <cell r="F16">
            <v>8.5848182757896671E-2</v>
          </cell>
          <cell r="G16">
            <v>165973.15333193354</v>
          </cell>
          <cell r="H16">
            <v>0.39023491552618184</v>
          </cell>
        </row>
        <row r="17">
          <cell r="B17" t="str">
            <v>Clatsop</v>
          </cell>
          <cell r="C17">
            <v>41428</v>
          </cell>
          <cell r="D17">
            <v>0.15</v>
          </cell>
          <cell r="E17">
            <v>6214.2</v>
          </cell>
          <cell r="F17">
            <v>8.6504083664546948E-3</v>
          </cell>
          <cell r="G17">
            <v>16724.122841812408</v>
          </cell>
          <cell r="H17">
            <v>0.4036912919236364</v>
          </cell>
        </row>
        <row r="18">
          <cell r="B18" t="str">
            <v>Sherman, Wasco</v>
          </cell>
          <cell r="C18">
            <v>28489</v>
          </cell>
          <cell r="D18">
            <v>0.13800000000000001</v>
          </cell>
          <cell r="E18">
            <v>3931.4820000000004</v>
          </cell>
          <cell r="F18">
            <v>5.4727760267397315E-3</v>
          </cell>
          <cell r="G18">
            <v>10580.700318363479</v>
          </cell>
          <cell r="H18">
            <v>0.37139598856974548</v>
          </cell>
        </row>
        <row r="19">
          <cell r="B19" t="str">
            <v>Lane</v>
          </cell>
          <cell r="C19">
            <v>382647</v>
          </cell>
          <cell r="D19">
            <v>0.16600000000000001</v>
          </cell>
          <cell r="E19">
            <v>63519.402000000002</v>
          </cell>
          <cell r="F19">
            <v>8.8421480881368336E-2</v>
          </cell>
          <cell r="G19">
            <v>170948.19637064543</v>
          </cell>
          <cell r="H19">
            <v>0.44675169639549095</v>
          </cell>
        </row>
        <row r="20">
          <cell r="B20" t="str">
            <v>Multnomah</v>
          </cell>
          <cell r="C20">
            <v>820672</v>
          </cell>
          <cell r="D20">
            <v>0.161</v>
          </cell>
          <cell r="E20">
            <v>132128.19200000001</v>
          </cell>
          <cell r="F20">
            <v>0.18392758802763548</v>
          </cell>
          <cell r="G20">
            <v>355593.33685342851</v>
          </cell>
          <cell r="H20">
            <v>0.43329531999803639</v>
          </cell>
        </row>
        <row r="21">
          <cell r="B21" t="str">
            <v>Grant</v>
          </cell>
          <cell r="C21">
            <v>7226</v>
          </cell>
          <cell r="D21">
            <v>0.155</v>
          </cell>
          <cell r="E21">
            <v>1120.03</v>
          </cell>
          <cell r="F21">
            <v>1.5591253713559672E-3</v>
          </cell>
          <cell r="G21">
            <v>3014.3090512882027</v>
          </cell>
          <cell r="H21">
            <v>0.4171476683210909</v>
          </cell>
        </row>
        <row r="22">
          <cell r="B22" t="str">
            <v>Jackson</v>
          </cell>
          <cell r="C22">
            <v>223827</v>
          </cell>
          <cell r="D22">
            <v>0.184</v>
          </cell>
          <cell r="E22">
            <v>41184.167999999998</v>
          </cell>
          <cell r="F22">
            <v>5.7329965471448571E-2</v>
          </cell>
          <cell r="G22">
            <v>110837.93324480056</v>
          </cell>
          <cell r="H22">
            <v>0.49519465142632729</v>
          </cell>
        </row>
        <row r="23">
          <cell r="B23" t="str">
            <v>Linn</v>
          </cell>
          <cell r="C23">
            <v>130440</v>
          </cell>
          <cell r="D23">
            <v>0.18100000000000002</v>
          </cell>
          <cell r="E23">
            <v>23609.640000000003</v>
          </cell>
          <cell r="F23">
            <v>3.2865538184317117E-2</v>
          </cell>
          <cell r="G23">
            <v>63540.040489679748</v>
          </cell>
          <cell r="H23">
            <v>0.48712082558785458</v>
          </cell>
        </row>
        <row r="24">
          <cell r="B24" t="str">
            <v>Jefferson</v>
          </cell>
          <cell r="C24">
            <v>24889</v>
          </cell>
          <cell r="D24">
            <v>0.13699999999999998</v>
          </cell>
          <cell r="E24">
            <v>3409.7929999999997</v>
          </cell>
          <cell r="F24">
            <v>4.7465646253867996E-3</v>
          </cell>
          <cell r="G24">
            <v>9176.6916090811446</v>
          </cell>
          <cell r="H24">
            <v>0.3687047132902545</v>
          </cell>
        </row>
        <row r="25">
          <cell r="B25" t="str">
            <v>Yamhill</v>
          </cell>
          <cell r="C25">
            <v>108261</v>
          </cell>
          <cell r="D25">
            <v>0.184</v>
          </cell>
          <cell r="E25">
            <v>19920.024000000001</v>
          </cell>
          <cell r="F25">
            <v>2.7729449047275326E-2</v>
          </cell>
          <cell r="G25">
            <v>53610.268158065621</v>
          </cell>
          <cell r="H25">
            <v>0.49519465142632729</v>
          </cell>
        </row>
        <row r="26">
          <cell r="B26" t="str">
            <v>Josephine</v>
          </cell>
          <cell r="C26">
            <v>88728</v>
          </cell>
          <cell r="D26">
            <v>0.218</v>
          </cell>
          <cell r="E26">
            <v>19342.704000000002</v>
          </cell>
          <cell r="F26">
            <v>2.6925797127781002E-2</v>
          </cell>
          <cell r="G26">
            <v>52056.541113709929</v>
          </cell>
          <cell r="H26">
            <v>0.58669801092901819</v>
          </cell>
        </row>
        <row r="27">
          <cell r="B27" t="str">
            <v>Columbia</v>
          </cell>
          <cell r="C27">
            <v>53014</v>
          </cell>
          <cell r="D27">
            <v>0.20499999999999999</v>
          </cell>
          <cell r="E27">
            <v>10867.869999999999</v>
          </cell>
          <cell r="F27">
            <v>1.5128498209510795E-2</v>
          </cell>
          <cell r="G27">
            <v>29248.429871720866</v>
          </cell>
          <cell r="H27">
            <v>0.55171143229563635</v>
          </cell>
        </row>
        <row r="28">
          <cell r="B28" t="str">
            <v>Tillamook</v>
          </cell>
          <cell r="C28">
            <v>27628</v>
          </cell>
          <cell r="D28">
            <v>0.16899999999999998</v>
          </cell>
          <cell r="E28">
            <v>4669.1319999999996</v>
          </cell>
          <cell r="F28">
            <v>6.4996135491103184E-3</v>
          </cell>
          <cell r="G28">
            <v>12565.919528279946</v>
          </cell>
          <cell r="H28">
            <v>0.45482552223396361</v>
          </cell>
        </row>
        <row r="29">
          <cell r="B29" t="str">
            <v>Marion</v>
          </cell>
          <cell r="C29">
            <v>347182</v>
          </cell>
          <cell r="D29">
            <v>0.192</v>
          </cell>
          <cell r="E29">
            <v>66658.944000000003</v>
          </cell>
          <cell r="F29">
            <v>9.27918455918115E-2</v>
          </cell>
          <cell r="G29">
            <v>179397.56814416888</v>
          </cell>
          <cell r="H29">
            <v>0.51672485366225462</v>
          </cell>
        </row>
        <row r="30">
          <cell r="B30" t="str">
            <v>Hood River</v>
          </cell>
          <cell r="C30">
            <v>23888</v>
          </cell>
          <cell r="D30">
            <v>0.16399999999999998</v>
          </cell>
          <cell r="E30">
            <v>3917.6319999999996</v>
          </cell>
          <cell r="F30">
            <v>5.4534962874530322E-3</v>
          </cell>
          <cell r="G30">
            <v>10543.426155742527</v>
          </cell>
          <cell r="H30">
            <v>0.44136914583650899</v>
          </cell>
        </row>
        <row r="31">
          <cell r="B31" t="str">
            <v>Lincoln</v>
          </cell>
          <cell r="C31">
            <v>50903</v>
          </cell>
          <cell r="D31">
            <v>0.21299999999999999</v>
          </cell>
          <cell r="E31">
            <v>10842.339</v>
          </cell>
          <cell r="F31">
            <v>1.50929580633932E-2</v>
          </cell>
          <cell r="G31">
            <v>29179.718922560183</v>
          </cell>
          <cell r="H31">
            <v>0.57324163453156363</v>
          </cell>
        </row>
        <row r="32">
          <cell r="B32" t="str">
            <v>Klamath</v>
          </cell>
          <cell r="C32">
            <v>69822</v>
          </cell>
          <cell r="D32">
            <v>0.17399999999999999</v>
          </cell>
          <cell r="E32">
            <v>12149.027999999998</v>
          </cell>
          <cell r="F32">
            <v>1.6911920030815285E-2</v>
          </cell>
          <cell r="G32">
            <v>32696.378726242878</v>
          </cell>
          <cell r="H32">
            <v>0.46828189863141817</v>
          </cell>
        </row>
        <row r="33">
          <cell r="B33" t="str">
            <v>Coos</v>
          </cell>
          <cell r="C33">
            <v>65154</v>
          </cell>
          <cell r="D33">
            <v>0.214</v>
          </cell>
          <cell r="E33">
            <v>13942.956</v>
          </cell>
          <cell r="F33">
            <v>1.940913765818765E-2</v>
          </cell>
          <cell r="G33">
            <v>37524.33280582945</v>
          </cell>
          <cell r="H33">
            <v>0.57593290981105461</v>
          </cell>
        </row>
        <row r="34">
          <cell r="B34" t="str">
            <v>Umatilla</v>
          </cell>
          <cell r="C34">
            <v>80463</v>
          </cell>
          <cell r="D34">
            <v>0.184</v>
          </cell>
          <cell r="E34">
            <v>14805.191999999999</v>
          </cell>
          <cell r="F34">
            <v>2.0609403743646504E-2</v>
          </cell>
          <cell r="G34">
            <v>39844.847237716567</v>
          </cell>
          <cell r="H34">
            <v>0.49519465142632724</v>
          </cell>
        </row>
        <row r="35">
          <cell r="B35" t="str">
            <v>Douglas</v>
          </cell>
          <cell r="C35">
            <v>111694</v>
          </cell>
          <cell r="D35">
            <v>0.222</v>
          </cell>
          <cell r="E35">
            <v>24796.067999999999</v>
          </cell>
          <cell r="F35">
            <v>3.4517092157056346E-2</v>
          </cell>
          <cell r="G35">
            <v>66733.04483697559</v>
          </cell>
          <cell r="H35">
            <v>0.59746311204698188</v>
          </cell>
        </row>
        <row r="36">
          <cell r="B36" t="str">
            <v>Curry</v>
          </cell>
          <cell r="C36">
            <v>23662</v>
          </cell>
          <cell r="D36">
            <v>0.20399999999999999</v>
          </cell>
          <cell r="E36">
            <v>4827.0479999999998</v>
          </cell>
          <cell r="F36">
            <v>6.719438769991053E-3</v>
          </cell>
          <cell r="G36">
            <v>12990.914955316033</v>
          </cell>
          <cell r="H36">
            <v>0.54902015701614548</v>
          </cell>
        </row>
        <row r="37">
          <cell r="B37" t="str">
            <v>Crook</v>
          </cell>
          <cell r="C37">
            <v>25482</v>
          </cell>
          <cell r="D37">
            <v>0.23</v>
          </cell>
          <cell r="E37">
            <v>5860.8600000000006</v>
          </cell>
          <cell r="F37">
            <v>8.1585453282191859E-3</v>
          </cell>
          <cell r="G37">
            <v>15773.187634557091</v>
          </cell>
          <cell r="H37">
            <v>0.61899331428290916</v>
          </cell>
        </row>
        <row r="38">
          <cell r="B38" t="str">
            <v>Morrow</v>
          </cell>
          <cell r="C38">
            <v>12635</v>
          </cell>
          <cell r="D38">
            <v>0.312</v>
          </cell>
          <cell r="E38">
            <v>3942.12</v>
          </cell>
          <cell r="F38">
            <v>5.4875845369586401E-3</v>
          </cell>
          <cell r="G38">
            <v>10609.330104786703</v>
          </cell>
          <cell r="H38">
            <v>0.83967788720116365</v>
          </cell>
        </row>
        <row r="39">
          <cell r="B39" t="str">
            <v>Harney</v>
          </cell>
          <cell r="C39">
            <v>7537</v>
          </cell>
          <cell r="D39">
            <v>0.122</v>
          </cell>
          <cell r="E39">
            <v>919.51400000000001</v>
          </cell>
          <cell r="F39">
            <v>1.2799992917305885E-3</v>
          </cell>
          <cell r="G39">
            <v>2474.665297345804</v>
          </cell>
          <cell r="H39">
            <v>0.32833558409789093</v>
          </cell>
        </row>
        <row r="40">
          <cell r="B40" t="str">
            <v>Malheur</v>
          </cell>
          <cell r="C40">
            <v>31995</v>
          </cell>
          <cell r="D40">
            <v>0.27100000000000002</v>
          </cell>
          <cell r="E40">
            <v>8670.6450000000004</v>
          </cell>
          <cell r="F40">
            <v>1.2069875454693858E-2</v>
          </cell>
          <cell r="G40">
            <v>23335.092545741456</v>
          </cell>
          <cell r="H40">
            <v>0.72933560074203641</v>
          </cell>
        </row>
        <row r="41">
          <cell r="B41" t="str">
            <v>Wheeler</v>
          </cell>
          <cell r="C41">
            <v>1456</v>
          </cell>
          <cell r="D41">
            <v>0.33399999999999996</v>
          </cell>
          <cell r="E41">
            <v>486.30399999999997</v>
          </cell>
          <cell r="F41">
            <v>6.7695410354355894E-4</v>
          </cell>
          <cell r="G41">
            <v>1308.7779335175471</v>
          </cell>
          <cell r="H41">
            <v>0.89888594334996363</v>
          </cell>
        </row>
      </sheetData>
      <sheetData sheetId="7">
        <row r="6">
          <cell r="B6" t="str">
            <v>County Group</v>
          </cell>
          <cell r="C6" t="str">
            <v>County Population</v>
          </cell>
          <cell r="D6" t="str">
            <v>Rank</v>
          </cell>
          <cell r="E6" t="str">
            <v>Weight</v>
          </cell>
          <cell r="F6" t="str">
            <v>Weighted Average</v>
          </cell>
          <cell r="G6" t="str">
            <v>Weighted Payout</v>
          </cell>
          <cell r="H6" t="str">
            <v>Weighted Per Capita</v>
          </cell>
        </row>
        <row r="7">
          <cell r="B7" t="str">
            <v>Wheeler</v>
          </cell>
          <cell r="C7">
            <v>1456</v>
          </cell>
          <cell r="D7">
            <v>6.1711079943899017E-2</v>
          </cell>
          <cell r="E7">
            <v>89.85133239831697</v>
          </cell>
          <cell r="F7">
            <v>1.3575879578944661E-4</v>
          </cell>
          <cell r="G7">
            <v>262.46700519293006</v>
          </cell>
          <cell r="H7">
            <v>0.18026580026986955</v>
          </cell>
        </row>
        <row r="8">
          <cell r="B8" t="str">
            <v>Wallowa</v>
          </cell>
          <cell r="C8">
            <v>7433</v>
          </cell>
          <cell r="D8">
            <v>4.9393414211438474E-2</v>
          </cell>
          <cell r="E8">
            <v>367.14124783362217</v>
          </cell>
          <cell r="F8">
            <v>5.5472359018085007E-4</v>
          </cell>
          <cell r="G8">
            <v>1072.4656076829767</v>
          </cell>
          <cell r="H8">
            <v>0.14428435459208619</v>
          </cell>
        </row>
        <row r="9">
          <cell r="B9" t="str">
            <v>Grant</v>
          </cell>
          <cell r="C9">
            <v>7226</v>
          </cell>
          <cell r="D9">
            <v>5.3181122093832661E-2</v>
          </cell>
          <cell r="E9">
            <v>384.28678825003482</v>
          </cell>
          <cell r="F9">
            <v>5.8062924853851143E-4</v>
          </cell>
          <cell r="G9">
            <v>1122.5498805077887</v>
          </cell>
          <cell r="H9">
            <v>0.15534872412230677</v>
          </cell>
        </row>
        <row r="10">
          <cell r="B10" t="str">
            <v>Gilliam</v>
          </cell>
          <cell r="C10">
            <v>2039</v>
          </cell>
          <cell r="D10">
            <v>7.0267435762978503E-2</v>
          </cell>
          <cell r="E10">
            <v>143.27530152071316</v>
          </cell>
          <cell r="F10">
            <v>2.1647850823841791E-4</v>
          </cell>
          <cell r="G10">
            <v>418.52511592760789</v>
          </cell>
          <cell r="H10">
            <v>0.20525998819402055</v>
          </cell>
        </row>
        <row r="11">
          <cell r="B11" t="str">
            <v>Baker</v>
          </cell>
          <cell r="C11">
            <v>16860</v>
          </cell>
          <cell r="D11">
            <v>7.063313313313313E-2</v>
          </cell>
          <cell r="E11">
            <v>1190.8746246246246</v>
          </cell>
          <cell r="F11">
            <v>1.7993245137261494E-3</v>
          </cell>
          <cell r="G11">
            <v>3478.6940598705551</v>
          </cell>
          <cell r="H11">
            <v>0.20632823605400682</v>
          </cell>
        </row>
        <row r="12">
          <cell r="B12" t="str">
            <v>Union</v>
          </cell>
          <cell r="C12">
            <v>26295</v>
          </cell>
          <cell r="D12">
            <v>7.9414476717381277E-2</v>
          </cell>
          <cell r="E12">
            <v>2088.2036652835409</v>
          </cell>
          <cell r="F12">
            <v>3.1551231060799752E-3</v>
          </cell>
          <cell r="G12">
            <v>6099.904671754618</v>
          </cell>
          <cell r="H12">
            <v>0.23197964144341579</v>
          </cell>
        </row>
        <row r="13">
          <cell r="B13" t="str">
            <v>Columbia</v>
          </cell>
          <cell r="C13">
            <v>53014</v>
          </cell>
          <cell r="D13">
            <v>7.1640675699592926E-2</v>
          </cell>
          <cell r="E13">
            <v>3797.9587815382192</v>
          </cell>
          <cell r="F13">
            <v>5.7384381163527471E-3</v>
          </cell>
          <cell r="G13">
            <v>11094.313691615309</v>
          </cell>
          <cell r="H13">
            <v>0.20927139419050267</v>
          </cell>
        </row>
        <row r="14">
          <cell r="B14" t="str">
            <v>Douglas</v>
          </cell>
          <cell r="C14">
            <v>111694</v>
          </cell>
          <cell r="D14">
            <v>7.483175318261126E-2</v>
          </cell>
          <cell r="E14">
            <v>8358.2578399785816</v>
          </cell>
          <cell r="F14">
            <v>1.262871666969791E-2</v>
          </cell>
          <cell r="G14">
            <v>24415.51889474929</v>
          </cell>
          <cell r="H14">
            <v>0.21859293153391668</v>
          </cell>
        </row>
        <row r="15">
          <cell r="B15" t="str">
            <v>Crook</v>
          </cell>
          <cell r="C15">
            <v>25482</v>
          </cell>
          <cell r="D15">
            <v>7.2167256122129209E-2</v>
          </cell>
          <cell r="E15">
            <v>1838.9660205040966</v>
          </cell>
          <cell r="F15">
            <v>2.7785432422371436E-3</v>
          </cell>
          <cell r="G15">
            <v>5371.8502683251436</v>
          </cell>
          <cell r="H15">
            <v>0.21080960161388995</v>
          </cell>
        </row>
        <row r="16">
          <cell r="B16" t="str">
            <v>Deschutes</v>
          </cell>
          <cell r="C16">
            <v>203390</v>
          </cell>
          <cell r="D16">
            <v>6.5085252435783877E-2</v>
          </cell>
          <cell r="E16">
            <v>13237.689492914084</v>
          </cell>
          <cell r="F16">
            <v>2.0001181247105121E-2</v>
          </cell>
          <cell r="G16">
            <v>38668.950411069891</v>
          </cell>
          <cell r="H16">
            <v>0.19012218108594273</v>
          </cell>
        </row>
        <row r="17">
          <cell r="B17" t="str">
            <v>Josephine</v>
          </cell>
          <cell r="C17">
            <v>88728</v>
          </cell>
          <cell r="D17">
            <v>7.9491348954738486E-2</v>
          </cell>
          <cell r="E17">
            <v>7053.1084100560365</v>
          </cell>
          <cell r="F17">
            <v>1.0656731277805309E-2</v>
          </cell>
          <cell r="G17">
            <v>20603.013803756927</v>
          </cell>
          <cell r="H17">
            <v>0.23220419488500729</v>
          </cell>
        </row>
        <row r="18">
          <cell r="B18" t="str">
            <v>Curry</v>
          </cell>
          <cell r="C18">
            <v>23662</v>
          </cell>
          <cell r="D18">
            <v>9.2726707246634385E-2</v>
          </cell>
          <cell r="E18">
            <v>2194.099346869863</v>
          </cell>
          <cell r="F18">
            <v>3.3151237407698518E-3</v>
          </cell>
          <cell r="G18">
            <v>6409.239232155046</v>
          </cell>
          <cell r="H18">
            <v>0.27086633556567685</v>
          </cell>
        </row>
        <row r="19">
          <cell r="B19" t="str">
            <v>Harney</v>
          </cell>
          <cell r="C19">
            <v>7537</v>
          </cell>
          <cell r="D19">
            <v>9.0896513558384059E-2</v>
          </cell>
          <cell r="E19">
            <v>685.08702268954062</v>
          </cell>
          <cell r="F19">
            <v>1.0351164165157273E-3</v>
          </cell>
          <cell r="G19">
            <v>2001.2250719304056</v>
          </cell>
          <cell r="H19">
            <v>0.26552011037951512</v>
          </cell>
        </row>
        <row r="20">
          <cell r="B20" t="str">
            <v>Clatsop</v>
          </cell>
          <cell r="C20">
            <v>41428</v>
          </cell>
          <cell r="D20">
            <v>8.7962242622270634E-2</v>
          </cell>
          <cell r="E20">
            <v>3644.0997873554279</v>
          </cell>
          <cell r="F20">
            <v>5.5059684220911797E-3</v>
          </cell>
          <cell r="G20">
            <v>10644.872282709612</v>
          </cell>
          <cell r="H20">
            <v>0.25694873715143407</v>
          </cell>
        </row>
        <row r="21">
          <cell r="B21" t="str">
            <v>Linn</v>
          </cell>
          <cell r="C21">
            <v>130440</v>
          </cell>
          <cell r="D21">
            <v>9.5881826320501337E-2</v>
          </cell>
          <cell r="E21">
            <v>12506.825425246194</v>
          </cell>
          <cell r="F21">
            <v>1.8896899061588774E-2</v>
          </cell>
          <cell r="G21">
            <v>36534.004852404956</v>
          </cell>
          <cell r="H21">
            <v>0.28008283388841582</v>
          </cell>
        </row>
        <row r="22">
          <cell r="B22" t="str">
            <v>Coos</v>
          </cell>
          <cell r="C22">
            <v>65154</v>
          </cell>
          <cell r="D22">
            <v>0.11684147343147785</v>
          </cell>
          <cell r="E22">
            <v>7612.6893599545083</v>
          </cell>
          <cell r="F22">
            <v>1.1502217191894594E-2</v>
          </cell>
          <cell r="G22">
            <v>22237.619904329546</v>
          </cell>
          <cell r="H22">
            <v>0.34130859048300249</v>
          </cell>
        </row>
        <row r="23">
          <cell r="B23" t="str">
            <v>Lake</v>
          </cell>
          <cell r="C23">
            <v>8177</v>
          </cell>
          <cell r="D23">
            <v>8.9506566364911389E-2</v>
          </cell>
          <cell r="E23">
            <v>731.89519316588041</v>
          </cell>
          <cell r="F23">
            <v>1.1058401407762041E-3</v>
          </cell>
          <cell r="G23">
            <v>2137.957605500661</v>
          </cell>
          <cell r="H23">
            <v>0.26145990039142242</v>
          </cell>
        </row>
        <row r="24">
          <cell r="B24" t="str">
            <v>Tillamook</v>
          </cell>
          <cell r="C24">
            <v>27628</v>
          </cell>
          <cell r="D24">
            <v>7.5088203712225798E-2</v>
          </cell>
          <cell r="E24">
            <v>2074.5368921613745</v>
          </cell>
          <cell r="F24">
            <v>3.1344736108318933E-3</v>
          </cell>
          <cell r="G24">
            <v>6059.9823142749929</v>
          </cell>
          <cell r="H24">
            <v>0.21934205567811615</v>
          </cell>
        </row>
        <row r="25">
          <cell r="B25" t="str">
            <v>Clackamas</v>
          </cell>
          <cell r="C25">
            <v>425316</v>
          </cell>
          <cell r="D25">
            <v>0.11963882618510158</v>
          </cell>
          <cell r="E25">
            <v>50884.306997742664</v>
          </cell>
          <cell r="F25">
            <v>7.6882468609040355E-2</v>
          </cell>
          <cell r="G25">
            <v>148639.43931081134</v>
          </cell>
          <cell r="H25">
            <v>0.34948000853673822</v>
          </cell>
        </row>
        <row r="26">
          <cell r="B26" t="str">
            <v>Lane</v>
          </cell>
          <cell r="C26">
            <v>382647</v>
          </cell>
          <cell r="D26">
            <v>0.1300198979619499</v>
          </cell>
          <cell r="E26">
            <v>49751.723895446245</v>
          </cell>
          <cell r="F26">
            <v>7.5171218324875208E-2</v>
          </cell>
          <cell r="G26">
            <v>145331.02209475872</v>
          </cell>
          <cell r="H26">
            <v>0.37980442050965701</v>
          </cell>
        </row>
        <row r="27">
          <cell r="B27" t="str">
            <v>Lincoln</v>
          </cell>
          <cell r="C27">
            <v>50903</v>
          </cell>
          <cell r="D27">
            <v>0.11814707295169274</v>
          </cell>
          <cell r="E27">
            <v>6014.040454460016</v>
          </cell>
          <cell r="F27">
            <v>9.0867755450424609E-3</v>
          </cell>
          <cell r="G27">
            <v>17567.766053748754</v>
          </cell>
          <cell r="H27">
            <v>0.34512241034415952</v>
          </cell>
        </row>
        <row r="28">
          <cell r="B28" t="str">
            <v>Jackson</v>
          </cell>
          <cell r="C28">
            <v>223827</v>
          </cell>
          <cell r="D28">
            <v>8.6331539621126913E-2</v>
          </cell>
          <cell r="E28">
            <v>19323.329518777973</v>
          </cell>
          <cell r="F28">
            <v>2.9196138511142462E-2</v>
          </cell>
          <cell r="G28">
            <v>56445.86778820875</v>
          </cell>
          <cell r="H28">
            <v>0.25218524926934083</v>
          </cell>
        </row>
        <row r="29">
          <cell r="B29" t="str">
            <v>Benton</v>
          </cell>
          <cell r="C29">
            <v>93976</v>
          </cell>
          <cell r="D29">
            <v>0.14361773223435065</v>
          </cell>
          <cell r="E29">
            <v>13496.620004455337</v>
          </cell>
          <cell r="F29">
            <v>2.0392406324148547E-2</v>
          </cell>
          <cell r="G29">
            <v>39425.318893353848</v>
          </cell>
          <cell r="H29">
            <v>0.41952539896733049</v>
          </cell>
        </row>
        <row r="30">
          <cell r="B30" t="str">
            <v>Klamath</v>
          </cell>
          <cell r="C30">
            <v>69822</v>
          </cell>
          <cell r="D30">
            <v>0.12005730659025787</v>
          </cell>
          <cell r="E30">
            <v>8382.6412607449856</v>
          </cell>
          <cell r="F30">
            <v>1.2665558236229163E-2</v>
          </cell>
          <cell r="G30">
            <v>24486.74592337638</v>
          </cell>
          <cell r="H30">
            <v>0.35070244225854857</v>
          </cell>
        </row>
        <row r="31">
          <cell r="B31" t="str">
            <v>Polk</v>
          </cell>
          <cell r="C31">
            <v>88916</v>
          </cell>
          <cell r="D31">
            <v>0.12019354759477814</v>
          </cell>
          <cell r="E31">
            <v>10687.129477937293</v>
          </cell>
          <cell r="F31">
            <v>1.6147471491450481E-2</v>
          </cell>
          <cell r="G31">
            <v>31218.444883470926</v>
          </cell>
          <cell r="H31">
            <v>0.35110041931115799</v>
          </cell>
        </row>
        <row r="32">
          <cell r="B32" t="str">
            <v>Yamhill</v>
          </cell>
          <cell r="C32">
            <v>108261</v>
          </cell>
          <cell r="D32">
            <v>0.11686572914659989</v>
          </cell>
          <cell r="E32">
            <v>12652.000703140051</v>
          </cell>
          <cell r="F32">
            <v>1.9116248295252863E-2</v>
          </cell>
          <cell r="G32">
            <v>36958.080037488864</v>
          </cell>
          <cell r="H32">
            <v>0.3413794444674339</v>
          </cell>
        </row>
        <row r="33">
          <cell r="B33" t="str">
            <v>Sherman, Wasco</v>
          </cell>
          <cell r="C33">
            <v>28489</v>
          </cell>
          <cell r="D33">
            <v>0.11961331608686772</v>
          </cell>
          <cell r="E33">
            <v>3407.6637619987746</v>
          </cell>
          <cell r="F33">
            <v>5.1487308694929774E-3</v>
          </cell>
          <cell r="G33">
            <v>9954.2130143530885</v>
          </cell>
          <cell r="H33">
            <v>0.34940549034199475</v>
          </cell>
        </row>
        <row r="34">
          <cell r="B34" t="str">
            <v>Multnomah</v>
          </cell>
          <cell r="C34">
            <v>820672</v>
          </cell>
          <cell r="D34">
            <v>0.22188526345181289</v>
          </cell>
          <cell r="E34">
            <v>182095.02292752618</v>
          </cell>
          <cell r="F34">
            <v>0.27513226985107769</v>
          </cell>
          <cell r="G34">
            <v>531922.38837875007</v>
          </cell>
          <cell r="H34">
            <v>0.64815466883084849</v>
          </cell>
        </row>
        <row r="35">
          <cell r="B35" t="str">
            <v>Washington</v>
          </cell>
          <cell r="C35">
            <v>605036</v>
          </cell>
          <cell r="D35">
            <v>0.2386094692353834</v>
          </cell>
          <cell r="E35">
            <v>144367.31882829944</v>
          </cell>
          <cell r="F35">
            <v>0.21812846657183407</v>
          </cell>
          <cell r="G35">
            <v>421715.03537221247</v>
          </cell>
          <cell r="H35">
            <v>0.69700817037698992</v>
          </cell>
        </row>
        <row r="36">
          <cell r="B36" t="str">
            <v>Umatilla</v>
          </cell>
          <cell r="C36">
            <v>80463</v>
          </cell>
          <cell r="D36">
            <v>0.14515331998231423</v>
          </cell>
          <cell r="E36">
            <v>11679.47158573695</v>
          </cell>
          <cell r="F36">
            <v>1.764682788350512E-2</v>
          </cell>
          <cell r="G36">
            <v>34117.200574776558</v>
          </cell>
          <cell r="H36">
            <v>0.42401104327177158</v>
          </cell>
        </row>
        <row r="37">
          <cell r="B37" t="str">
            <v>Marion</v>
          </cell>
          <cell r="C37">
            <v>347182</v>
          </cell>
          <cell r="D37">
            <v>0.18943058175608621</v>
          </cell>
          <cell r="E37">
            <v>65766.888235241524</v>
          </cell>
          <cell r="F37">
            <v>9.9368961052855281E-2</v>
          </cell>
          <cell r="G37">
            <v>192113.32470218686</v>
          </cell>
          <cell r="H37">
            <v>0.55335047526135239</v>
          </cell>
        </row>
        <row r="38">
          <cell r="B38" t="str">
            <v>Hood River</v>
          </cell>
          <cell r="C38">
            <v>23888</v>
          </cell>
          <cell r="D38">
            <v>0.13401928148372313</v>
          </cell>
          <cell r="E38">
            <v>3201.4525960831784</v>
          </cell>
          <cell r="F38">
            <v>4.8371608702976899E-3</v>
          </cell>
          <cell r="G38">
            <v>9351.8443492421993</v>
          </cell>
          <cell r="H38">
            <v>0.39148712111697082</v>
          </cell>
        </row>
        <row r="39">
          <cell r="B39" t="str">
            <v>Malheur</v>
          </cell>
          <cell r="C39">
            <v>31995</v>
          </cell>
          <cell r="D39">
            <v>0.10926357990207354</v>
          </cell>
          <cell r="E39">
            <v>3495.8882389668429</v>
          </cell>
          <cell r="F39">
            <v>5.282031605638355E-3</v>
          </cell>
          <cell r="G39">
            <v>10211.927770900818</v>
          </cell>
          <cell r="H39">
            <v>0.31917261356151955</v>
          </cell>
        </row>
        <row r="40">
          <cell r="B40" t="str">
            <v>Morrow</v>
          </cell>
          <cell r="C40">
            <v>12635</v>
          </cell>
          <cell r="D40">
            <v>0.11404369148461882</v>
          </cell>
          <cell r="E40">
            <v>1440.9420419081589</v>
          </cell>
          <cell r="F40">
            <v>2.1771581031724599E-3</v>
          </cell>
          <cell r="G40">
            <v>4209.172332800089</v>
          </cell>
          <cell r="H40">
            <v>0.33313591870202525</v>
          </cell>
        </row>
        <row r="41">
          <cell r="B41" t="str">
            <v>Jefferson</v>
          </cell>
          <cell r="C41">
            <v>24889</v>
          </cell>
          <cell r="D41">
            <v>0.28928833772631035</v>
          </cell>
          <cell r="E41">
            <v>7200.0974376701388</v>
          </cell>
          <cell r="F41">
            <v>1.0878820954725069E-2</v>
          </cell>
          <cell r="G41">
            <v>21032.38717913513</v>
          </cell>
          <cell r="H41">
            <v>0.84504749805677726</v>
          </cell>
        </row>
      </sheetData>
      <sheetData sheetId="8">
        <row r="6">
          <cell r="B6" t="str">
            <v>County Group</v>
          </cell>
          <cell r="C6" t="str">
            <v>County Population</v>
          </cell>
          <cell r="D6" t="str">
            <v>Rank</v>
          </cell>
          <cell r="E6" t="str">
            <v>Weight</v>
          </cell>
          <cell r="F6" t="str">
            <v>Weighted Average</v>
          </cell>
          <cell r="G6" t="str">
            <v>Weighted Payout</v>
          </cell>
          <cell r="H6" t="str">
            <v>Weighted Per Capita</v>
          </cell>
        </row>
        <row r="7">
          <cell r="B7" t="str">
            <v>Multnomah</v>
          </cell>
          <cell r="C7">
            <v>820672</v>
          </cell>
          <cell r="D7">
            <v>1.2999999999999999E-2</v>
          </cell>
          <cell r="E7">
            <v>10668.735999999999</v>
          </cell>
          <cell r="F7">
            <v>1.3306901888556039E-2</v>
          </cell>
          <cell r="G7">
            <v>25726.676984541671</v>
          </cell>
          <cell r="H7">
            <v>3.1348306003545476E-2</v>
          </cell>
        </row>
        <row r="8">
          <cell r="B8" t="str">
            <v>Washington</v>
          </cell>
          <cell r="C8">
            <v>605036</v>
          </cell>
          <cell r="D8">
            <v>5.6000000000000001E-2</v>
          </cell>
          <cell r="E8">
            <v>33882.016000000003</v>
          </cell>
          <cell r="F8">
            <v>4.2260363617441281E-2</v>
          </cell>
          <cell r="G8">
            <v>81703.369660386466</v>
          </cell>
          <cell r="H8">
            <v>0.13503885663065746</v>
          </cell>
        </row>
        <row r="9">
          <cell r="B9" t="str">
            <v>Gilliam</v>
          </cell>
          <cell r="C9">
            <v>2039</v>
          </cell>
          <cell r="D9">
            <v>1</v>
          </cell>
          <cell r="E9">
            <v>2039</v>
          </cell>
          <cell r="F9">
            <v>2.5432040825422771E-3</v>
          </cell>
          <cell r="G9">
            <v>4916.8612262484021</v>
          </cell>
          <cell r="H9">
            <v>2.4114081541188828</v>
          </cell>
        </row>
        <row r="10">
          <cell r="B10" t="str">
            <v>Marion</v>
          </cell>
          <cell r="C10">
            <v>347182</v>
          </cell>
          <cell r="D10">
            <v>0.13100000000000001</v>
          </cell>
          <cell r="E10">
            <v>45480.842000000004</v>
          </cell>
          <cell r="F10">
            <v>5.6727348235340987E-2</v>
          </cell>
          <cell r="G10">
            <v>109672.87325499256</v>
          </cell>
          <cell r="H10">
            <v>0.31589446818957367</v>
          </cell>
        </row>
        <row r="11">
          <cell r="B11" t="str">
            <v>Lane</v>
          </cell>
          <cell r="C11">
            <v>382647</v>
          </cell>
          <cell r="D11">
            <v>0.17499999999999999</v>
          </cell>
          <cell r="E11">
            <v>66963.224999999991</v>
          </cell>
          <cell r="F11">
            <v>8.3521896616084876E-2</v>
          </cell>
          <cell r="G11">
            <v>161475.66679109741</v>
          </cell>
          <cell r="H11">
            <v>0.42199642697080442</v>
          </cell>
        </row>
        <row r="12">
          <cell r="B12" t="str">
            <v>Clackamas</v>
          </cell>
          <cell r="C12">
            <v>425316</v>
          </cell>
          <cell r="D12">
            <v>0.18099999999999999</v>
          </cell>
          <cell r="E12">
            <v>76982.195999999996</v>
          </cell>
          <cell r="F12">
            <v>9.6018359563643824E-2</v>
          </cell>
          <cell r="G12">
            <v>185635.49515637802</v>
          </cell>
          <cell r="H12">
            <v>0.43646487589551775</v>
          </cell>
        </row>
        <row r="13">
          <cell r="B13" t="str">
            <v>Benton</v>
          </cell>
          <cell r="C13">
            <v>93976</v>
          </cell>
          <cell r="D13">
            <v>0.188</v>
          </cell>
          <cell r="E13">
            <v>17667.488000000001</v>
          </cell>
          <cell r="F13">
            <v>2.2036305841033201E-2</v>
          </cell>
          <cell r="G13">
            <v>42603.524625997517</v>
          </cell>
          <cell r="H13">
            <v>0.45334473297435002</v>
          </cell>
        </row>
        <row r="14">
          <cell r="B14" t="str">
            <v>Polk</v>
          </cell>
          <cell r="C14">
            <v>88916</v>
          </cell>
          <cell r="D14">
            <v>0.19900000000000001</v>
          </cell>
          <cell r="E14">
            <v>17694.284</v>
          </cell>
          <cell r="F14">
            <v>2.2069727958049287E-2</v>
          </cell>
          <cell r="G14">
            <v>42668.14071889528</v>
          </cell>
          <cell r="H14">
            <v>0.47987022266965768</v>
          </cell>
        </row>
        <row r="15">
          <cell r="B15" t="str">
            <v>Jackson</v>
          </cell>
          <cell r="C15">
            <v>223827</v>
          </cell>
          <cell r="D15">
            <v>0.20100000000000001</v>
          </cell>
          <cell r="E15">
            <v>44989.227000000006</v>
          </cell>
          <cell r="F15">
            <v>5.6114166638951087E-2</v>
          </cell>
          <cell r="G15">
            <v>108487.38883530542</v>
          </cell>
          <cell r="H15">
            <v>0.48469303897789551</v>
          </cell>
        </row>
        <row r="16">
          <cell r="B16" t="str">
            <v>Yamhill</v>
          </cell>
          <cell r="C16">
            <v>108261</v>
          </cell>
          <cell r="D16">
            <v>0.22600000000000001</v>
          </cell>
          <cell r="E16">
            <v>24466.986000000001</v>
          </cell>
          <cell r="F16">
            <v>3.0517184248506496E-2</v>
          </cell>
          <cell r="G16">
            <v>58999.889547112551</v>
          </cell>
          <cell r="H16">
            <v>0.54497824283086749</v>
          </cell>
        </row>
        <row r="17">
          <cell r="B17" t="str">
            <v>Deschutes</v>
          </cell>
          <cell r="C17">
            <v>203390</v>
          </cell>
          <cell r="D17">
            <v>0.27600000000000002</v>
          </cell>
          <cell r="E17">
            <v>56135.640000000007</v>
          </cell>
          <cell r="F17">
            <v>7.0016865534145947E-2</v>
          </cell>
          <cell r="G17">
            <v>135365.94003268215</v>
          </cell>
          <cell r="H17">
            <v>0.66554865053681178</v>
          </cell>
        </row>
        <row r="18">
          <cell r="B18" t="str">
            <v>Umatilla</v>
          </cell>
          <cell r="C18">
            <v>80463</v>
          </cell>
          <cell r="D18">
            <v>0.29099999999999998</v>
          </cell>
          <cell r="E18">
            <v>23414.733</v>
          </cell>
          <cell r="F18">
            <v>2.9204730042784396E-2</v>
          </cell>
          <cell r="G18">
            <v>56462.478082716487</v>
          </cell>
          <cell r="H18">
            <v>0.70171977284859488</v>
          </cell>
        </row>
        <row r="19">
          <cell r="B19" t="str">
            <v>Linn</v>
          </cell>
          <cell r="C19">
            <v>130440</v>
          </cell>
          <cell r="D19">
            <v>0.316</v>
          </cell>
          <cell r="E19">
            <v>41219.040000000001</v>
          </cell>
          <cell r="F19">
            <v>5.1411687497044348E-2</v>
          </cell>
          <cell r="G19">
            <v>99395.929160952393</v>
          </cell>
          <cell r="H19">
            <v>0.76200497670156697</v>
          </cell>
        </row>
        <row r="20">
          <cell r="B20" t="str">
            <v>Klamath</v>
          </cell>
          <cell r="C20">
            <v>69822</v>
          </cell>
          <cell r="D20">
            <v>0.376</v>
          </cell>
          <cell r="E20">
            <v>26253.072</v>
          </cell>
          <cell r="F20">
            <v>3.274493373696731E-2</v>
          </cell>
          <cell r="G20">
            <v>63306.871891470124</v>
          </cell>
          <cell r="H20">
            <v>0.90668946594869992</v>
          </cell>
        </row>
        <row r="21">
          <cell r="B21" t="str">
            <v>Lincoln</v>
          </cell>
          <cell r="C21">
            <v>50903</v>
          </cell>
          <cell r="D21">
            <v>0.376</v>
          </cell>
          <cell r="E21">
            <v>19139.527999999998</v>
          </cell>
          <cell r="F21">
            <v>2.3872352009579316E-2</v>
          </cell>
          <cell r="G21">
            <v>46153.213885186669</v>
          </cell>
          <cell r="H21">
            <v>0.90668946594869981</v>
          </cell>
        </row>
        <row r="22">
          <cell r="B22" t="str">
            <v>Coos</v>
          </cell>
          <cell r="C22">
            <v>65154</v>
          </cell>
          <cell r="D22">
            <v>0.38400000000000001</v>
          </cell>
          <cell r="E22">
            <v>25019.136000000002</v>
          </cell>
          <cell r="F22">
            <v>3.1205869944522052E-2</v>
          </cell>
          <cell r="G22">
            <v>60331.348559409293</v>
          </cell>
          <cell r="H22">
            <v>0.92598073118165103</v>
          </cell>
        </row>
        <row r="23">
          <cell r="B23" t="str">
            <v>Curry</v>
          </cell>
          <cell r="C23">
            <v>23662</v>
          </cell>
          <cell r="D23">
            <v>0.38700000000000001</v>
          </cell>
          <cell r="E23">
            <v>9157.1939999999995</v>
          </cell>
          <cell r="F23">
            <v>1.1421585662300953E-2</v>
          </cell>
          <cell r="G23">
            <v>22081.732280448505</v>
          </cell>
          <cell r="H23">
            <v>0.93321495564400747</v>
          </cell>
        </row>
        <row r="24">
          <cell r="B24" t="str">
            <v>Clatsop</v>
          </cell>
          <cell r="C24">
            <v>41428</v>
          </cell>
          <cell r="D24">
            <v>0.39</v>
          </cell>
          <cell r="E24">
            <v>16156.92</v>
          </cell>
          <cell r="F24">
            <v>2.0152204465575758E-2</v>
          </cell>
          <cell r="G24">
            <v>38960.928633446463</v>
          </cell>
          <cell r="H24">
            <v>0.94044918010636436</v>
          </cell>
        </row>
        <row r="25">
          <cell r="B25" t="str">
            <v>Baker</v>
          </cell>
          <cell r="C25">
            <v>16860</v>
          </cell>
          <cell r="D25">
            <v>0.41</v>
          </cell>
          <cell r="E25">
            <v>6912.5999999999995</v>
          </cell>
          <cell r="F25">
            <v>8.6219482790494094E-3</v>
          </cell>
          <cell r="G25">
            <v>16669.100006162189</v>
          </cell>
          <cell r="H25">
            <v>0.9886773431887419</v>
          </cell>
        </row>
        <row r="26">
          <cell r="B26" t="str">
            <v>Douglas</v>
          </cell>
          <cell r="C26">
            <v>111694</v>
          </cell>
          <cell r="D26">
            <v>0.41199999999999998</v>
          </cell>
          <cell r="E26">
            <v>46017.928</v>
          </cell>
          <cell r="F26">
            <v>5.7397244904235686E-2</v>
          </cell>
          <cell r="G26">
            <v>110968.00681485565</v>
          </cell>
          <cell r="H26">
            <v>0.99350015949697967</v>
          </cell>
        </row>
        <row r="27">
          <cell r="B27" t="str">
            <v>Sherman, Wasco</v>
          </cell>
          <cell r="C27">
            <v>28489</v>
          </cell>
          <cell r="D27">
            <v>0.41499999999999998</v>
          </cell>
          <cell r="E27">
            <v>11822.934999999999</v>
          </cell>
          <cell r="F27">
            <v>1.4746511309284933E-2</v>
          </cell>
          <cell r="G27">
            <v>28509.921864617532</v>
          </cell>
          <cell r="H27">
            <v>1.0007343839593363</v>
          </cell>
        </row>
        <row r="28">
          <cell r="B28" t="str">
            <v>Union</v>
          </cell>
          <cell r="C28">
            <v>26295</v>
          </cell>
          <cell r="D28">
            <v>0.42099999999999999</v>
          </cell>
          <cell r="E28">
            <v>11070.195</v>
          </cell>
          <cell r="F28">
            <v>1.3807633702079011E-2</v>
          </cell>
          <cell r="G28">
            <v>26694.758490686083</v>
          </cell>
          <cell r="H28">
            <v>1.0152028328840494</v>
          </cell>
        </row>
        <row r="29">
          <cell r="B29" t="str">
            <v>Columbia</v>
          </cell>
          <cell r="C29">
            <v>53014</v>
          </cell>
          <cell r="D29">
            <v>0.436</v>
          </cell>
          <cell r="E29">
            <v>23114.103999999999</v>
          </cell>
          <cell r="F29">
            <v>2.8829761479699255E-2</v>
          </cell>
          <cell r="G29">
            <v>55737.538860751883</v>
          </cell>
          <cell r="H29">
            <v>1.0513739551958328</v>
          </cell>
        </row>
        <row r="30">
          <cell r="B30" t="str">
            <v>Harney</v>
          </cell>
          <cell r="C30">
            <v>7537</v>
          </cell>
          <cell r="D30">
            <v>0.443</v>
          </cell>
          <cell r="E30">
            <v>3338.8910000000001</v>
          </cell>
          <cell r="F30">
            <v>4.1645322326452506E-3</v>
          </cell>
          <cell r="G30">
            <v>8051.4289831141496</v>
          </cell>
          <cell r="H30">
            <v>1.068253812274665</v>
          </cell>
        </row>
        <row r="31">
          <cell r="B31" t="str">
            <v>Josephine</v>
          </cell>
          <cell r="C31">
            <v>88728</v>
          </cell>
          <cell r="D31">
            <v>0.45</v>
          </cell>
          <cell r="E31">
            <v>39927.599999999999</v>
          </cell>
          <cell r="F31">
            <v>4.9800900110895059E-2</v>
          </cell>
          <cell r="G31">
            <v>96281.740214397098</v>
          </cell>
          <cell r="H31">
            <v>1.0851336693534972</v>
          </cell>
        </row>
        <row r="32">
          <cell r="B32" t="str">
            <v>Morrow</v>
          </cell>
          <cell r="C32">
            <v>12635</v>
          </cell>
          <cell r="D32">
            <v>0.45900000000000002</v>
          </cell>
          <cell r="E32">
            <v>5799.4650000000001</v>
          </cell>
          <cell r="F32">
            <v>7.2335571675140008E-3</v>
          </cell>
          <cell r="G32">
            <v>13984.877190527066</v>
          </cell>
          <cell r="H32">
            <v>1.1068363427405672</v>
          </cell>
        </row>
        <row r="33">
          <cell r="B33" t="str">
            <v>Crook</v>
          </cell>
          <cell r="C33">
            <v>25482</v>
          </cell>
          <cell r="D33">
            <v>0.48</v>
          </cell>
          <cell r="E33">
            <v>12231.359999999999</v>
          </cell>
          <cell r="F33">
            <v>1.525593167584321E-2</v>
          </cell>
          <cell r="G33">
            <v>29494.801239963534</v>
          </cell>
          <cell r="H33">
            <v>1.1574759139770636</v>
          </cell>
        </row>
        <row r="34">
          <cell r="B34" t="str">
            <v>Malheur</v>
          </cell>
          <cell r="C34">
            <v>31995</v>
          </cell>
          <cell r="D34">
            <v>0.48399999999999999</v>
          </cell>
          <cell r="E34">
            <v>15485.58</v>
          </cell>
          <cell r="F34">
            <v>1.9314855456858772E-2</v>
          </cell>
          <cell r="G34">
            <v>37342.053883260283</v>
          </cell>
          <cell r="H34">
            <v>1.1671215465935392</v>
          </cell>
        </row>
        <row r="35">
          <cell r="B35" t="str">
            <v>Hood River</v>
          </cell>
          <cell r="C35">
            <v>23888</v>
          </cell>
          <cell r="D35">
            <v>0.52200000000000002</v>
          </cell>
          <cell r="E35">
            <v>12469.536</v>
          </cell>
          <cell r="F35">
            <v>1.5553003856109807E-2</v>
          </cell>
          <cell r="G35">
            <v>30069.140788478955</v>
          </cell>
          <cell r="H35">
            <v>1.2587550564500567</v>
          </cell>
        </row>
        <row r="36">
          <cell r="B36" t="str">
            <v>Jefferson</v>
          </cell>
          <cell r="C36">
            <v>24889</v>
          </cell>
          <cell r="D36">
            <v>0.63100000000000001</v>
          </cell>
          <cell r="E36">
            <v>15704.959000000001</v>
          </cell>
          <cell r="F36">
            <v>1.9588482513466936E-2</v>
          </cell>
          <cell r="G36">
            <v>37871.066192702739</v>
          </cell>
          <cell r="H36">
            <v>1.5215985452490153</v>
          </cell>
        </row>
        <row r="37">
          <cell r="B37" t="str">
            <v>Lake</v>
          </cell>
          <cell r="C37">
            <v>8177</v>
          </cell>
          <cell r="D37">
            <v>0.63300000000000001</v>
          </cell>
          <cell r="E37">
            <v>5176.0410000000002</v>
          </cell>
          <cell r="F37">
            <v>6.45597283109672E-3</v>
          </cell>
          <cell r="G37">
            <v>12481.547473453656</v>
          </cell>
          <cell r="H37">
            <v>1.5264213615572528</v>
          </cell>
        </row>
        <row r="38">
          <cell r="B38" t="str">
            <v>Tillamook</v>
          </cell>
          <cell r="C38">
            <v>27628</v>
          </cell>
          <cell r="D38">
            <v>0.69599999999999995</v>
          </cell>
          <cell r="E38">
            <v>19229.088</v>
          </cell>
          <cell r="F38">
            <v>2.3984058413518739E-2</v>
          </cell>
          <cell r="G38">
            <v>46369.179599469557</v>
          </cell>
          <cell r="H38">
            <v>1.6783400752667423</v>
          </cell>
        </row>
        <row r="39">
          <cell r="B39" t="str">
            <v>Grant</v>
          </cell>
          <cell r="C39">
            <v>7226</v>
          </cell>
          <cell r="D39">
            <v>1</v>
          </cell>
          <cell r="E39">
            <v>7226</v>
          </cell>
          <cell r="F39">
            <v>9.0128458560326113E-3</v>
          </cell>
          <cell r="G39">
            <v>17424.835321663046</v>
          </cell>
          <cell r="H39">
            <v>2.4114081541188828</v>
          </cell>
        </row>
        <row r="40">
          <cell r="B40" t="str">
            <v>Wallowa</v>
          </cell>
          <cell r="C40">
            <v>7433</v>
          </cell>
          <cell r="D40">
            <v>1</v>
          </cell>
          <cell r="E40">
            <v>7433</v>
          </cell>
          <cell r="F40">
            <v>9.2710328325339604E-3</v>
          </cell>
          <cell r="G40">
            <v>17923.996809565655</v>
          </cell>
          <cell r="H40">
            <v>2.4114081541188828</v>
          </cell>
        </row>
        <row r="41">
          <cell r="B41" t="str">
            <v>Wheeler</v>
          </cell>
          <cell r="C41">
            <v>1456</v>
          </cell>
          <cell r="D41">
            <v>1</v>
          </cell>
          <cell r="E41">
            <v>1456</v>
          </cell>
          <cell r="F41">
            <v>1.8160397960674624E-3</v>
          </cell>
          <cell r="G41">
            <v>3511.0102723970936</v>
          </cell>
          <cell r="H41">
            <v>2.4114081541188828</v>
          </cell>
        </row>
      </sheetData>
      <sheetData sheetId="9">
        <row r="6">
          <cell r="B6" t="str">
            <v>County Group</v>
          </cell>
          <cell r="C6" t="str">
            <v>County Population</v>
          </cell>
          <cell r="D6" t="str">
            <v>Rank</v>
          </cell>
          <cell r="E6" t="str">
            <v>Weight</v>
          </cell>
          <cell r="F6" t="str">
            <v>Weighted Average</v>
          </cell>
          <cell r="G6" t="str">
            <v>Weighted Payout</v>
          </cell>
          <cell r="H6" t="str">
            <v>Weighted Per Capita</v>
          </cell>
        </row>
        <row r="7">
          <cell r="B7" t="str">
            <v>Clackamas</v>
          </cell>
          <cell r="C7">
            <v>425316</v>
          </cell>
          <cell r="D7">
            <v>0.13811687940583775</v>
          </cell>
          <cell r="E7">
            <v>58743.31868137329</v>
          </cell>
          <cell r="F7">
            <v>5.903798190841425E-2</v>
          </cell>
          <cell r="G7">
            <v>57070.049178133762</v>
          </cell>
          <cell r="H7">
            <v>0.13418269987052864</v>
          </cell>
        </row>
        <row r="8">
          <cell r="B8" t="str">
            <v>Washington</v>
          </cell>
          <cell r="C8">
            <v>605036</v>
          </cell>
          <cell r="D8">
            <v>0.16330220782308263</v>
          </cell>
          <cell r="E8">
            <v>98803.714612446624</v>
          </cell>
          <cell r="F8">
            <v>9.9299325382230547E-2</v>
          </cell>
          <cell r="G8">
            <v>95989.347869489517</v>
          </cell>
          <cell r="H8">
            <v>0.15865063875453611</v>
          </cell>
        </row>
        <row r="9">
          <cell r="B9" t="str">
            <v>Gilliam</v>
          </cell>
          <cell r="C9">
            <v>2039</v>
          </cell>
          <cell r="D9">
            <v>0.2425039452919516</v>
          </cell>
          <cell r="E9">
            <v>494.46554445028931</v>
          </cell>
          <cell r="F9">
            <v>4.9694584035897939E-4</v>
          </cell>
          <cell r="G9">
            <v>480.38097901368002</v>
          </cell>
          <cell r="H9">
            <v>0.23559636047752822</v>
          </cell>
        </row>
        <row r="10">
          <cell r="B10" t="str">
            <v>Deschutes</v>
          </cell>
          <cell r="C10">
            <v>203390</v>
          </cell>
          <cell r="D10">
            <v>0.18767801513128615</v>
          </cell>
          <cell r="E10">
            <v>38171.831497552288</v>
          </cell>
          <cell r="F10">
            <v>3.8363305784392315E-2</v>
          </cell>
          <cell r="G10">
            <v>37084.528924912564</v>
          </cell>
          <cell r="H10">
            <v>0.18233211527072404</v>
          </cell>
        </row>
        <row r="11">
          <cell r="B11" t="str">
            <v>Columbia</v>
          </cell>
          <cell r="C11">
            <v>53014</v>
          </cell>
          <cell r="D11">
            <v>0.21043750992536128</v>
          </cell>
          <cell r="E11">
            <v>11156.134151183103</v>
          </cell>
          <cell r="F11">
            <v>1.1212094600202335E-2</v>
          </cell>
          <cell r="G11">
            <v>10838.358113528922</v>
          </cell>
          <cell r="H11">
            <v>0.2044433190011869</v>
          </cell>
        </row>
        <row r="12">
          <cell r="B12" t="str">
            <v>Polk</v>
          </cell>
          <cell r="C12">
            <v>88916</v>
          </cell>
          <cell r="D12">
            <v>0.23463420155701728</v>
          </cell>
          <cell r="E12">
            <v>20862.734665643748</v>
          </cell>
          <cell r="F12">
            <v>2.0967384536632858E-2</v>
          </cell>
          <cell r="G12">
            <v>20268.471718745091</v>
          </cell>
          <cell r="H12">
            <v>0.22795078184741882</v>
          </cell>
        </row>
        <row r="13">
          <cell r="B13" t="str">
            <v>Hood River</v>
          </cell>
          <cell r="C13">
            <v>23888</v>
          </cell>
          <cell r="D13">
            <v>0.2071000743234381</v>
          </cell>
          <cell r="E13">
            <v>4947.2065754382893</v>
          </cell>
          <cell r="F13">
            <v>4.9720223312906923E-3</v>
          </cell>
          <cell r="G13">
            <v>4806.2882535810022</v>
          </cell>
          <cell r="H13">
            <v>0.20120094832472379</v>
          </cell>
        </row>
        <row r="14">
          <cell r="B14" t="str">
            <v>Yamhill</v>
          </cell>
          <cell r="C14">
            <v>108261</v>
          </cell>
          <cell r="D14">
            <v>0.21567317522496532</v>
          </cell>
          <cell r="E14">
            <v>23348.993623029972</v>
          </cell>
          <cell r="F14">
            <v>2.3466114854236515E-2</v>
          </cell>
          <cell r="G14">
            <v>22683.911025761961</v>
          </cell>
          <cell r="H14">
            <v>0.20952984939878591</v>
          </cell>
        </row>
        <row r="15">
          <cell r="B15" t="str">
            <v>Multnomah</v>
          </cell>
          <cell r="C15">
            <v>820672</v>
          </cell>
          <cell r="D15">
            <v>0.23381795591069882</v>
          </cell>
          <cell r="E15">
            <v>191887.84951314502</v>
          </cell>
          <cell r="F15">
            <v>0.19285038098458232</v>
          </cell>
          <cell r="G15">
            <v>186422.03495176288</v>
          </cell>
          <cell r="H15">
            <v>0.22715778648688256</v>
          </cell>
        </row>
        <row r="16">
          <cell r="B16" t="str">
            <v>Wallowa</v>
          </cell>
          <cell r="C16">
            <v>7433</v>
          </cell>
          <cell r="D16">
            <v>0.25040316669110102</v>
          </cell>
          <cell r="E16">
            <v>1861.246738014954</v>
          </cell>
          <cell r="F16">
            <v>1.8705829652226422E-3</v>
          </cell>
          <cell r="G16">
            <v>1808.2301997152206</v>
          </cell>
          <cell r="H16">
            <v>0.24327057711761343</v>
          </cell>
        </row>
        <row r="17">
          <cell r="B17" t="str">
            <v>Clatsop</v>
          </cell>
          <cell r="C17">
            <v>41428</v>
          </cell>
          <cell r="D17">
            <v>0.22943563260789376</v>
          </cell>
          <cell r="E17">
            <v>9505.059387679823</v>
          </cell>
          <cell r="F17">
            <v>9.5527378562318185E-3</v>
          </cell>
          <cell r="G17">
            <v>9234.31326102409</v>
          </cell>
          <cell r="H17">
            <v>0.22290029113218332</v>
          </cell>
        </row>
        <row r="18">
          <cell r="B18" t="str">
            <v>Sherman, Wasco</v>
          </cell>
          <cell r="C18">
            <v>28489</v>
          </cell>
          <cell r="D18">
            <v>0.23854671280276818</v>
          </cell>
          <cell r="E18">
            <v>6795.9573010380627</v>
          </cell>
          <cell r="F18">
            <v>6.830046602666018E-3</v>
          </cell>
          <cell r="G18">
            <v>6602.3783825771498</v>
          </cell>
          <cell r="H18">
            <v>0.23175184747015162</v>
          </cell>
        </row>
        <row r="19">
          <cell r="B19" t="str">
            <v>Morrow</v>
          </cell>
          <cell r="C19">
            <v>12635</v>
          </cell>
          <cell r="D19">
            <v>0.29377013963480131</v>
          </cell>
          <cell r="E19">
            <v>3711.7857142857147</v>
          </cell>
          <cell r="F19">
            <v>3.7304044573395144E-3</v>
          </cell>
          <cell r="G19">
            <v>3606.0576420948632</v>
          </cell>
          <cell r="H19">
            <v>0.28540226688522857</v>
          </cell>
        </row>
        <row r="20">
          <cell r="B20" t="str">
            <v>Tillamook</v>
          </cell>
          <cell r="C20">
            <v>27628</v>
          </cell>
          <cell r="D20">
            <v>0.25437453094758461</v>
          </cell>
          <cell r="E20">
            <v>7027.8595410198677</v>
          </cell>
          <cell r="F20">
            <v>7.0631120908933248E-3</v>
          </cell>
          <cell r="G20">
            <v>6827.6750211968792</v>
          </cell>
          <cell r="H20">
            <v>0.24712881935706094</v>
          </cell>
        </row>
        <row r="21">
          <cell r="B21" t="str">
            <v>Baker</v>
          </cell>
          <cell r="C21">
            <v>16860</v>
          </cell>
          <cell r="D21">
            <v>0.26671850699844479</v>
          </cell>
          <cell r="E21">
            <v>4496.8740279937792</v>
          </cell>
          <cell r="F21">
            <v>4.5194308641145391E-3</v>
          </cell>
          <cell r="G21">
            <v>4368.7831686440541</v>
          </cell>
          <cell r="H21">
            <v>0.25912118437983711</v>
          </cell>
        </row>
        <row r="22">
          <cell r="B22" t="str">
            <v>Curry</v>
          </cell>
          <cell r="C22">
            <v>23662</v>
          </cell>
          <cell r="D22">
            <v>0.24108864278348205</v>
          </cell>
          <cell r="E22">
            <v>5704.6394655427521</v>
          </cell>
          <cell r="F22">
            <v>5.7332545916839832E-3</v>
          </cell>
          <cell r="G22">
            <v>5542.146105294516</v>
          </cell>
          <cell r="H22">
            <v>0.23422137204355151</v>
          </cell>
        </row>
        <row r="23">
          <cell r="B23" t="str">
            <v>Linn</v>
          </cell>
          <cell r="C23">
            <v>130440</v>
          </cell>
          <cell r="D23">
            <v>0.25578581775085596</v>
          </cell>
          <cell r="E23">
            <v>33364.702067421655</v>
          </cell>
          <cell r="F23">
            <v>3.3532063241443373E-2</v>
          </cell>
          <cell r="G23">
            <v>32414.327800061921</v>
          </cell>
          <cell r="H23">
            <v>0.24849990647088255</v>
          </cell>
        </row>
        <row r="24">
          <cell r="B24" t="str">
            <v>Harney</v>
          </cell>
          <cell r="C24">
            <v>7537</v>
          </cell>
          <cell r="D24">
            <v>0.27595435976898153</v>
          </cell>
          <cell r="E24">
            <v>2079.8680095788136</v>
          </cell>
          <cell r="F24">
            <v>2.0903008661704871E-3</v>
          </cell>
          <cell r="G24">
            <v>2020.6241706314706</v>
          </cell>
          <cell r="H24">
            <v>0.26809395921871709</v>
          </cell>
        </row>
        <row r="25">
          <cell r="B25" t="str">
            <v>Grant</v>
          </cell>
          <cell r="C25">
            <v>7226</v>
          </cell>
          <cell r="D25">
            <v>0.27554486272289841</v>
          </cell>
          <cell r="E25">
            <v>1991.087178035664</v>
          </cell>
          <cell r="F25">
            <v>2.0010746997891106E-3</v>
          </cell>
          <cell r="G25">
            <v>1934.3722097961399</v>
          </cell>
          <cell r="H25">
            <v>0.26769612645947133</v>
          </cell>
        </row>
        <row r="26">
          <cell r="B26" t="str">
            <v>Douglas</v>
          </cell>
          <cell r="C26">
            <v>111694</v>
          </cell>
          <cell r="D26">
            <v>0.27764111677500819</v>
          </cell>
          <cell r="E26">
            <v>31010.846897067764</v>
          </cell>
          <cell r="F26">
            <v>3.116640086346055E-2</v>
          </cell>
          <cell r="G26">
            <v>30127.520834678526</v>
          </cell>
          <cell r="H26">
            <v>0.26973266992567663</v>
          </cell>
        </row>
        <row r="27">
          <cell r="B27" t="str">
            <v>Jackson</v>
          </cell>
          <cell r="C27">
            <v>223827</v>
          </cell>
          <cell r="D27">
            <v>0.26824137573224915</v>
          </cell>
          <cell r="E27">
            <v>60039.662406022129</v>
          </cell>
          <cell r="F27">
            <v>6.0340828241935617E-2</v>
          </cell>
          <cell r="G27">
            <v>58329.467300537755</v>
          </cell>
          <cell r="H27">
            <v>0.2606006750773488</v>
          </cell>
        </row>
        <row r="28">
          <cell r="B28" t="str">
            <v>Marion</v>
          </cell>
          <cell r="C28">
            <v>347182</v>
          </cell>
          <cell r="D28">
            <v>0.27417406553517121</v>
          </cell>
          <cell r="E28">
            <v>95188.300420631815</v>
          </cell>
          <cell r="F28">
            <v>9.5665775857976851E-2</v>
          </cell>
          <cell r="G28">
            <v>92476.916662710937</v>
          </cell>
          <cell r="H28">
            <v>0.2663643756378814</v>
          </cell>
        </row>
        <row r="29">
          <cell r="B29" t="str">
            <v>Umatilla</v>
          </cell>
          <cell r="C29">
            <v>80463</v>
          </cell>
          <cell r="D29">
            <v>0.2947186267045061</v>
          </cell>
          <cell r="E29">
            <v>23713.944860524676</v>
          </cell>
          <cell r="F29">
            <v>2.3832896729015028E-2</v>
          </cell>
          <cell r="G29">
            <v>23038.466838047858</v>
          </cell>
          <cell r="H29">
            <v>0.28632373684858703</v>
          </cell>
        </row>
        <row r="30">
          <cell r="B30" t="str">
            <v>Lincoln</v>
          </cell>
          <cell r="C30">
            <v>50903</v>
          </cell>
          <cell r="D30">
            <v>0.28095601322145947</v>
          </cell>
          <cell r="E30">
            <v>14301.503941011952</v>
          </cell>
          <cell r="F30">
            <v>1.4373241925814193E-2</v>
          </cell>
          <cell r="G30">
            <v>13894.133861620385</v>
          </cell>
          <cell r="H30">
            <v>0.27295314346149313</v>
          </cell>
        </row>
        <row r="31">
          <cell r="B31" t="str">
            <v>Benton</v>
          </cell>
          <cell r="C31">
            <v>93976</v>
          </cell>
          <cell r="D31">
            <v>0.2787920514707628</v>
          </cell>
          <cell r="E31">
            <v>26199.761829016406</v>
          </cell>
          <cell r="F31">
            <v>2.6331182840657181E-2</v>
          </cell>
          <cell r="G31">
            <v>25453.476745968605</v>
          </cell>
          <cell r="H31">
            <v>0.27085082091138807</v>
          </cell>
        </row>
        <row r="32">
          <cell r="B32" t="str">
            <v>Lane</v>
          </cell>
          <cell r="C32">
            <v>382647</v>
          </cell>
          <cell r="D32">
            <v>0.28730761886047818</v>
          </cell>
          <cell r="E32">
            <v>109937.39843410539</v>
          </cell>
          <cell r="F32">
            <v>0.11048885703947957</v>
          </cell>
          <cell r="G32">
            <v>106805.89513816357</v>
          </cell>
          <cell r="H32">
            <v>0.27912382728249163</v>
          </cell>
        </row>
        <row r="33">
          <cell r="B33" t="str">
            <v>Crook</v>
          </cell>
          <cell r="C33">
            <v>25482</v>
          </cell>
          <cell r="D33">
            <v>0.26902958152958151</v>
          </cell>
          <cell r="E33">
            <v>6855.4117965367959</v>
          </cell>
          <cell r="F33">
            <v>6.8897993287363127E-3</v>
          </cell>
          <cell r="G33">
            <v>6660.1393511117676</v>
          </cell>
          <cell r="H33">
            <v>0.2613664292878019</v>
          </cell>
        </row>
        <row r="34">
          <cell r="B34" t="str">
            <v>Jefferson</v>
          </cell>
          <cell r="C34">
            <v>24889</v>
          </cell>
          <cell r="D34">
            <v>0.30349789583239062</v>
          </cell>
          <cell r="E34">
            <v>7553.7591293723699</v>
          </cell>
          <cell r="F34">
            <v>7.5916496519256478E-3</v>
          </cell>
          <cell r="G34">
            <v>7338.5946635281252</v>
          </cell>
          <cell r="H34">
            <v>0.29485293356615877</v>
          </cell>
        </row>
        <row r="35">
          <cell r="B35" t="str">
            <v>Coos</v>
          </cell>
          <cell r="C35">
            <v>65154</v>
          </cell>
          <cell r="D35">
            <v>0.29889760747123673</v>
          </cell>
          <cell r="E35">
            <v>19474.374717180959</v>
          </cell>
          <cell r="F35">
            <v>1.9572060415360436E-2</v>
          </cell>
          <cell r="G35">
            <v>18919.658401515084</v>
          </cell>
          <cell r="H35">
            <v>0.29038368176190388</v>
          </cell>
        </row>
        <row r="36">
          <cell r="B36" t="str">
            <v>Klamath</v>
          </cell>
          <cell r="C36">
            <v>69822</v>
          </cell>
          <cell r="D36">
            <v>0.33197549770290963</v>
          </cell>
          <cell r="E36">
            <v>23179.193200612557</v>
          </cell>
          <cell r="F36">
            <v>2.3295462693416411E-2</v>
          </cell>
          <cell r="G36">
            <v>22518.947270302528</v>
          </cell>
          <cell r="H36">
            <v>0.32251936739569947</v>
          </cell>
        </row>
        <row r="37">
          <cell r="B37" t="str">
            <v>Wheeler</v>
          </cell>
          <cell r="C37">
            <v>1456</v>
          </cell>
          <cell r="D37">
            <v>0.3383084577114428</v>
          </cell>
          <cell r="E37">
            <v>492.57711442786069</v>
          </cell>
          <cell r="F37">
            <v>4.9504793775486929E-4</v>
          </cell>
          <cell r="G37">
            <v>478.54633982970688</v>
          </cell>
          <cell r="H37">
            <v>0.32867193669622724</v>
          </cell>
        </row>
        <row r="38">
          <cell r="B38" t="str">
            <v>Union</v>
          </cell>
          <cell r="C38">
            <v>26295</v>
          </cell>
          <cell r="D38">
            <v>0.30462135000395663</v>
          </cell>
          <cell r="E38">
            <v>8010.0183983540392</v>
          </cell>
          <cell r="F38">
            <v>8.0501975697542562E-3</v>
          </cell>
          <cell r="G38">
            <v>7781.8576507624466</v>
          </cell>
          <cell r="H38">
            <v>0.29594438679454066</v>
          </cell>
        </row>
        <row r="39">
          <cell r="B39" t="str">
            <v>Lake</v>
          </cell>
          <cell r="C39">
            <v>8177</v>
          </cell>
          <cell r="D39">
            <v>0.32648275862068965</v>
          </cell>
          <cell r="E39">
            <v>2669.6495172413793</v>
          </cell>
          <cell r="F39">
            <v>2.6830407855502995E-3</v>
          </cell>
          <cell r="G39">
            <v>2593.6060926986224</v>
          </cell>
          <cell r="H39">
            <v>0.31718308581369969</v>
          </cell>
        </row>
        <row r="40">
          <cell r="B40" t="str">
            <v>Josephine</v>
          </cell>
          <cell r="C40">
            <v>88728</v>
          </cell>
          <cell r="D40">
            <v>0.33520512729383611</v>
          </cell>
          <cell r="E40">
            <v>29742.080534527489</v>
          </cell>
          <cell r="F40">
            <v>2.9891270223260463E-2</v>
          </cell>
          <cell r="G40">
            <v>28894.894549151777</v>
          </cell>
          <cell r="H40">
            <v>0.32565700285312166</v>
          </cell>
        </row>
        <row r="41">
          <cell r="B41" t="str">
            <v>Malheur</v>
          </cell>
          <cell r="C41">
            <v>31995</v>
          </cell>
          <cell r="D41">
            <v>0.36521673972500096</v>
          </cell>
          <cell r="E41">
            <v>11685.109587501405</v>
          </cell>
          <cell r="F41">
            <v>1.1743723438006793E-2</v>
          </cell>
          <cell r="G41">
            <v>11352.265990073232</v>
          </cell>
          <cell r="H41">
            <v>0.35481375183851327</v>
          </cell>
        </row>
      </sheetData>
      <sheetData sheetId="10">
        <row r="6">
          <cell r="B6" t="str">
            <v>County Group</v>
          </cell>
          <cell r="C6" t="str">
            <v>County Population</v>
          </cell>
          <cell r="D6" t="str">
            <v>Rank</v>
          </cell>
          <cell r="E6" t="str">
            <v>Weight</v>
          </cell>
          <cell r="F6" t="str">
            <v>Weighted Average</v>
          </cell>
          <cell r="G6" t="str">
            <v>Weighted Payout</v>
          </cell>
          <cell r="H6" t="str">
            <v>Weighted Per Capita</v>
          </cell>
        </row>
        <row r="7">
          <cell r="B7" t="str">
            <v>Benton</v>
          </cell>
          <cell r="C7">
            <v>93976</v>
          </cell>
          <cell r="D7">
            <v>4.5600029431241265E-2</v>
          </cell>
          <cell r="E7">
            <v>4285.3083658303294</v>
          </cell>
          <cell r="F7">
            <v>1.0413715159290319E-2</v>
          </cell>
          <cell r="G7">
            <v>10066.591320647307</v>
          </cell>
          <cell r="H7">
            <v>0.10711874649535315</v>
          </cell>
        </row>
        <row r="8">
          <cell r="B8" t="str">
            <v>Clackamas</v>
          </cell>
          <cell r="C8">
            <v>425316</v>
          </cell>
          <cell r="D8">
            <v>6.7258416497069859E-2</v>
          </cell>
          <cell r="E8">
            <v>28606.080670867763</v>
          </cell>
          <cell r="F8">
            <v>6.9515551857462804E-2</v>
          </cell>
          <cell r="G8">
            <v>67198.366795547365</v>
          </cell>
          <cell r="H8">
            <v>0.1579963293070267</v>
          </cell>
        </row>
        <row r="9">
          <cell r="B9" t="str">
            <v>Gilliam</v>
          </cell>
          <cell r="C9">
            <v>2039</v>
          </cell>
          <cell r="D9">
            <v>9.668508287292818E-2</v>
          </cell>
          <cell r="E9">
            <v>197.14088397790056</v>
          </cell>
          <cell r="F9">
            <v>4.7907147788156198E-4</v>
          </cell>
          <cell r="G9">
            <v>463.10242861884319</v>
          </cell>
          <cell r="H9">
            <v>0.22712232889595055</v>
          </cell>
        </row>
        <row r="10">
          <cell r="B10" t="str">
            <v>Wallowa</v>
          </cell>
          <cell r="C10">
            <v>7433</v>
          </cell>
          <cell r="D10">
            <v>7.5023041474654384E-2</v>
          </cell>
          <cell r="E10">
            <v>557.64626728110602</v>
          </cell>
          <cell r="F10">
            <v>1.3551345414046317E-3</v>
          </cell>
          <cell r="G10">
            <v>1309.9633900244771</v>
          </cell>
          <cell r="H10">
            <v>0.17623616171458054</v>
          </cell>
        </row>
        <row r="11">
          <cell r="B11" t="str">
            <v>Deschutes</v>
          </cell>
          <cell r="C11">
            <v>203390</v>
          </cell>
          <cell r="D11">
            <v>6.4709260039046049E-2</v>
          </cell>
          <cell r="E11">
            <v>13161.216399341576</v>
          </cell>
          <cell r="F11">
            <v>3.1983032965695872E-2</v>
          </cell>
          <cell r="G11">
            <v>30916.931866839339</v>
          </cell>
          <cell r="H11">
            <v>0.1520081216718587</v>
          </cell>
        </row>
        <row r="12">
          <cell r="B12" t="str">
            <v>Union</v>
          </cell>
          <cell r="C12">
            <v>26295</v>
          </cell>
          <cell r="D12">
            <v>7.6918634867471275E-2</v>
          </cell>
          <cell r="E12">
            <v>2022.5755038401571</v>
          </cell>
          <cell r="F12">
            <v>4.9150547375062439E-3</v>
          </cell>
          <cell r="G12">
            <v>4751.2195795893685</v>
          </cell>
          <cell r="H12">
            <v>0.18068908840423534</v>
          </cell>
        </row>
        <row r="13">
          <cell r="B13" t="str">
            <v>Clatsop</v>
          </cell>
          <cell r="C13">
            <v>41428</v>
          </cell>
          <cell r="D13">
            <v>8.4374440665831399E-2</v>
          </cell>
          <cell r="E13">
            <v>3495.4643279040633</v>
          </cell>
          <cell r="F13">
            <v>8.4943175036133051E-3</v>
          </cell>
          <cell r="G13">
            <v>8211.1735868261931</v>
          </cell>
          <cell r="H13">
            <v>0.19820347559201973</v>
          </cell>
        </row>
        <row r="14">
          <cell r="B14" t="str">
            <v>Wheeler</v>
          </cell>
          <cell r="C14">
            <v>1456</v>
          </cell>
          <cell r="D14">
            <v>7.9234972677595633E-2</v>
          </cell>
          <cell r="E14">
            <v>115.36612021857924</v>
          </cell>
          <cell r="F14">
            <v>2.8035086682868024E-4</v>
          </cell>
          <cell r="G14">
            <v>271.00583793439085</v>
          </cell>
          <cell r="H14">
            <v>0.186130383196697</v>
          </cell>
        </row>
        <row r="15">
          <cell r="B15" t="str">
            <v>Lane</v>
          </cell>
          <cell r="C15">
            <v>382647</v>
          </cell>
          <cell r="D15">
            <v>8.6174325107355759E-2</v>
          </cell>
          <cell r="E15">
            <v>32974.346979354363</v>
          </cell>
          <cell r="F15">
            <v>8.0130862867336852E-2</v>
          </cell>
          <cell r="G15">
            <v>77459.834105092275</v>
          </cell>
          <cell r="H15">
            <v>0.20243157297742378</v>
          </cell>
        </row>
        <row r="16">
          <cell r="B16" t="str">
            <v>Polk</v>
          </cell>
          <cell r="C16">
            <v>88916</v>
          </cell>
          <cell r="D16">
            <v>9.566050387968196E-2</v>
          </cell>
          <cell r="E16">
            <v>8505.749362965802</v>
          </cell>
          <cell r="F16">
            <v>2.0669796318164891E-2</v>
          </cell>
          <cell r="G16">
            <v>19980.80310755939</v>
          </cell>
          <cell r="H16">
            <v>0.22471549673353941</v>
          </cell>
        </row>
        <row r="17">
          <cell r="B17" t="str">
            <v>Washington</v>
          </cell>
          <cell r="C17">
            <v>605036</v>
          </cell>
          <cell r="D17">
            <v>8.3950044504063362E-2</v>
          </cell>
          <cell r="E17">
            <v>50792.79912656048</v>
          </cell>
          <cell r="F17">
            <v>0.12343143062111056</v>
          </cell>
          <cell r="G17">
            <v>119317.04960040686</v>
          </cell>
          <cell r="H17">
            <v>0.19720652919893503</v>
          </cell>
        </row>
        <row r="18">
          <cell r="B18" t="str">
            <v>Multnomah</v>
          </cell>
          <cell r="C18">
            <v>820672</v>
          </cell>
          <cell r="D18">
            <v>8.7056662281201555E-2</v>
          </cell>
          <cell r="E18">
            <v>71444.965147638242</v>
          </cell>
          <cell r="F18">
            <v>0.17361819806140572</v>
          </cell>
          <cell r="G18">
            <v>167830.92479269215</v>
          </cell>
          <cell r="H18">
            <v>0.20450426576353545</v>
          </cell>
        </row>
        <row r="19">
          <cell r="B19" t="str">
            <v>Baker</v>
          </cell>
          <cell r="C19">
            <v>16860</v>
          </cell>
          <cell r="D19">
            <v>0.10388846896783405</v>
          </cell>
          <cell r="E19">
            <v>1751.559586797682</v>
          </cell>
          <cell r="F19">
            <v>4.256459760720404E-3</v>
          </cell>
          <cell r="G19">
            <v>4114.5777686963902</v>
          </cell>
          <cell r="H19">
            <v>0.24404375852291757</v>
          </cell>
        </row>
        <row r="20">
          <cell r="B20" t="str">
            <v>Columbia</v>
          </cell>
          <cell r="C20">
            <v>53014</v>
          </cell>
          <cell r="D20">
            <v>9.5876003321339609E-2</v>
          </cell>
          <cell r="E20">
            <v>5082.7704400774983</v>
          </cell>
          <cell r="F20">
            <v>1.2351625382452928E-2</v>
          </cell>
          <cell r="G20">
            <v>11939.904536371163</v>
          </cell>
          <cell r="H20">
            <v>0.22522172513621239</v>
          </cell>
        </row>
        <row r="21">
          <cell r="B21" t="str">
            <v>Tillamook</v>
          </cell>
          <cell r="C21">
            <v>27628</v>
          </cell>
          <cell r="D21">
            <v>9.6828904764352158E-2</v>
          </cell>
          <cell r="E21">
            <v>2675.1889808295214</v>
          </cell>
          <cell r="F21">
            <v>6.5009688137653687E-3</v>
          </cell>
          <cell r="G21">
            <v>6284.2698533065222</v>
          </cell>
          <cell r="H21">
            <v>0.22746018000964682</v>
          </cell>
        </row>
        <row r="22">
          <cell r="B22" t="str">
            <v>Curry</v>
          </cell>
          <cell r="C22">
            <v>23662</v>
          </cell>
          <cell r="D22">
            <v>0.10947055258663435</v>
          </cell>
          <cell r="E22">
            <v>2590.2922153049421</v>
          </cell>
          <cell r="F22">
            <v>6.2946614354755168E-3</v>
          </cell>
          <cell r="G22">
            <v>6084.8393876263317</v>
          </cell>
          <cell r="H22">
            <v>0.25715659655254552</v>
          </cell>
        </row>
        <row r="23">
          <cell r="B23" t="str">
            <v>Linn</v>
          </cell>
          <cell r="C23">
            <v>130440</v>
          </cell>
          <cell r="D23">
            <v>0.10089543820066277</v>
          </cell>
          <cell r="E23">
            <v>13160.800958894451</v>
          </cell>
          <cell r="F23">
            <v>3.1982023405096573E-2</v>
          </cell>
          <cell r="G23">
            <v>30915.955958260016</v>
          </cell>
          <cell r="H23">
            <v>0.23701284849938681</v>
          </cell>
        </row>
        <row r="24">
          <cell r="B24" t="str">
            <v>Grant</v>
          </cell>
          <cell r="C24">
            <v>7226</v>
          </cell>
          <cell r="D24">
            <v>0.11228389444949954</v>
          </cell>
          <cell r="E24">
            <v>811.36342129208367</v>
          </cell>
          <cell r="F24">
            <v>1.9716918454165612E-3</v>
          </cell>
          <cell r="G24">
            <v>1905.9687839026756</v>
          </cell>
          <cell r="H24">
            <v>0.26376540048473229</v>
          </cell>
        </row>
        <row r="25">
          <cell r="B25" t="str">
            <v>Harney</v>
          </cell>
          <cell r="C25">
            <v>7537</v>
          </cell>
          <cell r="D25">
            <v>0.1021883920076118</v>
          </cell>
          <cell r="E25">
            <v>770.1939105613701</v>
          </cell>
          <cell r="F25">
            <v>1.8716459394053314E-3</v>
          </cell>
          <cell r="G25">
            <v>1809.2577414251534</v>
          </cell>
          <cell r="H25">
            <v>0.24005011827320596</v>
          </cell>
        </row>
        <row r="26">
          <cell r="B26" t="str">
            <v>Lincoln</v>
          </cell>
          <cell r="C26">
            <v>50903</v>
          </cell>
          <cell r="D26">
            <v>9.4152142042677966E-2</v>
          </cell>
          <cell r="E26">
            <v>4792.6264863984361</v>
          </cell>
          <cell r="F26">
            <v>1.1646547420526929E-2</v>
          </cell>
          <cell r="G26">
            <v>11258.329173176029</v>
          </cell>
          <cell r="H26">
            <v>0.22117221329147652</v>
          </cell>
        </row>
        <row r="27">
          <cell r="B27" t="str">
            <v>Douglas</v>
          </cell>
          <cell r="C27">
            <v>111694</v>
          </cell>
          <cell r="D27">
            <v>0.10892266853651207</v>
          </cell>
          <cell r="E27">
            <v>12166.008539517179</v>
          </cell>
          <cell r="F27">
            <v>2.9564581295067945E-2</v>
          </cell>
          <cell r="G27">
            <v>28579.095251899009</v>
          </cell>
          <cell r="H27">
            <v>0.25586956552633988</v>
          </cell>
        </row>
        <row r="28">
          <cell r="B28" t="str">
            <v>Jackson</v>
          </cell>
          <cell r="C28">
            <v>223827</v>
          </cell>
          <cell r="D28">
            <v>0.10373965023348289</v>
          </cell>
          <cell r="E28">
            <v>23219.734692809776</v>
          </cell>
          <cell r="F28">
            <v>5.6426208459880618E-2</v>
          </cell>
          <cell r="G28">
            <v>54545.334844551253</v>
          </cell>
          <cell r="H28">
            <v>0.24369416935647287</v>
          </cell>
        </row>
        <row r="29">
          <cell r="B29" t="str">
            <v>Coos</v>
          </cell>
          <cell r="C29">
            <v>65154</v>
          </cell>
          <cell r="D29">
            <v>0.11153339844579388</v>
          </cell>
          <cell r="E29">
            <v>7266.8470423372546</v>
          </cell>
          <cell r="F29">
            <v>1.7659143460582349E-2</v>
          </cell>
          <cell r="G29">
            <v>17070.505345229602</v>
          </cell>
          <cell r="H29">
            <v>0.26200241497420884</v>
          </cell>
        </row>
        <row r="30">
          <cell r="B30" t="str">
            <v>Josephine</v>
          </cell>
          <cell r="C30">
            <v>88728</v>
          </cell>
          <cell r="D30">
            <v>9.7927181538266198E-2</v>
          </cell>
          <cell r="E30">
            <v>8688.8829635272832</v>
          </cell>
          <cell r="F30">
            <v>2.1114828738130077E-2</v>
          </cell>
          <cell r="G30">
            <v>20411.001113525737</v>
          </cell>
          <cell r="H30">
            <v>0.23004013517182556</v>
          </cell>
        </row>
        <row r="31">
          <cell r="B31" t="str">
            <v>Yamhill</v>
          </cell>
          <cell r="C31">
            <v>108261</v>
          </cell>
          <cell r="D31">
            <v>0.11749373577949944</v>
          </cell>
          <cell r="E31">
            <v>12719.989329224389</v>
          </cell>
          <cell r="F31">
            <v>3.091080837028375E-2</v>
          </cell>
          <cell r="G31">
            <v>29880.448091274287</v>
          </cell>
          <cell r="H31">
            <v>0.2760038064609997</v>
          </cell>
        </row>
        <row r="32">
          <cell r="B32" t="str">
            <v>Klamath</v>
          </cell>
          <cell r="C32">
            <v>69822</v>
          </cell>
          <cell r="D32">
            <v>0.12596828136800087</v>
          </cell>
          <cell r="E32">
            <v>8795.3573416765557</v>
          </cell>
          <cell r="F32">
            <v>2.1373571808908892E-2</v>
          </cell>
          <cell r="G32">
            <v>20661.119415278594</v>
          </cell>
          <cell r="H32">
            <v>0.29591130897537443</v>
          </cell>
        </row>
        <row r="33">
          <cell r="B33" t="str">
            <v>Crook</v>
          </cell>
          <cell r="C33">
            <v>25482</v>
          </cell>
          <cell r="D33">
            <v>0.12438408845090734</v>
          </cell>
          <cell r="E33">
            <v>3169.5553419060211</v>
          </cell>
          <cell r="F33">
            <v>7.7023270426469946E-3</v>
          </cell>
          <cell r="G33">
            <v>7445.5828078920931</v>
          </cell>
          <cell r="H33">
            <v>0.29218989121309524</v>
          </cell>
        </row>
        <row r="34">
          <cell r="B34" t="str">
            <v>Sherman, Wasco</v>
          </cell>
          <cell r="C34">
            <v>28489</v>
          </cell>
          <cell r="D34">
            <v>0.13515598630599354</v>
          </cell>
          <cell r="E34">
            <v>3850.4588938714501</v>
          </cell>
          <cell r="F34">
            <v>9.3569887462611988E-3</v>
          </cell>
          <cell r="G34">
            <v>9045.0891213858249</v>
          </cell>
          <cell r="H34">
            <v>0.31749408969728055</v>
          </cell>
        </row>
        <row r="35">
          <cell r="B35" t="str">
            <v>Marion</v>
          </cell>
          <cell r="C35">
            <v>347182</v>
          </cell>
          <cell r="D35">
            <v>0.14741470645743621</v>
          </cell>
          <cell r="E35">
            <v>51179.732617305614</v>
          </cell>
          <cell r="F35">
            <v>0.12437171655020239</v>
          </cell>
          <cell r="G35">
            <v>120225.99266519562</v>
          </cell>
          <cell r="H35">
            <v>0.34629097322210145</v>
          </cell>
        </row>
        <row r="36">
          <cell r="B36" t="str">
            <v>Lake</v>
          </cell>
          <cell r="C36">
            <v>8177</v>
          </cell>
          <cell r="D36">
            <v>0.13104736038024103</v>
          </cell>
          <cell r="E36">
            <v>1071.5742658292309</v>
          </cell>
          <cell r="F36">
            <v>2.6040294475305641E-3</v>
          </cell>
          <cell r="G36">
            <v>2517.2284659462116</v>
          </cell>
          <cell r="H36">
            <v>0.30784254200149341</v>
          </cell>
        </row>
        <row r="37">
          <cell r="B37" t="str">
            <v>Jefferson</v>
          </cell>
          <cell r="C37">
            <v>24889</v>
          </cell>
          <cell r="D37">
            <v>0.14004805260495701</v>
          </cell>
          <cell r="E37">
            <v>3485.655981284775</v>
          </cell>
          <cell r="F37">
            <v>8.4704822695631024E-3</v>
          </cell>
          <cell r="G37">
            <v>8188.1328605776644</v>
          </cell>
          <cell r="H37">
            <v>0.32898601231779762</v>
          </cell>
        </row>
        <row r="38">
          <cell r="B38" t="str">
            <v>Umatilla</v>
          </cell>
          <cell r="C38">
            <v>80463</v>
          </cell>
          <cell r="D38">
            <v>0.1782276866667995</v>
          </cell>
          <cell r="E38">
            <v>14340.734352270689</v>
          </cell>
          <cell r="F38">
            <v>3.4849376047331487E-2</v>
          </cell>
          <cell r="G38">
            <v>33687.730179087099</v>
          </cell>
          <cell r="H38">
            <v>0.41867355404455586</v>
          </cell>
        </row>
        <row r="39">
          <cell r="B39" t="str">
            <v>Hood River</v>
          </cell>
          <cell r="C39">
            <v>23888</v>
          </cell>
          <cell r="D39">
            <v>0.18945337620578778</v>
          </cell>
          <cell r="E39">
            <v>4525.6622508038581</v>
          </cell>
          <cell r="F39">
            <v>1.0997798422819519E-2</v>
          </cell>
          <cell r="G39">
            <v>10631.205142058867</v>
          </cell>
          <cell r="H39">
            <v>0.44504375176066924</v>
          </cell>
        </row>
        <row r="40">
          <cell r="B40" t="str">
            <v>Malheur</v>
          </cell>
          <cell r="C40">
            <v>31995</v>
          </cell>
          <cell r="D40">
            <v>0.1910630959626699</v>
          </cell>
          <cell r="E40">
            <v>6113.0637553256238</v>
          </cell>
          <cell r="F40">
            <v>1.4855338114322103E-2</v>
          </cell>
          <cell r="G40">
            <v>14360.160177178032</v>
          </cell>
          <cell r="H40">
            <v>0.44882513446407352</v>
          </cell>
        </row>
        <row r="41">
          <cell r="B41" t="str">
            <v>Morrow</v>
          </cell>
          <cell r="C41">
            <v>12635</v>
          </cell>
          <cell r="D41">
            <v>0.24689265536723165</v>
          </cell>
          <cell r="E41">
            <v>3119.4887005649721</v>
          </cell>
          <cell r="F41">
            <v>7.5806602459083166E-3</v>
          </cell>
          <cell r="G41">
            <v>7327.9715710447053</v>
          </cell>
          <cell r="H41">
            <v>0.57997400641430197</v>
          </cell>
        </row>
      </sheetData>
      <sheetData sheetId="11">
        <row r="6">
          <cell r="B6" t="str">
            <v>County Group</v>
          </cell>
          <cell r="C6" t="str">
            <v>County Population</v>
          </cell>
          <cell r="D6" t="str">
            <v>Rank</v>
          </cell>
          <cell r="E6" t="str">
            <v>Weight</v>
          </cell>
          <cell r="F6" t="str">
            <v>Weighted Average</v>
          </cell>
          <cell r="G6" t="str">
            <v>Weighted Payout</v>
          </cell>
          <cell r="H6" t="str">
            <v>Weighted Per Capita</v>
          </cell>
        </row>
        <row r="7">
          <cell r="B7" t="str">
            <v>Wheeler</v>
          </cell>
          <cell r="C7">
            <v>1456</v>
          </cell>
          <cell r="D7">
            <v>7.3637702503681884E-4</v>
          </cell>
          <cell r="E7">
            <v>1.0721649484536082</v>
          </cell>
          <cell r="F7">
            <v>4.3206875582506082E-6</v>
          </cell>
          <cell r="G7">
            <v>8.3533292792845071</v>
          </cell>
          <cell r="H7">
            <v>5.7371767028052932E-3</v>
          </cell>
        </row>
        <row r="8">
          <cell r="B8" t="str">
            <v>Crook</v>
          </cell>
          <cell r="C8">
            <v>25482</v>
          </cell>
          <cell r="D8">
            <v>1.2850082372322899E-2</v>
          </cell>
          <cell r="E8">
            <v>327.44579901153213</v>
          </cell>
          <cell r="F8">
            <v>1.319564673170038E-3</v>
          </cell>
          <cell r="G8">
            <v>2551.1583681287398</v>
          </cell>
          <cell r="H8">
            <v>0.10011609638681186</v>
          </cell>
        </row>
        <row r="9">
          <cell r="B9" t="str">
            <v>Gilliam</v>
          </cell>
          <cell r="C9">
            <v>2039</v>
          </cell>
          <cell r="D9">
            <v>2.7442371020856202E-2</v>
          </cell>
          <cell r="E9">
            <v>55.954994511525797</v>
          </cell>
          <cell r="F9">
            <v>2.2549146841316603E-4</v>
          </cell>
          <cell r="G9">
            <v>435.95017226545423</v>
          </cell>
          <cell r="H9">
            <v>0.21380587163582845</v>
          </cell>
        </row>
        <row r="10">
          <cell r="B10" t="str">
            <v>Wallowa</v>
          </cell>
          <cell r="C10">
            <v>7433</v>
          </cell>
          <cell r="D10">
            <v>1.0912397696271597E-2</v>
          </cell>
          <cell r="E10">
            <v>81.111852076386782</v>
          </cell>
          <cell r="F10">
            <v>3.2687038556761049E-4</v>
          </cell>
          <cell r="G10">
            <v>631.94941209738022</v>
          </cell>
          <cell r="H10">
            <v>8.5019428507652386E-2</v>
          </cell>
        </row>
        <row r="11">
          <cell r="B11" t="str">
            <v>Grant</v>
          </cell>
          <cell r="C11">
            <v>7226</v>
          </cell>
          <cell r="D11">
            <v>6.2718786464410732E-3</v>
          </cell>
          <cell r="E11">
            <v>45.320595099183194</v>
          </cell>
          <cell r="F11">
            <v>1.8263619945791125E-4</v>
          </cell>
          <cell r="G11">
            <v>353.09665228529502</v>
          </cell>
          <cell r="H11">
            <v>4.8864745680223504E-2</v>
          </cell>
        </row>
        <row r="12">
          <cell r="B12" t="str">
            <v>Baker</v>
          </cell>
          <cell r="C12">
            <v>16860</v>
          </cell>
          <cell r="D12">
            <v>1.370043472533263E-2</v>
          </cell>
          <cell r="E12">
            <v>230.98932946910813</v>
          </cell>
          <cell r="F12">
            <v>9.3085744256543395E-4</v>
          </cell>
          <cell r="G12">
            <v>1799.6577222931719</v>
          </cell>
          <cell r="H12">
            <v>0.10674126466744792</v>
          </cell>
        </row>
        <row r="13">
          <cell r="B13" t="str">
            <v>Douglas</v>
          </cell>
          <cell r="C13">
            <v>111694</v>
          </cell>
          <cell r="D13">
            <v>1.1854937610714216E-2</v>
          </cell>
          <cell r="E13">
            <v>1324.1254014911137</v>
          </cell>
          <cell r="F13">
            <v>5.3360559455314033E-3</v>
          </cell>
          <cell r="G13">
            <v>10316.374828027378</v>
          </cell>
          <cell r="H13">
            <v>9.2362838004077005E-2</v>
          </cell>
        </row>
        <row r="14">
          <cell r="B14" t="str">
            <v>Curry</v>
          </cell>
          <cell r="C14">
            <v>23662</v>
          </cell>
          <cell r="D14">
            <v>1.3102458447150332E-2</v>
          </cell>
          <cell r="E14">
            <v>310.03037177647116</v>
          </cell>
          <cell r="F14">
            <v>1.2493827297249782E-3</v>
          </cell>
          <cell r="G14">
            <v>2415.4732774682907</v>
          </cell>
          <cell r="H14">
            <v>0.10208238008064791</v>
          </cell>
        </row>
        <row r="15">
          <cell r="B15" t="str">
            <v>Josephine</v>
          </cell>
          <cell r="C15">
            <v>88728</v>
          </cell>
          <cell r="D15">
            <v>1.3108498984552895E-2</v>
          </cell>
          <cell r="E15">
            <v>1163.0908979014093</v>
          </cell>
          <cell r="F15">
            <v>4.6871075005065705E-3</v>
          </cell>
          <cell r="G15">
            <v>9061.7411676460342</v>
          </cell>
          <cell r="H15">
            <v>0.10212944242681041</v>
          </cell>
        </row>
        <row r="16">
          <cell r="B16" t="str">
            <v>Columbia</v>
          </cell>
          <cell r="C16">
            <v>53014</v>
          </cell>
          <cell r="D16">
            <v>1.3475133196508903E-2</v>
          </cell>
          <cell r="E16">
            <v>714.37071127972297</v>
          </cell>
          <cell r="F16">
            <v>2.8788225623834506E-3</v>
          </cell>
          <cell r="G16">
            <v>5565.7236206080033</v>
          </cell>
          <cell r="H16">
            <v>0.10498592108891996</v>
          </cell>
        </row>
        <row r="17">
          <cell r="B17" t="str">
            <v>Union</v>
          </cell>
          <cell r="C17">
            <v>26295</v>
          </cell>
          <cell r="D17">
            <v>1.6070990431013329E-2</v>
          </cell>
          <cell r="E17">
            <v>422.58669338349551</v>
          </cell>
          <cell r="F17">
            <v>1.7029703041661574E-3</v>
          </cell>
          <cell r="G17">
            <v>3292.4092547212372</v>
          </cell>
          <cell r="H17">
            <v>0.1252104679490868</v>
          </cell>
        </row>
        <row r="18">
          <cell r="B18" t="str">
            <v>Coos</v>
          </cell>
          <cell r="C18">
            <v>65154</v>
          </cell>
          <cell r="D18">
            <v>1.4799926913941166E-2</v>
          </cell>
          <cell r="E18">
            <v>964.27443815092272</v>
          </cell>
          <cell r="F18">
            <v>3.8859026063731289E-3</v>
          </cell>
          <cell r="G18">
            <v>7512.7450389880478</v>
          </cell>
          <cell r="H18">
            <v>0.11530750282389489</v>
          </cell>
        </row>
        <row r="19">
          <cell r="B19" t="str">
            <v>Harney</v>
          </cell>
          <cell r="C19">
            <v>7537</v>
          </cell>
          <cell r="D19">
            <v>1.5169194865810968E-2</v>
          </cell>
          <cell r="E19">
            <v>114.33022170361727</v>
          </cell>
          <cell r="F19">
            <v>4.6073616485908385E-4</v>
          </cell>
          <cell r="G19">
            <v>890.75658539422864</v>
          </cell>
          <cell r="H19">
            <v>0.11818450118007545</v>
          </cell>
        </row>
        <row r="20">
          <cell r="B20" t="str">
            <v>Deschutes</v>
          </cell>
          <cell r="C20">
            <v>203390</v>
          </cell>
          <cell r="D20">
            <v>2.1095839220861116E-2</v>
          </cell>
          <cell r="E20">
            <v>4290.6827391309425</v>
          </cell>
          <cell r="F20">
            <v>1.7290902443791147E-2</v>
          </cell>
          <cell r="G20">
            <v>33429.078057996208</v>
          </cell>
          <cell r="H20">
            <v>0.16435949681890066</v>
          </cell>
        </row>
        <row r="21">
          <cell r="B21" t="str">
            <v>Linn</v>
          </cell>
          <cell r="C21">
            <v>130440</v>
          </cell>
          <cell r="D21">
            <v>2.4106299860542066E-2</v>
          </cell>
          <cell r="E21">
            <v>3144.4257538091069</v>
          </cell>
          <cell r="F21">
            <v>1.2671633457073101E-2</v>
          </cell>
          <cell r="G21">
            <v>24498.491350341326</v>
          </cell>
          <cell r="H21">
            <v>0.18781425444910554</v>
          </cell>
        </row>
        <row r="22">
          <cell r="B22" t="str">
            <v>Tillamook</v>
          </cell>
          <cell r="C22">
            <v>27628</v>
          </cell>
          <cell r="D22">
            <v>3.1383278345537939E-2</v>
          </cell>
          <cell r="E22">
            <v>867.0572141305222</v>
          </cell>
          <cell r="F22">
            <v>3.4941296325611782E-3</v>
          </cell>
          <cell r="G22">
            <v>6755.3172896182768</v>
          </cell>
          <cell r="H22">
            <v>0.24450981937231347</v>
          </cell>
        </row>
        <row r="23">
          <cell r="B23" t="str">
            <v>Lake</v>
          </cell>
          <cell r="C23">
            <v>8177</v>
          </cell>
          <cell r="D23">
            <v>1.7890772128060263E-2</v>
          </cell>
          <cell r="E23">
            <v>146.29284369114876</v>
          </cell>
          <cell r="F23">
            <v>5.8954144183608081E-4</v>
          </cell>
          <cell r="G23">
            <v>1139.7801208830895</v>
          </cell>
          <cell r="H23">
            <v>0.13938854358359906</v>
          </cell>
        </row>
        <row r="24">
          <cell r="B24" t="str">
            <v>Lane</v>
          </cell>
          <cell r="C24">
            <v>382647</v>
          </cell>
          <cell r="D24">
            <v>2.5791358183192822E-2</v>
          </cell>
          <cell r="E24">
            <v>9868.9858347241843</v>
          </cell>
          <cell r="F24">
            <v>3.9770750172485526E-2</v>
          </cell>
          <cell r="G24">
            <v>76890.117000138678</v>
          </cell>
          <cell r="H24">
            <v>0.2009426886925513</v>
          </cell>
        </row>
        <row r="25">
          <cell r="B25" t="str">
            <v>Clatsop</v>
          </cell>
          <cell r="C25">
            <v>41428</v>
          </cell>
          <cell r="D25">
            <v>3.0615877536489856E-2</v>
          </cell>
          <cell r="E25">
            <v>1268.3545745817019</v>
          </cell>
          <cell r="F25">
            <v>5.1113066489904234E-3</v>
          </cell>
          <cell r="G25">
            <v>9881.8595213814842</v>
          </cell>
          <cell r="H25">
            <v>0.23853093370139722</v>
          </cell>
        </row>
        <row r="26">
          <cell r="B26" t="str">
            <v>Klamath</v>
          </cell>
          <cell r="C26">
            <v>69822</v>
          </cell>
          <cell r="D26">
            <v>3.3411008437123343E-2</v>
          </cell>
          <cell r="E26">
            <v>2332.823431096826</v>
          </cell>
          <cell r="F26">
            <v>9.4009799414475816E-3</v>
          </cell>
          <cell r="G26">
            <v>18175.227886798653</v>
          </cell>
          <cell r="H26">
            <v>0.26030803882442</v>
          </cell>
        </row>
        <row r="27">
          <cell r="B27" t="str">
            <v>Lincoln</v>
          </cell>
          <cell r="C27">
            <v>50903</v>
          </cell>
          <cell r="D27">
            <v>1.9758771929824562E-2</v>
          </cell>
          <cell r="E27">
            <v>1005.7807675438597</v>
          </cell>
          <cell r="F27">
            <v>4.0531678030719873E-3</v>
          </cell>
          <cell r="G27">
            <v>7836.1244192725071</v>
          </cell>
          <cell r="H27">
            <v>0.15394229061690878</v>
          </cell>
        </row>
        <row r="28">
          <cell r="B28" t="str">
            <v>Jackson</v>
          </cell>
          <cell r="C28">
            <v>223827</v>
          </cell>
          <cell r="D28">
            <v>3.5138513530205188E-2</v>
          </cell>
          <cell r="E28">
            <v>7864.9480679252365</v>
          </cell>
          <cell r="F28">
            <v>3.1694734389875558E-2</v>
          </cell>
          <cell r="G28">
            <v>61276.486487092734</v>
          </cell>
          <cell r="H28">
            <v>0.27376717950512108</v>
          </cell>
        </row>
        <row r="29">
          <cell r="B29" t="str">
            <v>Benton</v>
          </cell>
          <cell r="C29">
            <v>93976</v>
          </cell>
          <cell r="D29">
            <v>4.7645036926935759E-2</v>
          </cell>
          <cell r="E29">
            <v>4477.4899902457146</v>
          </cell>
          <cell r="F29">
            <v>1.8043711763706644E-2</v>
          </cell>
          <cell r="G29">
            <v>34884.509409832841</v>
          </cell>
          <cell r="H29">
            <v>0.37120657837993576</v>
          </cell>
        </row>
        <row r="30">
          <cell r="B30" t="str">
            <v>Clackamas</v>
          </cell>
          <cell r="C30">
            <v>425316</v>
          </cell>
          <cell r="D30">
            <v>4.0874504898895145E-2</v>
          </cell>
          <cell r="E30">
            <v>17384.580925578488</v>
          </cell>
          <cell r="F30">
            <v>7.0057636764645562E-2</v>
          </cell>
          <cell r="G30">
            <v>135444.76441164807</v>
          </cell>
          <cell r="H30">
            <v>0.31845678133822397</v>
          </cell>
        </row>
        <row r="31">
          <cell r="B31" t="str">
            <v>Polk</v>
          </cell>
          <cell r="C31">
            <v>88916</v>
          </cell>
          <cell r="D31">
            <v>5.112740819862184E-2</v>
          </cell>
          <cell r="E31">
            <v>4546.0446273886591</v>
          </cell>
          <cell r="F31">
            <v>1.8319978179794132E-2</v>
          </cell>
          <cell r="G31">
            <v>35418.624480935316</v>
          </cell>
          <cell r="H31">
            <v>0.39833803231066756</v>
          </cell>
        </row>
        <row r="32">
          <cell r="B32" t="str">
            <v>Jefferson</v>
          </cell>
          <cell r="C32">
            <v>24889</v>
          </cell>
          <cell r="D32">
            <v>4.9472082622527551E-2</v>
          </cell>
          <cell r="E32">
            <v>1231.3106643920883</v>
          </cell>
          <cell r="F32">
            <v>4.9620244307122894E-3</v>
          </cell>
          <cell r="G32">
            <v>9593.2472327104242</v>
          </cell>
          <cell r="H32">
            <v>0.38544124845154182</v>
          </cell>
        </row>
        <row r="33">
          <cell r="B33" t="str">
            <v>Yamhill</v>
          </cell>
          <cell r="C33">
            <v>108261</v>
          </cell>
          <cell r="D33">
            <v>5.2806933273375781E-2</v>
          </cell>
          <cell r="E33">
            <v>5716.9314031089352</v>
          </cell>
          <cell r="F33">
            <v>2.3038502070424443E-2</v>
          </cell>
          <cell r="G33">
            <v>44541.104002820583</v>
          </cell>
          <cell r="H33">
            <v>0.4114233565440979</v>
          </cell>
        </row>
        <row r="34">
          <cell r="B34" t="str">
            <v>Sherman, Wasco</v>
          </cell>
          <cell r="C34">
            <v>28489</v>
          </cell>
          <cell r="D34">
            <v>5.4470336679592647E-2</v>
          </cell>
          <cell r="E34">
            <v>1551.805421664915</v>
          </cell>
          <cell r="F34">
            <v>6.2535772950644561E-3</v>
          </cell>
          <cell r="G34">
            <v>12090.249437124614</v>
          </cell>
          <cell r="H34">
            <v>0.42438307547209847</v>
          </cell>
        </row>
        <row r="35">
          <cell r="B35" t="str">
            <v>Multnomah</v>
          </cell>
          <cell r="C35">
            <v>820672</v>
          </cell>
          <cell r="D35">
            <v>8.4254448034793039E-2</v>
          </cell>
          <cell r="E35">
            <v>69145.266377609674</v>
          </cell>
          <cell r="F35">
            <v>0.27864657633189649</v>
          </cell>
          <cell r="G35">
            <v>538716.71424166649</v>
          </cell>
          <cell r="H35">
            <v>0.65643364735444432</v>
          </cell>
        </row>
        <row r="36">
          <cell r="B36" t="str">
            <v>Malheur</v>
          </cell>
          <cell r="C36">
            <v>31995</v>
          </cell>
          <cell r="D36">
            <v>7.8250132298465336E-2</v>
          </cell>
          <cell r="E36">
            <v>2503.6129828893986</v>
          </cell>
          <cell r="F36">
            <v>1.0089239982566894E-2</v>
          </cell>
          <cell r="G36">
            <v>19505.86396629599</v>
          </cell>
          <cell r="H36">
            <v>0.60965350730726642</v>
          </cell>
        </row>
        <row r="37">
          <cell r="B37" t="str">
            <v>Washington</v>
          </cell>
          <cell r="C37">
            <v>605036</v>
          </cell>
          <cell r="D37">
            <v>9.0625859571268771E-2</v>
          </cell>
          <cell r="E37">
            <v>54831.907571562173</v>
          </cell>
          <cell r="F37">
            <v>0.2209655717446232</v>
          </cell>
          <cell r="G37">
            <v>427200.10537293809</v>
          </cell>
          <cell r="H37">
            <v>0.70607386233701486</v>
          </cell>
        </row>
        <row r="38">
          <cell r="B38" t="str">
            <v>Umatilla</v>
          </cell>
          <cell r="C38">
            <v>80463</v>
          </cell>
          <cell r="D38">
            <v>0.10513829579390996</v>
          </cell>
          <cell r="E38">
            <v>8459.7426944653762</v>
          </cell>
          <cell r="F38">
            <v>3.409168063057566E-2</v>
          </cell>
          <cell r="G38">
            <v>65910.582552446271</v>
          </cell>
          <cell r="H38">
            <v>0.81914150047159906</v>
          </cell>
        </row>
        <row r="39">
          <cell r="B39" t="str">
            <v>Marion</v>
          </cell>
          <cell r="C39">
            <v>347182</v>
          </cell>
          <cell r="D39">
            <v>0.10408129343246751</v>
          </cell>
          <cell r="E39">
            <v>36135.151616470939</v>
          </cell>
          <cell r="F39">
            <v>0.14562003750446326</v>
          </cell>
          <cell r="G39">
            <v>281532.07250862895</v>
          </cell>
          <cell r="H39">
            <v>0.81090630421113119</v>
          </cell>
        </row>
        <row r="40">
          <cell r="B40" t="str">
            <v>Hood River</v>
          </cell>
          <cell r="C40">
            <v>23888</v>
          </cell>
          <cell r="D40">
            <v>0.15446440944154463</v>
          </cell>
          <cell r="E40">
            <v>3689.8458127396179</v>
          </cell>
          <cell r="F40">
            <v>1.4869606507805919E-2</v>
          </cell>
          <cell r="G40">
            <v>28747.90591509144</v>
          </cell>
          <cell r="H40">
            <v>1.2034454920919055</v>
          </cell>
        </row>
        <row r="41">
          <cell r="B41" t="str">
            <v>Morrow</v>
          </cell>
          <cell r="C41">
            <v>12635</v>
          </cell>
          <cell r="D41">
            <v>0.15267839876232836</v>
          </cell>
          <cell r="E41">
            <v>1929.0915683620187</v>
          </cell>
          <cell r="F41">
            <v>7.7739921923110477E-3</v>
          </cell>
          <cell r="G41">
            <v>15029.718238468024</v>
          </cell>
          <cell r="H41">
            <v>1.1895305293603502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4"/>
  <sheetViews>
    <sheetView topLeftCell="A4" zoomScale="130" zoomScaleNormal="130" workbookViewId="0">
      <selection activeCell="G14" sqref="G14"/>
    </sheetView>
  </sheetViews>
  <sheetFormatPr defaultRowHeight="15" x14ac:dyDescent="0.25"/>
  <cols>
    <col min="2" max="2" width="25.85546875" bestFit="1" customWidth="1"/>
    <col min="3" max="3" width="12.7109375" bestFit="1" customWidth="1"/>
    <col min="4" max="4" width="12.140625" bestFit="1" customWidth="1"/>
    <col min="8" max="8" width="18.42578125" bestFit="1" customWidth="1"/>
  </cols>
  <sheetData>
    <row r="1" spans="2:8" ht="18.75" x14ac:dyDescent="0.3">
      <c r="B1" s="24" t="s">
        <v>0</v>
      </c>
      <c r="C1" s="24"/>
    </row>
    <row r="2" spans="2:8" ht="15.75" x14ac:dyDescent="0.25">
      <c r="B2" s="198" t="s">
        <v>1</v>
      </c>
      <c r="C2" s="199"/>
      <c r="D2" s="200"/>
      <c r="E2" s="200"/>
      <c r="F2" s="200"/>
      <c r="G2" s="200"/>
      <c r="H2" s="200"/>
    </row>
    <row r="3" spans="2:8" ht="15.75" x14ac:dyDescent="0.25">
      <c r="B3" s="23" t="s">
        <v>2</v>
      </c>
    </row>
    <row r="4" spans="2:8" ht="15.75" x14ac:dyDescent="0.25">
      <c r="B4" s="23"/>
    </row>
    <row r="5" spans="2:8" x14ac:dyDescent="0.25">
      <c r="B5" s="30" t="s">
        <v>3</v>
      </c>
      <c r="C5" s="52">
        <v>20000000</v>
      </c>
    </row>
    <row r="6" spans="2:8" x14ac:dyDescent="0.25">
      <c r="C6" s="9"/>
    </row>
    <row r="7" spans="2:8" x14ac:dyDescent="0.25">
      <c r="B7" s="30" t="s">
        <v>4</v>
      </c>
      <c r="C7" s="49">
        <f>IF(C5&lt;10000000,1860000/C5,36%)</f>
        <v>0.36</v>
      </c>
    </row>
    <row r="8" spans="2:8" x14ac:dyDescent="0.25">
      <c r="B8" t="s">
        <v>5</v>
      </c>
      <c r="C8" s="34">
        <f>IF(C5&lt;10000000,30000/C5,C7*Floor!S12)</f>
        <v>9.9999999999999985E-3</v>
      </c>
      <c r="D8" s="6"/>
    </row>
    <row r="9" spans="2:8" x14ac:dyDescent="0.25">
      <c r="B9" t="s">
        <v>6</v>
      </c>
      <c r="C9" s="34">
        <f>C8</f>
        <v>9.9999999999999985E-3</v>
      </c>
      <c r="D9" s="6"/>
    </row>
    <row r="10" spans="2:8" x14ac:dyDescent="0.25">
      <c r="B10" t="s">
        <v>7</v>
      </c>
      <c r="C10" s="34">
        <f>C8</f>
        <v>9.9999999999999985E-3</v>
      </c>
      <c r="D10" s="6"/>
    </row>
    <row r="11" spans="2:8" x14ac:dyDescent="0.25">
      <c r="B11" t="s">
        <v>8</v>
      </c>
      <c r="C11" s="34">
        <f>C8</f>
        <v>9.9999999999999985E-3</v>
      </c>
      <c r="D11" s="6"/>
    </row>
    <row r="12" spans="2:8" x14ac:dyDescent="0.25">
      <c r="B12" t="s">
        <v>9</v>
      </c>
      <c r="C12" s="34">
        <f>C8</f>
        <v>9.9999999999999985E-3</v>
      </c>
      <c r="D12" s="6"/>
    </row>
    <row r="14" spans="2:8" x14ac:dyDescent="0.25">
      <c r="B14" s="30" t="s">
        <v>10</v>
      </c>
      <c r="C14" s="50">
        <f>1-C7-C25-C28</f>
        <v>0.57999999999999996</v>
      </c>
      <c r="D14" s="22">
        <f>SUM(D15:D22)-1</f>
        <v>0</v>
      </c>
    </row>
    <row r="15" spans="2:8" x14ac:dyDescent="0.25">
      <c r="B15" t="s">
        <v>11</v>
      </c>
      <c r="C15" s="34">
        <f>$C$14*D15</f>
        <v>0</v>
      </c>
      <c r="D15" s="53">
        <v>0</v>
      </c>
    </row>
    <row r="16" spans="2:8" x14ac:dyDescent="0.25">
      <c r="B16" t="s">
        <v>12</v>
      </c>
      <c r="C16" s="34">
        <f t="shared" ref="C16:C22" si="0">$C$14*D16</f>
        <v>2.8999999999999998E-2</v>
      </c>
      <c r="D16" s="53">
        <f>5/100</f>
        <v>0.05</v>
      </c>
    </row>
    <row r="17" spans="2:4" x14ac:dyDescent="0.25">
      <c r="B17" t="s">
        <v>13</v>
      </c>
      <c r="C17" s="34">
        <f t="shared" si="0"/>
        <v>2.8999999999999998E-2</v>
      </c>
      <c r="D17" s="53">
        <f>5/100</f>
        <v>0.05</v>
      </c>
    </row>
    <row r="18" spans="2:4" x14ac:dyDescent="0.25">
      <c r="B18" t="s">
        <v>14</v>
      </c>
      <c r="C18" s="34">
        <f t="shared" si="0"/>
        <v>0.10439999999999999</v>
      </c>
      <c r="D18" s="53">
        <f>18/100</f>
        <v>0.18</v>
      </c>
    </row>
    <row r="19" spans="2:4" x14ac:dyDescent="0.25">
      <c r="B19" t="s">
        <v>15</v>
      </c>
      <c r="C19" s="34">
        <f t="shared" si="0"/>
        <v>0.10439999999999999</v>
      </c>
      <c r="D19" s="53">
        <f>18/100</f>
        <v>0.18</v>
      </c>
    </row>
    <row r="20" spans="2:4" x14ac:dyDescent="0.25">
      <c r="B20" t="s">
        <v>16</v>
      </c>
      <c r="C20" s="34">
        <f t="shared" si="0"/>
        <v>0.10439999999999999</v>
      </c>
      <c r="D20" s="53">
        <f>18/100</f>
        <v>0.18</v>
      </c>
    </row>
    <row r="21" spans="2:4" x14ac:dyDescent="0.25">
      <c r="B21" t="s">
        <v>17</v>
      </c>
      <c r="C21" s="34">
        <f t="shared" si="0"/>
        <v>0.10439999999999999</v>
      </c>
      <c r="D21" s="53">
        <f>18/100</f>
        <v>0.18</v>
      </c>
    </row>
    <row r="22" spans="2:4" x14ac:dyDescent="0.25">
      <c r="B22" t="s">
        <v>18</v>
      </c>
      <c r="C22" s="34">
        <f t="shared" si="0"/>
        <v>0.10439999999999999</v>
      </c>
      <c r="D22" s="53">
        <f>18/100</f>
        <v>0.18</v>
      </c>
    </row>
    <row r="23" spans="2:4" x14ac:dyDescent="0.25">
      <c r="C23" s="29"/>
      <c r="D23" s="22"/>
    </row>
    <row r="24" spans="2:4" x14ac:dyDescent="0.25">
      <c r="C24" s="29"/>
    </row>
    <row r="25" spans="2:4" x14ac:dyDescent="0.25">
      <c r="B25" s="30" t="s">
        <v>19</v>
      </c>
      <c r="C25" s="49">
        <f>IF($C$5&gt;=15000000,0.05,0)</f>
        <v>0.05</v>
      </c>
    </row>
    <row r="26" spans="2:4" x14ac:dyDescent="0.25">
      <c r="B26" s="89" t="s">
        <v>20</v>
      </c>
      <c r="C26" s="90">
        <v>0.5</v>
      </c>
    </row>
    <row r="27" spans="2:4" x14ac:dyDescent="0.25">
      <c r="B27" s="30"/>
      <c r="C27" s="88"/>
    </row>
    <row r="28" spans="2:4" x14ac:dyDescent="0.25">
      <c r="B28" s="30" t="s">
        <v>21</v>
      </c>
      <c r="C28" s="49">
        <f>IF($C$5&gt;=15000000,0.01,0)</f>
        <v>0.01</v>
      </c>
    </row>
    <row r="29" spans="2:4" x14ac:dyDescent="0.25">
      <c r="B29" s="91" t="s">
        <v>22</v>
      </c>
      <c r="C29" s="90">
        <v>0.24</v>
      </c>
    </row>
    <row r="30" spans="2:4" x14ac:dyDescent="0.25">
      <c r="B30" s="30"/>
      <c r="C30" s="88"/>
    </row>
    <row r="31" spans="2:4" x14ac:dyDescent="0.25">
      <c r="B31" s="71" t="s">
        <v>23</v>
      </c>
      <c r="C31" s="34">
        <f>$C$28*D31</f>
        <v>0.01</v>
      </c>
      <c r="D31" s="53">
        <v>1</v>
      </c>
    </row>
    <row r="32" spans="2:4" x14ac:dyDescent="0.25">
      <c r="B32" s="71" t="s">
        <v>24</v>
      </c>
      <c r="C32" s="34">
        <f t="shared" ref="C32:C34" si="1">$C$28*D32</f>
        <v>0</v>
      </c>
      <c r="D32" s="53">
        <v>0</v>
      </c>
    </row>
    <row r="33" spans="2:4" x14ac:dyDescent="0.25">
      <c r="B33" s="71" t="s">
        <v>25</v>
      </c>
      <c r="C33" s="34">
        <f t="shared" si="1"/>
        <v>0</v>
      </c>
      <c r="D33" s="53">
        <v>0</v>
      </c>
    </row>
    <row r="34" spans="2:4" x14ac:dyDescent="0.25">
      <c r="B34" s="71" t="s">
        <v>26</v>
      </c>
      <c r="C34" s="34">
        <f t="shared" si="1"/>
        <v>0</v>
      </c>
      <c r="D34" s="53">
        <v>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H42"/>
  <sheetViews>
    <sheetView topLeftCell="A4" workbookViewId="0">
      <selection activeCell="J9" sqref="J9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 x14ac:dyDescent="0.25">
      <c r="B3" t="s">
        <v>125</v>
      </c>
      <c r="C3" s="1">
        <f>'County Data'!C5</f>
        <v>20000000</v>
      </c>
    </row>
    <row r="4" spans="2:8" x14ac:dyDescent="0.25">
      <c r="B4" t="s">
        <v>126</v>
      </c>
      <c r="C4" s="14">
        <f>'County Data'!H9</f>
        <v>2087999.9999999998</v>
      </c>
      <c r="D4" s="9"/>
    </row>
    <row r="6" spans="2:8" s="2" customFormat="1" ht="30" x14ac:dyDescent="0.25">
      <c r="B6" s="3" t="s">
        <v>36</v>
      </c>
      <c r="C6" s="3" t="s">
        <v>107</v>
      </c>
      <c r="D6" s="3" t="s">
        <v>141</v>
      </c>
      <c r="E6" s="3" t="s">
        <v>142</v>
      </c>
      <c r="F6" s="3" t="s">
        <v>143</v>
      </c>
      <c r="G6" s="13" t="s">
        <v>128</v>
      </c>
      <c r="H6" s="3" t="s">
        <v>129</v>
      </c>
    </row>
    <row r="7" spans="2:8" x14ac:dyDescent="0.25">
      <c r="B7" s="20" t="str">
        <f>+'County Data'!$B$12</f>
        <v>Clackamas</v>
      </c>
      <c r="C7" s="15">
        <f>VLOOKUP($B7,'County Data'!$B$10:$L$46,2,FALSE)</f>
        <v>425316</v>
      </c>
      <c r="D7" s="29">
        <f>VLOOKUP($B7,'County Data'!$B$10:$L$46,7,FALSE)</f>
        <v>0.13811687940583775</v>
      </c>
      <c r="E7" s="31">
        <f t="shared" ref="E7:E41" si="0">C7*D7</f>
        <v>58743.31868137329</v>
      </c>
      <c r="F7" s="6">
        <f t="shared" ref="F7:F41" si="1">E7/$E$42</f>
        <v>5.903798190841425E-2</v>
      </c>
      <c r="G7" s="14">
        <f t="shared" ref="G7:G41" si="2">$C$4*F7</f>
        <v>123271.30622476894</v>
      </c>
      <c r="H7" s="10">
        <f t="shared" ref="H7:H41" si="3">G7/C7</f>
        <v>0.28983463172034191</v>
      </c>
    </row>
    <row r="8" spans="2:8" x14ac:dyDescent="0.25">
      <c r="B8" s="20" t="str">
        <f>+'County Data'!$B$44</f>
        <v>Washington</v>
      </c>
      <c r="C8" s="15">
        <f>VLOOKUP($B8,'County Data'!$B$10:$L$46,2,FALSE)</f>
        <v>605036</v>
      </c>
      <c r="D8" s="29">
        <f>VLOOKUP($B8,'County Data'!$B$10:$L$46,7,FALSE)</f>
        <v>0.16330220782308263</v>
      </c>
      <c r="E8" s="31">
        <f t="shared" si="0"/>
        <v>98803.714612446624</v>
      </c>
      <c r="F8" s="6">
        <f t="shared" si="1"/>
        <v>9.9299325382230547E-2</v>
      </c>
      <c r="G8" s="14">
        <f t="shared" si="2"/>
        <v>207336.99139809737</v>
      </c>
      <c r="H8" s="10">
        <f t="shared" si="3"/>
        <v>0.34268537970979801</v>
      </c>
    </row>
    <row r="9" spans="2:8" x14ac:dyDescent="0.25">
      <c r="B9" s="20" t="str">
        <f>'County Data'!B20</f>
        <v>Gilliam</v>
      </c>
      <c r="C9" s="15">
        <f>VLOOKUP($B9,'County Data'!$B$10:$L$46,2,FALSE)</f>
        <v>2039</v>
      </c>
      <c r="D9" s="29">
        <f>VLOOKUP($B9,'County Data'!$B$10:$L$46,7,FALSE)</f>
        <v>0.2425039452919516</v>
      </c>
      <c r="E9" s="31">
        <f t="shared" ref="E9" si="4">C9*D9</f>
        <v>494.46554445028931</v>
      </c>
      <c r="F9" s="6">
        <f t="shared" ref="F9" si="5">E9/$E$42</f>
        <v>4.9694584035897939E-4</v>
      </c>
      <c r="G9" s="14">
        <f t="shared" ref="G9" si="6">$C$4*F9</f>
        <v>1037.6229146695489</v>
      </c>
      <c r="H9" s="10">
        <f t="shared" ref="H9" si="7">G9/C9</f>
        <v>0.50888813863146098</v>
      </c>
    </row>
    <row r="10" spans="2:8" x14ac:dyDescent="0.25">
      <c r="B10" s="20" t="str">
        <f>+'County Data'!$B$18</f>
        <v>Deschutes</v>
      </c>
      <c r="C10" s="15">
        <f>VLOOKUP($B10,'County Data'!$B$10:$L$46,2,FALSE)</f>
        <v>203390</v>
      </c>
      <c r="D10" s="29">
        <f>VLOOKUP($B10,'County Data'!$B$10:$L$46,7,FALSE)</f>
        <v>0.18767801513128615</v>
      </c>
      <c r="E10" s="31">
        <f t="shared" si="0"/>
        <v>38171.831497552288</v>
      </c>
      <c r="F10" s="6">
        <f t="shared" si="1"/>
        <v>3.8363305784392315E-2</v>
      </c>
      <c r="G10" s="14">
        <f t="shared" si="2"/>
        <v>80102.582477811142</v>
      </c>
      <c r="H10" s="10">
        <f t="shared" si="3"/>
        <v>0.39383736898476396</v>
      </c>
    </row>
    <row r="11" spans="2:8" x14ac:dyDescent="0.25">
      <c r="B11" s="20" t="str">
        <f>+'County Data'!$B$14</f>
        <v>Columbia</v>
      </c>
      <c r="C11" s="15">
        <f>VLOOKUP($B11,'County Data'!$B$10:$L$46,2,FALSE)</f>
        <v>53014</v>
      </c>
      <c r="D11" s="29">
        <f>VLOOKUP($B11,'County Data'!$B$10:$L$46,7,FALSE)</f>
        <v>0.21043750992536128</v>
      </c>
      <c r="E11" s="31">
        <f t="shared" si="0"/>
        <v>11156.134151183103</v>
      </c>
      <c r="F11" s="6">
        <f t="shared" si="1"/>
        <v>1.1212094600202335E-2</v>
      </c>
      <c r="G11" s="14">
        <f t="shared" si="2"/>
        <v>23410.853525222472</v>
      </c>
      <c r="H11" s="10">
        <f t="shared" si="3"/>
        <v>0.4415975690425637</v>
      </c>
    </row>
    <row r="12" spans="2:8" x14ac:dyDescent="0.25">
      <c r="B12" s="20" t="str">
        <f>+'County Data'!$B$37</f>
        <v>Polk</v>
      </c>
      <c r="C12" s="15">
        <f>VLOOKUP($B12,'County Data'!$B$10:$L$46,2,FALSE)</f>
        <v>88916</v>
      </c>
      <c r="D12" s="29">
        <f>VLOOKUP($B12,'County Data'!$B$10:$L$46,7,FALSE)</f>
        <v>0.23463420155701728</v>
      </c>
      <c r="E12" s="31">
        <f t="shared" si="0"/>
        <v>20862.734665643748</v>
      </c>
      <c r="F12" s="6">
        <f t="shared" si="1"/>
        <v>2.0967384536632858E-2</v>
      </c>
      <c r="G12" s="14">
        <f t="shared" si="2"/>
        <v>43779.8989124894</v>
      </c>
      <c r="H12" s="10">
        <f t="shared" si="3"/>
        <v>0.49237368879042465</v>
      </c>
    </row>
    <row r="13" spans="2:8" x14ac:dyDescent="0.25">
      <c r="B13" s="20" t="str">
        <f>+'County Data'!$B$23</f>
        <v>Hood River</v>
      </c>
      <c r="C13" s="15">
        <f>VLOOKUP($B13,'County Data'!$B$10:$L$46,2,FALSE)</f>
        <v>23888</v>
      </c>
      <c r="D13" s="29">
        <f>VLOOKUP($B13,'County Data'!$B$10:$L$46,7,FALSE)</f>
        <v>0.2071000743234381</v>
      </c>
      <c r="E13" s="31">
        <f t="shared" si="0"/>
        <v>4947.2065754382893</v>
      </c>
      <c r="F13" s="6">
        <f t="shared" si="1"/>
        <v>4.9720223312906923E-3</v>
      </c>
      <c r="G13" s="14">
        <f t="shared" si="2"/>
        <v>10381.582627734964</v>
      </c>
      <c r="H13" s="10">
        <f t="shared" si="3"/>
        <v>0.43459404838140342</v>
      </c>
    </row>
    <row r="14" spans="2:8" x14ac:dyDescent="0.25">
      <c r="B14" s="20" t="str">
        <f>+'County Data'!$B$46</f>
        <v>Yamhill</v>
      </c>
      <c r="C14" s="15">
        <f>VLOOKUP($B14,'County Data'!$B$10:$L$46,2,FALSE)</f>
        <v>108261</v>
      </c>
      <c r="D14" s="29">
        <f>VLOOKUP($B14,'County Data'!$B$10:$L$46,7,FALSE)</f>
        <v>0.21567317522496532</v>
      </c>
      <c r="E14" s="31">
        <f t="shared" si="0"/>
        <v>23348.993623029972</v>
      </c>
      <c r="F14" s="6">
        <f t="shared" si="1"/>
        <v>2.3466114854236515E-2</v>
      </c>
      <c r="G14" s="14">
        <f t="shared" si="2"/>
        <v>48997.247815645838</v>
      </c>
      <c r="H14" s="10">
        <f t="shared" si="3"/>
        <v>0.45258447470137758</v>
      </c>
    </row>
    <row r="15" spans="2:8" x14ac:dyDescent="0.25">
      <c r="B15" s="20" t="str">
        <f>+'County Data'!$B$35</f>
        <v>Multnomah</v>
      </c>
      <c r="C15" s="15">
        <f>VLOOKUP($B15,'County Data'!$B$10:$L$46,2,FALSE)</f>
        <v>820672</v>
      </c>
      <c r="D15" s="29">
        <f>VLOOKUP($B15,'County Data'!$B$10:$L$46,7,FALSE)</f>
        <v>0.23381795591069882</v>
      </c>
      <c r="E15" s="31">
        <f t="shared" si="0"/>
        <v>191887.84951314502</v>
      </c>
      <c r="F15" s="6">
        <f t="shared" si="1"/>
        <v>0.19285038098458232</v>
      </c>
      <c r="G15" s="14">
        <f t="shared" si="2"/>
        <v>402671.59549580782</v>
      </c>
      <c r="H15" s="10">
        <f t="shared" si="3"/>
        <v>0.49066081881166634</v>
      </c>
    </row>
    <row r="16" spans="2:8" x14ac:dyDescent="0.25">
      <c r="B16" s="20" t="str">
        <f>+'County Data'!$B$42</f>
        <v>Wallowa</v>
      </c>
      <c r="C16" s="15">
        <f>VLOOKUP($B16,'County Data'!$B$10:$L$46,2,FALSE)</f>
        <v>7433</v>
      </c>
      <c r="D16" s="29">
        <f>VLOOKUP($B16,'County Data'!$B$10:$L$46,7,FALSE)</f>
        <v>0.25040316669110102</v>
      </c>
      <c r="E16" s="31">
        <f t="shared" si="0"/>
        <v>1861.246738014954</v>
      </c>
      <c r="F16" s="6">
        <f t="shared" si="1"/>
        <v>1.8705829652226422E-3</v>
      </c>
      <c r="G16" s="14">
        <f t="shared" si="2"/>
        <v>3905.7772313848764</v>
      </c>
      <c r="H16" s="10">
        <f t="shared" si="3"/>
        <v>0.52546444657404501</v>
      </c>
    </row>
    <row r="17" spans="2:8" x14ac:dyDescent="0.25">
      <c r="B17" s="20" t="str">
        <f>+'County Data'!$B$13</f>
        <v>Clatsop</v>
      </c>
      <c r="C17" s="15">
        <f>VLOOKUP($B17,'County Data'!$B$10:$L$46,2,FALSE)</f>
        <v>41428</v>
      </c>
      <c r="D17" s="29">
        <f>VLOOKUP($B17,'County Data'!$B$10:$L$46,7,FALSE)</f>
        <v>0.22943563260789376</v>
      </c>
      <c r="E17" s="31">
        <f t="shared" si="0"/>
        <v>9505.059387679823</v>
      </c>
      <c r="F17" s="6">
        <f t="shared" si="1"/>
        <v>9.5527378562318185E-3</v>
      </c>
      <c r="G17" s="14">
        <f t="shared" si="2"/>
        <v>19946.116643812034</v>
      </c>
      <c r="H17" s="10">
        <f t="shared" si="3"/>
        <v>0.48146462884551594</v>
      </c>
    </row>
    <row r="18" spans="2:8" x14ac:dyDescent="0.25">
      <c r="B18" s="20" t="str">
        <f>+'County Data'!$B$36</f>
        <v>Sherman, Wasco</v>
      </c>
      <c r="C18" s="15">
        <f>VLOOKUP($B18,'County Data'!$B$10:$L$46,2,FALSE)</f>
        <v>28489</v>
      </c>
      <c r="D18" s="29">
        <f>VLOOKUP($B18,'County Data'!$B$10:$L$46,7,FALSE)</f>
        <v>0.23854671280276818</v>
      </c>
      <c r="E18" s="31">
        <f t="shared" si="0"/>
        <v>6795.9573010380627</v>
      </c>
      <c r="F18" s="6">
        <f t="shared" si="1"/>
        <v>6.830046602666018E-3</v>
      </c>
      <c r="G18" s="14">
        <f t="shared" si="2"/>
        <v>14261.137306366643</v>
      </c>
      <c r="H18" s="10">
        <f t="shared" si="3"/>
        <v>0.50058399053552749</v>
      </c>
    </row>
    <row r="19" spans="2:8" x14ac:dyDescent="0.25">
      <c r="B19" s="20" t="str">
        <f>+'County Data'!$B$34</f>
        <v>Morrow</v>
      </c>
      <c r="C19" s="15">
        <f>VLOOKUP($B19,'County Data'!$B$10:$L$46,2,FALSE)</f>
        <v>12635</v>
      </c>
      <c r="D19" s="29">
        <f>VLOOKUP($B19,'County Data'!$B$10:$L$46,7,FALSE)</f>
        <v>0.29377013963480131</v>
      </c>
      <c r="E19" s="31">
        <f t="shared" si="0"/>
        <v>3711.7857142857147</v>
      </c>
      <c r="F19" s="6">
        <f t="shared" si="1"/>
        <v>3.7304044573395144E-3</v>
      </c>
      <c r="G19" s="14">
        <f t="shared" si="2"/>
        <v>7789.0845069249053</v>
      </c>
      <c r="H19" s="10">
        <f t="shared" si="3"/>
        <v>0.6164688964720938</v>
      </c>
    </row>
    <row r="20" spans="2:8" x14ac:dyDescent="0.25">
      <c r="B20" s="20" t="str">
        <f>+'County Data'!$B$39</f>
        <v>Tillamook</v>
      </c>
      <c r="C20" s="15">
        <f>VLOOKUP($B20,'County Data'!$B$10:$L$46,2,FALSE)</f>
        <v>27628</v>
      </c>
      <c r="D20" s="29">
        <f>VLOOKUP($B20,'County Data'!$B$10:$L$46,7,FALSE)</f>
        <v>0.25437453094758461</v>
      </c>
      <c r="E20" s="31">
        <f t="shared" si="0"/>
        <v>7027.8595410198677</v>
      </c>
      <c r="F20" s="6">
        <f t="shared" si="1"/>
        <v>7.0631120908933248E-3</v>
      </c>
      <c r="G20" s="14">
        <f t="shared" si="2"/>
        <v>14747.77804578526</v>
      </c>
      <c r="H20" s="10">
        <f t="shared" si="3"/>
        <v>0.53379824981125168</v>
      </c>
    </row>
    <row r="21" spans="2:8" x14ac:dyDescent="0.25">
      <c r="B21" s="20" t="str">
        <f>+'County Data'!$B$10</f>
        <v>Baker</v>
      </c>
      <c r="C21" s="15">
        <f>VLOOKUP($B21,'County Data'!$B$10:$L$46,2,FALSE)</f>
        <v>16860</v>
      </c>
      <c r="D21" s="29">
        <f>VLOOKUP($B21,'County Data'!$B$10:$L$46,7,FALSE)</f>
        <v>0.26671850699844479</v>
      </c>
      <c r="E21" s="31">
        <f t="shared" si="0"/>
        <v>4496.8740279937792</v>
      </c>
      <c r="F21" s="6">
        <f t="shared" si="1"/>
        <v>4.5194308641145391E-3</v>
      </c>
      <c r="G21" s="14">
        <f t="shared" si="2"/>
        <v>9436.5716442711564</v>
      </c>
      <c r="H21" s="10">
        <f t="shared" si="3"/>
        <v>0.55970175826044821</v>
      </c>
    </row>
    <row r="22" spans="2:8" x14ac:dyDescent="0.25">
      <c r="B22" s="20" t="str">
        <f>+'County Data'!$B$17</f>
        <v>Curry</v>
      </c>
      <c r="C22" s="15">
        <f>VLOOKUP($B22,'County Data'!$B$10:$L$46,2,FALSE)</f>
        <v>23662</v>
      </c>
      <c r="D22" s="29">
        <f>VLOOKUP($B22,'County Data'!$B$10:$L$46,7,FALSE)</f>
        <v>0.24108864278348205</v>
      </c>
      <c r="E22" s="31">
        <f t="shared" si="0"/>
        <v>5704.6394655427521</v>
      </c>
      <c r="F22" s="6">
        <f t="shared" si="1"/>
        <v>5.7332545916839832E-3</v>
      </c>
      <c r="G22" s="14">
        <f t="shared" si="2"/>
        <v>11971.035587436156</v>
      </c>
      <c r="H22" s="10">
        <f t="shared" si="3"/>
        <v>0.50591816361407138</v>
      </c>
    </row>
    <row r="23" spans="2:8" x14ac:dyDescent="0.25">
      <c r="B23" s="20" t="str">
        <f>+'County Data'!$B$31</f>
        <v>Linn</v>
      </c>
      <c r="C23" s="15">
        <f>VLOOKUP($B23,'County Data'!$B$10:$L$46,2,FALSE)</f>
        <v>130440</v>
      </c>
      <c r="D23" s="29">
        <f>VLOOKUP($B23,'County Data'!$B$10:$L$46,7,FALSE)</f>
        <v>0.25578581775085596</v>
      </c>
      <c r="E23" s="31">
        <f t="shared" si="0"/>
        <v>33364.702067421655</v>
      </c>
      <c r="F23" s="6">
        <f t="shared" si="1"/>
        <v>3.3532063241443373E-2</v>
      </c>
      <c r="G23" s="14">
        <f t="shared" si="2"/>
        <v>70014.948048133752</v>
      </c>
      <c r="H23" s="10">
        <f t="shared" si="3"/>
        <v>0.53675979797710638</v>
      </c>
    </row>
    <row r="24" spans="2:8" x14ac:dyDescent="0.25">
      <c r="B24" s="20" t="str">
        <f>+'County Data'!$B$22</f>
        <v>Harney</v>
      </c>
      <c r="C24" s="15">
        <f>VLOOKUP($B24,'County Data'!$B$10:$L$46,2,FALSE)</f>
        <v>7537</v>
      </c>
      <c r="D24" s="29">
        <f>VLOOKUP($B24,'County Data'!$B$10:$L$46,7,FALSE)</f>
        <v>0.27595435976898153</v>
      </c>
      <c r="E24" s="31">
        <f t="shared" si="0"/>
        <v>2079.8680095788136</v>
      </c>
      <c r="F24" s="6">
        <f t="shared" si="1"/>
        <v>2.0903008661704871E-3</v>
      </c>
      <c r="G24" s="14">
        <f t="shared" si="2"/>
        <v>4364.5482085639769</v>
      </c>
      <c r="H24" s="10">
        <f t="shared" si="3"/>
        <v>0.57908295191242898</v>
      </c>
    </row>
    <row r="25" spans="2:8" x14ac:dyDescent="0.25">
      <c r="B25" s="20" t="str">
        <f>+'County Data'!$B$21</f>
        <v>Grant</v>
      </c>
      <c r="C25" s="15">
        <f>VLOOKUP($B25,'County Data'!$B$10:$L$46,2,FALSE)</f>
        <v>7226</v>
      </c>
      <c r="D25" s="29">
        <f>VLOOKUP($B25,'County Data'!$B$10:$L$46,7,FALSE)</f>
        <v>0.27554486272289841</v>
      </c>
      <c r="E25" s="31">
        <f t="shared" si="0"/>
        <v>1991.087178035664</v>
      </c>
      <c r="F25" s="6">
        <f t="shared" si="1"/>
        <v>2.0010746997891106E-3</v>
      </c>
      <c r="G25" s="14">
        <f t="shared" si="2"/>
        <v>4178.2439731596623</v>
      </c>
      <c r="H25" s="10">
        <f t="shared" si="3"/>
        <v>0.57822363315245806</v>
      </c>
    </row>
    <row r="26" spans="2:8" x14ac:dyDescent="0.25">
      <c r="B26" s="20" t="str">
        <f>+'County Data'!$B$19</f>
        <v>Douglas</v>
      </c>
      <c r="C26" s="15">
        <f>VLOOKUP($B26,'County Data'!$B$10:$L$46,2,FALSE)</f>
        <v>111694</v>
      </c>
      <c r="D26" s="29">
        <f>VLOOKUP($B26,'County Data'!$B$10:$L$46,7,FALSE)</f>
        <v>0.27764111677500819</v>
      </c>
      <c r="E26" s="31">
        <f t="shared" si="0"/>
        <v>31010.846897067764</v>
      </c>
      <c r="F26" s="6">
        <f t="shared" si="1"/>
        <v>3.116640086346055E-2</v>
      </c>
      <c r="G26" s="14">
        <f t="shared" si="2"/>
        <v>65075.445002905624</v>
      </c>
      <c r="H26" s="10">
        <f t="shared" si="3"/>
        <v>0.58262256703946158</v>
      </c>
    </row>
    <row r="27" spans="2:8" x14ac:dyDescent="0.25">
      <c r="B27" s="20" t="str">
        <f>+'County Data'!$B$24</f>
        <v>Jackson</v>
      </c>
      <c r="C27" s="15">
        <f>VLOOKUP($B27,'County Data'!$B$10:$L$46,2,FALSE)</f>
        <v>223827</v>
      </c>
      <c r="D27" s="29">
        <f>VLOOKUP($B27,'County Data'!$B$10:$L$46,7,FALSE)</f>
        <v>0.26824137573224915</v>
      </c>
      <c r="E27" s="31">
        <f t="shared" si="0"/>
        <v>60039.662406022129</v>
      </c>
      <c r="F27" s="6">
        <f t="shared" si="1"/>
        <v>6.0340828241935617E-2</v>
      </c>
      <c r="G27" s="14">
        <f t="shared" si="2"/>
        <v>125991.64936916155</v>
      </c>
      <c r="H27" s="10">
        <f t="shared" si="3"/>
        <v>0.56289745816707348</v>
      </c>
    </row>
    <row r="28" spans="2:8" x14ac:dyDescent="0.25">
      <c r="B28" s="20" t="str">
        <f>+'County Data'!$B$33</f>
        <v>Marion</v>
      </c>
      <c r="C28" s="15">
        <f>VLOOKUP($B28,'County Data'!$B$10:$L$46,2,FALSE)</f>
        <v>347182</v>
      </c>
      <c r="D28" s="29">
        <f>VLOOKUP($B28,'County Data'!$B$10:$L$46,7,FALSE)</f>
        <v>0.27417406553517121</v>
      </c>
      <c r="E28" s="31">
        <f t="shared" si="0"/>
        <v>95188.300420631815</v>
      </c>
      <c r="F28" s="6">
        <f t="shared" si="1"/>
        <v>9.5665775857976851E-2</v>
      </c>
      <c r="G28" s="14">
        <f t="shared" si="2"/>
        <v>199750.13999145565</v>
      </c>
      <c r="H28" s="10">
        <f t="shared" si="3"/>
        <v>0.57534705137782394</v>
      </c>
    </row>
    <row r="29" spans="2:8" x14ac:dyDescent="0.25">
      <c r="B29" s="20" t="str">
        <f>+'County Data'!$B$40</f>
        <v>Umatilla</v>
      </c>
      <c r="C29" s="15">
        <f>VLOOKUP($B29,'County Data'!$B$10:$L$46,2,FALSE)</f>
        <v>80463</v>
      </c>
      <c r="D29" s="29">
        <f>VLOOKUP($B29,'County Data'!$B$10:$L$46,7,FALSE)</f>
        <v>0.2947186267045061</v>
      </c>
      <c r="E29" s="31">
        <f t="shared" si="0"/>
        <v>23713.944860524676</v>
      </c>
      <c r="F29" s="6">
        <f t="shared" si="1"/>
        <v>2.3832896729015028E-2</v>
      </c>
      <c r="G29" s="14">
        <f t="shared" si="2"/>
        <v>49763.088370183374</v>
      </c>
      <c r="H29" s="10">
        <f t="shared" si="3"/>
        <v>0.618459271592948</v>
      </c>
    </row>
    <row r="30" spans="2:8" x14ac:dyDescent="0.25">
      <c r="B30" s="20" t="str">
        <f>+'County Data'!$B$30</f>
        <v>Lincoln</v>
      </c>
      <c r="C30" s="15">
        <f>VLOOKUP($B30,'County Data'!$B$10:$L$46,2,FALSE)</f>
        <v>50903</v>
      </c>
      <c r="D30" s="29">
        <f>VLOOKUP($B30,'County Data'!$B$10:$L$46,7,FALSE)</f>
        <v>0.28095601322145947</v>
      </c>
      <c r="E30" s="31">
        <f t="shared" si="0"/>
        <v>14301.503941011952</v>
      </c>
      <c r="F30" s="6">
        <f t="shared" si="1"/>
        <v>1.4373241925814193E-2</v>
      </c>
      <c r="G30" s="14">
        <f t="shared" si="2"/>
        <v>30011.329141100032</v>
      </c>
      <c r="H30" s="10">
        <f t="shared" si="3"/>
        <v>0.58957878987682522</v>
      </c>
    </row>
    <row r="31" spans="2:8" x14ac:dyDescent="0.25">
      <c r="B31" s="20" t="str">
        <f>+'County Data'!$B$11</f>
        <v>Benton</v>
      </c>
      <c r="C31" s="15">
        <f>VLOOKUP($B31,'County Data'!$B$10:$L$46,2,FALSE)</f>
        <v>93976</v>
      </c>
      <c r="D31" s="29">
        <f>VLOOKUP($B31,'County Data'!$B$10:$L$46,7,FALSE)</f>
        <v>0.2787920514707628</v>
      </c>
      <c r="E31" s="31">
        <f t="shared" si="0"/>
        <v>26199.761829016406</v>
      </c>
      <c r="F31" s="6">
        <f t="shared" si="1"/>
        <v>2.6331182840657181E-2</v>
      </c>
      <c r="G31" s="14">
        <f t="shared" si="2"/>
        <v>54979.509771292185</v>
      </c>
      <c r="H31" s="10">
        <f t="shared" si="3"/>
        <v>0.58503777316859817</v>
      </c>
    </row>
    <row r="32" spans="2:8" x14ac:dyDescent="0.25">
      <c r="B32" s="20" t="str">
        <f>+'County Data'!$B$29</f>
        <v>Lane</v>
      </c>
      <c r="C32" s="15">
        <f>VLOOKUP($B32,'County Data'!$B$10:$L$46,2,FALSE)</f>
        <v>382647</v>
      </c>
      <c r="D32" s="29">
        <f>VLOOKUP($B32,'County Data'!$B$10:$L$46,7,FALSE)</f>
        <v>0.28730761886047818</v>
      </c>
      <c r="E32" s="31">
        <f t="shared" si="0"/>
        <v>109937.39843410539</v>
      </c>
      <c r="F32" s="6">
        <f t="shared" si="1"/>
        <v>0.11048885703947957</v>
      </c>
      <c r="G32" s="14">
        <f t="shared" si="2"/>
        <v>230700.73349843331</v>
      </c>
      <c r="H32" s="10">
        <f t="shared" si="3"/>
        <v>0.60290746693018193</v>
      </c>
    </row>
    <row r="33" spans="2:8" x14ac:dyDescent="0.25">
      <c r="B33" s="20" t="str">
        <f>+'County Data'!$B$16</f>
        <v>Crook</v>
      </c>
      <c r="C33" s="15">
        <f>VLOOKUP($B33,'County Data'!$B$10:$L$46,2,FALSE)</f>
        <v>25482</v>
      </c>
      <c r="D33" s="29">
        <f>VLOOKUP($B33,'County Data'!$B$10:$L$46,7,FALSE)</f>
        <v>0.26902958152958151</v>
      </c>
      <c r="E33" s="31">
        <f t="shared" si="0"/>
        <v>6855.4117965367959</v>
      </c>
      <c r="F33" s="6">
        <f t="shared" si="1"/>
        <v>6.8897993287363127E-3</v>
      </c>
      <c r="G33" s="14">
        <f t="shared" si="2"/>
        <v>14385.900998401419</v>
      </c>
      <c r="H33" s="10">
        <f t="shared" si="3"/>
        <v>0.56455148726165216</v>
      </c>
    </row>
    <row r="34" spans="2:8" x14ac:dyDescent="0.25">
      <c r="B34" s="20" t="str">
        <f>+'County Data'!$B$25</f>
        <v>Jefferson</v>
      </c>
      <c r="C34" s="15">
        <f>VLOOKUP($B34,'County Data'!$B$10:$L$46,2,FALSE)</f>
        <v>24889</v>
      </c>
      <c r="D34" s="29">
        <f>VLOOKUP($B34,'County Data'!$B$10:$L$46,7,FALSE)</f>
        <v>0.30349789583239062</v>
      </c>
      <c r="E34" s="31">
        <f t="shared" si="0"/>
        <v>7553.7591293723699</v>
      </c>
      <c r="F34" s="6">
        <f t="shared" si="1"/>
        <v>7.5916496519256478E-3</v>
      </c>
      <c r="G34" s="14">
        <f t="shared" si="2"/>
        <v>15851.36447322075</v>
      </c>
      <c r="H34" s="10">
        <f t="shared" si="3"/>
        <v>0.63688233650290293</v>
      </c>
    </row>
    <row r="35" spans="2:8" x14ac:dyDescent="0.25">
      <c r="B35" s="20" t="str">
        <f>+'County Data'!$B$15</f>
        <v>Coos</v>
      </c>
      <c r="C35" s="15">
        <f>VLOOKUP($B35,'County Data'!$B$10:$L$46,2,FALSE)</f>
        <v>65154</v>
      </c>
      <c r="D35" s="29">
        <f>VLOOKUP($B35,'County Data'!$B$10:$L$46,7,FALSE)</f>
        <v>0.29889760747123673</v>
      </c>
      <c r="E35" s="31">
        <f t="shared" si="0"/>
        <v>19474.374717180959</v>
      </c>
      <c r="F35" s="6">
        <f t="shared" si="1"/>
        <v>1.9572060415360436E-2</v>
      </c>
      <c r="G35" s="14">
        <f t="shared" si="2"/>
        <v>40866.462147272585</v>
      </c>
      <c r="H35" s="10">
        <f t="shared" si="3"/>
        <v>0.62722875260571243</v>
      </c>
    </row>
    <row r="36" spans="2:8" x14ac:dyDescent="0.25">
      <c r="B36" s="20" t="str">
        <f>+'County Data'!$B$27</f>
        <v>Klamath</v>
      </c>
      <c r="C36" s="15">
        <f>VLOOKUP($B36,'County Data'!$B$10:$L$46,2,FALSE)</f>
        <v>69822</v>
      </c>
      <c r="D36" s="29">
        <f>VLOOKUP($B36,'County Data'!$B$10:$L$46,7,FALSE)</f>
        <v>0.33197549770290963</v>
      </c>
      <c r="E36" s="31">
        <f t="shared" si="0"/>
        <v>23179.193200612557</v>
      </c>
      <c r="F36" s="6">
        <f t="shared" si="1"/>
        <v>2.3295462693416411E-2</v>
      </c>
      <c r="G36" s="14">
        <f t="shared" si="2"/>
        <v>48640.926103853461</v>
      </c>
      <c r="H36" s="10">
        <f t="shared" si="3"/>
        <v>0.69664183357471088</v>
      </c>
    </row>
    <row r="37" spans="2:8" x14ac:dyDescent="0.25">
      <c r="B37" s="20" t="str">
        <f>'County Data'!$B$45</f>
        <v>Wheeler</v>
      </c>
      <c r="C37" s="15">
        <f>VLOOKUP($B37,'County Data'!$B$10:$L$46,2,FALSE)</f>
        <v>1456</v>
      </c>
      <c r="D37" s="29">
        <f>VLOOKUP($B37,'County Data'!$B$10:$L$46,7,FALSE)</f>
        <v>0.3383084577114428</v>
      </c>
      <c r="E37" s="31">
        <f t="shared" si="0"/>
        <v>492.57711442786069</v>
      </c>
      <c r="F37" s="6">
        <f t="shared" si="1"/>
        <v>4.9504793775486929E-4</v>
      </c>
      <c r="G37" s="14">
        <f t="shared" si="2"/>
        <v>1033.6600940321669</v>
      </c>
      <c r="H37" s="10">
        <f t="shared" si="3"/>
        <v>0.70993138326385086</v>
      </c>
    </row>
    <row r="38" spans="2:8" x14ac:dyDescent="0.25">
      <c r="B38" s="20" t="str">
        <f>+'County Data'!$B$41</f>
        <v>Union</v>
      </c>
      <c r="C38" s="15">
        <f>VLOOKUP($B38,'County Data'!$B$10:$L$46,2,FALSE)</f>
        <v>26295</v>
      </c>
      <c r="D38" s="29">
        <f>VLOOKUP($B38,'County Data'!$B$10:$L$46,7,FALSE)</f>
        <v>0.30462135000395663</v>
      </c>
      <c r="E38" s="31">
        <f t="shared" si="0"/>
        <v>8010.0183983540392</v>
      </c>
      <c r="F38" s="6">
        <f t="shared" si="1"/>
        <v>8.0501975697542562E-3</v>
      </c>
      <c r="G38" s="14">
        <f t="shared" si="2"/>
        <v>16808.812525646885</v>
      </c>
      <c r="H38" s="10">
        <f t="shared" si="3"/>
        <v>0.63923987547620786</v>
      </c>
    </row>
    <row r="39" spans="2:8" x14ac:dyDescent="0.25">
      <c r="B39" s="20" t="str">
        <f>+'County Data'!$B$28</f>
        <v>Lake</v>
      </c>
      <c r="C39" s="15">
        <f>VLOOKUP($B39,'County Data'!$B$10:$L$46,2,FALSE)</f>
        <v>8177</v>
      </c>
      <c r="D39" s="29">
        <f>VLOOKUP($B39,'County Data'!$B$10:$L$46,7,FALSE)</f>
        <v>0.32648275862068965</v>
      </c>
      <c r="E39" s="31">
        <f t="shared" si="0"/>
        <v>2669.6495172413793</v>
      </c>
      <c r="F39" s="6">
        <f t="shared" si="1"/>
        <v>2.6830407855502995E-3</v>
      </c>
      <c r="G39" s="14">
        <f t="shared" si="2"/>
        <v>5602.1891602290252</v>
      </c>
      <c r="H39" s="10">
        <f t="shared" si="3"/>
        <v>0.68511546535759149</v>
      </c>
    </row>
    <row r="40" spans="2:8" x14ac:dyDescent="0.25">
      <c r="B40" s="20" t="str">
        <f>+'County Data'!$B$26</f>
        <v>Josephine</v>
      </c>
      <c r="C40" s="15">
        <f>VLOOKUP($B40,'County Data'!$B$10:$L$46,2,FALSE)</f>
        <v>88728</v>
      </c>
      <c r="D40" s="29">
        <f>VLOOKUP($B40,'County Data'!$B$10:$L$46,7,FALSE)</f>
        <v>0.33520512729383611</v>
      </c>
      <c r="E40" s="31">
        <f t="shared" si="0"/>
        <v>29742.080534527489</v>
      </c>
      <c r="F40" s="6">
        <f t="shared" si="1"/>
        <v>2.9891270223260463E-2</v>
      </c>
      <c r="G40" s="14">
        <f t="shared" si="2"/>
        <v>62412.97222616784</v>
      </c>
      <c r="H40" s="10">
        <f t="shared" si="3"/>
        <v>0.70341912616274271</v>
      </c>
    </row>
    <row r="41" spans="2:8" x14ac:dyDescent="0.25">
      <c r="B41" s="20" t="str">
        <f>+'County Data'!$B$32</f>
        <v>Malheur</v>
      </c>
      <c r="C41" s="15">
        <f>VLOOKUP($B41,'County Data'!$B$10:$L$46,2,FALSE)</f>
        <v>31995</v>
      </c>
      <c r="D41" s="29">
        <f>VLOOKUP($B41,'County Data'!$B$10:$L$46,7,FALSE)</f>
        <v>0.36521673972500096</v>
      </c>
      <c r="E41" s="31">
        <f t="shared" si="0"/>
        <v>11685.109587501405</v>
      </c>
      <c r="F41" s="6">
        <f t="shared" si="1"/>
        <v>1.1743723438006793E-2</v>
      </c>
      <c r="G41" s="14">
        <f t="shared" si="2"/>
        <v>24520.894538558183</v>
      </c>
      <c r="H41" s="10">
        <f t="shared" si="3"/>
        <v>0.76639770397118867</v>
      </c>
    </row>
    <row r="42" spans="2:8" x14ac:dyDescent="0.25">
      <c r="B42" s="4" t="s">
        <v>89</v>
      </c>
      <c r="C42" s="5">
        <f>SUM(C7:C41)</f>
        <v>4266560</v>
      </c>
      <c r="D42" s="5"/>
      <c r="E42" s="5">
        <f>SUM(E7:E41)</f>
        <v>995008.92107900861</v>
      </c>
      <c r="F42" s="8">
        <f>SUM(F7:F41)</f>
        <v>1.0000000000000002</v>
      </c>
      <c r="G42" s="11">
        <f>SUM(G7:G41)</f>
        <v>2088000</v>
      </c>
      <c r="H42" s="12">
        <f t="shared" ref="H42" si="8">G42/C42</f>
        <v>0.48938723468086703</v>
      </c>
    </row>
  </sheetData>
  <sortState xmlns:xlrd2="http://schemas.microsoft.com/office/spreadsheetml/2017/richdata2" ref="B7:H41">
    <sortCondition ref="D7:D41"/>
  </sortState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H42"/>
  <sheetViews>
    <sheetView workbookViewId="0">
      <selection activeCell="J10" sqref="J10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 x14ac:dyDescent="0.25">
      <c r="B3" t="s">
        <v>125</v>
      </c>
      <c r="C3" s="1">
        <f>'County Data'!C5</f>
        <v>20000000</v>
      </c>
    </row>
    <row r="4" spans="2:8" x14ac:dyDescent="0.25">
      <c r="B4" t="s">
        <v>126</v>
      </c>
      <c r="C4" s="14">
        <f>'County Data'!J9</f>
        <v>2087999.9999999998</v>
      </c>
      <c r="D4" s="9"/>
    </row>
    <row r="6" spans="2:8" s="2" customFormat="1" ht="30" x14ac:dyDescent="0.25">
      <c r="B6" s="3" t="s">
        <v>36</v>
      </c>
      <c r="C6" s="3" t="s">
        <v>107</v>
      </c>
      <c r="D6" s="3" t="s">
        <v>141</v>
      </c>
      <c r="E6" s="3" t="s">
        <v>142</v>
      </c>
      <c r="F6" s="3" t="s">
        <v>143</v>
      </c>
      <c r="G6" s="13" t="s">
        <v>128</v>
      </c>
      <c r="H6" s="3" t="s">
        <v>129</v>
      </c>
    </row>
    <row r="7" spans="2:8" x14ac:dyDescent="0.25">
      <c r="B7" s="20" t="str">
        <f>+'County Data'!$B$11</f>
        <v>Benton</v>
      </c>
      <c r="C7" s="15">
        <f>VLOOKUP($B7,'County Data'!$B$10:$L$46,2,FALSE)</f>
        <v>93976</v>
      </c>
      <c r="D7" s="29">
        <f>VLOOKUP($B7,'County Data'!$B$10:$L$46,9,FALSE)</f>
        <v>4.5600029431241265E-2</v>
      </c>
      <c r="E7" s="31">
        <f t="shared" ref="E7:E41" si="0">C7*D7</f>
        <v>4285.3083658303294</v>
      </c>
      <c r="F7" s="6">
        <f t="shared" ref="F7:F41" si="1">E7/$E$42</f>
        <v>1.0413715159290319E-2</v>
      </c>
      <c r="G7" s="14">
        <f t="shared" ref="G7:G41" si="2">$C$4*F7</f>
        <v>21743.837252598183</v>
      </c>
      <c r="H7" s="10">
        <f t="shared" ref="H7:H41" si="3">G7/C7</f>
        <v>0.23137649242996278</v>
      </c>
    </row>
    <row r="8" spans="2:8" x14ac:dyDescent="0.25">
      <c r="B8" s="20" t="str">
        <f>+'County Data'!$B$12</f>
        <v>Clackamas</v>
      </c>
      <c r="C8" s="15">
        <f>VLOOKUP($B8,'County Data'!$B$10:$L$46,2,FALSE)</f>
        <v>425316</v>
      </c>
      <c r="D8" s="29">
        <f>VLOOKUP($B8,'County Data'!$B$10:$L$46,9,FALSE)</f>
        <v>6.7258416497069859E-2</v>
      </c>
      <c r="E8" s="31">
        <f t="shared" si="0"/>
        <v>28606.080670867763</v>
      </c>
      <c r="F8" s="6">
        <f t="shared" si="1"/>
        <v>6.9515551857462804E-2</v>
      </c>
      <c r="G8" s="14">
        <f t="shared" si="2"/>
        <v>145148.47227838231</v>
      </c>
      <c r="H8" s="10">
        <f t="shared" si="3"/>
        <v>0.34127207130317766</v>
      </c>
    </row>
    <row r="9" spans="2:8" x14ac:dyDescent="0.25">
      <c r="B9" s="20" t="str">
        <f>'County Data'!B20</f>
        <v>Gilliam</v>
      </c>
      <c r="C9" s="15">
        <f>VLOOKUP($B9,'County Data'!$B$10:$L$46,2,FALSE)</f>
        <v>2039</v>
      </c>
      <c r="D9" s="29">
        <f>VLOOKUP($B9,'County Data'!$B$10:$L$46,9,FALSE)</f>
        <v>9.668508287292818E-2</v>
      </c>
      <c r="E9" s="31">
        <f t="shared" ref="E9" si="4">C9*D9</f>
        <v>197.14088397790056</v>
      </c>
      <c r="F9" s="6">
        <f t="shared" ref="F9" si="5">E9/$E$42</f>
        <v>4.7907147788156198E-4</v>
      </c>
      <c r="G9" s="14">
        <f t="shared" ref="G9" si="6">$C$4*F9</f>
        <v>1000.3012458167013</v>
      </c>
      <c r="H9" s="10">
        <f t="shared" ref="H9" si="7">G9/C9</f>
        <v>0.49058423041525323</v>
      </c>
    </row>
    <row r="10" spans="2:8" x14ac:dyDescent="0.25">
      <c r="B10" s="20" t="str">
        <f>+'County Data'!$B$42</f>
        <v>Wallowa</v>
      </c>
      <c r="C10" s="15">
        <f>VLOOKUP($B10,'County Data'!$B$10:$L$46,2,FALSE)</f>
        <v>7433</v>
      </c>
      <c r="D10" s="29">
        <f>VLOOKUP($B10,'County Data'!$B$10:$L$46,9,FALSE)</f>
        <v>7.5023041474654384E-2</v>
      </c>
      <c r="E10" s="31">
        <f t="shared" si="0"/>
        <v>557.64626728110602</v>
      </c>
      <c r="F10" s="6">
        <f t="shared" si="1"/>
        <v>1.3551345414046317E-3</v>
      </c>
      <c r="G10" s="14">
        <f t="shared" si="2"/>
        <v>2829.5209224528708</v>
      </c>
      <c r="H10" s="10">
        <f t="shared" si="3"/>
        <v>0.38067010930349399</v>
      </c>
    </row>
    <row r="11" spans="2:8" x14ac:dyDescent="0.25">
      <c r="B11" s="20" t="str">
        <f>+'County Data'!$B$18</f>
        <v>Deschutes</v>
      </c>
      <c r="C11" s="15">
        <f>VLOOKUP($B11,'County Data'!$B$10:$L$46,2,FALSE)</f>
        <v>203390</v>
      </c>
      <c r="D11" s="29">
        <f>VLOOKUP($B11,'County Data'!$B$10:$L$46,9,FALSE)</f>
        <v>6.4709260039046049E-2</v>
      </c>
      <c r="E11" s="31">
        <f t="shared" si="0"/>
        <v>13161.216399341576</v>
      </c>
      <c r="F11" s="6">
        <f t="shared" si="1"/>
        <v>3.1983032965695872E-2</v>
      </c>
      <c r="G11" s="14">
        <f t="shared" si="2"/>
        <v>66780.572832372971</v>
      </c>
      <c r="H11" s="10">
        <f t="shared" si="3"/>
        <v>0.32833754281121474</v>
      </c>
    </row>
    <row r="12" spans="2:8" x14ac:dyDescent="0.25">
      <c r="B12" s="20" t="str">
        <f>+'County Data'!$B$41</f>
        <v>Union</v>
      </c>
      <c r="C12" s="15">
        <f>VLOOKUP($B12,'County Data'!$B$10:$L$46,2,FALSE)</f>
        <v>26295</v>
      </c>
      <c r="D12" s="29">
        <f>VLOOKUP($B12,'County Data'!$B$10:$L$46,9,FALSE)</f>
        <v>7.6918634867471275E-2</v>
      </c>
      <c r="E12" s="31">
        <f t="shared" si="0"/>
        <v>2022.5755038401571</v>
      </c>
      <c r="F12" s="6">
        <f t="shared" si="1"/>
        <v>4.9150547375062439E-3</v>
      </c>
      <c r="G12" s="14">
        <f t="shared" si="2"/>
        <v>10262.634291913037</v>
      </c>
      <c r="H12" s="10">
        <f t="shared" si="3"/>
        <v>0.39028843095314836</v>
      </c>
    </row>
    <row r="13" spans="2:8" x14ac:dyDescent="0.25">
      <c r="B13" s="20" t="str">
        <f>+'County Data'!$B$13</f>
        <v>Clatsop</v>
      </c>
      <c r="C13" s="15">
        <f>VLOOKUP($B13,'County Data'!$B$10:$L$46,2,FALSE)</f>
        <v>41428</v>
      </c>
      <c r="D13" s="29">
        <f>VLOOKUP($B13,'County Data'!$B$10:$L$46,9,FALSE)</f>
        <v>8.4374440665831399E-2</v>
      </c>
      <c r="E13" s="31">
        <f t="shared" si="0"/>
        <v>3495.4643279040633</v>
      </c>
      <c r="F13" s="6">
        <f t="shared" si="1"/>
        <v>8.4943175036133051E-3</v>
      </c>
      <c r="G13" s="14">
        <f t="shared" si="2"/>
        <v>17736.134947544579</v>
      </c>
      <c r="H13" s="10">
        <f t="shared" si="3"/>
        <v>0.42811950727876263</v>
      </c>
    </row>
    <row r="14" spans="2:8" x14ac:dyDescent="0.25">
      <c r="B14" s="20" t="str">
        <f>'County Data'!$B$45</f>
        <v>Wheeler</v>
      </c>
      <c r="C14" s="15">
        <f>VLOOKUP($B14,'County Data'!$B$10:$L$46,2,FALSE)</f>
        <v>1456</v>
      </c>
      <c r="D14" s="29">
        <f>VLOOKUP($B14,'County Data'!$B$10:$L$46,9,FALSE)</f>
        <v>7.9234972677595633E-2</v>
      </c>
      <c r="E14" s="31">
        <f t="shared" si="0"/>
        <v>115.36612021857924</v>
      </c>
      <c r="F14" s="6">
        <f t="shared" si="1"/>
        <v>2.8035086682868024E-4</v>
      </c>
      <c r="G14" s="14">
        <f t="shared" si="2"/>
        <v>585.37260993828431</v>
      </c>
      <c r="H14" s="10">
        <f t="shared" si="3"/>
        <v>0.40204162770486562</v>
      </c>
    </row>
    <row r="15" spans="2:8" x14ac:dyDescent="0.25">
      <c r="B15" s="20" t="str">
        <f>+'County Data'!$B$29</f>
        <v>Lane</v>
      </c>
      <c r="C15" s="15">
        <f>VLOOKUP($B15,'County Data'!$B$10:$L$46,2,FALSE)</f>
        <v>382647</v>
      </c>
      <c r="D15" s="29">
        <f>VLOOKUP($B15,'County Data'!$B$10:$L$46,9,FALSE)</f>
        <v>8.6174325107355759E-2</v>
      </c>
      <c r="E15" s="31">
        <f t="shared" si="0"/>
        <v>32974.346979354363</v>
      </c>
      <c r="F15" s="6">
        <f t="shared" si="1"/>
        <v>8.0130862867336852E-2</v>
      </c>
      <c r="G15" s="14">
        <f t="shared" si="2"/>
        <v>167313.24166699933</v>
      </c>
      <c r="H15" s="10">
        <f t="shared" si="3"/>
        <v>0.43725219763123541</v>
      </c>
    </row>
    <row r="16" spans="2:8" x14ac:dyDescent="0.25">
      <c r="B16" s="20" t="str">
        <f>+'County Data'!$B$37</f>
        <v>Polk</v>
      </c>
      <c r="C16" s="15">
        <f>VLOOKUP($B16,'County Data'!$B$10:$L$46,2,FALSE)</f>
        <v>88916</v>
      </c>
      <c r="D16" s="29">
        <f>VLOOKUP($B16,'County Data'!$B$10:$L$46,9,FALSE)</f>
        <v>9.566050387968196E-2</v>
      </c>
      <c r="E16" s="31">
        <f t="shared" si="0"/>
        <v>8505.749362965802</v>
      </c>
      <c r="F16" s="6">
        <f t="shared" si="1"/>
        <v>2.0669796318164891E-2</v>
      </c>
      <c r="G16" s="14">
        <f t="shared" si="2"/>
        <v>43158.534712328285</v>
      </c>
      <c r="H16" s="10">
        <f t="shared" si="3"/>
        <v>0.48538547294444512</v>
      </c>
    </row>
    <row r="17" spans="2:8" x14ac:dyDescent="0.25">
      <c r="B17" s="20" t="str">
        <f>+'County Data'!$B$44</f>
        <v>Washington</v>
      </c>
      <c r="C17" s="15">
        <f>VLOOKUP($B17,'County Data'!$B$10:$L$46,2,FALSE)</f>
        <v>605036</v>
      </c>
      <c r="D17" s="29">
        <f>VLOOKUP($B17,'County Data'!$B$10:$L$46,9,FALSE)</f>
        <v>8.3950044504063362E-2</v>
      </c>
      <c r="E17" s="31">
        <f t="shared" si="0"/>
        <v>50792.79912656048</v>
      </c>
      <c r="F17" s="6">
        <f t="shared" si="1"/>
        <v>0.12343143062111056</v>
      </c>
      <c r="G17" s="14">
        <f t="shared" si="2"/>
        <v>257724.82713687883</v>
      </c>
      <c r="H17" s="10">
        <f t="shared" si="3"/>
        <v>0.42596610306969968</v>
      </c>
    </row>
    <row r="18" spans="2:8" x14ac:dyDescent="0.25">
      <c r="B18" s="20" t="str">
        <f>+'County Data'!$B$35</f>
        <v>Multnomah</v>
      </c>
      <c r="C18" s="15">
        <f>VLOOKUP($B18,'County Data'!$B$10:$L$46,2,FALSE)</f>
        <v>820672</v>
      </c>
      <c r="D18" s="29">
        <f>VLOOKUP($B18,'County Data'!$B$10:$L$46,9,FALSE)</f>
        <v>8.7056662281201555E-2</v>
      </c>
      <c r="E18" s="31">
        <f t="shared" si="0"/>
        <v>71444.965147638242</v>
      </c>
      <c r="F18" s="6">
        <f t="shared" si="1"/>
        <v>0.17361819806140572</v>
      </c>
      <c r="G18" s="14">
        <f t="shared" si="2"/>
        <v>362514.79755221511</v>
      </c>
      <c r="H18" s="10">
        <f t="shared" si="3"/>
        <v>0.4417292140492366</v>
      </c>
    </row>
    <row r="19" spans="2:8" x14ac:dyDescent="0.25">
      <c r="B19" s="20" t="str">
        <f>+'County Data'!$B$10</f>
        <v>Baker</v>
      </c>
      <c r="C19" s="15">
        <f>VLOOKUP($B19,'County Data'!$B$10:$L$46,2,FALSE)</f>
        <v>16860</v>
      </c>
      <c r="D19" s="29">
        <f>VLOOKUP($B19,'County Data'!$B$10:$L$46,9,FALSE)</f>
        <v>0.10388846896783405</v>
      </c>
      <c r="E19" s="31">
        <f t="shared" si="0"/>
        <v>1751.559586797682</v>
      </c>
      <c r="F19" s="6">
        <f t="shared" si="1"/>
        <v>4.256459760720404E-3</v>
      </c>
      <c r="G19" s="14">
        <f t="shared" si="2"/>
        <v>8887.4879803842032</v>
      </c>
      <c r="H19" s="10">
        <f t="shared" si="3"/>
        <v>0.52713451840950198</v>
      </c>
    </row>
    <row r="20" spans="2:8" x14ac:dyDescent="0.25">
      <c r="B20" s="20" t="str">
        <f>+'County Data'!$B$14</f>
        <v>Columbia</v>
      </c>
      <c r="C20" s="15">
        <f>VLOOKUP($B20,'County Data'!$B$10:$L$46,2,FALSE)</f>
        <v>53014</v>
      </c>
      <c r="D20" s="29">
        <f>VLOOKUP($B20,'County Data'!$B$10:$L$46,9,FALSE)</f>
        <v>9.5876003321339609E-2</v>
      </c>
      <c r="E20" s="31">
        <f t="shared" si="0"/>
        <v>5082.7704400774983</v>
      </c>
      <c r="F20" s="6">
        <f t="shared" si="1"/>
        <v>1.2351625382452928E-2</v>
      </c>
      <c r="G20" s="14">
        <f t="shared" si="2"/>
        <v>25790.193798561711</v>
      </c>
      <c r="H20" s="10">
        <f t="shared" si="3"/>
        <v>0.48647892629421874</v>
      </c>
    </row>
    <row r="21" spans="2:8" x14ac:dyDescent="0.25">
      <c r="B21" s="20" t="str">
        <f>+'County Data'!$B$39</f>
        <v>Tillamook</v>
      </c>
      <c r="C21" s="15">
        <f>VLOOKUP($B21,'County Data'!$B$10:$L$46,2,FALSE)</f>
        <v>27628</v>
      </c>
      <c r="D21" s="29">
        <f>VLOOKUP($B21,'County Data'!$B$10:$L$46,9,FALSE)</f>
        <v>9.6828904764352158E-2</v>
      </c>
      <c r="E21" s="31">
        <f t="shared" si="0"/>
        <v>2675.1889808295214</v>
      </c>
      <c r="F21" s="6">
        <f t="shared" si="1"/>
        <v>6.5009688137653687E-3</v>
      </c>
      <c r="G21" s="14">
        <f t="shared" si="2"/>
        <v>13574.022883142088</v>
      </c>
      <c r="H21" s="10">
        <f t="shared" si="3"/>
        <v>0.49131398882083716</v>
      </c>
    </row>
    <row r="22" spans="2:8" x14ac:dyDescent="0.25">
      <c r="B22" s="20" t="str">
        <f>+'County Data'!$B$17</f>
        <v>Curry</v>
      </c>
      <c r="C22" s="15">
        <f>VLOOKUP($B22,'County Data'!$B$10:$L$46,2,FALSE)</f>
        <v>23662</v>
      </c>
      <c r="D22" s="29">
        <f>VLOOKUP($B22,'County Data'!$B$10:$L$46,9,FALSE)</f>
        <v>0.10947055258663435</v>
      </c>
      <c r="E22" s="31">
        <f t="shared" si="0"/>
        <v>2590.2922153049421</v>
      </c>
      <c r="F22" s="6">
        <f t="shared" si="1"/>
        <v>6.2946614354755168E-3</v>
      </c>
      <c r="G22" s="14">
        <f t="shared" si="2"/>
        <v>13143.253077272877</v>
      </c>
      <c r="H22" s="10">
        <f t="shared" si="3"/>
        <v>0.55545824855349835</v>
      </c>
    </row>
    <row r="23" spans="2:8" x14ac:dyDescent="0.25">
      <c r="B23" s="20" t="str">
        <f>+'County Data'!$B$31</f>
        <v>Linn</v>
      </c>
      <c r="C23" s="15">
        <f>VLOOKUP($B23,'County Data'!$B$10:$L$46,2,FALSE)</f>
        <v>130440</v>
      </c>
      <c r="D23" s="29">
        <f>VLOOKUP($B23,'County Data'!$B$10:$L$46,9,FALSE)</f>
        <v>0.10089543820066277</v>
      </c>
      <c r="E23" s="31">
        <f t="shared" si="0"/>
        <v>13160.800958894451</v>
      </c>
      <c r="F23" s="6">
        <f t="shared" si="1"/>
        <v>3.1982023405096573E-2</v>
      </c>
      <c r="G23" s="14">
        <f t="shared" si="2"/>
        <v>66778.464869841642</v>
      </c>
      <c r="H23" s="10">
        <f t="shared" si="3"/>
        <v>0.51194775275867554</v>
      </c>
    </row>
    <row r="24" spans="2:8" x14ac:dyDescent="0.25">
      <c r="B24" s="20" t="str">
        <f>+'County Data'!$B$21</f>
        <v>Grant</v>
      </c>
      <c r="C24" s="15">
        <f>VLOOKUP($B24,'County Data'!$B$10:$L$46,2,FALSE)</f>
        <v>7226</v>
      </c>
      <c r="D24" s="29">
        <f>VLOOKUP($B24,'County Data'!$B$10:$L$46,9,FALSE)</f>
        <v>0.11228389444949954</v>
      </c>
      <c r="E24" s="31">
        <f t="shared" si="0"/>
        <v>811.36342129208367</v>
      </c>
      <c r="F24" s="6">
        <f t="shared" si="1"/>
        <v>1.9716918454165612E-3</v>
      </c>
      <c r="G24" s="14">
        <f t="shared" si="2"/>
        <v>4116.8925732297794</v>
      </c>
      <c r="H24" s="10">
        <f t="shared" si="3"/>
        <v>0.56973326504702182</v>
      </c>
    </row>
    <row r="25" spans="2:8" x14ac:dyDescent="0.25">
      <c r="B25" s="20" t="str">
        <f>+'County Data'!$B$22</f>
        <v>Harney</v>
      </c>
      <c r="C25" s="15">
        <f>VLOOKUP($B25,'County Data'!$B$10:$L$46,2,FALSE)</f>
        <v>7537</v>
      </c>
      <c r="D25" s="29">
        <f>VLOOKUP($B25,'County Data'!$B$10:$L$46,9,FALSE)</f>
        <v>0.1021883920076118</v>
      </c>
      <c r="E25" s="31">
        <f t="shared" si="0"/>
        <v>770.1939105613701</v>
      </c>
      <c r="F25" s="6">
        <f t="shared" si="1"/>
        <v>1.8716459394053314E-3</v>
      </c>
      <c r="G25" s="14">
        <f t="shared" si="2"/>
        <v>3907.9967214783314</v>
      </c>
      <c r="H25" s="10">
        <f t="shared" si="3"/>
        <v>0.51850825547012491</v>
      </c>
    </row>
    <row r="26" spans="2:8" x14ac:dyDescent="0.25">
      <c r="B26" s="20" t="str">
        <f>+'County Data'!$B$30</f>
        <v>Lincoln</v>
      </c>
      <c r="C26" s="15">
        <f>VLOOKUP($B26,'County Data'!$B$10:$L$46,2,FALSE)</f>
        <v>50903</v>
      </c>
      <c r="D26" s="29">
        <f>VLOOKUP($B26,'County Data'!$B$10:$L$46,9,FALSE)</f>
        <v>9.4152142042677966E-2</v>
      </c>
      <c r="E26" s="31">
        <f t="shared" si="0"/>
        <v>4792.6264863984361</v>
      </c>
      <c r="F26" s="6">
        <f t="shared" si="1"/>
        <v>1.1646547420526929E-2</v>
      </c>
      <c r="G26" s="14">
        <f t="shared" si="2"/>
        <v>24317.991014060226</v>
      </c>
      <c r="H26" s="10">
        <f t="shared" si="3"/>
        <v>0.47773198070958933</v>
      </c>
    </row>
    <row r="27" spans="2:8" x14ac:dyDescent="0.25">
      <c r="B27" s="20" t="str">
        <f>+'County Data'!$B$19</f>
        <v>Douglas</v>
      </c>
      <c r="C27" s="15">
        <f>VLOOKUP($B27,'County Data'!$B$10:$L$46,2,FALSE)</f>
        <v>111694</v>
      </c>
      <c r="D27" s="29">
        <f>VLOOKUP($B27,'County Data'!$B$10:$L$46,9,FALSE)</f>
        <v>0.10892266853651207</v>
      </c>
      <c r="E27" s="31">
        <f t="shared" si="0"/>
        <v>12166.008539517179</v>
      </c>
      <c r="F27" s="6">
        <f t="shared" si="1"/>
        <v>2.9564581295067945E-2</v>
      </c>
      <c r="G27" s="14">
        <f t="shared" si="2"/>
        <v>61730.845744101862</v>
      </c>
      <c r="H27" s="10">
        <f t="shared" si="3"/>
        <v>0.55267826153689426</v>
      </c>
    </row>
    <row r="28" spans="2:8" x14ac:dyDescent="0.25">
      <c r="B28" s="20" t="str">
        <f>+'County Data'!$B$24</f>
        <v>Jackson</v>
      </c>
      <c r="C28" s="15">
        <f>VLOOKUP($B28,'County Data'!$B$10:$L$46,2,FALSE)</f>
        <v>223827</v>
      </c>
      <c r="D28" s="29">
        <f>VLOOKUP($B28,'County Data'!$B$10:$L$46,9,FALSE)</f>
        <v>0.10373965023348289</v>
      </c>
      <c r="E28" s="31">
        <f t="shared" si="0"/>
        <v>23219.734692809776</v>
      </c>
      <c r="F28" s="6">
        <f t="shared" si="1"/>
        <v>5.6426208459880618E-2</v>
      </c>
      <c r="G28" s="14">
        <f t="shared" si="2"/>
        <v>117817.92326423072</v>
      </c>
      <c r="H28" s="10">
        <f t="shared" si="3"/>
        <v>0.52637940580998144</v>
      </c>
    </row>
    <row r="29" spans="2:8" x14ac:dyDescent="0.25">
      <c r="B29" s="20" t="str">
        <f>+'County Data'!$B$15</f>
        <v>Coos</v>
      </c>
      <c r="C29" s="15">
        <f>VLOOKUP($B29,'County Data'!$B$10:$L$46,2,FALSE)</f>
        <v>65154</v>
      </c>
      <c r="D29" s="29">
        <f>VLOOKUP($B29,'County Data'!$B$10:$L$46,9,FALSE)</f>
        <v>0.11153339844579388</v>
      </c>
      <c r="E29" s="31">
        <f t="shared" si="0"/>
        <v>7266.8470423372546</v>
      </c>
      <c r="F29" s="6">
        <f t="shared" si="1"/>
        <v>1.7659143460582349E-2</v>
      </c>
      <c r="G29" s="14">
        <f t="shared" si="2"/>
        <v>36872.291545695938</v>
      </c>
      <c r="H29" s="10">
        <f t="shared" si="3"/>
        <v>0.56592521634429105</v>
      </c>
    </row>
    <row r="30" spans="2:8" x14ac:dyDescent="0.25">
      <c r="B30" s="20" t="str">
        <f>+'County Data'!$B$26</f>
        <v>Josephine</v>
      </c>
      <c r="C30" s="15">
        <f>VLOOKUP($B30,'County Data'!$B$10:$L$46,2,FALSE)</f>
        <v>88728</v>
      </c>
      <c r="D30" s="29">
        <f>VLOOKUP($B30,'County Data'!$B$10:$L$46,9,FALSE)</f>
        <v>9.7927181538266198E-2</v>
      </c>
      <c r="E30" s="31">
        <f t="shared" si="0"/>
        <v>8688.8829635272832</v>
      </c>
      <c r="F30" s="6">
        <f t="shared" si="1"/>
        <v>2.1114828738130077E-2</v>
      </c>
      <c r="G30" s="14">
        <f t="shared" si="2"/>
        <v>44087.762405215595</v>
      </c>
      <c r="H30" s="10">
        <f t="shared" si="3"/>
        <v>0.49688669197114321</v>
      </c>
    </row>
    <row r="31" spans="2:8" x14ac:dyDescent="0.25">
      <c r="B31" s="20" t="str">
        <f>+'County Data'!$B$46</f>
        <v>Yamhill</v>
      </c>
      <c r="C31" s="15">
        <f>VLOOKUP($B31,'County Data'!$B$10:$L$46,2,FALSE)</f>
        <v>108261</v>
      </c>
      <c r="D31" s="29">
        <f>VLOOKUP($B31,'County Data'!$B$10:$L$46,9,FALSE)</f>
        <v>0.11749373577949944</v>
      </c>
      <c r="E31" s="31">
        <f t="shared" si="0"/>
        <v>12719.989329224389</v>
      </c>
      <c r="F31" s="6">
        <f t="shared" si="1"/>
        <v>3.091080837028375E-2</v>
      </c>
      <c r="G31" s="14">
        <f t="shared" si="2"/>
        <v>64541.767877152459</v>
      </c>
      <c r="H31" s="10">
        <f t="shared" si="3"/>
        <v>0.59616822195575936</v>
      </c>
    </row>
    <row r="32" spans="2:8" x14ac:dyDescent="0.25">
      <c r="B32" s="20" t="str">
        <f>+'County Data'!$B$27</f>
        <v>Klamath</v>
      </c>
      <c r="C32" s="15">
        <f>VLOOKUP($B32,'County Data'!$B$10:$L$46,2,FALSE)</f>
        <v>69822</v>
      </c>
      <c r="D32" s="29">
        <f>VLOOKUP($B32,'County Data'!$B$10:$L$46,9,FALSE)</f>
        <v>0.12596828136800087</v>
      </c>
      <c r="E32" s="31">
        <f t="shared" si="0"/>
        <v>8795.3573416765557</v>
      </c>
      <c r="F32" s="6">
        <f t="shared" si="1"/>
        <v>2.1373571808908892E-2</v>
      </c>
      <c r="G32" s="14">
        <f t="shared" si="2"/>
        <v>44628.017937001765</v>
      </c>
      <c r="H32" s="10">
        <f t="shared" si="3"/>
        <v>0.63916842738680879</v>
      </c>
    </row>
    <row r="33" spans="2:8" x14ac:dyDescent="0.25">
      <c r="B33" s="20" t="str">
        <f>+'County Data'!$B$16</f>
        <v>Crook</v>
      </c>
      <c r="C33" s="15">
        <f>VLOOKUP($B33,'County Data'!$B$10:$L$46,2,FALSE)</f>
        <v>25482</v>
      </c>
      <c r="D33" s="29">
        <f>VLOOKUP($B33,'County Data'!$B$10:$L$46,9,FALSE)</f>
        <v>0.12438408845090734</v>
      </c>
      <c r="E33" s="31">
        <f t="shared" si="0"/>
        <v>3169.5553419060211</v>
      </c>
      <c r="F33" s="6">
        <f t="shared" si="1"/>
        <v>7.7023270426469946E-3</v>
      </c>
      <c r="G33" s="14">
        <f t="shared" si="2"/>
        <v>16082.458865046923</v>
      </c>
      <c r="H33" s="10">
        <f t="shared" si="3"/>
        <v>0.63113016502028585</v>
      </c>
    </row>
    <row r="34" spans="2:8" x14ac:dyDescent="0.25">
      <c r="B34" s="20" t="str">
        <f>+'County Data'!$B$36</f>
        <v>Sherman, Wasco</v>
      </c>
      <c r="C34" s="15">
        <f>VLOOKUP($B34,'County Data'!$B$10:$L$46,2,FALSE)</f>
        <v>28489</v>
      </c>
      <c r="D34" s="29">
        <f>VLOOKUP($B34,'County Data'!$B$10:$L$46,9,FALSE)</f>
        <v>0.13515598630599354</v>
      </c>
      <c r="E34" s="31">
        <f t="shared" si="0"/>
        <v>3850.4588938714501</v>
      </c>
      <c r="F34" s="6">
        <f t="shared" si="1"/>
        <v>9.3569887462611988E-3</v>
      </c>
      <c r="G34" s="14">
        <f t="shared" si="2"/>
        <v>19537.392502193379</v>
      </c>
      <c r="H34" s="10">
        <f t="shared" si="3"/>
        <v>0.68578723374612582</v>
      </c>
    </row>
    <row r="35" spans="2:8" x14ac:dyDescent="0.25">
      <c r="B35" s="20" t="str">
        <f>+'County Data'!$B$33</f>
        <v>Marion</v>
      </c>
      <c r="C35" s="15">
        <f>VLOOKUP($B35,'County Data'!$B$10:$L$46,2,FALSE)</f>
        <v>347182</v>
      </c>
      <c r="D35" s="29">
        <f>VLOOKUP($B35,'County Data'!$B$10:$L$46,9,FALSE)</f>
        <v>0.14741470645743621</v>
      </c>
      <c r="E35" s="31">
        <f t="shared" si="0"/>
        <v>51179.732617305614</v>
      </c>
      <c r="F35" s="6">
        <f t="shared" si="1"/>
        <v>0.12437171655020239</v>
      </c>
      <c r="G35" s="14">
        <f t="shared" si="2"/>
        <v>259688.14415682256</v>
      </c>
      <c r="H35" s="10">
        <f t="shared" si="3"/>
        <v>0.74798850215973911</v>
      </c>
    </row>
    <row r="36" spans="2:8" x14ac:dyDescent="0.25">
      <c r="B36" s="20" t="str">
        <f>+'County Data'!$B$28</f>
        <v>Lake</v>
      </c>
      <c r="C36" s="15">
        <f>VLOOKUP($B36,'County Data'!$B$10:$L$46,2,FALSE)</f>
        <v>8177</v>
      </c>
      <c r="D36" s="29">
        <f>VLOOKUP($B36,'County Data'!$B$10:$L$46,9,FALSE)</f>
        <v>0.13104736038024103</v>
      </c>
      <c r="E36" s="31">
        <f t="shared" si="0"/>
        <v>1071.5742658292309</v>
      </c>
      <c r="F36" s="6">
        <f t="shared" si="1"/>
        <v>2.6040294475305641E-3</v>
      </c>
      <c r="G36" s="14">
        <f t="shared" si="2"/>
        <v>5437.2134864438176</v>
      </c>
      <c r="H36" s="10">
        <f t="shared" si="3"/>
        <v>0.66493989072322579</v>
      </c>
    </row>
    <row r="37" spans="2:8" x14ac:dyDescent="0.25">
      <c r="B37" s="20" t="str">
        <f>+'County Data'!$B$25</f>
        <v>Jefferson</v>
      </c>
      <c r="C37" s="15">
        <f>VLOOKUP($B37,'County Data'!$B$10:$L$46,2,FALSE)</f>
        <v>24889</v>
      </c>
      <c r="D37" s="29">
        <f>VLOOKUP($B37,'County Data'!$B$10:$L$46,9,FALSE)</f>
        <v>0.14004805260495701</v>
      </c>
      <c r="E37" s="31">
        <f t="shared" si="0"/>
        <v>3485.655981284775</v>
      </c>
      <c r="F37" s="6">
        <f t="shared" si="1"/>
        <v>8.4704822695631024E-3</v>
      </c>
      <c r="G37" s="14">
        <f t="shared" si="2"/>
        <v>17686.366978847756</v>
      </c>
      <c r="H37" s="10">
        <f t="shared" si="3"/>
        <v>0.71060978660644292</v>
      </c>
    </row>
    <row r="38" spans="2:8" x14ac:dyDescent="0.25">
      <c r="B38" s="20" t="str">
        <f>+'County Data'!$B$40</f>
        <v>Umatilla</v>
      </c>
      <c r="C38" s="15">
        <f>VLOOKUP($B38,'County Data'!$B$10:$L$46,2,FALSE)</f>
        <v>80463</v>
      </c>
      <c r="D38" s="29">
        <f>VLOOKUP($B38,'County Data'!$B$10:$L$46,9,FALSE)</f>
        <v>0.1782276866667995</v>
      </c>
      <c r="E38" s="31">
        <f t="shared" si="0"/>
        <v>14340.734352270689</v>
      </c>
      <c r="F38" s="6">
        <f t="shared" si="1"/>
        <v>3.4849376047331487E-2</v>
      </c>
      <c r="G38" s="14">
        <f t="shared" si="2"/>
        <v>72765.497186828143</v>
      </c>
      <c r="H38" s="10">
        <f t="shared" si="3"/>
        <v>0.9043348767362408</v>
      </c>
    </row>
    <row r="39" spans="2:8" x14ac:dyDescent="0.25">
      <c r="B39" s="20" t="str">
        <f>+'County Data'!$B$23</f>
        <v>Hood River</v>
      </c>
      <c r="C39" s="15">
        <f>VLOOKUP($B39,'County Data'!$B$10:$L$46,2,FALSE)</f>
        <v>23888</v>
      </c>
      <c r="D39" s="29">
        <f>VLOOKUP($B39,'County Data'!$B$10:$L$46,9,FALSE)</f>
        <v>0.18945337620578778</v>
      </c>
      <c r="E39" s="31">
        <f t="shared" si="0"/>
        <v>4525.6622508038581</v>
      </c>
      <c r="F39" s="6">
        <f t="shared" si="1"/>
        <v>1.0997798422819519E-2</v>
      </c>
      <c r="G39" s="14">
        <f t="shared" si="2"/>
        <v>22963.403106847152</v>
      </c>
      <c r="H39" s="10">
        <f t="shared" si="3"/>
        <v>0.9612945038030456</v>
      </c>
    </row>
    <row r="40" spans="2:8" x14ac:dyDescent="0.25">
      <c r="B40" s="20" t="str">
        <f>+'County Data'!$B$32</f>
        <v>Malheur</v>
      </c>
      <c r="C40" s="15">
        <f>VLOOKUP($B40,'County Data'!$B$10:$L$46,2,FALSE)</f>
        <v>31995</v>
      </c>
      <c r="D40" s="29">
        <f>VLOOKUP($B40,'County Data'!$B$10:$L$46,9,FALSE)</f>
        <v>0.1910630959626699</v>
      </c>
      <c r="E40" s="31">
        <f t="shared" si="0"/>
        <v>6113.0637553256238</v>
      </c>
      <c r="F40" s="6">
        <f t="shared" si="1"/>
        <v>1.4855338114322103E-2</v>
      </c>
      <c r="G40" s="14">
        <f t="shared" si="2"/>
        <v>31017.945982704547</v>
      </c>
      <c r="H40" s="10">
        <f t="shared" si="3"/>
        <v>0.96946229044239873</v>
      </c>
    </row>
    <row r="41" spans="2:8" x14ac:dyDescent="0.25">
      <c r="B41" s="20" t="str">
        <f>+'County Data'!$B$34</f>
        <v>Morrow</v>
      </c>
      <c r="C41" s="15">
        <f>VLOOKUP($B41,'County Data'!$B$10:$L$46,2,FALSE)</f>
        <v>12635</v>
      </c>
      <c r="D41" s="29">
        <f>VLOOKUP($B41,'County Data'!$B$10:$L$46,9,FALSE)</f>
        <v>0.24689265536723165</v>
      </c>
      <c r="E41" s="31">
        <f t="shared" si="0"/>
        <v>3119.4887005649721</v>
      </c>
      <c r="F41" s="6">
        <f t="shared" si="1"/>
        <v>7.5806602459083166E-3</v>
      </c>
      <c r="G41" s="14">
        <f t="shared" si="2"/>
        <v>15828.418593456563</v>
      </c>
      <c r="H41" s="10">
        <f t="shared" si="3"/>
        <v>1.2527438538548923</v>
      </c>
    </row>
    <row r="42" spans="2:8" x14ac:dyDescent="0.25">
      <c r="B42" s="4" t="s">
        <v>89</v>
      </c>
      <c r="C42" s="5">
        <f>SUM(C6:C41)</f>
        <v>4266560</v>
      </c>
      <c r="D42" s="5"/>
      <c r="E42" s="5">
        <f>SUM(E6:E41)</f>
        <v>411506.20122419088</v>
      </c>
      <c r="F42" s="8">
        <f>SUM(F6:F41)</f>
        <v>1.0000000000000007</v>
      </c>
      <c r="G42" s="11">
        <f>SUM(G6:G41)</f>
        <v>2088000.0000000002</v>
      </c>
      <c r="H42" s="12">
        <f t="shared" ref="H42" si="8">G42/C42</f>
        <v>0.48938723468086709</v>
      </c>
    </row>
  </sheetData>
  <sortState xmlns:xlrd2="http://schemas.microsoft.com/office/spreadsheetml/2017/richdata2" ref="B7:H41">
    <sortCondition ref="D7:D41"/>
  </sortState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J42"/>
  <sheetViews>
    <sheetView workbookViewId="0">
      <selection activeCell="J9" sqref="J9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  <col min="10" max="10" width="10.5703125" bestFit="1" customWidth="1"/>
  </cols>
  <sheetData>
    <row r="3" spans="2:10" x14ac:dyDescent="0.25">
      <c r="B3" t="s">
        <v>125</v>
      </c>
      <c r="C3" s="1">
        <f>'County Data'!C5</f>
        <v>20000000</v>
      </c>
    </row>
    <row r="4" spans="2:10" x14ac:dyDescent="0.25">
      <c r="B4" t="s">
        <v>126</v>
      </c>
      <c r="C4" s="14">
        <f>'County Data'!K9</f>
        <v>2087999.9999999998</v>
      </c>
      <c r="D4" s="9"/>
    </row>
    <row r="6" spans="2:10" s="2" customFormat="1" ht="30" x14ac:dyDescent="0.25">
      <c r="B6" s="3" t="s">
        <v>36</v>
      </c>
      <c r="C6" s="3" t="s">
        <v>107</v>
      </c>
      <c r="D6" s="3" t="s">
        <v>141</v>
      </c>
      <c r="E6" s="3" t="s">
        <v>142</v>
      </c>
      <c r="F6" s="3" t="s">
        <v>143</v>
      </c>
      <c r="G6" s="13" t="s">
        <v>128</v>
      </c>
      <c r="H6" s="3" t="s">
        <v>129</v>
      </c>
    </row>
    <row r="7" spans="2:10" x14ac:dyDescent="0.25">
      <c r="B7" s="20" t="str">
        <f>'County Data'!$B$45</f>
        <v>Wheeler</v>
      </c>
      <c r="C7" s="15">
        <f>VLOOKUP($B7,'County Data'!$B$10:$L$46,2,FALSE)</f>
        <v>1456</v>
      </c>
      <c r="D7" s="29">
        <f>VLOOKUP($B7,'County Data'!$B$10:$L$46,10,FALSE)</f>
        <v>7.3637702503681884E-4</v>
      </c>
      <c r="E7" s="31">
        <f t="shared" ref="E7:E41" si="0">C7*D7</f>
        <v>1.0721649484536082</v>
      </c>
      <c r="F7" s="6">
        <f t="shared" ref="F7:F41" si="1">E7/$E$42</f>
        <v>4.3206875582506082E-6</v>
      </c>
      <c r="G7" s="14">
        <f t="shared" ref="G7:G41" si="2">$C$4*F7</f>
        <v>9.0215956216272684</v>
      </c>
      <c r="H7" s="10">
        <f t="shared" ref="H7:H41" si="3">G7/C7</f>
        <v>6.1961508390297173E-3</v>
      </c>
      <c r="J7" s="32"/>
    </row>
    <row r="8" spans="2:10" x14ac:dyDescent="0.25">
      <c r="B8" s="20" t="str">
        <f>+'County Data'!$B$16</f>
        <v>Crook</v>
      </c>
      <c r="C8" s="15">
        <f>VLOOKUP($B8,'County Data'!$B$10:$L$46,2,FALSE)</f>
        <v>25482</v>
      </c>
      <c r="D8" s="29">
        <f>VLOOKUP($B8,'County Data'!$B$10:$L$46,10,FALSE)</f>
        <v>1.2850082372322899E-2</v>
      </c>
      <c r="E8" s="31">
        <f t="shared" si="0"/>
        <v>327.44579901153213</v>
      </c>
      <c r="F8" s="6">
        <f t="shared" si="1"/>
        <v>1.319564673170038E-3</v>
      </c>
      <c r="G8" s="14">
        <f t="shared" si="2"/>
        <v>2755.2510375790389</v>
      </c>
      <c r="H8" s="10">
        <f t="shared" si="3"/>
        <v>0.10812538409775681</v>
      </c>
      <c r="J8" s="32"/>
    </row>
    <row r="9" spans="2:10" x14ac:dyDescent="0.25">
      <c r="B9" s="20" t="str">
        <f>'County Data'!B20</f>
        <v>Gilliam</v>
      </c>
      <c r="C9" s="15">
        <f>VLOOKUP($B9,'County Data'!$B$10:$L$46,2,FALSE)</f>
        <v>2039</v>
      </c>
      <c r="D9" s="29">
        <f>VLOOKUP($B9,'County Data'!$B$10:$L$46,10,FALSE)</f>
        <v>2.7442371020856202E-2</v>
      </c>
      <c r="E9" s="31">
        <f t="shared" ref="E9" si="4">C9*D9</f>
        <v>55.954994511525797</v>
      </c>
      <c r="F9" s="6">
        <f t="shared" ref="F9" si="5">E9/$E$42</f>
        <v>2.2549146841316603E-4</v>
      </c>
      <c r="G9" s="14">
        <f t="shared" ref="G9" si="6">$C$4*F9</f>
        <v>470.82618604669062</v>
      </c>
      <c r="H9" s="10">
        <f t="shared" ref="H9" si="7">G9/C9</f>
        <v>0.23091034136669478</v>
      </c>
      <c r="J9" s="32"/>
    </row>
    <row r="10" spans="2:10" x14ac:dyDescent="0.25">
      <c r="B10" s="20" t="str">
        <f>+'County Data'!$B$42</f>
        <v>Wallowa</v>
      </c>
      <c r="C10" s="15">
        <f>VLOOKUP($B10,'County Data'!$B$10:$L$46,2,FALSE)</f>
        <v>7433</v>
      </c>
      <c r="D10" s="29">
        <f>VLOOKUP($B10,'County Data'!$B$10:$L$46,10,FALSE)</f>
        <v>1.0912397696271597E-2</v>
      </c>
      <c r="E10" s="31">
        <f t="shared" si="0"/>
        <v>81.111852076386782</v>
      </c>
      <c r="F10" s="6">
        <f t="shared" si="1"/>
        <v>3.2687038556761049E-4</v>
      </c>
      <c r="G10" s="14">
        <f t="shared" si="2"/>
        <v>682.50536506517062</v>
      </c>
      <c r="H10" s="10">
        <f t="shared" si="3"/>
        <v>9.1820982788264574E-2</v>
      </c>
      <c r="J10" s="32"/>
    </row>
    <row r="11" spans="2:10" x14ac:dyDescent="0.25">
      <c r="B11" s="20" t="str">
        <f>+'County Data'!$B$21</f>
        <v>Grant</v>
      </c>
      <c r="C11" s="15">
        <f>VLOOKUP($B11,'County Data'!$B$10:$L$46,2,FALSE)</f>
        <v>7226</v>
      </c>
      <c r="D11" s="29">
        <f>VLOOKUP($B11,'County Data'!$B$10:$L$46,10,FALSE)</f>
        <v>6.2718786464410732E-3</v>
      </c>
      <c r="E11" s="31">
        <f t="shared" si="0"/>
        <v>45.320595099183194</v>
      </c>
      <c r="F11" s="6">
        <f t="shared" si="1"/>
        <v>1.8263619945791125E-4</v>
      </c>
      <c r="G11" s="14">
        <f t="shared" si="2"/>
        <v>381.34438446811868</v>
      </c>
      <c r="H11" s="10">
        <f t="shared" si="3"/>
        <v>5.277392533464139E-2</v>
      </c>
      <c r="J11" s="32"/>
    </row>
    <row r="12" spans="2:10" x14ac:dyDescent="0.25">
      <c r="B12" s="20" t="str">
        <f>+'County Data'!$B$10</f>
        <v>Baker</v>
      </c>
      <c r="C12" s="15">
        <f>VLOOKUP($B12,'County Data'!$B$10:$L$46,2,FALSE)</f>
        <v>16860</v>
      </c>
      <c r="D12" s="29">
        <f>VLOOKUP($B12,'County Data'!$B$10:$L$46,10,FALSE)</f>
        <v>1.370043472533263E-2</v>
      </c>
      <c r="E12" s="31">
        <f t="shared" si="0"/>
        <v>230.98932946910813</v>
      </c>
      <c r="F12" s="6">
        <f t="shared" si="1"/>
        <v>9.3085744256543395E-4</v>
      </c>
      <c r="G12" s="14">
        <f t="shared" si="2"/>
        <v>1943.6303400766258</v>
      </c>
      <c r="H12" s="10">
        <f t="shared" si="3"/>
        <v>0.11528056584084376</v>
      </c>
      <c r="J12" s="32"/>
    </row>
    <row r="13" spans="2:10" x14ac:dyDescent="0.25">
      <c r="B13" s="20" t="str">
        <f>+'County Data'!$B$19</f>
        <v>Douglas</v>
      </c>
      <c r="C13" s="15">
        <f>VLOOKUP($B13,'County Data'!$B$10:$L$46,2,FALSE)</f>
        <v>111694</v>
      </c>
      <c r="D13" s="29">
        <f>VLOOKUP($B13,'County Data'!$B$10:$L$46,10,FALSE)</f>
        <v>1.1854937610714216E-2</v>
      </c>
      <c r="E13" s="31">
        <f t="shared" si="0"/>
        <v>1324.1254014911137</v>
      </c>
      <c r="F13" s="6">
        <f t="shared" si="1"/>
        <v>5.3360559455314033E-3</v>
      </c>
      <c r="G13" s="14">
        <f t="shared" si="2"/>
        <v>11141.684814269569</v>
      </c>
      <c r="H13" s="10">
        <f t="shared" si="3"/>
        <v>9.9751865044403185E-2</v>
      </c>
      <c r="J13" s="32"/>
    </row>
    <row r="14" spans="2:10" x14ac:dyDescent="0.25">
      <c r="B14" s="20" t="str">
        <f>+'County Data'!$B$17</f>
        <v>Curry</v>
      </c>
      <c r="C14" s="15">
        <f>VLOOKUP($B14,'County Data'!$B$10:$L$46,2,FALSE)</f>
        <v>23662</v>
      </c>
      <c r="D14" s="29">
        <f>VLOOKUP($B14,'County Data'!$B$10:$L$46,10,FALSE)</f>
        <v>1.3102458447150332E-2</v>
      </c>
      <c r="E14" s="31">
        <f t="shared" si="0"/>
        <v>310.03037177647116</v>
      </c>
      <c r="F14" s="6">
        <f t="shared" si="1"/>
        <v>1.2493827297249782E-3</v>
      </c>
      <c r="G14" s="14">
        <f t="shared" si="2"/>
        <v>2608.7111396657542</v>
      </c>
      <c r="H14" s="10">
        <f t="shared" si="3"/>
        <v>0.11024897048709975</v>
      </c>
      <c r="J14" s="32"/>
    </row>
    <row r="15" spans="2:10" x14ac:dyDescent="0.25">
      <c r="B15" s="20" t="str">
        <f>+'County Data'!$B$26</f>
        <v>Josephine</v>
      </c>
      <c r="C15" s="15">
        <f>VLOOKUP($B15,'County Data'!$B$10:$L$46,2,FALSE)</f>
        <v>88728</v>
      </c>
      <c r="D15" s="29">
        <f>VLOOKUP($B15,'County Data'!$B$10:$L$46,10,FALSE)</f>
        <v>1.3108498984552895E-2</v>
      </c>
      <c r="E15" s="31">
        <f t="shared" si="0"/>
        <v>1163.0908979014093</v>
      </c>
      <c r="F15" s="6">
        <f t="shared" si="1"/>
        <v>4.6871075005065705E-3</v>
      </c>
      <c r="G15" s="14">
        <f t="shared" si="2"/>
        <v>9786.6804610577183</v>
      </c>
      <c r="H15" s="10">
        <f t="shared" si="3"/>
        <v>0.11029979782095525</v>
      </c>
      <c r="J15" s="32"/>
    </row>
    <row r="16" spans="2:10" x14ac:dyDescent="0.25">
      <c r="B16" s="20" t="str">
        <f>+'County Data'!$B$14</f>
        <v>Columbia</v>
      </c>
      <c r="C16" s="15">
        <f>VLOOKUP($B16,'County Data'!$B$10:$L$46,2,FALSE)</f>
        <v>53014</v>
      </c>
      <c r="D16" s="29">
        <f>VLOOKUP($B16,'County Data'!$B$10:$L$46,10,FALSE)</f>
        <v>1.3475133196508903E-2</v>
      </c>
      <c r="E16" s="31">
        <f t="shared" si="0"/>
        <v>714.37071127972297</v>
      </c>
      <c r="F16" s="6">
        <f t="shared" si="1"/>
        <v>2.8788225623834506E-3</v>
      </c>
      <c r="G16" s="14">
        <f t="shared" si="2"/>
        <v>6010.9815102566445</v>
      </c>
      <c r="H16" s="10">
        <f t="shared" si="3"/>
        <v>0.11338479477603358</v>
      </c>
      <c r="J16" s="32"/>
    </row>
    <row r="17" spans="2:10" x14ac:dyDescent="0.25">
      <c r="B17" s="20" t="str">
        <f>+'County Data'!$B$41</f>
        <v>Union</v>
      </c>
      <c r="C17" s="15">
        <f>VLOOKUP($B17,'County Data'!$B$10:$L$46,2,FALSE)</f>
        <v>26295</v>
      </c>
      <c r="D17" s="29">
        <f>VLOOKUP($B17,'County Data'!$B$10:$L$46,10,FALSE)</f>
        <v>1.6070990431013329E-2</v>
      </c>
      <c r="E17" s="31">
        <f t="shared" si="0"/>
        <v>422.58669338349551</v>
      </c>
      <c r="F17" s="6">
        <f t="shared" si="1"/>
        <v>1.7029703041661574E-3</v>
      </c>
      <c r="G17" s="14">
        <f t="shared" si="2"/>
        <v>3555.801995098936</v>
      </c>
      <c r="H17" s="10">
        <f t="shared" si="3"/>
        <v>0.13522730538501374</v>
      </c>
      <c r="J17" s="32"/>
    </row>
    <row r="18" spans="2:10" x14ac:dyDescent="0.25">
      <c r="B18" s="20" t="str">
        <f>+'County Data'!$B$15</f>
        <v>Coos</v>
      </c>
      <c r="C18" s="15">
        <f>VLOOKUP($B18,'County Data'!$B$10:$L$46,2,FALSE)</f>
        <v>65154</v>
      </c>
      <c r="D18" s="29">
        <f>VLOOKUP($B18,'County Data'!$B$10:$L$46,10,FALSE)</f>
        <v>1.4799926913941166E-2</v>
      </c>
      <c r="E18" s="31">
        <f t="shared" si="0"/>
        <v>964.27443815092272</v>
      </c>
      <c r="F18" s="6">
        <f t="shared" si="1"/>
        <v>3.8859026063731289E-3</v>
      </c>
      <c r="G18" s="14">
        <f t="shared" si="2"/>
        <v>8113.7646421070922</v>
      </c>
      <c r="H18" s="10">
        <f t="shared" si="3"/>
        <v>0.1245321030498065</v>
      </c>
      <c r="J18" s="32"/>
    </row>
    <row r="19" spans="2:10" x14ac:dyDescent="0.25">
      <c r="B19" s="20" t="str">
        <f>+'County Data'!$B$22</f>
        <v>Harney</v>
      </c>
      <c r="C19" s="15">
        <f>VLOOKUP($B19,'County Data'!$B$10:$L$46,2,FALSE)</f>
        <v>7537</v>
      </c>
      <c r="D19" s="29">
        <f>VLOOKUP($B19,'County Data'!$B$10:$L$46,10,FALSE)</f>
        <v>1.5169194865810968E-2</v>
      </c>
      <c r="E19" s="31">
        <f t="shared" si="0"/>
        <v>114.33022170361727</v>
      </c>
      <c r="F19" s="6">
        <f t="shared" si="1"/>
        <v>4.6073616485908385E-4</v>
      </c>
      <c r="G19" s="14">
        <f t="shared" si="2"/>
        <v>962.01711222576694</v>
      </c>
      <c r="H19" s="10">
        <f t="shared" si="3"/>
        <v>0.12763926127448147</v>
      </c>
      <c r="J19" s="32"/>
    </row>
    <row r="20" spans="2:10" x14ac:dyDescent="0.25">
      <c r="B20" s="20" t="str">
        <f>+'County Data'!$B$18</f>
        <v>Deschutes</v>
      </c>
      <c r="C20" s="15">
        <f>VLOOKUP($B20,'County Data'!$B$10:$L$46,2,FALSE)</f>
        <v>203390</v>
      </c>
      <c r="D20" s="29">
        <f>VLOOKUP($B20,'County Data'!$B$10:$L$46,10,FALSE)</f>
        <v>2.1095839220861116E-2</v>
      </c>
      <c r="E20" s="31">
        <f t="shared" si="0"/>
        <v>4290.6827391309425</v>
      </c>
      <c r="F20" s="6">
        <f t="shared" si="1"/>
        <v>1.7290902443791147E-2</v>
      </c>
      <c r="G20" s="14">
        <f t="shared" si="2"/>
        <v>36103.404302635907</v>
      </c>
      <c r="H20" s="10">
        <f t="shared" si="3"/>
        <v>0.17750825656441274</v>
      </c>
      <c r="J20" s="32"/>
    </row>
    <row r="21" spans="2:10" x14ac:dyDescent="0.25">
      <c r="B21" s="20" t="str">
        <f>+'County Data'!$B$31</f>
        <v>Linn</v>
      </c>
      <c r="C21" s="15">
        <f>VLOOKUP($B21,'County Data'!$B$10:$L$46,2,FALSE)</f>
        <v>130440</v>
      </c>
      <c r="D21" s="29">
        <f>VLOOKUP($B21,'County Data'!$B$10:$L$46,10,FALSE)</f>
        <v>2.4106299860542066E-2</v>
      </c>
      <c r="E21" s="31">
        <f t="shared" si="0"/>
        <v>3144.4257538091069</v>
      </c>
      <c r="F21" s="6">
        <f t="shared" si="1"/>
        <v>1.2671633457073101E-2</v>
      </c>
      <c r="G21" s="14">
        <f t="shared" si="2"/>
        <v>26458.370658368633</v>
      </c>
      <c r="H21" s="10">
        <f t="shared" si="3"/>
        <v>0.20283939480503399</v>
      </c>
      <c r="J21" s="32"/>
    </row>
    <row r="22" spans="2:10" x14ac:dyDescent="0.25">
      <c r="B22" s="20" t="str">
        <f>+'County Data'!$B$39</f>
        <v>Tillamook</v>
      </c>
      <c r="C22" s="15">
        <f>VLOOKUP($B22,'County Data'!$B$10:$L$46,2,FALSE)</f>
        <v>27628</v>
      </c>
      <c r="D22" s="29">
        <f>VLOOKUP($B22,'County Data'!$B$10:$L$46,10,FALSE)</f>
        <v>3.1383278345537939E-2</v>
      </c>
      <c r="E22" s="31">
        <f t="shared" si="0"/>
        <v>867.0572141305222</v>
      </c>
      <c r="F22" s="6">
        <f t="shared" si="1"/>
        <v>3.4941296325611782E-3</v>
      </c>
      <c r="G22" s="14">
        <f t="shared" si="2"/>
        <v>7295.7426727877391</v>
      </c>
      <c r="H22" s="10">
        <f t="shared" si="3"/>
        <v>0.26407060492209855</v>
      </c>
      <c r="J22" s="32"/>
    </row>
    <row r="23" spans="2:10" x14ac:dyDescent="0.25">
      <c r="B23" s="20" t="str">
        <f>+'County Data'!$B$28</f>
        <v>Lake</v>
      </c>
      <c r="C23" s="15">
        <f>VLOOKUP($B23,'County Data'!$B$10:$L$46,2,FALSE)</f>
        <v>8177</v>
      </c>
      <c r="D23" s="29">
        <f>VLOOKUP($B23,'County Data'!$B$10:$L$46,10,FALSE)</f>
        <v>1.7890772128060263E-2</v>
      </c>
      <c r="E23" s="31">
        <f t="shared" si="0"/>
        <v>146.29284369114876</v>
      </c>
      <c r="F23" s="6">
        <f t="shared" si="1"/>
        <v>5.8954144183608081E-4</v>
      </c>
      <c r="G23" s="14">
        <f t="shared" si="2"/>
        <v>1230.9625305537365</v>
      </c>
      <c r="H23" s="10">
        <f t="shared" si="3"/>
        <v>0.15053962707028698</v>
      </c>
      <c r="J23" s="32"/>
    </row>
    <row r="24" spans="2:10" x14ac:dyDescent="0.25">
      <c r="B24" s="20" t="str">
        <f>+'County Data'!$B$29</f>
        <v>Lane</v>
      </c>
      <c r="C24" s="15">
        <f>VLOOKUP($B24,'County Data'!$B$10:$L$46,2,FALSE)</f>
        <v>382647</v>
      </c>
      <c r="D24" s="29">
        <f>VLOOKUP($B24,'County Data'!$B$10:$L$46,10,FALSE)</f>
        <v>2.5791358183192822E-2</v>
      </c>
      <c r="E24" s="31">
        <f t="shared" si="0"/>
        <v>9868.9858347241843</v>
      </c>
      <c r="F24" s="6">
        <f t="shared" si="1"/>
        <v>3.9770750172485526E-2</v>
      </c>
      <c r="G24" s="14">
        <f t="shared" si="2"/>
        <v>83041.326360149775</v>
      </c>
      <c r="H24" s="10">
        <f t="shared" si="3"/>
        <v>0.21701810378795541</v>
      </c>
      <c r="J24" s="32"/>
    </row>
    <row r="25" spans="2:10" x14ac:dyDescent="0.25">
      <c r="B25" s="20" t="str">
        <f>+'County Data'!$B$13</f>
        <v>Clatsop</v>
      </c>
      <c r="C25" s="15">
        <f>VLOOKUP($B25,'County Data'!$B$10:$L$46,2,FALSE)</f>
        <v>41428</v>
      </c>
      <c r="D25" s="29">
        <f>VLOOKUP($B25,'County Data'!$B$10:$L$46,10,FALSE)</f>
        <v>3.0615877536489856E-2</v>
      </c>
      <c r="E25" s="31">
        <f t="shared" si="0"/>
        <v>1268.3545745817019</v>
      </c>
      <c r="F25" s="6">
        <f t="shared" si="1"/>
        <v>5.1113066489904234E-3</v>
      </c>
      <c r="G25" s="14">
        <f t="shared" si="2"/>
        <v>10672.408283092003</v>
      </c>
      <c r="H25" s="10">
        <f t="shared" si="3"/>
        <v>0.25761340839750901</v>
      </c>
      <c r="J25" s="32"/>
    </row>
    <row r="26" spans="2:10" x14ac:dyDescent="0.25">
      <c r="B26" s="20" t="str">
        <f>+'County Data'!$B$27</f>
        <v>Klamath</v>
      </c>
      <c r="C26" s="15">
        <f>VLOOKUP($B26,'County Data'!$B$10:$L$46,2,FALSE)</f>
        <v>69822</v>
      </c>
      <c r="D26" s="29">
        <f>VLOOKUP($B26,'County Data'!$B$10:$L$46,10,FALSE)</f>
        <v>3.3411008437123343E-2</v>
      </c>
      <c r="E26" s="31">
        <f t="shared" si="0"/>
        <v>2332.823431096826</v>
      </c>
      <c r="F26" s="6">
        <f t="shared" si="1"/>
        <v>9.4009799414475816E-3</v>
      </c>
      <c r="G26" s="14">
        <f t="shared" si="2"/>
        <v>19629.246117742547</v>
      </c>
      <c r="H26" s="10">
        <f t="shared" si="3"/>
        <v>0.28113268193037361</v>
      </c>
      <c r="J26" s="32"/>
    </row>
    <row r="27" spans="2:10" x14ac:dyDescent="0.25">
      <c r="B27" s="20" t="str">
        <f>+'County Data'!$B$30</f>
        <v>Lincoln</v>
      </c>
      <c r="C27" s="15">
        <f>VLOOKUP($B27,'County Data'!$B$10:$L$46,2,FALSE)</f>
        <v>50903</v>
      </c>
      <c r="D27" s="29">
        <f>VLOOKUP($B27,'County Data'!$B$10:$L$46,10,FALSE)</f>
        <v>1.9758771929824562E-2</v>
      </c>
      <c r="E27" s="31">
        <f t="shared" si="0"/>
        <v>1005.7807675438597</v>
      </c>
      <c r="F27" s="6">
        <f t="shared" si="1"/>
        <v>4.0531678030719873E-3</v>
      </c>
      <c r="G27" s="14">
        <f t="shared" si="2"/>
        <v>8463.0143728143084</v>
      </c>
      <c r="H27" s="10">
        <f t="shared" si="3"/>
        <v>0.16625767386626147</v>
      </c>
      <c r="J27" s="32"/>
    </row>
    <row r="28" spans="2:10" x14ac:dyDescent="0.25">
      <c r="B28" s="20" t="str">
        <f>+'County Data'!$B$24</f>
        <v>Jackson</v>
      </c>
      <c r="C28" s="15">
        <f>VLOOKUP($B28,'County Data'!$B$10:$L$46,2,FALSE)</f>
        <v>223827</v>
      </c>
      <c r="D28" s="29">
        <f>VLOOKUP($B28,'County Data'!$B$10:$L$46,10,FALSE)</f>
        <v>3.5138513530205188E-2</v>
      </c>
      <c r="E28" s="31">
        <f t="shared" si="0"/>
        <v>7864.9480679252365</v>
      </c>
      <c r="F28" s="6">
        <f t="shared" si="1"/>
        <v>3.1694734389875558E-2</v>
      </c>
      <c r="G28" s="14">
        <f t="shared" si="2"/>
        <v>66178.60540606016</v>
      </c>
      <c r="H28" s="10">
        <f t="shared" si="3"/>
        <v>0.29566855386553081</v>
      </c>
      <c r="J28" s="32"/>
    </row>
    <row r="29" spans="2:10" x14ac:dyDescent="0.25">
      <c r="B29" s="20" t="str">
        <f>+'County Data'!$B$11</f>
        <v>Benton</v>
      </c>
      <c r="C29" s="15">
        <f>VLOOKUP($B29,'County Data'!$B$10:$L$46,2,FALSE)</f>
        <v>93976</v>
      </c>
      <c r="D29" s="29">
        <f>VLOOKUP($B29,'County Data'!$B$10:$L$46,10,FALSE)</f>
        <v>4.7645036926935759E-2</v>
      </c>
      <c r="E29" s="31">
        <f t="shared" si="0"/>
        <v>4477.4899902457146</v>
      </c>
      <c r="F29" s="6">
        <f t="shared" si="1"/>
        <v>1.8043711763706644E-2</v>
      </c>
      <c r="G29" s="14">
        <f t="shared" si="2"/>
        <v>37675.270162619468</v>
      </c>
      <c r="H29" s="10">
        <f t="shared" si="3"/>
        <v>0.40090310465033058</v>
      </c>
      <c r="J29" s="32"/>
    </row>
    <row r="30" spans="2:10" x14ac:dyDescent="0.25">
      <c r="B30" s="20" t="str">
        <f>+'County Data'!$B$12</f>
        <v>Clackamas</v>
      </c>
      <c r="C30" s="15">
        <f>VLOOKUP($B30,'County Data'!$B$10:$L$46,2,FALSE)</f>
        <v>425316</v>
      </c>
      <c r="D30" s="29">
        <f>VLOOKUP($B30,'County Data'!$B$10:$L$46,10,FALSE)</f>
        <v>4.0874504898895145E-2</v>
      </c>
      <c r="E30" s="31">
        <f t="shared" si="0"/>
        <v>17384.580925578488</v>
      </c>
      <c r="F30" s="6">
        <f t="shared" si="1"/>
        <v>7.0057636764645562E-2</v>
      </c>
      <c r="G30" s="14">
        <f t="shared" si="2"/>
        <v>146280.34556457991</v>
      </c>
      <c r="H30" s="10">
        <f t="shared" si="3"/>
        <v>0.34393332384528191</v>
      </c>
      <c r="J30" s="32"/>
    </row>
    <row r="31" spans="2:10" x14ac:dyDescent="0.25">
      <c r="B31" s="20" t="str">
        <f>+'County Data'!$B$37</f>
        <v>Polk</v>
      </c>
      <c r="C31" s="15">
        <f>VLOOKUP($B31,'County Data'!$B$10:$L$46,2,FALSE)</f>
        <v>88916</v>
      </c>
      <c r="D31" s="29">
        <f>VLOOKUP($B31,'County Data'!$B$10:$L$46,10,FALSE)</f>
        <v>5.112740819862184E-2</v>
      </c>
      <c r="E31" s="31">
        <f t="shared" si="0"/>
        <v>4546.0446273886591</v>
      </c>
      <c r="F31" s="6">
        <f t="shared" si="1"/>
        <v>1.8319978179794132E-2</v>
      </c>
      <c r="G31" s="14">
        <f t="shared" si="2"/>
        <v>38252.114439410143</v>
      </c>
      <c r="H31" s="10">
        <f t="shared" si="3"/>
        <v>0.43020507489552096</v>
      </c>
      <c r="J31" s="32"/>
    </row>
    <row r="32" spans="2:10" x14ac:dyDescent="0.25">
      <c r="B32" s="20" t="str">
        <f>+'County Data'!$B$25</f>
        <v>Jefferson</v>
      </c>
      <c r="C32" s="15">
        <f>VLOOKUP($B32,'County Data'!$B$10:$L$46,2,FALSE)</f>
        <v>24889</v>
      </c>
      <c r="D32" s="29">
        <f>VLOOKUP($B32,'County Data'!$B$10:$L$46,10,FALSE)</f>
        <v>4.9472082622527551E-2</v>
      </c>
      <c r="E32" s="31">
        <f t="shared" si="0"/>
        <v>1231.3106643920883</v>
      </c>
      <c r="F32" s="6">
        <f t="shared" si="1"/>
        <v>4.9620244307122894E-3</v>
      </c>
      <c r="G32" s="14">
        <f t="shared" si="2"/>
        <v>10360.707011327258</v>
      </c>
      <c r="H32" s="10">
        <f t="shared" si="3"/>
        <v>0.4162765483276652</v>
      </c>
      <c r="J32" s="32"/>
    </row>
    <row r="33" spans="2:10" x14ac:dyDescent="0.25">
      <c r="B33" s="20" t="str">
        <f>+'County Data'!$B$46</f>
        <v>Yamhill</v>
      </c>
      <c r="C33" s="15">
        <f>VLOOKUP($B33,'County Data'!$B$10:$L$46,2,FALSE)</f>
        <v>108261</v>
      </c>
      <c r="D33" s="29">
        <f>VLOOKUP($B33,'County Data'!$B$10:$L$46,10,FALSE)</f>
        <v>5.2806933273375781E-2</v>
      </c>
      <c r="E33" s="31">
        <f t="shared" si="0"/>
        <v>5716.9314031089352</v>
      </c>
      <c r="F33" s="6">
        <f t="shared" si="1"/>
        <v>2.3038502070424443E-2</v>
      </c>
      <c r="G33" s="14">
        <f t="shared" si="2"/>
        <v>48104.392323046231</v>
      </c>
      <c r="H33" s="10">
        <f t="shared" si="3"/>
        <v>0.44433722506762574</v>
      </c>
      <c r="J33" s="32"/>
    </row>
    <row r="34" spans="2:10" x14ac:dyDescent="0.25">
      <c r="B34" s="20" t="str">
        <f>+'County Data'!$B$36</f>
        <v>Sherman, Wasco</v>
      </c>
      <c r="C34" s="15">
        <f>VLOOKUP($B34,'County Data'!$B$10:$L$46,2,FALSE)</f>
        <v>28489</v>
      </c>
      <c r="D34" s="29">
        <f>VLOOKUP($B34,'County Data'!$B$10:$L$46,10,FALSE)</f>
        <v>5.4470336679592647E-2</v>
      </c>
      <c r="E34" s="31">
        <f t="shared" si="0"/>
        <v>1551.805421664915</v>
      </c>
      <c r="F34" s="6">
        <f t="shared" si="1"/>
        <v>6.2535772950644561E-3</v>
      </c>
      <c r="G34" s="14">
        <f t="shared" si="2"/>
        <v>13057.469392094583</v>
      </c>
      <c r="H34" s="10">
        <f t="shared" si="3"/>
        <v>0.45833372150986634</v>
      </c>
      <c r="J34" s="32"/>
    </row>
    <row r="35" spans="2:10" x14ac:dyDescent="0.25">
      <c r="B35" s="20" t="str">
        <f>+'County Data'!$B$35</f>
        <v>Multnomah</v>
      </c>
      <c r="C35" s="15">
        <f>VLOOKUP($B35,'County Data'!$B$10:$L$46,2,FALSE)</f>
        <v>820672</v>
      </c>
      <c r="D35" s="29">
        <f>VLOOKUP($B35,'County Data'!$B$10:$L$46,10,FALSE)</f>
        <v>8.4254448034793039E-2</v>
      </c>
      <c r="E35" s="31">
        <f t="shared" si="0"/>
        <v>69145.266377609674</v>
      </c>
      <c r="F35" s="6">
        <f t="shared" si="1"/>
        <v>0.27864657633189649</v>
      </c>
      <c r="G35" s="14">
        <f t="shared" si="2"/>
        <v>581814.05138099985</v>
      </c>
      <c r="H35" s="10">
        <f t="shared" si="3"/>
        <v>0.70894833914279987</v>
      </c>
      <c r="J35" s="32"/>
    </row>
    <row r="36" spans="2:10" x14ac:dyDescent="0.25">
      <c r="B36" s="20" t="str">
        <f>+'County Data'!$B$32</f>
        <v>Malheur</v>
      </c>
      <c r="C36" s="15">
        <f>VLOOKUP($B36,'County Data'!$B$10:$L$46,2,FALSE)</f>
        <v>31995</v>
      </c>
      <c r="D36" s="29">
        <f>VLOOKUP($B36,'County Data'!$B$10:$L$46,10,FALSE)</f>
        <v>7.8250132298465336E-2</v>
      </c>
      <c r="E36" s="31">
        <f t="shared" si="0"/>
        <v>2503.6129828893986</v>
      </c>
      <c r="F36" s="6">
        <f t="shared" si="1"/>
        <v>1.0089239982566894E-2</v>
      </c>
      <c r="G36" s="14">
        <f t="shared" si="2"/>
        <v>21066.333083599671</v>
      </c>
      <c r="H36" s="10">
        <f t="shared" si="3"/>
        <v>0.6584257878918478</v>
      </c>
      <c r="J36" s="32"/>
    </row>
    <row r="37" spans="2:10" x14ac:dyDescent="0.25">
      <c r="B37" s="20" t="str">
        <f>+'County Data'!$B$44</f>
        <v>Washington</v>
      </c>
      <c r="C37" s="15">
        <f>VLOOKUP($B37,'County Data'!$B$10:$L$46,2,FALSE)</f>
        <v>605036</v>
      </c>
      <c r="D37" s="29">
        <f>VLOOKUP($B37,'County Data'!$B$10:$L$46,10,FALSE)</f>
        <v>9.0625859571268771E-2</v>
      </c>
      <c r="E37" s="31">
        <f t="shared" si="0"/>
        <v>54831.907571562173</v>
      </c>
      <c r="F37" s="6">
        <f t="shared" si="1"/>
        <v>0.2209655717446232</v>
      </c>
      <c r="G37" s="14">
        <f t="shared" si="2"/>
        <v>461376.11380277318</v>
      </c>
      <c r="H37" s="10">
        <f t="shared" si="3"/>
        <v>0.76255977132397601</v>
      </c>
      <c r="J37" s="32"/>
    </row>
    <row r="38" spans="2:10" x14ac:dyDescent="0.25">
      <c r="B38" s="20" t="str">
        <f>+'County Data'!$B$40</f>
        <v>Umatilla</v>
      </c>
      <c r="C38" s="15">
        <f>VLOOKUP($B38,'County Data'!$B$10:$L$46,2,FALSE)</f>
        <v>80463</v>
      </c>
      <c r="D38" s="29">
        <f>VLOOKUP($B38,'County Data'!$B$10:$L$46,10,FALSE)</f>
        <v>0.10513829579390996</v>
      </c>
      <c r="E38" s="31">
        <f t="shared" si="0"/>
        <v>8459.7426944653762</v>
      </c>
      <c r="F38" s="6">
        <f t="shared" si="1"/>
        <v>3.409168063057566E-2</v>
      </c>
      <c r="G38" s="14">
        <f t="shared" si="2"/>
        <v>71183.429156641971</v>
      </c>
      <c r="H38" s="10">
        <f t="shared" si="3"/>
        <v>0.88467282050932694</v>
      </c>
      <c r="J38" s="32"/>
    </row>
    <row r="39" spans="2:10" x14ac:dyDescent="0.25">
      <c r="B39" s="20" t="str">
        <f>+'County Data'!$B$33</f>
        <v>Marion</v>
      </c>
      <c r="C39" s="15">
        <f>VLOOKUP($B39,'County Data'!$B$10:$L$46,2,FALSE)</f>
        <v>347182</v>
      </c>
      <c r="D39" s="29">
        <f>VLOOKUP($B39,'County Data'!$B$10:$L$46,10,FALSE)</f>
        <v>0.10408129343246751</v>
      </c>
      <c r="E39" s="31">
        <f t="shared" si="0"/>
        <v>36135.151616470939</v>
      </c>
      <c r="F39" s="6">
        <f t="shared" si="1"/>
        <v>0.14562003750446326</v>
      </c>
      <c r="G39" s="14">
        <f t="shared" si="2"/>
        <v>304054.63830931927</v>
      </c>
      <c r="H39" s="10">
        <f t="shared" si="3"/>
        <v>0.8757788085480217</v>
      </c>
      <c r="J39" s="32"/>
    </row>
    <row r="40" spans="2:10" x14ac:dyDescent="0.25">
      <c r="B40" s="20" t="str">
        <f>+'County Data'!$B$23</f>
        <v>Hood River</v>
      </c>
      <c r="C40" s="15">
        <f>VLOOKUP($B40,'County Data'!$B$10:$L$46,2,FALSE)</f>
        <v>23888</v>
      </c>
      <c r="D40" s="29">
        <f>VLOOKUP($B40,'County Data'!$B$10:$L$46,10,FALSE)</f>
        <v>0.15446440944154463</v>
      </c>
      <c r="E40" s="31">
        <f t="shared" si="0"/>
        <v>3689.8458127396179</v>
      </c>
      <c r="F40" s="6">
        <f t="shared" si="1"/>
        <v>1.4869606507805919E-2</v>
      </c>
      <c r="G40" s="14">
        <f t="shared" si="2"/>
        <v>31047.738388298756</v>
      </c>
      <c r="H40" s="10">
        <f t="shared" si="3"/>
        <v>1.2997211314592581</v>
      </c>
      <c r="J40" s="32"/>
    </row>
    <row r="41" spans="2:10" x14ac:dyDescent="0.25">
      <c r="B41" s="20" t="str">
        <f>+'County Data'!$B$34</f>
        <v>Morrow</v>
      </c>
      <c r="C41" s="15">
        <f>VLOOKUP($B41,'County Data'!$B$10:$L$46,2,FALSE)</f>
        <v>12635</v>
      </c>
      <c r="D41" s="29">
        <f>VLOOKUP($B41,'County Data'!$B$10:$L$46,10,FALSE)</f>
        <v>0.15267839876232836</v>
      </c>
      <c r="E41" s="31">
        <f t="shared" si="0"/>
        <v>1929.0915683620187</v>
      </c>
      <c r="F41" s="6">
        <f t="shared" si="1"/>
        <v>7.7739921923110477E-3</v>
      </c>
      <c r="G41" s="14">
        <f t="shared" si="2"/>
        <v>16232.095697545466</v>
      </c>
      <c r="H41" s="10">
        <f t="shared" si="3"/>
        <v>1.2846929717091782</v>
      </c>
      <c r="J41" s="32"/>
    </row>
    <row r="42" spans="2:10" x14ac:dyDescent="0.25">
      <c r="B42" s="4" t="s">
        <v>89</v>
      </c>
      <c r="C42" s="5">
        <f>SUM(C7:C41)</f>
        <v>4266560</v>
      </c>
      <c r="D42" s="5"/>
      <c r="E42" s="5">
        <f>SUM(E7:E41)</f>
        <v>248146.83635391452</v>
      </c>
      <c r="F42" s="33">
        <f>SUM(F7:F41)</f>
        <v>0.99999999999999978</v>
      </c>
      <c r="G42" s="11">
        <f>SUM(G7:G41)</f>
        <v>2087999.9999999991</v>
      </c>
      <c r="H42" s="12">
        <f t="shared" ref="H42" si="8">G42/C42</f>
        <v>0.48938723468086681</v>
      </c>
    </row>
  </sheetData>
  <sortState xmlns:xlrd2="http://schemas.microsoft.com/office/spreadsheetml/2017/richdata2" ref="B7:H41">
    <sortCondition ref="D7:D41"/>
  </sortState>
  <pageMargins left="0.7" right="0.7" top="0.75" bottom="0.75" header="0.3" footer="0.3"/>
  <pageSetup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3:N42"/>
  <sheetViews>
    <sheetView topLeftCell="A7" workbookViewId="0">
      <selection activeCell="N21" sqref="N21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5" width="12.5703125" bestFit="1" customWidth="1"/>
    <col min="7" max="7" width="14.140625" customWidth="1"/>
    <col min="8" max="8" width="10.5703125" bestFit="1" customWidth="1"/>
    <col min="9" max="9" width="9.7109375" bestFit="1" customWidth="1"/>
    <col min="10" max="10" width="10.7109375" bestFit="1" customWidth="1"/>
    <col min="11" max="11" width="11.5703125" bestFit="1" customWidth="1"/>
    <col min="12" max="12" width="11.5703125" customWidth="1"/>
    <col min="14" max="14" width="11.5703125" bestFit="1" customWidth="1"/>
  </cols>
  <sheetData>
    <row r="3" spans="2:14" x14ac:dyDescent="0.25">
      <c r="B3" t="s">
        <v>125</v>
      </c>
      <c r="C3" s="1">
        <f>'County Data'!C5</f>
        <v>20000000</v>
      </c>
    </row>
    <row r="4" spans="2:14" x14ac:dyDescent="0.25">
      <c r="B4" t="s">
        <v>126</v>
      </c>
      <c r="C4" s="14">
        <f>'County Data'!L9</f>
        <v>1000000</v>
      </c>
    </row>
    <row r="6" spans="2:14" s="2" customFormat="1" ht="30" x14ac:dyDescent="0.25">
      <c r="B6" s="3" t="s">
        <v>36</v>
      </c>
      <c r="C6" s="3" t="s">
        <v>107</v>
      </c>
      <c r="D6" s="3" t="s">
        <v>144</v>
      </c>
      <c r="E6" s="3" t="s">
        <v>145</v>
      </c>
      <c r="F6" s="3" t="s">
        <v>146</v>
      </c>
      <c r="G6" s="3" t="s">
        <v>147</v>
      </c>
      <c r="H6" s="3" t="s">
        <v>142</v>
      </c>
      <c r="I6" s="3" t="s">
        <v>143</v>
      </c>
      <c r="J6" s="3" t="s">
        <v>148</v>
      </c>
      <c r="K6" s="13" t="s">
        <v>149</v>
      </c>
      <c r="L6" s="3" t="s">
        <v>150</v>
      </c>
    </row>
    <row r="7" spans="2:14" x14ac:dyDescent="0.25">
      <c r="B7" s="20" t="str">
        <f>'County Data'!$B$45</f>
        <v>Wheeler</v>
      </c>
      <c r="C7" s="15">
        <f>VLOOKUP($B7,'County Data'!$B$10:$P$46,2,FALSE)</f>
        <v>1456</v>
      </c>
      <c r="D7" s="47">
        <v>22900</v>
      </c>
      <c r="E7" s="47">
        <f>VLOOKUP($B7,'County Data'!$B$10:$P$46,11,FALSE)</f>
        <v>6791</v>
      </c>
      <c r="F7" s="38">
        <f>IFERROR((E7-D7)/D7,-1)</f>
        <v>-0.70344978165938865</v>
      </c>
      <c r="G7" s="75">
        <f>IF(F7&lt;0,0,$C$4*Input!$C$26/36)</f>
        <v>0</v>
      </c>
      <c r="H7" s="31">
        <f>IF(F7&lt;0,0,C7*F7)</f>
        <v>0</v>
      </c>
      <c r="I7" s="38">
        <f t="shared" ref="I7:I41" si="0">H7/$H$42</f>
        <v>0</v>
      </c>
      <c r="J7" s="75">
        <f t="shared" ref="J7:J41" si="1">($C$4-$G$42)*I7</f>
        <v>0</v>
      </c>
      <c r="K7" s="77">
        <f>G7+J7</f>
        <v>0</v>
      </c>
      <c r="L7" s="46">
        <f>K7/C7</f>
        <v>0</v>
      </c>
      <c r="N7" s="152"/>
    </row>
    <row r="8" spans="2:14" x14ac:dyDescent="0.25">
      <c r="B8" s="20" t="str">
        <f>+'County Data'!$B$42</f>
        <v>Wallowa</v>
      </c>
      <c r="C8" s="15">
        <f>VLOOKUP($B8,'County Data'!$B$10:$P$46,2,FALSE)</f>
        <v>7433</v>
      </c>
      <c r="D8" s="87">
        <v>0</v>
      </c>
      <c r="E8" s="47">
        <f>VLOOKUP($B8,'County Data'!$B$10:$P$46,11,FALSE)</f>
        <v>0</v>
      </c>
      <c r="F8" s="29">
        <f>IFERROR((E8-D8)/D8,-1)</f>
        <v>-1</v>
      </c>
      <c r="G8" s="75">
        <f>IF(F8&lt;0,0,$C$4*Input!$C$26/36)</f>
        <v>0</v>
      </c>
      <c r="H8" s="31">
        <f t="shared" ref="H8:H41" si="2">IF(F8&lt;0,0,C8*F8)</f>
        <v>0</v>
      </c>
      <c r="I8" s="38">
        <f t="shared" si="0"/>
        <v>0</v>
      </c>
      <c r="J8" s="75">
        <f t="shared" si="1"/>
        <v>0</v>
      </c>
      <c r="K8" s="77">
        <f t="shared" ref="K8:K41" si="3">G8+J8</f>
        <v>0</v>
      </c>
      <c r="L8" s="46">
        <f t="shared" ref="L8:L41" si="4">K8/C8</f>
        <v>0</v>
      </c>
      <c r="N8" s="152"/>
    </row>
    <row r="9" spans="2:14" x14ac:dyDescent="0.25">
      <c r="B9" s="20" t="str">
        <f>'County Data'!B20</f>
        <v>Gilliam</v>
      </c>
      <c r="C9" s="15">
        <f>VLOOKUP($B9,'County Data'!$B$10:$P$46,2,FALSE)</f>
        <v>2039</v>
      </c>
      <c r="D9" s="87">
        <v>1</v>
      </c>
      <c r="E9" s="47">
        <f>VLOOKUP($B9,'County Data'!$B$10:$P$46,11,FALSE)</f>
        <v>0</v>
      </c>
      <c r="F9" s="29">
        <f>IFERROR((E9-D9)/D9,-1)</f>
        <v>-1</v>
      </c>
      <c r="G9" s="75">
        <f>IF(F9&lt;0,0,$C$4*Input!$C$26/36)</f>
        <v>0</v>
      </c>
      <c r="H9" s="31">
        <f t="shared" ref="H9" si="5">IF(F9&lt;0,0,C9*F9)</f>
        <v>0</v>
      </c>
      <c r="I9" s="38">
        <f t="shared" si="0"/>
        <v>0</v>
      </c>
      <c r="J9" s="75">
        <f t="shared" si="1"/>
        <v>0</v>
      </c>
      <c r="K9" s="77">
        <f t="shared" ref="K9" si="6">G9+J9</f>
        <v>0</v>
      </c>
      <c r="L9" s="46">
        <f t="shared" ref="L9" si="7">K9/C9</f>
        <v>0</v>
      </c>
      <c r="N9" s="152"/>
    </row>
    <row r="10" spans="2:14" x14ac:dyDescent="0.25">
      <c r="B10" s="20" t="str">
        <f>+'County Data'!$B$22</f>
        <v>Harney</v>
      </c>
      <c r="C10" s="15">
        <f>VLOOKUP($B10,'County Data'!$B$10:$P$46,2,FALSE)</f>
        <v>7537</v>
      </c>
      <c r="D10" s="47">
        <v>96952</v>
      </c>
      <c r="E10" s="47">
        <f>VLOOKUP($B10,'County Data'!$B$10:$P$46,11,FALSE)</f>
        <v>172270</v>
      </c>
      <c r="F10" s="38">
        <f t="shared" ref="F10:F42" si="8">IFERROR((E10-D10)/D10,-1)</f>
        <v>0.77685865170393598</v>
      </c>
      <c r="G10" s="75">
        <f>IF(F10&lt;0,0,$C$4*Input!$C$26/36)</f>
        <v>13888.888888888889</v>
      </c>
      <c r="H10" s="31">
        <f>IF(F10&lt;0,0,C10*F10)</f>
        <v>5855.1836578925659</v>
      </c>
      <c r="I10" s="38">
        <f t="shared" si="0"/>
        <v>1.4499154703303853E-3</v>
      </c>
      <c r="J10" s="75">
        <f t="shared" si="1"/>
        <v>926.33488382219093</v>
      </c>
      <c r="K10" s="77">
        <f t="shared" si="3"/>
        <v>14815.223772711081</v>
      </c>
      <c r="L10" s="46">
        <f t="shared" si="4"/>
        <v>1.9656658846638027</v>
      </c>
      <c r="N10" s="6"/>
    </row>
    <row r="11" spans="2:14" x14ac:dyDescent="0.25">
      <c r="B11" s="20" t="str">
        <f>+'County Data'!$B$21</f>
        <v>Grant</v>
      </c>
      <c r="C11" s="15">
        <f>VLOOKUP($B11,'County Data'!$B$10:$P$46,2,FALSE)</f>
        <v>7226</v>
      </c>
      <c r="D11" s="47">
        <v>73636</v>
      </c>
      <c r="E11" s="47">
        <f>VLOOKUP($B11,'County Data'!$B$10:$P$46,11,FALSE)</f>
        <v>0</v>
      </c>
      <c r="F11" s="38">
        <f t="shared" si="8"/>
        <v>-1</v>
      </c>
      <c r="G11" s="75">
        <f>IF(F11&lt;0,0,$C$4*Input!$C$26/36)</f>
        <v>0</v>
      </c>
      <c r="H11" s="31">
        <f t="shared" si="2"/>
        <v>0</v>
      </c>
      <c r="I11" s="38">
        <f t="shared" si="0"/>
        <v>0</v>
      </c>
      <c r="J11" s="75">
        <f t="shared" si="1"/>
        <v>0</v>
      </c>
      <c r="K11" s="77">
        <f t="shared" si="3"/>
        <v>0</v>
      </c>
      <c r="L11" s="46">
        <f t="shared" si="4"/>
        <v>0</v>
      </c>
      <c r="N11" s="152"/>
    </row>
    <row r="12" spans="2:14" x14ac:dyDescent="0.25">
      <c r="B12" s="20" t="str">
        <f>+'County Data'!$B$28</f>
        <v>Lake</v>
      </c>
      <c r="C12" s="15">
        <f>VLOOKUP($B12,'County Data'!$B$10:$P$46,2,FALSE)</f>
        <v>8177</v>
      </c>
      <c r="D12" s="47">
        <v>151267</v>
      </c>
      <c r="E12" s="47">
        <f>VLOOKUP($B12,'County Data'!$B$10:$P$46,11,FALSE)</f>
        <v>187877</v>
      </c>
      <c r="F12" s="38">
        <f t="shared" si="8"/>
        <v>0.24202238426094258</v>
      </c>
      <c r="G12" s="75">
        <f>IF(F12&lt;0,0,$C$4*Input!$C$26/36)</f>
        <v>13888.888888888889</v>
      </c>
      <c r="H12" s="31">
        <f t="shared" si="2"/>
        <v>1979.0170361017274</v>
      </c>
      <c r="I12" s="38">
        <f t="shared" si="0"/>
        <v>4.9006275197250703E-4</v>
      </c>
      <c r="J12" s="75">
        <f t="shared" si="1"/>
        <v>313.09564709354629</v>
      </c>
      <c r="K12" s="77">
        <f t="shared" si="3"/>
        <v>14201.984535982436</v>
      </c>
      <c r="L12" s="46">
        <f t="shared" si="4"/>
        <v>1.7368209044860505</v>
      </c>
      <c r="N12" s="6"/>
    </row>
    <row r="13" spans="2:14" x14ac:dyDescent="0.25">
      <c r="B13" s="20" t="str">
        <f>+'County Data'!$B$34</f>
        <v>Morrow</v>
      </c>
      <c r="C13" s="15">
        <f>VLOOKUP($B13,'County Data'!$B$10:$P$46,2,FALSE)</f>
        <v>12635</v>
      </c>
      <c r="D13" s="47">
        <v>621474</v>
      </c>
      <c r="E13" s="47">
        <f>VLOOKUP($B13,'County Data'!$B$10:$P$46,11,FALSE)</f>
        <v>712823</v>
      </c>
      <c r="F13" s="38">
        <f t="shared" si="8"/>
        <v>0.14698764550085763</v>
      </c>
      <c r="G13" s="75">
        <f>IF(F13&lt;0,0,$C$4*Input!$C$26/36)</f>
        <v>13888.888888888889</v>
      </c>
      <c r="H13" s="31">
        <f t="shared" si="2"/>
        <v>1857.1889009033362</v>
      </c>
      <c r="I13" s="38">
        <f t="shared" si="0"/>
        <v>4.5989452698309201E-4</v>
      </c>
      <c r="J13" s="75">
        <f t="shared" si="1"/>
        <v>293.82150335030889</v>
      </c>
      <c r="K13" s="77">
        <f t="shared" si="3"/>
        <v>14182.710392239198</v>
      </c>
      <c r="L13" s="46">
        <f t="shared" si="4"/>
        <v>1.1224938972884209</v>
      </c>
      <c r="N13" s="6"/>
    </row>
    <row r="14" spans="2:14" x14ac:dyDescent="0.25">
      <c r="B14" s="20" t="str">
        <f>+'County Data'!$B$10</f>
        <v>Baker</v>
      </c>
      <c r="C14" s="15">
        <f>VLOOKUP($B14,'County Data'!$B$10:$P$46,2,FALSE)</f>
        <v>16860</v>
      </c>
      <c r="D14" s="47">
        <v>246676</v>
      </c>
      <c r="E14" s="47">
        <f>VLOOKUP($B14,'County Data'!$B$10:$P$46,11,FALSE)</f>
        <v>361764</v>
      </c>
      <c r="F14" s="38">
        <f t="shared" si="8"/>
        <v>0.46655531952845025</v>
      </c>
      <c r="G14" s="75">
        <f>IF(F14&lt;0,0,$C$4*Input!$C$26/36)</f>
        <v>13888.888888888889</v>
      </c>
      <c r="H14" s="31">
        <f t="shared" si="2"/>
        <v>7866.1226872496709</v>
      </c>
      <c r="I14" s="38">
        <f t="shared" si="0"/>
        <v>1.9478830455448353E-3</v>
      </c>
      <c r="J14" s="75">
        <f t="shared" si="1"/>
        <v>1244.4808346536452</v>
      </c>
      <c r="K14" s="77">
        <f t="shared" si="3"/>
        <v>15133.369723542533</v>
      </c>
      <c r="L14" s="46">
        <f t="shared" si="4"/>
        <v>0.89759013781391062</v>
      </c>
      <c r="N14" s="6"/>
    </row>
    <row r="15" spans="2:14" x14ac:dyDescent="0.25">
      <c r="B15" s="20" t="str">
        <f>+'County Data'!$B$16</f>
        <v>Crook</v>
      </c>
      <c r="C15" s="15">
        <f>VLOOKUP($B15,'County Data'!$B$10:$P$46,2,FALSE)</f>
        <v>25482</v>
      </c>
      <c r="D15" s="47">
        <v>622139</v>
      </c>
      <c r="E15" s="47">
        <f>VLOOKUP($B15,'County Data'!$B$10:$P$46,11,FALSE)</f>
        <v>1584688</v>
      </c>
      <c r="F15" s="38">
        <f t="shared" si="8"/>
        <v>1.5471606827413167</v>
      </c>
      <c r="G15" s="75">
        <f>IF(F15&lt;0,0,$C$4*Input!$C$26/36)</f>
        <v>13888.888888888889</v>
      </c>
      <c r="H15" s="31">
        <f t="shared" si="2"/>
        <v>39424.748517614229</v>
      </c>
      <c r="I15" s="38">
        <f t="shared" si="0"/>
        <v>9.762725839098289E-3</v>
      </c>
      <c r="J15" s="75">
        <f t="shared" si="1"/>
        <v>6237.2970638683537</v>
      </c>
      <c r="K15" s="77">
        <f t="shared" si="3"/>
        <v>20126.185952757241</v>
      </c>
      <c r="L15" s="46">
        <f t="shared" si="4"/>
        <v>0.78981971402390871</v>
      </c>
      <c r="N15" s="6"/>
    </row>
    <row r="16" spans="2:14" x14ac:dyDescent="0.25">
      <c r="B16" s="20" t="str">
        <f>+'County Data'!$B$17</f>
        <v>Curry</v>
      </c>
      <c r="C16" s="15">
        <f>VLOOKUP($B16,'County Data'!$B$10:$P$46,2,FALSE)</f>
        <v>23662</v>
      </c>
      <c r="D16" s="47">
        <v>144795</v>
      </c>
      <c r="E16" s="47">
        <f>VLOOKUP($B16,'County Data'!$B$10:$P$46,11,FALSE)</f>
        <v>703878</v>
      </c>
      <c r="F16" s="38">
        <f t="shared" si="8"/>
        <v>3.8612037708484408</v>
      </c>
      <c r="G16" s="75">
        <f>IF(F16&lt;0,0,$C$4*Input!$C$26/36)</f>
        <v>13888.888888888889</v>
      </c>
      <c r="H16" s="31">
        <f t="shared" si="2"/>
        <v>91363.80362581581</v>
      </c>
      <c r="I16" s="38">
        <f t="shared" si="0"/>
        <v>2.2624361599099189E-2</v>
      </c>
      <c r="J16" s="75">
        <f t="shared" si="1"/>
        <v>14454.453243868931</v>
      </c>
      <c r="K16" s="77">
        <f t="shared" si="3"/>
        <v>28343.342132757818</v>
      </c>
      <c r="L16" s="46">
        <f t="shared" si="4"/>
        <v>1.1978421998460747</v>
      </c>
      <c r="N16" s="6"/>
    </row>
    <row r="17" spans="2:14" x14ac:dyDescent="0.25">
      <c r="B17" s="20" t="str">
        <f>+'County Data'!$B$25</f>
        <v>Jefferson</v>
      </c>
      <c r="C17" s="15">
        <f>VLOOKUP($B17,'County Data'!$B$10:$P$46,2,FALSE)</f>
        <v>24889</v>
      </c>
      <c r="D17" s="47">
        <v>566944</v>
      </c>
      <c r="E17" s="47">
        <f>VLOOKUP($B17,'County Data'!$B$10:$P$46,11,FALSE)</f>
        <v>261557</v>
      </c>
      <c r="F17" s="38">
        <f t="shared" si="8"/>
        <v>-0.53865461139019022</v>
      </c>
      <c r="G17" s="75">
        <f>IF(F17&lt;0,0,$C$4*Input!$C$26/36)</f>
        <v>0</v>
      </c>
      <c r="H17" s="31">
        <f t="shared" si="2"/>
        <v>0</v>
      </c>
      <c r="I17" s="38">
        <f t="shared" si="0"/>
        <v>0</v>
      </c>
      <c r="J17" s="75">
        <f t="shared" si="1"/>
        <v>0</v>
      </c>
      <c r="K17" s="77">
        <f t="shared" si="3"/>
        <v>0</v>
      </c>
      <c r="L17" s="46">
        <f t="shared" si="4"/>
        <v>0</v>
      </c>
      <c r="N17" s="152"/>
    </row>
    <row r="18" spans="2:14" x14ac:dyDescent="0.25">
      <c r="B18" s="20" t="str">
        <f>+'County Data'!$B$23</f>
        <v>Hood River</v>
      </c>
      <c r="C18" s="15">
        <f>VLOOKUP($B18,'County Data'!$B$10:$P$46,2,FALSE)</f>
        <v>23888</v>
      </c>
      <c r="D18" s="47">
        <v>822751</v>
      </c>
      <c r="E18" s="47">
        <f>VLOOKUP($B18,'County Data'!$B$10:$P$46,11,FALSE)</f>
        <v>729676</v>
      </c>
      <c r="F18" s="38">
        <f t="shared" si="8"/>
        <v>-0.11312657170881592</v>
      </c>
      <c r="G18" s="75">
        <f>IF(F18&lt;0,0,$C$4*Input!$C$26/36)</f>
        <v>0</v>
      </c>
      <c r="H18" s="31">
        <f t="shared" si="2"/>
        <v>0</v>
      </c>
      <c r="I18" s="38">
        <f t="shared" si="0"/>
        <v>0</v>
      </c>
      <c r="J18" s="75">
        <f t="shared" si="1"/>
        <v>0</v>
      </c>
      <c r="K18" s="77">
        <f t="shared" si="3"/>
        <v>0</v>
      </c>
      <c r="L18" s="46">
        <f t="shared" si="4"/>
        <v>0</v>
      </c>
      <c r="N18" s="152"/>
    </row>
    <row r="19" spans="2:14" x14ac:dyDescent="0.25">
      <c r="B19" s="20" t="str">
        <f>+'County Data'!$B$39</f>
        <v>Tillamook</v>
      </c>
      <c r="C19" s="15">
        <f>VLOOKUP($B19,'County Data'!$B$10:$P$46,2,FALSE)</f>
        <v>27628</v>
      </c>
      <c r="D19" s="47">
        <v>146840</v>
      </c>
      <c r="E19" s="47">
        <f>VLOOKUP($B19,'County Data'!$B$10:$P$46,11,FALSE)</f>
        <v>119798</v>
      </c>
      <c r="F19" s="38">
        <f t="shared" si="8"/>
        <v>-0.18415962952873877</v>
      </c>
      <c r="G19" s="75">
        <f>IF(F19&lt;0,0,$C$4*Input!$C$26/36)</f>
        <v>0</v>
      </c>
      <c r="H19" s="31">
        <f t="shared" si="2"/>
        <v>0</v>
      </c>
      <c r="I19" s="38">
        <f t="shared" si="0"/>
        <v>0</v>
      </c>
      <c r="J19" s="75">
        <f t="shared" si="1"/>
        <v>0</v>
      </c>
      <c r="K19" s="77">
        <f t="shared" si="3"/>
        <v>0</v>
      </c>
      <c r="L19" s="46">
        <f t="shared" si="4"/>
        <v>0</v>
      </c>
      <c r="N19" s="152"/>
    </row>
    <row r="20" spans="2:14" x14ac:dyDescent="0.25">
      <c r="B20" s="20" t="str">
        <f>+'County Data'!$B$41</f>
        <v>Union</v>
      </c>
      <c r="C20" s="15">
        <f>VLOOKUP($B20,'County Data'!$B$10:$P$46,2,FALSE)</f>
        <v>26295</v>
      </c>
      <c r="D20" s="47">
        <v>145000</v>
      </c>
      <c r="E20" s="47">
        <f>VLOOKUP($B20,'County Data'!$B$10:$P$46,11,FALSE)</f>
        <v>153290</v>
      </c>
      <c r="F20" s="38">
        <f t="shared" si="8"/>
        <v>5.7172413793103449E-2</v>
      </c>
      <c r="G20" s="75">
        <f>IF(F20&lt;0,0,$C$4*Input!$C$26/36)</f>
        <v>13888.888888888889</v>
      </c>
      <c r="H20" s="31">
        <f t="shared" si="2"/>
        <v>1503.3486206896553</v>
      </c>
      <c r="I20" s="38">
        <f t="shared" si="0"/>
        <v>3.7227327950671303E-4</v>
      </c>
      <c r="J20" s="75">
        <f t="shared" si="1"/>
        <v>237.84126190706675</v>
      </c>
      <c r="K20" s="77">
        <f t="shared" si="3"/>
        <v>14126.730150795955</v>
      </c>
      <c r="L20" s="46">
        <f t="shared" si="4"/>
        <v>0.53724016546096043</v>
      </c>
      <c r="N20" s="6"/>
    </row>
    <row r="21" spans="2:14" x14ac:dyDescent="0.25">
      <c r="B21" s="20" t="str">
        <f>+'County Data'!$B$36</f>
        <v>Sherman, Wasco</v>
      </c>
      <c r="C21" s="15">
        <f>VLOOKUP($B21,'County Data'!$B$10:$P$46,2,FALSE)</f>
        <v>28489</v>
      </c>
      <c r="D21" s="47">
        <v>545643</v>
      </c>
      <c r="E21" s="47">
        <f>VLOOKUP($B21,'County Data'!$B$10:$P$46,11,FALSE)</f>
        <v>772441</v>
      </c>
      <c r="F21" s="38">
        <f t="shared" si="8"/>
        <v>0.41565272531673642</v>
      </c>
      <c r="G21" s="75">
        <f>IF(F21&lt;0,0,$C$4*Input!$C$26/36*3)</f>
        <v>41666.666666666664</v>
      </c>
      <c r="H21" s="31">
        <f t="shared" si="2"/>
        <v>11841.530491548503</v>
      </c>
      <c r="I21" s="38">
        <f t="shared" si="0"/>
        <v>2.9323107959118738E-3</v>
      </c>
      <c r="J21" s="75">
        <f t="shared" si="1"/>
        <v>1873.4207862770311</v>
      </c>
      <c r="K21" s="77">
        <f t="shared" si="3"/>
        <v>43540.087452943699</v>
      </c>
      <c r="L21" s="46">
        <f t="shared" si="4"/>
        <v>1.5283122416702482</v>
      </c>
      <c r="N21" s="6"/>
    </row>
    <row r="22" spans="2:14" x14ac:dyDescent="0.25">
      <c r="B22" s="20" t="str">
        <f>+'County Data'!$B$32</f>
        <v>Malheur</v>
      </c>
      <c r="C22" s="15">
        <f>VLOOKUP($B22,'County Data'!$B$10:$P$46,2,FALSE)</f>
        <v>31995</v>
      </c>
      <c r="D22" s="47">
        <v>489035</v>
      </c>
      <c r="E22" s="47">
        <f>VLOOKUP($B22,'County Data'!$B$10:$P$46,11,FALSE)</f>
        <v>474185</v>
      </c>
      <c r="F22" s="38">
        <f t="shared" si="8"/>
        <v>-3.0365924729313851E-2</v>
      </c>
      <c r="G22" s="75">
        <f>IF(F22&lt;0,0,$C$4*Input!$C$26/36)</f>
        <v>0</v>
      </c>
      <c r="H22" s="31">
        <f t="shared" si="2"/>
        <v>0</v>
      </c>
      <c r="I22" s="38">
        <f t="shared" si="0"/>
        <v>0</v>
      </c>
      <c r="J22" s="75">
        <f t="shared" si="1"/>
        <v>0</v>
      </c>
      <c r="K22" s="77">
        <f t="shared" si="3"/>
        <v>0</v>
      </c>
      <c r="L22" s="46">
        <f t="shared" si="4"/>
        <v>0</v>
      </c>
      <c r="N22" s="152"/>
    </row>
    <row r="23" spans="2:14" x14ac:dyDescent="0.25">
      <c r="B23" s="20" t="str">
        <f>+'County Data'!$B$13</f>
        <v>Clatsop</v>
      </c>
      <c r="C23" s="15">
        <f>VLOOKUP($B23,'County Data'!$B$10:$P$46,2,FALSE)</f>
        <v>41428</v>
      </c>
      <c r="D23" s="47">
        <v>431075</v>
      </c>
      <c r="E23" s="47">
        <f>VLOOKUP($B23,'County Data'!$B$10:$P$46,11,FALSE)</f>
        <v>446000</v>
      </c>
      <c r="F23" s="38">
        <f t="shared" si="8"/>
        <v>3.4622745461926577E-2</v>
      </c>
      <c r="G23" s="75">
        <f>IF(F23&lt;0,0,$C$4*Input!$C$26/36)</f>
        <v>13888.888888888889</v>
      </c>
      <c r="H23" s="31">
        <f t="shared" si="2"/>
        <v>1434.3510989966942</v>
      </c>
      <c r="I23" s="38">
        <f t="shared" si="0"/>
        <v>3.5518746632607441E-4</v>
      </c>
      <c r="J23" s="75">
        <f t="shared" si="1"/>
        <v>226.9253257083254</v>
      </c>
      <c r="K23" s="77">
        <f t="shared" si="3"/>
        <v>14115.814214597214</v>
      </c>
      <c r="L23" s="46">
        <f t="shared" si="4"/>
        <v>0.34073124974889479</v>
      </c>
      <c r="N23" s="6"/>
    </row>
    <row r="24" spans="2:14" x14ac:dyDescent="0.25">
      <c r="B24" s="20" t="str">
        <f>+'County Data'!$B$30</f>
        <v>Lincoln</v>
      </c>
      <c r="C24" s="15">
        <f>VLOOKUP($B24,'County Data'!$B$10:$P$46,2,FALSE)</f>
        <v>50903</v>
      </c>
      <c r="D24" s="47">
        <v>307500</v>
      </c>
      <c r="E24" s="47">
        <f>VLOOKUP($B24,'County Data'!$B$10:$P$46,11,FALSE)</f>
        <v>1458472</v>
      </c>
      <c r="F24" s="38">
        <f t="shared" si="8"/>
        <v>3.74299837398374</v>
      </c>
      <c r="G24" s="75">
        <f>IF(F24&lt;0,0,$C$4*Input!$C$26/36)</f>
        <v>13888.888888888889</v>
      </c>
      <c r="H24" s="31">
        <f t="shared" si="2"/>
        <v>190529.84623089433</v>
      </c>
      <c r="I24" s="38">
        <f t="shared" si="0"/>
        <v>4.7180786761054992E-2</v>
      </c>
      <c r="J24" s="75">
        <f t="shared" si="1"/>
        <v>30143.280430674033</v>
      </c>
      <c r="K24" s="77">
        <f t="shared" si="3"/>
        <v>44032.16931956292</v>
      </c>
      <c r="L24" s="46">
        <f t="shared" si="4"/>
        <v>0.86502110523079034</v>
      </c>
      <c r="N24" s="6"/>
    </row>
    <row r="25" spans="2:14" x14ac:dyDescent="0.25">
      <c r="B25" s="20" t="str">
        <f>+'County Data'!$B$14</f>
        <v>Columbia</v>
      </c>
      <c r="C25" s="15">
        <f>VLOOKUP($B25,'County Data'!$B$10:$P$46,2,FALSE)</f>
        <v>53014</v>
      </c>
      <c r="D25" s="47">
        <v>144489</v>
      </c>
      <c r="E25" s="47">
        <f>VLOOKUP($B25,'County Data'!$B$10:$P$46,11,FALSE)</f>
        <v>615328</v>
      </c>
      <c r="F25" s="38">
        <f t="shared" si="8"/>
        <v>3.258649447362775</v>
      </c>
      <c r="G25" s="75">
        <f>IF(F25&lt;0,0,$C$4*Input!$C$26/36)</f>
        <v>13888.888888888889</v>
      </c>
      <c r="H25" s="31">
        <f t="shared" si="2"/>
        <v>172754.04180249016</v>
      </c>
      <c r="I25" s="38">
        <f t="shared" si="0"/>
        <v>4.2778975418456204E-2</v>
      </c>
      <c r="J25" s="75">
        <f t="shared" si="1"/>
        <v>27331.012072902584</v>
      </c>
      <c r="K25" s="77">
        <f t="shared" si="3"/>
        <v>41219.900961791471</v>
      </c>
      <c r="L25" s="46">
        <f t="shared" si="4"/>
        <v>0.77752859549914122</v>
      </c>
      <c r="N25" s="6"/>
    </row>
    <row r="26" spans="2:14" x14ac:dyDescent="0.25">
      <c r="B26" s="20" t="str">
        <f>+'County Data'!$B$15</f>
        <v>Coos</v>
      </c>
      <c r="C26" s="15">
        <f>VLOOKUP($B26,'County Data'!$B$10:$P$46,2,FALSE)</f>
        <v>65154</v>
      </c>
      <c r="D26" s="47">
        <v>52178</v>
      </c>
      <c r="E26" s="47">
        <f>VLOOKUP($B26,'County Data'!$B$10:$P$46,11,FALSE)</f>
        <v>332653</v>
      </c>
      <c r="F26" s="38">
        <f t="shared" si="8"/>
        <v>5.3753497642684653</v>
      </c>
      <c r="G26" s="75">
        <f>IF(F26&lt;0,0,$C$4*Input!$C$26/36)</f>
        <v>13888.888888888889</v>
      </c>
      <c r="H26" s="31">
        <f t="shared" si="2"/>
        <v>350225.5385411476</v>
      </c>
      <c r="I26" s="38">
        <f t="shared" si="0"/>
        <v>8.6726131254842673E-2</v>
      </c>
      <c r="J26" s="75">
        <f t="shared" si="1"/>
        <v>55408.361635038396</v>
      </c>
      <c r="K26" s="77">
        <f t="shared" si="3"/>
        <v>69297.250523927287</v>
      </c>
      <c r="L26" s="46">
        <f t="shared" si="4"/>
        <v>1.0635916524530695</v>
      </c>
      <c r="N26" s="6"/>
    </row>
    <row r="27" spans="2:14" x14ac:dyDescent="0.25">
      <c r="B27" s="20" t="str">
        <f>+'County Data'!$B$27</f>
        <v>Klamath</v>
      </c>
      <c r="C27" s="15">
        <f>VLOOKUP($B27,'County Data'!$B$10:$P$46,2,FALSE)</f>
        <v>69822</v>
      </c>
      <c r="D27" s="47">
        <v>232280</v>
      </c>
      <c r="E27" s="47">
        <f>VLOOKUP($B27,'County Data'!$B$10:$P$46,11,FALSE)</f>
        <v>542426</v>
      </c>
      <c r="F27" s="38">
        <f t="shared" si="8"/>
        <v>1.3352247287756156</v>
      </c>
      <c r="G27" s="75">
        <f>IF(F27&lt;0,0,$C$4*Input!$C$26/36)</f>
        <v>13888.888888888889</v>
      </c>
      <c r="H27" s="31">
        <f t="shared" si="2"/>
        <v>93228.061012571037</v>
      </c>
      <c r="I27" s="38">
        <f t="shared" si="0"/>
        <v>2.3086006490816723E-2</v>
      </c>
      <c r="J27" s="75">
        <f t="shared" si="1"/>
        <v>14749.393035799578</v>
      </c>
      <c r="K27" s="77">
        <f t="shared" si="3"/>
        <v>28638.281924688468</v>
      </c>
      <c r="L27" s="46">
        <f t="shared" si="4"/>
        <v>0.4101612947880105</v>
      </c>
      <c r="N27" s="6"/>
    </row>
    <row r="28" spans="2:14" x14ac:dyDescent="0.25">
      <c r="B28" s="20" t="str">
        <f>+'County Data'!$B$40</f>
        <v>Umatilla</v>
      </c>
      <c r="C28" s="15">
        <f>VLOOKUP($B28,'County Data'!$B$10:$P$46,2,FALSE)</f>
        <v>80463</v>
      </c>
      <c r="D28" s="47">
        <v>386278</v>
      </c>
      <c r="E28" s="47">
        <f>VLOOKUP($B28,'County Data'!$B$10:$P$46,11,FALSE)</f>
        <v>532317</v>
      </c>
      <c r="F28" s="38">
        <f t="shared" si="8"/>
        <v>0.37806709157653295</v>
      </c>
      <c r="G28" s="75">
        <f>IF(F28&lt;0,0,$C$4*Input!$C$26/36)</f>
        <v>13888.888888888889</v>
      </c>
      <c r="H28" s="31">
        <f t="shared" si="2"/>
        <v>30420.412389522571</v>
      </c>
      <c r="I28" s="38">
        <f t="shared" si="0"/>
        <v>7.5329877104613613E-3</v>
      </c>
      <c r="J28" s="75">
        <f t="shared" si="1"/>
        <v>4812.7421483503158</v>
      </c>
      <c r="K28" s="77">
        <f t="shared" si="3"/>
        <v>18701.631037239204</v>
      </c>
      <c r="L28" s="46">
        <f t="shared" si="4"/>
        <v>0.23242522696443338</v>
      </c>
      <c r="N28" s="6"/>
    </row>
    <row r="29" spans="2:14" x14ac:dyDescent="0.25">
      <c r="B29" s="20" t="str">
        <f>+'County Data'!$B$37</f>
        <v>Polk</v>
      </c>
      <c r="C29" s="15">
        <f>VLOOKUP($B29,'County Data'!$B$10:$P$46,2,FALSE)</f>
        <v>88916</v>
      </c>
      <c r="D29" s="47">
        <v>251759</v>
      </c>
      <c r="E29" s="47">
        <f>VLOOKUP($B29,'County Data'!$B$10:$P$46,11,FALSE)</f>
        <v>291010</v>
      </c>
      <c r="F29" s="38">
        <f t="shared" si="8"/>
        <v>0.15590703808006864</v>
      </c>
      <c r="G29" s="75">
        <f>IF(F29&lt;0,0,$C$4*Input!$C$26/36)</f>
        <v>13888.888888888889</v>
      </c>
      <c r="H29" s="31">
        <f t="shared" si="2"/>
        <v>13862.630197927383</v>
      </c>
      <c r="I29" s="38">
        <f t="shared" si="0"/>
        <v>3.4327944532278722E-3</v>
      </c>
      <c r="J29" s="75">
        <f t="shared" si="1"/>
        <v>2193.1742340066967</v>
      </c>
      <c r="K29" s="77">
        <f t="shared" si="3"/>
        <v>16082.063122895586</v>
      </c>
      <c r="L29" s="46">
        <f t="shared" si="4"/>
        <v>0.18086804537873483</v>
      </c>
      <c r="N29" s="6"/>
    </row>
    <row r="30" spans="2:14" x14ac:dyDescent="0.25">
      <c r="B30" s="20" t="str">
        <f>+'County Data'!$B$26</f>
        <v>Josephine</v>
      </c>
      <c r="C30" s="15">
        <f>VLOOKUP($B30,'County Data'!$B$10:$P$46,2,FALSE)</f>
        <v>88728</v>
      </c>
      <c r="D30" s="47">
        <v>364715</v>
      </c>
      <c r="E30" s="47">
        <f>VLOOKUP($B30,'County Data'!$B$10:$P$46,11,FALSE)</f>
        <v>657998</v>
      </c>
      <c r="F30" s="38">
        <f t="shared" si="8"/>
        <v>0.80414296094210547</v>
      </c>
      <c r="G30" s="75">
        <f>IF(F30&lt;0,0,$C$4*Input!$C$26/36)</f>
        <v>13888.888888888889</v>
      </c>
      <c r="H30" s="31">
        <f t="shared" si="2"/>
        <v>71349.99663847113</v>
      </c>
      <c r="I30" s="38">
        <f t="shared" si="0"/>
        <v>1.7668355081346017E-2</v>
      </c>
      <c r="J30" s="75">
        <f t="shared" si="1"/>
        <v>11288.115746415515</v>
      </c>
      <c r="K30" s="77">
        <f t="shared" si="3"/>
        <v>25177.004635304402</v>
      </c>
      <c r="L30" s="46">
        <f t="shared" si="4"/>
        <v>0.2837548985134839</v>
      </c>
      <c r="N30" s="6"/>
    </row>
    <row r="31" spans="2:14" x14ac:dyDescent="0.25">
      <c r="B31" s="20" t="str">
        <f>+'County Data'!$B$11</f>
        <v>Benton</v>
      </c>
      <c r="C31" s="15">
        <f>VLOOKUP($B31,'County Data'!$B$10:$P$46,2,FALSE)</f>
        <v>93976</v>
      </c>
      <c r="D31" s="47">
        <v>2090815</v>
      </c>
      <c r="E31" s="47">
        <f>VLOOKUP($B31,'County Data'!$B$10:$P$46,11,FALSE)</f>
        <v>1791995</v>
      </c>
      <c r="F31" s="38">
        <f t="shared" si="8"/>
        <v>-0.14292034445897892</v>
      </c>
      <c r="G31" s="75">
        <f>IF(F31&lt;0,0,$C$4*Input!$C$26/36)</f>
        <v>0</v>
      </c>
      <c r="H31" s="31">
        <f t="shared" si="2"/>
        <v>0</v>
      </c>
      <c r="I31" s="38">
        <f t="shared" si="0"/>
        <v>0</v>
      </c>
      <c r="J31" s="75">
        <f t="shared" si="1"/>
        <v>0</v>
      </c>
      <c r="K31" s="77">
        <f t="shared" si="3"/>
        <v>0</v>
      </c>
      <c r="L31" s="46">
        <f t="shared" si="4"/>
        <v>0</v>
      </c>
      <c r="N31" s="152"/>
    </row>
    <row r="32" spans="2:14" x14ac:dyDescent="0.25">
      <c r="B32" s="20" t="str">
        <f>+'County Data'!$B$46</f>
        <v>Yamhill</v>
      </c>
      <c r="C32" s="15">
        <f>VLOOKUP($B32,'County Data'!$B$10:$P$46,2,FALSE)</f>
        <v>108261</v>
      </c>
      <c r="D32" s="47">
        <v>650791</v>
      </c>
      <c r="E32" s="47">
        <f>VLOOKUP($B32,'County Data'!$B$10:$P$46,11,FALSE)</f>
        <v>1553242</v>
      </c>
      <c r="F32" s="38">
        <f t="shared" si="8"/>
        <v>1.3866986482603478</v>
      </c>
      <c r="G32" s="75">
        <f>IF(F32&lt;0,0,$C$4*Input!$C$26/36)</f>
        <v>13888.888888888889</v>
      </c>
      <c r="H32" s="31">
        <f t="shared" si="2"/>
        <v>150125.38235931352</v>
      </c>
      <c r="I32" s="38">
        <f t="shared" si="0"/>
        <v>3.7175454621072947E-2</v>
      </c>
      <c r="J32" s="75">
        <f t="shared" si="1"/>
        <v>23750.984896796614</v>
      </c>
      <c r="K32" s="77">
        <f t="shared" si="3"/>
        <v>37639.8737856855</v>
      </c>
      <c r="L32" s="46">
        <f t="shared" si="4"/>
        <v>0.34767713013629564</v>
      </c>
      <c r="N32" s="6"/>
    </row>
    <row r="33" spans="2:14" x14ac:dyDescent="0.25">
      <c r="B33" s="20" t="str">
        <f>+'County Data'!$B$19</f>
        <v>Douglas</v>
      </c>
      <c r="C33" s="15">
        <f>VLOOKUP($B33,'County Data'!$B$10:$P$46,2,FALSE)</f>
        <v>111694</v>
      </c>
      <c r="D33" s="47">
        <v>671902</v>
      </c>
      <c r="E33" s="47">
        <f>VLOOKUP($B33,'County Data'!$B$10:$P$46,11,FALSE)</f>
        <v>444652</v>
      </c>
      <c r="F33" s="38">
        <f t="shared" si="8"/>
        <v>-0.33821896645641775</v>
      </c>
      <c r="G33" s="75">
        <f>IF(F33&lt;0,0,$C$4*Input!$C$26/36)</f>
        <v>0</v>
      </c>
      <c r="H33" s="31">
        <f t="shared" si="2"/>
        <v>0</v>
      </c>
      <c r="I33" s="38">
        <f t="shared" si="0"/>
        <v>0</v>
      </c>
      <c r="J33" s="75">
        <f t="shared" si="1"/>
        <v>0</v>
      </c>
      <c r="K33" s="77">
        <f t="shared" si="3"/>
        <v>0</v>
      </c>
      <c r="L33" s="46">
        <f t="shared" si="4"/>
        <v>0</v>
      </c>
      <c r="N33" s="152"/>
    </row>
    <row r="34" spans="2:14" x14ac:dyDescent="0.25">
      <c r="B34" s="20" t="str">
        <f>+'County Data'!$B$31</f>
        <v>Linn</v>
      </c>
      <c r="C34" s="15">
        <f>VLOOKUP($B34,'County Data'!$B$10:$P$46,2,FALSE)</f>
        <v>130440</v>
      </c>
      <c r="D34" s="47">
        <v>651346</v>
      </c>
      <c r="E34" s="47">
        <f>VLOOKUP($B34,'County Data'!$B$10:$P$46,11,FALSE)</f>
        <v>1327242</v>
      </c>
      <c r="F34" s="38">
        <f t="shared" si="8"/>
        <v>1.0376911810312799</v>
      </c>
      <c r="G34" s="75">
        <f>IF(F34&lt;0,0,$C$4*Input!$C$26/36)</f>
        <v>13888.888888888889</v>
      </c>
      <c r="H34" s="31">
        <f t="shared" si="2"/>
        <v>135356.43765372015</v>
      </c>
      <c r="I34" s="38">
        <f t="shared" si="0"/>
        <v>3.3518230072662927E-2</v>
      </c>
      <c r="J34" s="75">
        <f t="shared" si="1"/>
        <v>21414.424768645767</v>
      </c>
      <c r="K34" s="77">
        <f t="shared" si="3"/>
        <v>35303.313657534658</v>
      </c>
      <c r="L34" s="46">
        <f t="shared" si="4"/>
        <v>0.27064791212461409</v>
      </c>
      <c r="N34" s="6"/>
    </row>
    <row r="35" spans="2:14" x14ac:dyDescent="0.25">
      <c r="B35" s="20" t="str">
        <f>+'County Data'!$B$18</f>
        <v>Deschutes</v>
      </c>
      <c r="C35" s="15">
        <f>VLOOKUP($B35,'County Data'!$B$10:$P$46,2,FALSE)</f>
        <v>203390</v>
      </c>
      <c r="D35" s="47">
        <v>2968217</v>
      </c>
      <c r="E35" s="47">
        <f>VLOOKUP($B35,'County Data'!$B$10:$P$46,11,FALSE)</f>
        <v>3814900</v>
      </c>
      <c r="F35" s="38">
        <f t="shared" si="8"/>
        <v>0.28524969704034442</v>
      </c>
      <c r="G35" s="75">
        <f>IF(F35&lt;0,0,$C$4*Input!$C$26/36)</f>
        <v>13888.888888888889</v>
      </c>
      <c r="H35" s="31">
        <f t="shared" si="2"/>
        <v>58016.93588103565</v>
      </c>
      <c r="I35" s="38">
        <f t="shared" si="0"/>
        <v>1.4366697577741989E-2</v>
      </c>
      <c r="J35" s="75">
        <f t="shared" si="1"/>
        <v>9178.7234524462747</v>
      </c>
      <c r="K35" s="77">
        <f t="shared" si="3"/>
        <v>23067.612341335163</v>
      </c>
      <c r="L35" s="46">
        <f t="shared" si="4"/>
        <v>0.11341566616517608</v>
      </c>
      <c r="N35" s="6"/>
    </row>
    <row r="36" spans="2:14" x14ac:dyDescent="0.25">
      <c r="B36" s="20" t="str">
        <f>+'County Data'!$B$24</f>
        <v>Jackson</v>
      </c>
      <c r="C36" s="15">
        <f>VLOOKUP($B36,'County Data'!$B$10:$P$46,2,FALSE)</f>
        <v>223827</v>
      </c>
      <c r="D36" s="47">
        <v>670465</v>
      </c>
      <c r="E36" s="47">
        <f>VLOOKUP($B36,'County Data'!$B$10:$P$46,11,FALSE)</f>
        <v>2298330</v>
      </c>
      <c r="F36" s="38">
        <f t="shared" si="8"/>
        <v>2.4279641741179629</v>
      </c>
      <c r="G36" s="75">
        <f>IF(F36&lt;0,0,$C$4*Input!$C$26/36)</f>
        <v>13888.888888888889</v>
      </c>
      <c r="H36" s="31">
        <f t="shared" si="2"/>
        <v>543443.93720030133</v>
      </c>
      <c r="I36" s="38">
        <f t="shared" si="0"/>
        <v>0.13457268257364524</v>
      </c>
      <c r="J36" s="75">
        <f t="shared" si="1"/>
        <v>85976.991644273381</v>
      </c>
      <c r="K36" s="77">
        <f t="shared" si="3"/>
        <v>99865.880533162272</v>
      </c>
      <c r="L36" s="46">
        <f t="shared" si="4"/>
        <v>0.44617441386947182</v>
      </c>
      <c r="N36" s="6"/>
    </row>
    <row r="37" spans="2:14" x14ac:dyDescent="0.25">
      <c r="B37" s="20" t="str">
        <f>+'County Data'!$B$33</f>
        <v>Marion</v>
      </c>
      <c r="C37" s="15">
        <f>VLOOKUP($B37,'County Data'!$B$10:$P$46,2,FALSE)</f>
        <v>347182</v>
      </c>
      <c r="D37" s="47">
        <v>2152253</v>
      </c>
      <c r="E37" s="47">
        <f>VLOOKUP($B37,'County Data'!$B$10:$P$46,11,FALSE)</f>
        <v>4647307</v>
      </c>
      <c r="F37" s="38">
        <f t="shared" si="8"/>
        <v>1.1592754197578072</v>
      </c>
      <c r="G37" s="75">
        <f>IF(F37&lt;0,0,$C$4*Input!$C$26/36)</f>
        <v>13888.888888888889</v>
      </c>
      <c r="H37" s="31">
        <f t="shared" si="2"/>
        <v>402479.55878235504</v>
      </c>
      <c r="I37" s="38">
        <f t="shared" si="0"/>
        <v>9.966576163390975E-2</v>
      </c>
      <c r="J37" s="75">
        <f t="shared" si="1"/>
        <v>63675.347710553477</v>
      </c>
      <c r="K37" s="77">
        <f t="shared" si="3"/>
        <v>77564.23659944236</v>
      </c>
      <c r="L37" s="46">
        <f t="shared" si="4"/>
        <v>0.22341088132288645</v>
      </c>
      <c r="N37" s="6"/>
    </row>
    <row r="38" spans="2:14" x14ac:dyDescent="0.25">
      <c r="B38" s="20" t="str">
        <f>+'County Data'!$B$29</f>
        <v>Lane</v>
      </c>
      <c r="C38" s="15">
        <f>VLOOKUP($B38,'County Data'!$B$10:$P$46,2,FALSE)</f>
        <v>382647</v>
      </c>
      <c r="D38" s="47">
        <v>1716536</v>
      </c>
      <c r="E38" s="47">
        <f>VLOOKUP($B38,'County Data'!$B$10:$P$46,11,FALSE)</f>
        <v>4024080</v>
      </c>
      <c r="F38" s="38">
        <f t="shared" si="8"/>
        <v>1.3443027119734163</v>
      </c>
      <c r="G38" s="75">
        <f>IF(F38&lt;0,0,$C$4*Input!$C$26/36)</f>
        <v>13888.888888888889</v>
      </c>
      <c r="H38" s="31">
        <f t="shared" si="2"/>
        <v>514393.39982849185</v>
      </c>
      <c r="I38" s="38">
        <f t="shared" si="0"/>
        <v>0.12737891615779245</v>
      </c>
      <c r="J38" s="75">
        <f t="shared" si="1"/>
        <v>81380.974211922992</v>
      </c>
      <c r="K38" s="77">
        <f t="shared" si="3"/>
        <v>95269.863100811883</v>
      </c>
      <c r="L38" s="46">
        <f t="shared" si="4"/>
        <v>0.24897585268096151</v>
      </c>
      <c r="N38" s="6"/>
    </row>
    <row r="39" spans="2:14" x14ac:dyDescent="0.25">
      <c r="B39" s="20" t="str">
        <f>+'County Data'!$B$12</f>
        <v>Clackamas</v>
      </c>
      <c r="C39" s="15">
        <f>VLOOKUP($B39,'County Data'!$B$10:$P$46,2,FALSE)</f>
        <v>425316</v>
      </c>
      <c r="D39" s="47">
        <v>1965745</v>
      </c>
      <c r="E39" s="47">
        <f>VLOOKUP($B39,'County Data'!$B$10:$P$46,11,FALSE)</f>
        <v>5019520</v>
      </c>
      <c r="F39" s="38">
        <f t="shared" si="8"/>
        <v>1.5534949853617839</v>
      </c>
      <c r="G39" s="75">
        <f>IF(F39&lt;0,0,$C$4*Input!$C$26/36)</f>
        <v>13888.888888888889</v>
      </c>
      <c r="H39" s="31">
        <f t="shared" si="2"/>
        <v>660726.27319413249</v>
      </c>
      <c r="I39" s="38">
        <f t="shared" si="0"/>
        <v>0.16361523414668117</v>
      </c>
      <c r="J39" s="75">
        <f t="shared" si="1"/>
        <v>104531.95514926856</v>
      </c>
      <c r="K39" s="77">
        <f t="shared" si="3"/>
        <v>118420.84403815745</v>
      </c>
      <c r="L39" s="46">
        <f t="shared" si="4"/>
        <v>0.27843025900308815</v>
      </c>
      <c r="N39" s="6"/>
    </row>
    <row r="40" spans="2:14" x14ac:dyDescent="0.25">
      <c r="B40" s="20" t="str">
        <f>+'County Data'!$B$44</f>
        <v>Washington</v>
      </c>
      <c r="C40" s="15">
        <f>VLOOKUP($B40,'County Data'!$B$10:$P$46,2,FALSE)</f>
        <v>605036</v>
      </c>
      <c r="D40" s="47">
        <v>4800731</v>
      </c>
      <c r="E40" s="47">
        <f>VLOOKUP($B40,'County Data'!$B$10:$P$46,11,FALSE)</f>
        <v>8674852</v>
      </c>
      <c r="F40" s="38">
        <f t="shared" si="8"/>
        <v>0.806985644477893</v>
      </c>
      <c r="G40" s="75">
        <f>IF(F40&lt;0,0,$C$4*Input!$C$26/36)</f>
        <v>13888.888888888889</v>
      </c>
      <c r="H40" s="31">
        <f t="shared" si="2"/>
        <v>488255.36639232648</v>
      </c>
      <c r="I40" s="38">
        <f t="shared" si="0"/>
        <v>0.1209063712715148</v>
      </c>
      <c r="J40" s="75">
        <f t="shared" si="1"/>
        <v>77245.737201245589</v>
      </c>
      <c r="K40" s="77">
        <f t="shared" si="3"/>
        <v>91134.626090134479</v>
      </c>
      <c r="L40" s="46">
        <f t="shared" si="4"/>
        <v>0.15062678268753343</v>
      </c>
      <c r="N40" s="6"/>
    </row>
    <row r="41" spans="2:14" x14ac:dyDescent="0.25">
      <c r="B41" s="20" t="str">
        <f>+'County Data'!$B$35</f>
        <v>Multnomah</v>
      </c>
      <c r="C41" s="15">
        <f>VLOOKUP($B41,'County Data'!$B$10:$P$46,2,FALSE)</f>
        <v>820672</v>
      </c>
      <c r="D41" s="47">
        <v>43542723</v>
      </c>
      <c r="E41" s="47">
        <f>VLOOKUP($B41,'County Data'!$B$10:$P$46,11,FALSE)</f>
        <v>25329190</v>
      </c>
      <c r="F41" s="38">
        <f t="shared" si="8"/>
        <v>-0.41829108850174573</v>
      </c>
      <c r="G41" s="75">
        <f>IF(F41&lt;0,0,$C$4*Input!$C$26/36)</f>
        <v>0</v>
      </c>
      <c r="H41" s="31">
        <f t="shared" si="2"/>
        <v>0</v>
      </c>
      <c r="I41" s="38">
        <f t="shared" si="0"/>
        <v>0</v>
      </c>
      <c r="J41" s="75">
        <f t="shared" si="1"/>
        <v>0</v>
      </c>
      <c r="K41" s="77">
        <f t="shared" si="3"/>
        <v>0</v>
      </c>
      <c r="L41" s="46">
        <f t="shared" si="4"/>
        <v>0</v>
      </c>
      <c r="N41" s="152"/>
    </row>
    <row r="42" spans="2:14" x14ac:dyDescent="0.25">
      <c r="B42" s="4" t="s">
        <v>89</v>
      </c>
      <c r="C42" s="5">
        <f>SUM(C7:C41)</f>
        <v>4266560</v>
      </c>
      <c r="D42" s="74">
        <f>SUM(D7:D41)</f>
        <v>68747851</v>
      </c>
      <c r="E42" s="74">
        <f>SUM(E7:E41)</f>
        <v>70042552</v>
      </c>
      <c r="F42" s="21">
        <f t="shared" si="8"/>
        <v>1.8832603218390056E-2</v>
      </c>
      <c r="G42" s="74">
        <f>SUM(G7:G41)</f>
        <v>361111.11111111089</v>
      </c>
      <c r="H42" s="5">
        <f>SUM(H7:H41)</f>
        <v>4038293.1127415127</v>
      </c>
      <c r="I42" s="21">
        <f>SUM(I7:I41)</f>
        <v>1.0000000000000002</v>
      </c>
      <c r="J42" s="74">
        <f>SUM(J7:J41)</f>
        <v>638888.88888888934</v>
      </c>
      <c r="K42" s="74">
        <f t="shared" ref="K42" si="9">SUM(K7:K41)</f>
        <v>1000000.0000000002</v>
      </c>
      <c r="L42" s="73">
        <f>K42/C42</f>
        <v>0.2343808595214881</v>
      </c>
    </row>
  </sheetData>
  <sortState xmlns:xlrd2="http://schemas.microsoft.com/office/spreadsheetml/2017/richdata2" ref="B7:H41">
    <sortCondition ref="C7:C41"/>
  </sortState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Y43"/>
  <sheetViews>
    <sheetView topLeftCell="A7" workbookViewId="0">
      <selection activeCell="E22" sqref="E22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5.7109375" bestFit="1" customWidth="1"/>
    <col min="5" max="5" width="11.5703125" bestFit="1" customWidth="1"/>
    <col min="6" max="6" width="10.7109375" bestFit="1" customWidth="1"/>
    <col min="7" max="7" width="11.5703125" bestFit="1" customWidth="1"/>
    <col min="8" max="8" width="10" bestFit="1" customWidth="1"/>
    <col min="9" max="10" width="9.140625" hidden="1" customWidth="1"/>
    <col min="11" max="12" width="10.7109375" hidden="1" customWidth="1"/>
    <col min="13" max="15" width="9.140625" hidden="1" customWidth="1"/>
    <col min="16" max="17" width="10.7109375" hidden="1" customWidth="1"/>
    <col min="18" max="20" width="9.140625" hidden="1" customWidth="1"/>
    <col min="21" max="22" width="10.7109375" hidden="1" customWidth="1"/>
    <col min="23" max="23" width="9.140625" hidden="1" customWidth="1"/>
    <col min="24" max="24" width="11.140625" bestFit="1" customWidth="1"/>
    <col min="25" max="25" width="10.5703125" bestFit="1" customWidth="1"/>
  </cols>
  <sheetData>
    <row r="2" spans="2:25" x14ac:dyDescent="0.25">
      <c r="B2" t="s">
        <v>125</v>
      </c>
      <c r="C2" s="1">
        <f>'County Data'!C5</f>
        <v>20000000</v>
      </c>
    </row>
    <row r="3" spans="2:25" x14ac:dyDescent="0.25">
      <c r="B3" t="s">
        <v>126</v>
      </c>
      <c r="C3" s="14">
        <f>$C$2*Input!$C$28</f>
        <v>200000</v>
      </c>
    </row>
    <row r="4" spans="2:25" x14ac:dyDescent="0.25">
      <c r="D4" s="22"/>
      <c r="E4" s="72">
        <f>Input!$D$31</f>
        <v>1</v>
      </c>
      <c r="J4" s="72">
        <f>Input!$D$32</f>
        <v>0</v>
      </c>
      <c r="O4" s="72">
        <f>Input!$D$33</f>
        <v>0</v>
      </c>
      <c r="T4" s="72">
        <f>Input!$D$34</f>
        <v>0</v>
      </c>
    </row>
    <row r="5" spans="2:25" x14ac:dyDescent="0.25">
      <c r="D5" s="225" t="s">
        <v>116</v>
      </c>
      <c r="E5" s="225"/>
      <c r="F5" s="225"/>
      <c r="G5" s="225"/>
      <c r="H5" s="225"/>
      <c r="I5" s="226" t="s">
        <v>117</v>
      </c>
      <c r="J5" s="226"/>
      <c r="K5" s="226"/>
      <c r="L5" s="226"/>
      <c r="M5" s="226"/>
      <c r="N5" s="225" t="s">
        <v>118</v>
      </c>
      <c r="O5" s="225"/>
      <c r="P5" s="225"/>
      <c r="Q5" s="225"/>
      <c r="R5" s="225"/>
      <c r="S5" s="226" t="s">
        <v>119</v>
      </c>
      <c r="T5" s="226"/>
      <c r="U5" s="226"/>
      <c r="V5" s="226"/>
      <c r="W5" s="226"/>
    </row>
    <row r="6" spans="2:25" s="2" customFormat="1" ht="30" x14ac:dyDescent="0.25">
      <c r="B6" s="3" t="s">
        <v>36</v>
      </c>
      <c r="C6" s="3" t="s">
        <v>107</v>
      </c>
      <c r="D6" s="3" t="s">
        <v>151</v>
      </c>
      <c r="E6" s="3" t="s">
        <v>152</v>
      </c>
      <c r="F6" s="3" t="s">
        <v>153</v>
      </c>
      <c r="G6" s="3" t="s">
        <v>148</v>
      </c>
      <c r="H6" s="3" t="s">
        <v>149</v>
      </c>
      <c r="I6" s="3" t="s">
        <v>151</v>
      </c>
      <c r="J6" s="3" t="s">
        <v>152</v>
      </c>
      <c r="K6" s="3" t="s">
        <v>153</v>
      </c>
      <c r="L6" s="3" t="s">
        <v>148</v>
      </c>
      <c r="M6" s="3" t="s">
        <v>149</v>
      </c>
      <c r="N6" s="3" t="s">
        <v>151</v>
      </c>
      <c r="O6" s="3" t="s">
        <v>152</v>
      </c>
      <c r="P6" s="3" t="s">
        <v>153</v>
      </c>
      <c r="Q6" s="3" t="s">
        <v>148</v>
      </c>
      <c r="R6" s="3" t="s">
        <v>149</v>
      </c>
      <c r="S6" s="3" t="s">
        <v>151</v>
      </c>
      <c r="T6" s="3" t="s">
        <v>152</v>
      </c>
      <c r="U6" s="3" t="s">
        <v>153</v>
      </c>
      <c r="V6" s="3" t="s">
        <v>148</v>
      </c>
      <c r="W6" s="3" t="s">
        <v>149</v>
      </c>
      <c r="X6" s="13" t="s">
        <v>154</v>
      </c>
      <c r="Y6" s="3" t="s">
        <v>150</v>
      </c>
    </row>
    <row r="7" spans="2:25" x14ac:dyDescent="0.25">
      <c r="B7" s="20" t="str">
        <f>'County Data'!$B$45</f>
        <v>Wheeler</v>
      </c>
      <c r="C7" s="15">
        <f>VLOOKUP($B7,'County Data'!$B$10:$P$46,2,FALSE)</f>
        <v>1456</v>
      </c>
      <c r="D7" s="26" t="str">
        <f>VLOOKUP($B7,'County Data'!$B$9:$P$46,12,FALSE)</f>
        <v>Y</v>
      </c>
      <c r="E7" s="75">
        <f>IF(D7="Y",$C$3*Input!$C$29/36*E$4,0)</f>
        <v>1333.3333333333333</v>
      </c>
      <c r="F7" s="15">
        <f>IF(D7="Y",$C7,0)</f>
        <v>1456</v>
      </c>
      <c r="G7" s="75">
        <f>ROUND(($C$3*E$4-E$42)*(F7/F$42),2)</f>
        <v>51.88</v>
      </c>
      <c r="H7" s="76">
        <f>E7+G7</f>
        <v>1385.2133333333334</v>
      </c>
      <c r="I7" s="26">
        <f>VLOOKUP($B7,'County Data'!$B$9:$P$46,13,FALSE)</f>
        <v>0</v>
      </c>
      <c r="J7" s="47">
        <f>IF(I7="Y",$C$3*Input!$C$29/36*J$4,0)</f>
        <v>0</v>
      </c>
      <c r="K7" s="15">
        <f>IF(I7="Y",$C7,0)</f>
        <v>0</v>
      </c>
      <c r="L7" s="75">
        <f t="shared" ref="L7:L41" si="0">ROUND(($C$3*J$4-J$42)*(K7/K$42),2)</f>
        <v>0</v>
      </c>
      <c r="M7" s="76">
        <f>J7+L7</f>
        <v>0</v>
      </c>
      <c r="N7" s="26">
        <f>VLOOKUP($B7,'County Data'!$B$9:$P$46,14,FALSE)</f>
        <v>0</v>
      </c>
      <c r="O7" s="47">
        <f>IF(N7="Y",$C$3*Input!$C$29/36*O$4,0)</f>
        <v>0</v>
      </c>
      <c r="P7" s="15">
        <f>IF(N7="Y",$C7,0)</f>
        <v>0</v>
      </c>
      <c r="Q7" s="75">
        <f t="shared" ref="Q7:Q41" si="1">ROUND(($C$3*O$4-O$42)*(P7/P$42),2)</f>
        <v>0</v>
      </c>
      <c r="R7" s="76">
        <f>O7+Q7</f>
        <v>0</v>
      </c>
      <c r="S7" s="26">
        <f>VLOOKUP($B7,'County Data'!$B$9:$P$46,15,FALSE)</f>
        <v>0</v>
      </c>
      <c r="T7" s="47">
        <f>IF(S7="Y",$C$3*Input!$C$29/36*T$4,0)</f>
        <v>0</v>
      </c>
      <c r="U7" s="15">
        <f>IF(S7="Y",$C7,0)</f>
        <v>0</v>
      </c>
      <c r="V7" s="75">
        <f t="shared" ref="V7:V41" si="2">ROUND(($C$3*T$4-T$42)*(U7/U$42),2)</f>
        <v>0</v>
      </c>
      <c r="W7" s="76">
        <f>T7+V7</f>
        <v>0</v>
      </c>
      <c r="X7" s="77">
        <f>H7+M7+R7+W7</f>
        <v>1385.2133333333334</v>
      </c>
      <c r="Y7" s="46">
        <f>X7/C7</f>
        <v>0.95138278388278386</v>
      </c>
    </row>
    <row r="8" spans="2:25" x14ac:dyDescent="0.25">
      <c r="B8" s="20" t="str">
        <f>+'County Data'!$B$42</f>
        <v>Wallowa</v>
      </c>
      <c r="C8" s="15">
        <f>VLOOKUP($B8,'County Data'!$B$10:$P$46,2,FALSE)</f>
        <v>7433</v>
      </c>
      <c r="D8" s="26" t="str">
        <f>VLOOKUP($B8,'County Data'!$B$9:$P$46,12,FALSE)</f>
        <v>Y</v>
      </c>
      <c r="E8" s="75">
        <f>IF(D8="Y",$C$3*Input!$C$29/36*E$4,0)</f>
        <v>1333.3333333333333</v>
      </c>
      <c r="F8" s="15">
        <f t="shared" ref="F8:F41" si="3">IF(D8="Y",$C8,0)</f>
        <v>7433</v>
      </c>
      <c r="G8" s="75">
        <f>ROUND(($C$3*E$4-E$42)*(F8/F$42),2)</f>
        <v>264.83999999999997</v>
      </c>
      <c r="H8" s="76">
        <f t="shared" ref="H8:H41" si="4">E8+G8</f>
        <v>1598.1733333333332</v>
      </c>
      <c r="I8" s="26">
        <f>VLOOKUP($B8,'County Data'!$B$9:$P$46,13,FALSE)</f>
        <v>0</v>
      </c>
      <c r="J8" s="47">
        <f>IF(I8="Y",$C$3*Input!$C$29/36*J$4,0)</f>
        <v>0</v>
      </c>
      <c r="K8" s="15">
        <f t="shared" ref="K8:K41" si="5">IF(I8="Y",$C8,0)</f>
        <v>0</v>
      </c>
      <c r="L8" s="75">
        <f t="shared" si="0"/>
        <v>0</v>
      </c>
      <c r="M8" s="76">
        <f t="shared" ref="M8:M41" si="6">J8+L8</f>
        <v>0</v>
      </c>
      <c r="N8" s="26">
        <f>VLOOKUP($B8,'County Data'!$B$9:$P$46,14,FALSE)</f>
        <v>0</v>
      </c>
      <c r="O8" s="47">
        <f>IF(N8="Y",$C$3*Input!$C$29/36*O$4,0)</f>
        <v>0</v>
      </c>
      <c r="P8" s="15">
        <f t="shared" ref="P8:P41" si="7">IF(N8="Y",$C8,0)</f>
        <v>0</v>
      </c>
      <c r="Q8" s="75">
        <f t="shared" si="1"/>
        <v>0</v>
      </c>
      <c r="R8" s="76">
        <f t="shared" ref="R8:R41" si="8">O8+Q8</f>
        <v>0</v>
      </c>
      <c r="S8" s="26">
        <f>VLOOKUP($B8,'County Data'!$B$9:$P$46,15,FALSE)</f>
        <v>0</v>
      </c>
      <c r="T8" s="47">
        <f>IF(S8="Y",$C$3*Input!$C$29/36*T$4,0)</f>
        <v>0</v>
      </c>
      <c r="U8" s="15">
        <f t="shared" ref="U8:U41" si="9">IF(S8="Y",$C8,0)</f>
        <v>0</v>
      </c>
      <c r="V8" s="75">
        <f t="shared" si="2"/>
        <v>0</v>
      </c>
      <c r="W8" s="76">
        <f t="shared" ref="W8:W41" si="10">T8+V8</f>
        <v>0</v>
      </c>
      <c r="X8" s="77">
        <f t="shared" ref="X8:X41" si="11">H8+M8+R8+W8</f>
        <v>1598.1733333333332</v>
      </c>
      <c r="Y8" s="46">
        <f t="shared" ref="Y8:Y42" si="12">X8/C8</f>
        <v>0.21501053858917438</v>
      </c>
    </row>
    <row r="9" spans="2:25" x14ac:dyDescent="0.25">
      <c r="B9" s="20" t="str">
        <f>'County Data'!B20</f>
        <v>Gilliam</v>
      </c>
      <c r="C9" s="15">
        <f>VLOOKUP($B9,'County Data'!$B$10:$P$46,2,FALSE)</f>
        <v>2039</v>
      </c>
      <c r="D9" s="26" t="s">
        <v>122</v>
      </c>
      <c r="E9" s="75">
        <v>1333</v>
      </c>
      <c r="F9" s="15">
        <v>1456</v>
      </c>
      <c r="G9" s="75">
        <v>51.44</v>
      </c>
      <c r="H9" s="76">
        <f t="shared" ref="H9" si="13">E9+G9</f>
        <v>1384.44</v>
      </c>
      <c r="I9" s="26">
        <f>VLOOKUP($B9,'County Data'!$B$9:$P$46,13,FALSE)</f>
        <v>0</v>
      </c>
      <c r="J9" s="47">
        <f>IF(I9="Y",$C$3*Input!$C$29/36*J$4,0)</f>
        <v>0</v>
      </c>
      <c r="K9" s="15">
        <f t="shared" ref="K9" si="14">IF(I9="Y",$C9,0)</f>
        <v>0</v>
      </c>
      <c r="L9" s="75">
        <f t="shared" si="0"/>
        <v>0</v>
      </c>
      <c r="M9" s="76">
        <f t="shared" ref="M9" si="15">J9+L9</f>
        <v>0</v>
      </c>
      <c r="N9" s="26">
        <f>VLOOKUP($B9,'County Data'!$B$9:$P$46,14,FALSE)</f>
        <v>0</v>
      </c>
      <c r="O9" s="47">
        <f>IF(N9="Y",$C$3*Input!$C$29/36*O$4,0)</f>
        <v>0</v>
      </c>
      <c r="P9" s="15">
        <f t="shared" ref="P9" si="16">IF(N9="Y",$C9,0)</f>
        <v>0</v>
      </c>
      <c r="Q9" s="75">
        <f t="shared" si="1"/>
        <v>0</v>
      </c>
      <c r="R9" s="76">
        <f t="shared" ref="R9" si="17">O9+Q9</f>
        <v>0</v>
      </c>
      <c r="S9" s="26">
        <f>VLOOKUP($B9,'County Data'!$B$9:$P$46,15,FALSE)</f>
        <v>0</v>
      </c>
      <c r="T9" s="47">
        <f>IF(S9="Y",$C$3*Input!$C$29/36*T$4,0)</f>
        <v>0</v>
      </c>
      <c r="U9" s="15">
        <f t="shared" ref="U9" si="18">IF(S9="Y",$C9,0)</f>
        <v>0</v>
      </c>
      <c r="V9" s="75">
        <f t="shared" si="2"/>
        <v>0</v>
      </c>
      <c r="W9" s="76">
        <f t="shared" ref="W9" si="19">T9+V9</f>
        <v>0</v>
      </c>
      <c r="X9" s="77">
        <f t="shared" ref="X9" si="20">H9+M9+R9+W9</f>
        <v>1384.44</v>
      </c>
      <c r="Y9" s="46">
        <f t="shared" ref="Y9" si="21">X9/C9</f>
        <v>0.67897989210397258</v>
      </c>
    </row>
    <row r="10" spans="2:25" x14ac:dyDescent="0.25">
      <c r="B10" s="20" t="str">
        <f>+'County Data'!$B$22</f>
        <v>Harney</v>
      </c>
      <c r="C10" s="15">
        <f>VLOOKUP($B10,'County Data'!$B$10:$P$46,2,FALSE)</f>
        <v>7537</v>
      </c>
      <c r="D10" s="26" t="str">
        <f>VLOOKUP($B10,'County Data'!$B$9:$P$46,12,FALSE)</f>
        <v>Y</v>
      </c>
      <c r="E10" s="75">
        <f>IF(D10="Y",$C$3*Input!$C$29/36*E$4,0)</f>
        <v>1333.3333333333333</v>
      </c>
      <c r="F10" s="15">
        <f t="shared" si="3"/>
        <v>7537</v>
      </c>
      <c r="G10" s="75">
        <f t="shared" ref="G10:G41" si="22">ROUND(($C$3*E$4-E$42)*(F10/F$42),2)</f>
        <v>268.55</v>
      </c>
      <c r="H10" s="76">
        <f t="shared" si="4"/>
        <v>1601.8833333333332</v>
      </c>
      <c r="I10" s="26">
        <f>VLOOKUP($B10,'County Data'!$B$9:$P$46,13,FALSE)</f>
        <v>0</v>
      </c>
      <c r="J10" s="47">
        <f>IF(I10="Y",$C$3*Input!$C$29/36*J$4,0)</f>
        <v>0</v>
      </c>
      <c r="K10" s="15">
        <f t="shared" si="5"/>
        <v>0</v>
      </c>
      <c r="L10" s="75">
        <f t="shared" si="0"/>
        <v>0</v>
      </c>
      <c r="M10" s="76">
        <f t="shared" si="6"/>
        <v>0</v>
      </c>
      <c r="N10" s="26">
        <f>VLOOKUP($B10,'County Data'!$B$9:$P$46,14,FALSE)</f>
        <v>0</v>
      </c>
      <c r="O10" s="47">
        <f>IF(N10="Y",$C$3*Input!$C$29/36*O$4,0)</f>
        <v>0</v>
      </c>
      <c r="P10" s="15">
        <f t="shared" si="7"/>
        <v>0</v>
      </c>
      <c r="Q10" s="75">
        <f t="shared" si="1"/>
        <v>0</v>
      </c>
      <c r="R10" s="76">
        <f t="shared" si="8"/>
        <v>0</v>
      </c>
      <c r="S10" s="26">
        <f>VLOOKUP($B10,'County Data'!$B$9:$P$46,15,FALSE)</f>
        <v>0</v>
      </c>
      <c r="T10" s="47">
        <f>IF(S10="Y",$C$3*Input!$C$29/36*T$4,0)</f>
        <v>0</v>
      </c>
      <c r="U10" s="15">
        <f t="shared" si="9"/>
        <v>0</v>
      </c>
      <c r="V10" s="75">
        <f t="shared" si="2"/>
        <v>0</v>
      </c>
      <c r="W10" s="76">
        <f t="shared" si="10"/>
        <v>0</v>
      </c>
      <c r="X10" s="77">
        <f t="shared" si="11"/>
        <v>1601.8833333333332</v>
      </c>
      <c r="Y10" s="46">
        <f t="shared" si="12"/>
        <v>0.21253593383751271</v>
      </c>
    </row>
    <row r="11" spans="2:25" x14ac:dyDescent="0.25">
      <c r="B11" s="20" t="str">
        <f>+'County Data'!$B$21</f>
        <v>Grant</v>
      </c>
      <c r="C11" s="15">
        <f>VLOOKUP($B11,'County Data'!$B$10:$P$46,2,FALSE)</f>
        <v>7226</v>
      </c>
      <c r="D11" s="26" t="str">
        <f>VLOOKUP($B11,'County Data'!$B$9:$P$46,12,FALSE)</f>
        <v>Y</v>
      </c>
      <c r="E11" s="75">
        <f>IF(D11="Y",$C$3*Input!$C$29/36*E$4,0)</f>
        <v>1333.3333333333333</v>
      </c>
      <c r="F11" s="15">
        <f t="shared" si="3"/>
        <v>7226</v>
      </c>
      <c r="G11" s="75">
        <f t="shared" si="22"/>
        <v>257.47000000000003</v>
      </c>
      <c r="H11" s="76">
        <f t="shared" si="4"/>
        <v>1590.8033333333333</v>
      </c>
      <c r="I11" s="26">
        <f>VLOOKUP($B11,'County Data'!$B$9:$P$46,13,FALSE)</f>
        <v>0</v>
      </c>
      <c r="J11" s="47">
        <f>IF(I11="Y",$C$3*Input!$C$29/36*J$4,0)</f>
        <v>0</v>
      </c>
      <c r="K11" s="15">
        <f t="shared" si="5"/>
        <v>0</v>
      </c>
      <c r="L11" s="75">
        <f t="shared" si="0"/>
        <v>0</v>
      </c>
      <c r="M11" s="76">
        <f t="shared" si="6"/>
        <v>0</v>
      </c>
      <c r="N11" s="26">
        <f>VLOOKUP($B11,'County Data'!$B$9:$P$46,14,FALSE)</f>
        <v>0</v>
      </c>
      <c r="O11" s="47">
        <f>IF(N11="Y",$C$3*Input!$C$29/36*O$4,0)</f>
        <v>0</v>
      </c>
      <c r="P11" s="15">
        <f t="shared" si="7"/>
        <v>0</v>
      </c>
      <c r="Q11" s="75">
        <f t="shared" si="1"/>
        <v>0</v>
      </c>
      <c r="R11" s="76">
        <f t="shared" si="8"/>
        <v>0</v>
      </c>
      <c r="S11" s="26">
        <f>VLOOKUP($B11,'County Data'!$B$9:$P$46,15,FALSE)</f>
        <v>0</v>
      </c>
      <c r="T11" s="47">
        <f>IF(S11="Y",$C$3*Input!$C$29/36*T$4,0)</f>
        <v>0</v>
      </c>
      <c r="U11" s="15">
        <f t="shared" si="9"/>
        <v>0</v>
      </c>
      <c r="V11" s="75">
        <f t="shared" si="2"/>
        <v>0</v>
      </c>
      <c r="W11" s="76">
        <f t="shared" si="10"/>
        <v>0</v>
      </c>
      <c r="X11" s="77">
        <f t="shared" si="11"/>
        <v>1590.8033333333333</v>
      </c>
      <c r="Y11" s="46">
        <f t="shared" si="12"/>
        <v>0.22014992157948149</v>
      </c>
    </row>
    <row r="12" spans="2:25" x14ac:dyDescent="0.25">
      <c r="B12" s="20" t="str">
        <f>+'County Data'!$B$28</f>
        <v>Lake</v>
      </c>
      <c r="C12" s="15">
        <f>VLOOKUP($B12,'County Data'!$B$10:$P$46,2,FALSE)</f>
        <v>8177</v>
      </c>
      <c r="D12" s="26" t="str">
        <f>VLOOKUP($B12,'County Data'!$B$9:$P$46,12,FALSE)</f>
        <v>Y</v>
      </c>
      <c r="E12" s="75">
        <f>IF(D12="Y",$C$3*Input!$C$29/36*E$4,0)</f>
        <v>1333.3333333333333</v>
      </c>
      <c r="F12" s="15">
        <f t="shared" si="3"/>
        <v>8177</v>
      </c>
      <c r="G12" s="75">
        <f t="shared" si="22"/>
        <v>291.35000000000002</v>
      </c>
      <c r="H12" s="76">
        <f t="shared" si="4"/>
        <v>1624.6833333333334</v>
      </c>
      <c r="I12" s="26">
        <f>VLOOKUP($B12,'County Data'!$B$9:$P$46,13,FALSE)</f>
        <v>0</v>
      </c>
      <c r="J12" s="47">
        <f>IF(I12="Y",$C$3*Input!$C$29/36*J$4,0)</f>
        <v>0</v>
      </c>
      <c r="K12" s="15">
        <f t="shared" si="5"/>
        <v>0</v>
      </c>
      <c r="L12" s="75">
        <f t="shared" si="0"/>
        <v>0</v>
      </c>
      <c r="M12" s="76">
        <f t="shared" si="6"/>
        <v>0</v>
      </c>
      <c r="N12" s="26">
        <f>VLOOKUP($B12,'County Data'!$B$9:$P$46,14,FALSE)</f>
        <v>0</v>
      </c>
      <c r="O12" s="47">
        <f>IF(N12="Y",$C$3*Input!$C$29/36*O$4,0)</f>
        <v>0</v>
      </c>
      <c r="P12" s="15">
        <f t="shared" si="7"/>
        <v>0</v>
      </c>
      <c r="Q12" s="75">
        <f t="shared" si="1"/>
        <v>0</v>
      </c>
      <c r="R12" s="76">
        <f t="shared" si="8"/>
        <v>0</v>
      </c>
      <c r="S12" s="26">
        <f>VLOOKUP($B12,'County Data'!$B$9:$P$46,15,FALSE)</f>
        <v>0</v>
      </c>
      <c r="T12" s="47">
        <f>IF(S12="Y",$C$3*Input!$C$29/36*T$4,0)</f>
        <v>0</v>
      </c>
      <c r="U12" s="15">
        <f t="shared" si="9"/>
        <v>0</v>
      </c>
      <c r="V12" s="75">
        <f t="shared" si="2"/>
        <v>0</v>
      </c>
      <c r="W12" s="76">
        <f t="shared" si="10"/>
        <v>0</v>
      </c>
      <c r="X12" s="77">
        <f t="shared" si="11"/>
        <v>1624.6833333333334</v>
      </c>
      <c r="Y12" s="46">
        <f t="shared" si="12"/>
        <v>0.19868941339529575</v>
      </c>
    </row>
    <row r="13" spans="2:25" x14ac:dyDescent="0.25">
      <c r="B13" s="20" t="str">
        <f>+'County Data'!$B$34</f>
        <v>Morrow</v>
      </c>
      <c r="C13" s="15">
        <f>VLOOKUP($B13,'County Data'!$B$10:$P$46,2,FALSE)</f>
        <v>12635</v>
      </c>
      <c r="D13" s="26" t="s">
        <v>155</v>
      </c>
      <c r="E13" s="75">
        <f>IF(D13="Y",$C$3*Input!$C$29/36*E$4,0)</f>
        <v>1333.3333333333333</v>
      </c>
      <c r="F13" s="15">
        <f t="shared" si="3"/>
        <v>12635</v>
      </c>
      <c r="G13" s="75">
        <f t="shared" si="22"/>
        <v>450.2</v>
      </c>
      <c r="H13" s="76">
        <f t="shared" si="4"/>
        <v>1783.5333333333333</v>
      </c>
      <c r="I13" s="26">
        <f>VLOOKUP($B13,'County Data'!$B$9:$P$46,13,FALSE)</f>
        <v>0</v>
      </c>
      <c r="J13" s="47">
        <f>IF(I13="Y",$C$3*Input!$C$29/36*J$4,0)</f>
        <v>0</v>
      </c>
      <c r="K13" s="15">
        <f t="shared" si="5"/>
        <v>0</v>
      </c>
      <c r="L13" s="75">
        <f t="shared" si="0"/>
        <v>0</v>
      </c>
      <c r="M13" s="76">
        <f t="shared" si="6"/>
        <v>0</v>
      </c>
      <c r="N13" s="26">
        <f>VLOOKUP($B13,'County Data'!$B$9:$P$46,14,FALSE)</f>
        <v>0</v>
      </c>
      <c r="O13" s="47">
        <f>IF(N13="Y",$C$3*Input!$C$29/36*O$4,0)</f>
        <v>0</v>
      </c>
      <c r="P13" s="15">
        <f t="shared" si="7"/>
        <v>0</v>
      </c>
      <c r="Q13" s="75">
        <f t="shared" si="1"/>
        <v>0</v>
      </c>
      <c r="R13" s="76">
        <f t="shared" si="8"/>
        <v>0</v>
      </c>
      <c r="S13" s="26">
        <f>VLOOKUP($B13,'County Data'!$B$9:$P$46,15,FALSE)</f>
        <v>0</v>
      </c>
      <c r="T13" s="47">
        <f>IF(S13="Y",$C$3*Input!$C$29/36*T$4,0)</f>
        <v>0</v>
      </c>
      <c r="U13" s="15">
        <f t="shared" si="9"/>
        <v>0</v>
      </c>
      <c r="V13" s="75">
        <f t="shared" si="2"/>
        <v>0</v>
      </c>
      <c r="W13" s="76">
        <f t="shared" si="10"/>
        <v>0</v>
      </c>
      <c r="X13" s="77">
        <f t="shared" si="11"/>
        <v>1783.5333333333333</v>
      </c>
      <c r="Y13" s="46">
        <f t="shared" si="12"/>
        <v>0.14115815855428043</v>
      </c>
    </row>
    <row r="14" spans="2:25" x14ac:dyDescent="0.25">
      <c r="B14" s="20" t="str">
        <f>+'County Data'!$B$10</f>
        <v>Baker</v>
      </c>
      <c r="C14" s="15">
        <f>VLOOKUP($B14,'County Data'!$B$10:$P$46,2,FALSE)</f>
        <v>16860</v>
      </c>
      <c r="D14" s="26" t="str">
        <f>VLOOKUP($B14,'County Data'!$B$9:$P$46,12,FALSE)</f>
        <v>Y</v>
      </c>
      <c r="E14" s="75">
        <f>IF(D14="Y",$C$3*Input!$C$29/36*E$4,0)</f>
        <v>1333.3333333333333</v>
      </c>
      <c r="F14" s="15">
        <f t="shared" si="3"/>
        <v>16860</v>
      </c>
      <c r="G14" s="75">
        <f t="shared" si="22"/>
        <v>600.74</v>
      </c>
      <c r="H14" s="76">
        <f t="shared" si="4"/>
        <v>1934.0733333333333</v>
      </c>
      <c r="I14" s="26">
        <f>VLOOKUP($B14,'County Data'!$B$9:$P$46,13,FALSE)</f>
        <v>0</v>
      </c>
      <c r="J14" s="47">
        <f>IF(I14="Y",$C$3*Input!$C$29/36*J$4,0)</f>
        <v>0</v>
      </c>
      <c r="K14" s="15">
        <f t="shared" si="5"/>
        <v>0</v>
      </c>
      <c r="L14" s="75">
        <f t="shared" si="0"/>
        <v>0</v>
      </c>
      <c r="M14" s="76">
        <f t="shared" si="6"/>
        <v>0</v>
      </c>
      <c r="N14" s="26">
        <f>VLOOKUP($B14,'County Data'!$B$9:$P$46,14,FALSE)</f>
        <v>0</v>
      </c>
      <c r="O14" s="47">
        <f>IF(N14="Y",$C$3*Input!$C$29/36*O$4,0)</f>
        <v>0</v>
      </c>
      <c r="P14" s="15">
        <f t="shared" si="7"/>
        <v>0</v>
      </c>
      <c r="Q14" s="75">
        <f t="shared" si="1"/>
        <v>0</v>
      </c>
      <c r="R14" s="76">
        <f t="shared" si="8"/>
        <v>0</v>
      </c>
      <c r="S14" s="26">
        <f>VLOOKUP($B14,'County Data'!$B$9:$P$46,15,FALSE)</f>
        <v>0</v>
      </c>
      <c r="T14" s="47">
        <f>IF(S14="Y",$C$3*Input!$C$29/36*T$4,0)</f>
        <v>0</v>
      </c>
      <c r="U14" s="15">
        <f t="shared" si="9"/>
        <v>0</v>
      </c>
      <c r="V14" s="75">
        <f t="shared" si="2"/>
        <v>0</v>
      </c>
      <c r="W14" s="76">
        <f t="shared" si="10"/>
        <v>0</v>
      </c>
      <c r="X14" s="77">
        <f t="shared" si="11"/>
        <v>1934.0733333333333</v>
      </c>
      <c r="Y14" s="46">
        <f t="shared" si="12"/>
        <v>0.114713720838276</v>
      </c>
    </row>
    <row r="15" spans="2:25" x14ac:dyDescent="0.25">
      <c r="B15" s="20" t="str">
        <f>+'County Data'!$B$16</f>
        <v>Crook</v>
      </c>
      <c r="C15" s="15">
        <f>VLOOKUP($B15,'County Data'!$B$10:$P$46,2,FALSE)</f>
        <v>25482</v>
      </c>
      <c r="D15" s="26" t="str">
        <f>VLOOKUP($B15,'County Data'!$B$9:$P$46,12,FALSE)</f>
        <v>Y</v>
      </c>
      <c r="E15" s="75">
        <f>IF(D15="Y",$C$3*Input!$C$29/36*E$4,0)</f>
        <v>1333.3333333333333</v>
      </c>
      <c r="F15" s="15">
        <f t="shared" si="3"/>
        <v>25482</v>
      </c>
      <c r="G15" s="75">
        <f t="shared" si="22"/>
        <v>907.95</v>
      </c>
      <c r="H15" s="76">
        <f t="shared" si="4"/>
        <v>2241.2833333333333</v>
      </c>
      <c r="I15" s="26">
        <f>VLOOKUP($B15,'County Data'!$B$9:$P$46,13,FALSE)</f>
        <v>0</v>
      </c>
      <c r="J15" s="47">
        <f>IF(I15="Y",$C$3*Input!$C$29/36*J$4,0)</f>
        <v>0</v>
      </c>
      <c r="K15" s="15">
        <f t="shared" si="5"/>
        <v>0</v>
      </c>
      <c r="L15" s="75">
        <f t="shared" si="0"/>
        <v>0</v>
      </c>
      <c r="M15" s="76">
        <f t="shared" si="6"/>
        <v>0</v>
      </c>
      <c r="N15" s="26">
        <f>VLOOKUP($B15,'County Data'!$B$9:$P$46,14,FALSE)</f>
        <v>0</v>
      </c>
      <c r="O15" s="47">
        <f>IF(N15="Y",$C$3*Input!$C$29/36*O$4,0)</f>
        <v>0</v>
      </c>
      <c r="P15" s="15">
        <f t="shared" si="7"/>
        <v>0</v>
      </c>
      <c r="Q15" s="75">
        <f t="shared" si="1"/>
        <v>0</v>
      </c>
      <c r="R15" s="76">
        <f t="shared" si="8"/>
        <v>0</v>
      </c>
      <c r="S15" s="26">
        <f>VLOOKUP($B15,'County Data'!$B$9:$P$46,15,FALSE)</f>
        <v>0</v>
      </c>
      <c r="T15" s="47">
        <f>IF(S15="Y",$C$3*Input!$C$29/36*T$4,0)</f>
        <v>0</v>
      </c>
      <c r="U15" s="15">
        <f t="shared" si="9"/>
        <v>0</v>
      </c>
      <c r="V15" s="75">
        <f t="shared" si="2"/>
        <v>0</v>
      </c>
      <c r="W15" s="76">
        <f t="shared" si="10"/>
        <v>0</v>
      </c>
      <c r="X15" s="77">
        <f t="shared" si="11"/>
        <v>2241.2833333333333</v>
      </c>
      <c r="Y15" s="46">
        <f t="shared" si="12"/>
        <v>8.7955550323103884E-2</v>
      </c>
    </row>
    <row r="16" spans="2:25" x14ac:dyDescent="0.25">
      <c r="B16" s="20" t="str">
        <f>+'County Data'!$B$25</f>
        <v>Jefferson</v>
      </c>
      <c r="C16" s="15">
        <f>VLOOKUP($B16,'County Data'!$B$10:$P$46,2,FALSE)</f>
        <v>24889</v>
      </c>
      <c r="D16" s="26" t="str">
        <f>VLOOKUP($B16,'County Data'!$B$9:$P$46,12,FALSE)</f>
        <v>Y</v>
      </c>
      <c r="E16" s="75">
        <f>IF(D16="Y",$C$3*Input!$C$29/36*E$4,0)</f>
        <v>1333.3333333333333</v>
      </c>
      <c r="F16" s="15">
        <f t="shared" si="3"/>
        <v>24889</v>
      </c>
      <c r="G16" s="75">
        <f t="shared" si="22"/>
        <v>886.82</v>
      </c>
      <c r="H16" s="76">
        <f t="shared" si="4"/>
        <v>2220.1533333333332</v>
      </c>
      <c r="I16" s="26">
        <f>VLOOKUP($B16,'County Data'!$B$9:$P$46,13,FALSE)</f>
        <v>0</v>
      </c>
      <c r="J16" s="47">
        <f>IF(I16="Y",$C$3*Input!$C$29/36*J$4,0)</f>
        <v>0</v>
      </c>
      <c r="K16" s="15">
        <f t="shared" si="5"/>
        <v>0</v>
      </c>
      <c r="L16" s="75">
        <f t="shared" si="0"/>
        <v>0</v>
      </c>
      <c r="M16" s="76">
        <f t="shared" si="6"/>
        <v>0</v>
      </c>
      <c r="N16" s="26">
        <f>VLOOKUP($B16,'County Data'!$B$9:$P$46,14,FALSE)</f>
        <v>0</v>
      </c>
      <c r="O16" s="47">
        <f>IF(N16="Y",$C$3*Input!$C$29/36*O$4,0)</f>
        <v>0</v>
      </c>
      <c r="P16" s="15">
        <f t="shared" si="7"/>
        <v>0</v>
      </c>
      <c r="Q16" s="75">
        <f t="shared" si="1"/>
        <v>0</v>
      </c>
      <c r="R16" s="76">
        <f t="shared" si="8"/>
        <v>0</v>
      </c>
      <c r="S16" s="26">
        <f>VLOOKUP($B16,'County Data'!$B$9:$P$46,15,FALSE)</f>
        <v>0</v>
      </c>
      <c r="T16" s="47">
        <f>IF(S16="Y",$C$3*Input!$C$29/36*T$4,0)</f>
        <v>0</v>
      </c>
      <c r="U16" s="15">
        <f t="shared" si="9"/>
        <v>0</v>
      </c>
      <c r="V16" s="75">
        <f t="shared" si="2"/>
        <v>0</v>
      </c>
      <c r="W16" s="76">
        <f t="shared" si="10"/>
        <v>0</v>
      </c>
      <c r="X16" s="77">
        <f t="shared" si="11"/>
        <v>2220.1533333333332</v>
      </c>
      <c r="Y16" s="46">
        <f t="shared" si="12"/>
        <v>8.9202191061647035E-2</v>
      </c>
    </row>
    <row r="17" spans="2:25" x14ac:dyDescent="0.25">
      <c r="B17" s="20" t="str">
        <f>+'County Data'!$B$17</f>
        <v>Curry</v>
      </c>
      <c r="C17" s="15">
        <f>VLOOKUP($B17,'County Data'!$B$10:$P$46,2,FALSE)</f>
        <v>23662</v>
      </c>
      <c r="D17" s="26" t="str">
        <f>VLOOKUP($B17,'County Data'!$B$9:$P$46,12,FALSE)</f>
        <v>Y</v>
      </c>
      <c r="E17" s="75">
        <f>IF(D17="Y",$C$3*Input!$C$29/36*E$4,0)</f>
        <v>1333.3333333333333</v>
      </c>
      <c r="F17" s="15">
        <f t="shared" si="3"/>
        <v>23662</v>
      </c>
      <c r="G17" s="75">
        <f t="shared" si="22"/>
        <v>843.1</v>
      </c>
      <c r="H17" s="76">
        <f t="shared" si="4"/>
        <v>2176.4333333333334</v>
      </c>
      <c r="I17" s="26">
        <f>VLOOKUP($B17,'County Data'!$B$9:$P$46,13,FALSE)</f>
        <v>0</v>
      </c>
      <c r="J17" s="47">
        <f>IF(I17="Y",$C$3*Input!$C$29/36*J$4,0)</f>
        <v>0</v>
      </c>
      <c r="K17" s="15">
        <f t="shared" si="5"/>
        <v>0</v>
      </c>
      <c r="L17" s="75">
        <f t="shared" si="0"/>
        <v>0</v>
      </c>
      <c r="M17" s="76">
        <f t="shared" si="6"/>
        <v>0</v>
      </c>
      <c r="N17" s="26">
        <f>VLOOKUP($B17,'County Data'!$B$9:$P$46,14,FALSE)</f>
        <v>0</v>
      </c>
      <c r="O17" s="47">
        <f>IF(N17="Y",$C$3*Input!$C$29/36*O$4,0)</f>
        <v>0</v>
      </c>
      <c r="P17" s="15">
        <f t="shared" si="7"/>
        <v>0</v>
      </c>
      <c r="Q17" s="75">
        <f t="shared" si="1"/>
        <v>0</v>
      </c>
      <c r="R17" s="76">
        <f t="shared" si="8"/>
        <v>0</v>
      </c>
      <c r="S17" s="26">
        <f>VLOOKUP($B17,'County Data'!$B$9:$P$46,15,FALSE)</f>
        <v>0</v>
      </c>
      <c r="T17" s="47">
        <f>IF(S17="Y",$C$3*Input!$C$29/36*T$4,0)</f>
        <v>0</v>
      </c>
      <c r="U17" s="15">
        <f t="shared" si="9"/>
        <v>0</v>
      </c>
      <c r="V17" s="75">
        <f t="shared" si="2"/>
        <v>0</v>
      </c>
      <c r="W17" s="76">
        <f t="shared" si="10"/>
        <v>0</v>
      </c>
      <c r="X17" s="77">
        <f t="shared" si="11"/>
        <v>2176.4333333333334</v>
      </c>
      <c r="Y17" s="46">
        <f t="shared" si="12"/>
        <v>9.1980108753838788E-2</v>
      </c>
    </row>
    <row r="18" spans="2:25" x14ac:dyDescent="0.25">
      <c r="B18" s="20" t="str">
        <f>+'County Data'!$B$23</f>
        <v>Hood River</v>
      </c>
      <c r="C18" s="15">
        <f>VLOOKUP($B18,'County Data'!$B$10:$P$46,2,FALSE)</f>
        <v>23888</v>
      </c>
      <c r="D18" s="26" t="str">
        <f>VLOOKUP($B18,'County Data'!$B$9:$P$46,12,FALSE)</f>
        <v>Y</v>
      </c>
      <c r="E18" s="75">
        <f>IF(D18="Y",$C$3*Input!$C$29/36*E$4,0)</f>
        <v>1333.3333333333333</v>
      </c>
      <c r="F18" s="15">
        <f t="shared" si="3"/>
        <v>23888</v>
      </c>
      <c r="G18" s="75">
        <f t="shared" si="22"/>
        <v>851.15</v>
      </c>
      <c r="H18" s="76">
        <f t="shared" si="4"/>
        <v>2184.4833333333331</v>
      </c>
      <c r="I18" s="26">
        <f>VLOOKUP($B18,'County Data'!$B$9:$P$46,13,FALSE)</f>
        <v>0</v>
      </c>
      <c r="J18" s="47">
        <f>IF(I18="Y",$C$3*Input!$C$29/36*J$4,0)</f>
        <v>0</v>
      </c>
      <c r="K18" s="15">
        <f t="shared" si="5"/>
        <v>0</v>
      </c>
      <c r="L18" s="75">
        <f t="shared" si="0"/>
        <v>0</v>
      </c>
      <c r="M18" s="76">
        <f t="shared" si="6"/>
        <v>0</v>
      </c>
      <c r="N18" s="26">
        <f>VLOOKUP($B18,'County Data'!$B$9:$P$46,14,FALSE)</f>
        <v>0</v>
      </c>
      <c r="O18" s="47">
        <f>IF(N18="Y",$C$3*Input!$C$29/36*O$4,0)</f>
        <v>0</v>
      </c>
      <c r="P18" s="15">
        <f t="shared" si="7"/>
        <v>0</v>
      </c>
      <c r="Q18" s="75">
        <f t="shared" si="1"/>
        <v>0</v>
      </c>
      <c r="R18" s="76">
        <f t="shared" si="8"/>
        <v>0</v>
      </c>
      <c r="S18" s="26">
        <f>VLOOKUP($B18,'County Data'!$B$9:$P$46,15,FALSE)</f>
        <v>0</v>
      </c>
      <c r="T18" s="47">
        <f>IF(S18="Y",$C$3*Input!$C$29/36*T$4,0)</f>
        <v>0</v>
      </c>
      <c r="U18" s="15">
        <f t="shared" si="9"/>
        <v>0</v>
      </c>
      <c r="V18" s="75">
        <f t="shared" si="2"/>
        <v>0</v>
      </c>
      <c r="W18" s="76">
        <f t="shared" si="10"/>
        <v>0</v>
      </c>
      <c r="X18" s="77">
        <f t="shared" si="11"/>
        <v>2184.4833333333331</v>
      </c>
      <c r="Y18" s="46">
        <f t="shared" si="12"/>
        <v>9.1446891047108722E-2</v>
      </c>
    </row>
    <row r="19" spans="2:25" x14ac:dyDescent="0.25">
      <c r="B19" s="20" t="str">
        <f>+'County Data'!$B$39</f>
        <v>Tillamook</v>
      </c>
      <c r="C19" s="15">
        <f>VLOOKUP($B19,'County Data'!$B$10:$P$46,2,FALSE)</f>
        <v>27628</v>
      </c>
      <c r="D19" s="26" t="str">
        <f>VLOOKUP($B19,'County Data'!$B$9:$P$46,12,FALSE)</f>
        <v>Y</v>
      </c>
      <c r="E19" s="75">
        <f>IF(D19="Y",$C$3*Input!$C$29/36*E$4,0)</f>
        <v>1333.3333333333333</v>
      </c>
      <c r="F19" s="15">
        <f t="shared" si="3"/>
        <v>27628</v>
      </c>
      <c r="G19" s="75">
        <f t="shared" si="22"/>
        <v>984.41</v>
      </c>
      <c r="H19" s="76">
        <f t="shared" si="4"/>
        <v>2317.7433333333333</v>
      </c>
      <c r="I19" s="26">
        <f>VLOOKUP($B19,'County Data'!$B$9:$P$46,13,FALSE)</f>
        <v>0</v>
      </c>
      <c r="J19" s="47">
        <f>IF(I19="Y",$C$3*Input!$C$29/36*J$4,0)</f>
        <v>0</v>
      </c>
      <c r="K19" s="15">
        <f t="shared" si="5"/>
        <v>0</v>
      </c>
      <c r="L19" s="75">
        <f t="shared" si="0"/>
        <v>0</v>
      </c>
      <c r="M19" s="76">
        <f t="shared" si="6"/>
        <v>0</v>
      </c>
      <c r="N19" s="26">
        <f>VLOOKUP($B19,'County Data'!$B$9:$P$46,14,FALSE)</f>
        <v>0</v>
      </c>
      <c r="O19" s="47">
        <f>IF(N19="Y",$C$3*Input!$C$29/36*O$4,0)</f>
        <v>0</v>
      </c>
      <c r="P19" s="15">
        <f t="shared" si="7"/>
        <v>0</v>
      </c>
      <c r="Q19" s="75">
        <f t="shared" si="1"/>
        <v>0</v>
      </c>
      <c r="R19" s="76">
        <f t="shared" si="8"/>
        <v>0</v>
      </c>
      <c r="S19" s="26">
        <f>VLOOKUP($B19,'County Data'!$B$9:$P$46,15,FALSE)</f>
        <v>0</v>
      </c>
      <c r="T19" s="47">
        <f>IF(S19="Y",$C$3*Input!$C$29/36*T$4,0)</f>
        <v>0</v>
      </c>
      <c r="U19" s="15">
        <f t="shared" si="9"/>
        <v>0</v>
      </c>
      <c r="V19" s="75">
        <f t="shared" si="2"/>
        <v>0</v>
      </c>
      <c r="W19" s="76">
        <f t="shared" si="10"/>
        <v>0</v>
      </c>
      <c r="X19" s="77">
        <f t="shared" si="11"/>
        <v>2317.7433333333333</v>
      </c>
      <c r="Y19" s="46">
        <f t="shared" si="12"/>
        <v>8.3891100815597697E-2</v>
      </c>
    </row>
    <row r="20" spans="2:25" x14ac:dyDescent="0.25">
      <c r="B20" s="20" t="str">
        <f>+'County Data'!$B$41</f>
        <v>Union</v>
      </c>
      <c r="C20" s="15">
        <f>VLOOKUP($B20,'County Data'!$B$10:$P$46,2,FALSE)</f>
        <v>26295</v>
      </c>
      <c r="D20" s="26" t="str">
        <f>VLOOKUP($B20,'County Data'!$B$9:$P$46,12,FALSE)</f>
        <v>Y</v>
      </c>
      <c r="E20" s="75">
        <f>IF(D20="Y",$C$3*Input!$C$29/36*E$4,0)</f>
        <v>1333.3333333333333</v>
      </c>
      <c r="F20" s="15">
        <f t="shared" si="3"/>
        <v>26295</v>
      </c>
      <c r="G20" s="75">
        <f t="shared" si="22"/>
        <v>936.91</v>
      </c>
      <c r="H20" s="76">
        <f t="shared" si="4"/>
        <v>2270.2433333333333</v>
      </c>
      <c r="I20" s="26">
        <f>VLOOKUP($B20,'County Data'!$B$9:$P$46,13,FALSE)</f>
        <v>0</v>
      </c>
      <c r="J20" s="47">
        <f>IF(I20="Y",$C$3*Input!$C$29/36*J$4,0)</f>
        <v>0</v>
      </c>
      <c r="K20" s="15">
        <f t="shared" si="5"/>
        <v>0</v>
      </c>
      <c r="L20" s="75">
        <f t="shared" si="0"/>
        <v>0</v>
      </c>
      <c r="M20" s="76">
        <f t="shared" si="6"/>
        <v>0</v>
      </c>
      <c r="N20" s="26">
        <f>VLOOKUP($B20,'County Data'!$B$9:$P$46,14,FALSE)</f>
        <v>0</v>
      </c>
      <c r="O20" s="47">
        <f>IF(N20="Y",$C$3*Input!$C$29/36*O$4,0)</f>
        <v>0</v>
      </c>
      <c r="P20" s="15">
        <f t="shared" si="7"/>
        <v>0</v>
      </c>
      <c r="Q20" s="75">
        <f t="shared" si="1"/>
        <v>0</v>
      </c>
      <c r="R20" s="76">
        <f t="shared" si="8"/>
        <v>0</v>
      </c>
      <c r="S20" s="26">
        <f>VLOOKUP($B20,'County Data'!$B$9:$P$46,15,FALSE)</f>
        <v>0</v>
      </c>
      <c r="T20" s="47">
        <f>IF(S20="Y",$C$3*Input!$C$29/36*T$4,0)</f>
        <v>0</v>
      </c>
      <c r="U20" s="15">
        <f t="shared" si="9"/>
        <v>0</v>
      </c>
      <c r="V20" s="75">
        <f t="shared" si="2"/>
        <v>0</v>
      </c>
      <c r="W20" s="76">
        <f t="shared" si="10"/>
        <v>0</v>
      </c>
      <c r="X20" s="77">
        <f t="shared" si="11"/>
        <v>2270.2433333333333</v>
      </c>
      <c r="Y20" s="46">
        <f t="shared" si="12"/>
        <v>8.6337453254737906E-2</v>
      </c>
    </row>
    <row r="21" spans="2:25" x14ac:dyDescent="0.25">
      <c r="B21" s="20" t="str">
        <f>+'County Data'!$B$36</f>
        <v>Sherman, Wasco</v>
      </c>
      <c r="C21" s="15">
        <f>VLOOKUP($B21,'County Data'!$B$10:$P$46,2,FALSE)</f>
        <v>28489</v>
      </c>
      <c r="D21" s="26" t="str">
        <f>VLOOKUP($B21,'County Data'!$B$9:$P$46,12,FALSE)</f>
        <v>Y</v>
      </c>
      <c r="E21" s="75">
        <f>IF(D21="Y",$C$3*Input!$C$29/36*2*E$4,0)</f>
        <v>2666.6666666666665</v>
      </c>
      <c r="F21" s="15">
        <f t="shared" si="3"/>
        <v>28489</v>
      </c>
      <c r="G21" s="75">
        <f t="shared" si="22"/>
        <v>1015.09</v>
      </c>
      <c r="H21" s="76">
        <f t="shared" si="4"/>
        <v>3681.7566666666667</v>
      </c>
      <c r="I21" s="26">
        <f>VLOOKUP($B21,'County Data'!$B$9:$P$46,13,FALSE)</f>
        <v>0</v>
      </c>
      <c r="J21" s="47">
        <f>IF(I21="Y",$C$3*Input!$C$29/36*3*J$4,0)</f>
        <v>0</v>
      </c>
      <c r="K21" s="15">
        <f t="shared" si="5"/>
        <v>0</v>
      </c>
      <c r="L21" s="75">
        <f t="shared" si="0"/>
        <v>0</v>
      </c>
      <c r="M21" s="76">
        <f t="shared" si="6"/>
        <v>0</v>
      </c>
      <c r="N21" s="26">
        <f>VLOOKUP($B21,'County Data'!$B$9:$P$46,14,FALSE)</f>
        <v>0</v>
      </c>
      <c r="O21" s="47">
        <f>IF(N21="Y",$C$3*Input!$C$29/36*3*O$4,0)</f>
        <v>0</v>
      </c>
      <c r="P21" s="15">
        <f t="shared" si="7"/>
        <v>0</v>
      </c>
      <c r="Q21" s="75">
        <f t="shared" si="1"/>
        <v>0</v>
      </c>
      <c r="R21" s="76">
        <f t="shared" si="8"/>
        <v>0</v>
      </c>
      <c r="S21" s="26">
        <f>VLOOKUP($B21,'County Data'!$B$9:$P$46,15,FALSE)</f>
        <v>0</v>
      </c>
      <c r="T21" s="47">
        <f>IF(S21="Y",$C$3*Input!$C$29/36*3*T$4,0)</f>
        <v>0</v>
      </c>
      <c r="U21" s="15">
        <f t="shared" si="9"/>
        <v>0</v>
      </c>
      <c r="V21" s="75">
        <f t="shared" si="2"/>
        <v>0</v>
      </c>
      <c r="W21" s="76">
        <f t="shared" si="10"/>
        <v>0</v>
      </c>
      <c r="X21" s="77">
        <f t="shared" si="11"/>
        <v>3681.7566666666667</v>
      </c>
      <c r="Y21" s="46">
        <f t="shared" si="12"/>
        <v>0.12923432435910936</v>
      </c>
    </row>
    <row r="22" spans="2:25" x14ac:dyDescent="0.25">
      <c r="B22" s="20" t="str">
        <f>+'County Data'!$B$32</f>
        <v>Malheur</v>
      </c>
      <c r="C22" s="15">
        <f>VLOOKUP($B22,'County Data'!$B$10:$P$46,2,FALSE)</f>
        <v>31995</v>
      </c>
      <c r="D22" s="26" t="str">
        <f>VLOOKUP($B22,'County Data'!$B$9:$P$46,12,FALSE)</f>
        <v>Y</v>
      </c>
      <c r="E22" s="75">
        <f>IF(D22="Y",$C$3*Input!$C$29/36*E$4,0)</f>
        <v>1333.3333333333333</v>
      </c>
      <c r="F22" s="15">
        <f t="shared" si="3"/>
        <v>31995</v>
      </c>
      <c r="G22" s="75">
        <f t="shared" si="22"/>
        <v>1140.01</v>
      </c>
      <c r="H22" s="76">
        <f t="shared" si="4"/>
        <v>2473.3433333333332</v>
      </c>
      <c r="I22" s="26">
        <f>VLOOKUP($B22,'County Data'!$B$9:$P$46,13,FALSE)</f>
        <v>0</v>
      </c>
      <c r="J22" s="47">
        <f>IF(I22="Y",$C$3*Input!$C$29/36*J$4,0)</f>
        <v>0</v>
      </c>
      <c r="K22" s="15">
        <f t="shared" si="5"/>
        <v>0</v>
      </c>
      <c r="L22" s="75">
        <f t="shared" si="0"/>
        <v>0</v>
      </c>
      <c r="M22" s="76">
        <f t="shared" si="6"/>
        <v>0</v>
      </c>
      <c r="N22" s="26">
        <f>VLOOKUP($B22,'County Data'!$B$9:$P$46,14,FALSE)</f>
        <v>0</v>
      </c>
      <c r="O22" s="47">
        <f>IF(N22="Y",$C$3*Input!$C$29/36*O$4,0)</f>
        <v>0</v>
      </c>
      <c r="P22" s="15">
        <f t="shared" si="7"/>
        <v>0</v>
      </c>
      <c r="Q22" s="75">
        <f t="shared" si="1"/>
        <v>0</v>
      </c>
      <c r="R22" s="76">
        <f t="shared" si="8"/>
        <v>0</v>
      </c>
      <c r="S22" s="26">
        <f>VLOOKUP($B22,'County Data'!$B$9:$P$46,15,FALSE)</f>
        <v>0</v>
      </c>
      <c r="T22" s="47">
        <f>IF(S22="Y",$C$3*Input!$C$29/36*T$4,0)</f>
        <v>0</v>
      </c>
      <c r="U22" s="15">
        <f t="shared" si="9"/>
        <v>0</v>
      </c>
      <c r="V22" s="75">
        <f t="shared" si="2"/>
        <v>0</v>
      </c>
      <c r="W22" s="76">
        <f t="shared" si="10"/>
        <v>0</v>
      </c>
      <c r="X22" s="77">
        <f t="shared" si="11"/>
        <v>2473.3433333333332</v>
      </c>
      <c r="Y22" s="46">
        <f t="shared" si="12"/>
        <v>7.7304057925717554E-2</v>
      </c>
    </row>
    <row r="23" spans="2:25" x14ac:dyDescent="0.25">
      <c r="B23" s="20" t="str">
        <f>+'County Data'!$B$13</f>
        <v>Clatsop</v>
      </c>
      <c r="C23" s="15">
        <f>VLOOKUP($B23,'County Data'!$B$10:$P$46,2,FALSE)</f>
        <v>41428</v>
      </c>
      <c r="D23" s="26" t="str">
        <f>VLOOKUP($B23,'County Data'!$B$9:$P$46,12,FALSE)</f>
        <v>Y</v>
      </c>
      <c r="E23" s="75">
        <f>IF(D23="Y",$C$3*Input!$C$29/36*E$4,0)</f>
        <v>1333.3333333333333</v>
      </c>
      <c r="F23" s="15">
        <f t="shared" si="3"/>
        <v>41428</v>
      </c>
      <c r="G23" s="75">
        <f t="shared" si="22"/>
        <v>1476.11</v>
      </c>
      <c r="H23" s="76">
        <f t="shared" si="4"/>
        <v>2809.4433333333332</v>
      </c>
      <c r="I23" s="26">
        <f>VLOOKUP($B23,'County Data'!$B$9:$P$46,13,FALSE)</f>
        <v>0</v>
      </c>
      <c r="J23" s="47">
        <f>IF(I23="Y",$C$3*Input!$C$29/36*J$4,0)</f>
        <v>0</v>
      </c>
      <c r="K23" s="15">
        <f t="shared" si="5"/>
        <v>0</v>
      </c>
      <c r="L23" s="75">
        <f t="shared" si="0"/>
        <v>0</v>
      </c>
      <c r="M23" s="76">
        <f t="shared" si="6"/>
        <v>0</v>
      </c>
      <c r="N23" s="26">
        <f>VLOOKUP($B23,'County Data'!$B$9:$P$46,14,FALSE)</f>
        <v>0</v>
      </c>
      <c r="O23" s="47">
        <f>IF(N23="Y",$C$3*Input!$C$29/36*O$4,0)</f>
        <v>0</v>
      </c>
      <c r="P23" s="15">
        <f t="shared" si="7"/>
        <v>0</v>
      </c>
      <c r="Q23" s="75">
        <f t="shared" si="1"/>
        <v>0</v>
      </c>
      <c r="R23" s="76">
        <f t="shared" si="8"/>
        <v>0</v>
      </c>
      <c r="S23" s="26">
        <f>VLOOKUP($B23,'County Data'!$B$9:$P$46,15,FALSE)</f>
        <v>0</v>
      </c>
      <c r="T23" s="47">
        <f>IF(S23="Y",$C$3*Input!$C$29/36*T$4,0)</f>
        <v>0</v>
      </c>
      <c r="U23" s="15">
        <f t="shared" si="9"/>
        <v>0</v>
      </c>
      <c r="V23" s="75">
        <f t="shared" si="2"/>
        <v>0</v>
      </c>
      <c r="W23" s="76">
        <f t="shared" si="10"/>
        <v>0</v>
      </c>
      <c r="X23" s="77">
        <f t="shared" si="11"/>
        <v>2809.4433333333332</v>
      </c>
      <c r="Y23" s="46">
        <f t="shared" si="12"/>
        <v>6.7815084805767437E-2</v>
      </c>
    </row>
    <row r="24" spans="2:25" x14ac:dyDescent="0.25">
      <c r="B24" s="20" t="str">
        <f>+'County Data'!$B$30</f>
        <v>Lincoln</v>
      </c>
      <c r="C24" s="15">
        <f>VLOOKUP($B24,'County Data'!$B$10:$P$46,2,FALSE)</f>
        <v>50903</v>
      </c>
      <c r="D24" s="26" t="str">
        <f>VLOOKUP($B24,'County Data'!$B$9:$P$46,12,FALSE)</f>
        <v>Y</v>
      </c>
      <c r="E24" s="75">
        <f>IF(D24="Y",$C$3*Input!$C$29/36*E$4,0)</f>
        <v>1333.3333333333333</v>
      </c>
      <c r="F24" s="15">
        <f t="shared" si="3"/>
        <v>50903</v>
      </c>
      <c r="G24" s="75">
        <f t="shared" si="22"/>
        <v>1813.72</v>
      </c>
      <c r="H24" s="76">
        <f t="shared" si="4"/>
        <v>3147.0533333333333</v>
      </c>
      <c r="I24" s="26">
        <f>VLOOKUP($B24,'County Data'!$B$9:$P$46,13,FALSE)</f>
        <v>0</v>
      </c>
      <c r="J24" s="47">
        <f>IF(I24="Y",$C$3*Input!$C$29/36*J$4,0)</f>
        <v>0</v>
      </c>
      <c r="K24" s="15">
        <f t="shared" si="5"/>
        <v>0</v>
      </c>
      <c r="L24" s="75">
        <f t="shared" si="0"/>
        <v>0</v>
      </c>
      <c r="M24" s="76">
        <f t="shared" si="6"/>
        <v>0</v>
      </c>
      <c r="N24" s="26">
        <f>VLOOKUP($B24,'County Data'!$B$9:$P$46,14,FALSE)</f>
        <v>0</v>
      </c>
      <c r="O24" s="47">
        <f>IF(N24="Y",$C$3*Input!$C$29/36*O$4,0)</f>
        <v>0</v>
      </c>
      <c r="P24" s="15">
        <f t="shared" si="7"/>
        <v>0</v>
      </c>
      <c r="Q24" s="75">
        <f t="shared" si="1"/>
        <v>0</v>
      </c>
      <c r="R24" s="76">
        <f t="shared" si="8"/>
        <v>0</v>
      </c>
      <c r="S24" s="26">
        <f>VLOOKUP($B24,'County Data'!$B$9:$P$46,15,FALSE)</f>
        <v>0</v>
      </c>
      <c r="T24" s="47">
        <f>IF(S24="Y",$C$3*Input!$C$29/36*T$4,0)</f>
        <v>0</v>
      </c>
      <c r="U24" s="15">
        <f t="shared" si="9"/>
        <v>0</v>
      </c>
      <c r="V24" s="75">
        <f t="shared" si="2"/>
        <v>0</v>
      </c>
      <c r="W24" s="76">
        <f t="shared" si="10"/>
        <v>0</v>
      </c>
      <c r="X24" s="77">
        <f t="shared" si="11"/>
        <v>3147.0533333333333</v>
      </c>
      <c r="Y24" s="46">
        <f t="shared" si="12"/>
        <v>6.1824515909343916E-2</v>
      </c>
    </row>
    <row r="25" spans="2:25" x14ac:dyDescent="0.25">
      <c r="B25" s="20" t="str">
        <f>+'County Data'!$B$14</f>
        <v>Columbia</v>
      </c>
      <c r="C25" s="15">
        <f>VLOOKUP($B25,'County Data'!$B$10:$P$46,2,FALSE)</f>
        <v>53014</v>
      </c>
      <c r="D25" s="26" t="str">
        <f>VLOOKUP($B25,'County Data'!$B$9:$P$46,12,FALSE)</f>
        <v>Y</v>
      </c>
      <c r="E25" s="75">
        <f>IF(D25="Y",$C$3*Input!$C$29/36*E$4,0)</f>
        <v>1333.3333333333333</v>
      </c>
      <c r="F25" s="15">
        <f t="shared" si="3"/>
        <v>53014</v>
      </c>
      <c r="G25" s="75">
        <f t="shared" si="22"/>
        <v>1888.93</v>
      </c>
      <c r="H25" s="76">
        <f t="shared" si="4"/>
        <v>3222.2633333333333</v>
      </c>
      <c r="I25" s="26">
        <f>VLOOKUP($B25,'County Data'!$B$9:$P$46,13,FALSE)</f>
        <v>0</v>
      </c>
      <c r="J25" s="47">
        <f>IF(I25="Y",$C$3*Input!$C$29/36*J$4,0)</f>
        <v>0</v>
      </c>
      <c r="K25" s="15">
        <f t="shared" si="5"/>
        <v>0</v>
      </c>
      <c r="L25" s="75">
        <f t="shared" si="0"/>
        <v>0</v>
      </c>
      <c r="M25" s="76">
        <f t="shared" si="6"/>
        <v>0</v>
      </c>
      <c r="N25" s="26">
        <f>VLOOKUP($B25,'County Data'!$B$9:$P$46,14,FALSE)</f>
        <v>0</v>
      </c>
      <c r="O25" s="47">
        <f>IF(N25="Y",$C$3*Input!$C$29/36*O$4,0)</f>
        <v>0</v>
      </c>
      <c r="P25" s="15">
        <f t="shared" si="7"/>
        <v>0</v>
      </c>
      <c r="Q25" s="75">
        <f t="shared" si="1"/>
        <v>0</v>
      </c>
      <c r="R25" s="76">
        <f t="shared" si="8"/>
        <v>0</v>
      </c>
      <c r="S25" s="26">
        <f>VLOOKUP($B25,'County Data'!$B$9:$P$46,15,FALSE)</f>
        <v>0</v>
      </c>
      <c r="T25" s="47">
        <f>IF(S25="Y",$C$3*Input!$C$29/36*T$4,0)</f>
        <v>0</v>
      </c>
      <c r="U25" s="15">
        <f t="shared" si="9"/>
        <v>0</v>
      </c>
      <c r="V25" s="75">
        <f t="shared" si="2"/>
        <v>0</v>
      </c>
      <c r="W25" s="76">
        <f t="shared" si="10"/>
        <v>0</v>
      </c>
      <c r="X25" s="77">
        <f t="shared" si="11"/>
        <v>3222.2633333333333</v>
      </c>
      <c r="Y25" s="46">
        <f t="shared" si="12"/>
        <v>6.0781365928496874E-2</v>
      </c>
    </row>
    <row r="26" spans="2:25" x14ac:dyDescent="0.25">
      <c r="B26" s="20" t="str">
        <f>+'County Data'!$B$15</f>
        <v>Coos</v>
      </c>
      <c r="C26" s="15">
        <f>VLOOKUP($B26,'County Data'!$B$10:$P$46,2,FALSE)</f>
        <v>65154</v>
      </c>
      <c r="D26" s="26" t="str">
        <f>VLOOKUP($B26,'County Data'!$B$9:$P$46,12,FALSE)</f>
        <v>Y</v>
      </c>
      <c r="E26" s="75">
        <f>IF(D26="Y",$C$3*Input!$C$29/36*E$4,0)</f>
        <v>1333.3333333333333</v>
      </c>
      <c r="F26" s="15">
        <f t="shared" si="3"/>
        <v>65154</v>
      </c>
      <c r="G26" s="75">
        <f t="shared" si="22"/>
        <v>2321.4899999999998</v>
      </c>
      <c r="H26" s="76">
        <f t="shared" si="4"/>
        <v>3654.8233333333328</v>
      </c>
      <c r="I26" s="26">
        <f>VLOOKUP($B26,'County Data'!$B$9:$P$46,13,FALSE)</f>
        <v>0</v>
      </c>
      <c r="J26" s="47">
        <f>IF(I26="Y",$C$3*Input!$C$29/36*J$4,0)</f>
        <v>0</v>
      </c>
      <c r="K26" s="15">
        <f t="shared" si="5"/>
        <v>0</v>
      </c>
      <c r="L26" s="75">
        <f t="shared" si="0"/>
        <v>0</v>
      </c>
      <c r="M26" s="76">
        <f t="shared" si="6"/>
        <v>0</v>
      </c>
      <c r="N26" s="26">
        <f>VLOOKUP($B26,'County Data'!$B$9:$P$46,14,FALSE)</f>
        <v>0</v>
      </c>
      <c r="O26" s="47">
        <f>IF(N26="Y",$C$3*Input!$C$29/36*O$4,0)</f>
        <v>0</v>
      </c>
      <c r="P26" s="15">
        <f t="shared" si="7"/>
        <v>0</v>
      </c>
      <c r="Q26" s="75">
        <f t="shared" si="1"/>
        <v>0</v>
      </c>
      <c r="R26" s="76">
        <f t="shared" si="8"/>
        <v>0</v>
      </c>
      <c r="S26" s="26">
        <f>VLOOKUP($B26,'County Data'!$B$9:$P$46,15,FALSE)</f>
        <v>0</v>
      </c>
      <c r="T26" s="47">
        <f>IF(S26="Y",$C$3*Input!$C$29/36*T$4,0)</f>
        <v>0</v>
      </c>
      <c r="U26" s="15">
        <f t="shared" si="9"/>
        <v>0</v>
      </c>
      <c r="V26" s="75">
        <f t="shared" si="2"/>
        <v>0</v>
      </c>
      <c r="W26" s="76">
        <f t="shared" si="10"/>
        <v>0</v>
      </c>
      <c r="X26" s="77">
        <f t="shared" si="11"/>
        <v>3654.8233333333328</v>
      </c>
      <c r="Y26" s="46">
        <f t="shared" si="12"/>
        <v>5.6095148929203621E-2</v>
      </c>
    </row>
    <row r="27" spans="2:25" x14ac:dyDescent="0.25">
      <c r="B27" s="20" t="str">
        <f>+'County Data'!$B$27</f>
        <v>Klamath</v>
      </c>
      <c r="C27" s="15">
        <f>VLOOKUP($B27,'County Data'!$B$10:$P$46,2,FALSE)</f>
        <v>69822</v>
      </c>
      <c r="D27" s="26" t="str">
        <f>VLOOKUP($B27,'County Data'!$B$9:$P$46,12,FALSE)</f>
        <v>Y</v>
      </c>
      <c r="E27" s="75">
        <f>IF(D27="Y",$C$3*Input!$C$29/36*E$4,0)</f>
        <v>1333.3333333333333</v>
      </c>
      <c r="F27" s="15">
        <f t="shared" si="3"/>
        <v>69822</v>
      </c>
      <c r="G27" s="75">
        <f t="shared" si="22"/>
        <v>2487.8200000000002</v>
      </c>
      <c r="H27" s="76">
        <f t="shared" si="4"/>
        <v>3821.1533333333336</v>
      </c>
      <c r="I27" s="26">
        <f>VLOOKUP($B27,'County Data'!$B$9:$P$46,13,FALSE)</f>
        <v>0</v>
      </c>
      <c r="J27" s="47">
        <f>IF(I27="Y",$C$3*Input!$C$29/36*J$4,0)</f>
        <v>0</v>
      </c>
      <c r="K27" s="15">
        <f t="shared" si="5"/>
        <v>0</v>
      </c>
      <c r="L27" s="75">
        <f t="shared" si="0"/>
        <v>0</v>
      </c>
      <c r="M27" s="76">
        <f t="shared" si="6"/>
        <v>0</v>
      </c>
      <c r="N27" s="26">
        <f>VLOOKUP($B27,'County Data'!$B$9:$P$46,14,FALSE)</f>
        <v>0</v>
      </c>
      <c r="O27" s="47">
        <f>IF(N27="Y",$C$3*Input!$C$29/36*O$4,0)</f>
        <v>0</v>
      </c>
      <c r="P27" s="15">
        <f t="shared" si="7"/>
        <v>0</v>
      </c>
      <c r="Q27" s="75">
        <f t="shared" si="1"/>
        <v>0</v>
      </c>
      <c r="R27" s="76">
        <f t="shared" si="8"/>
        <v>0</v>
      </c>
      <c r="S27" s="26">
        <f>VLOOKUP($B27,'County Data'!$B$9:$P$46,15,FALSE)</f>
        <v>0</v>
      </c>
      <c r="T27" s="47">
        <f>IF(S27="Y",$C$3*Input!$C$29/36*T$4,0)</f>
        <v>0</v>
      </c>
      <c r="U27" s="15">
        <f t="shared" si="9"/>
        <v>0</v>
      </c>
      <c r="V27" s="75">
        <f t="shared" si="2"/>
        <v>0</v>
      </c>
      <c r="W27" s="76">
        <f t="shared" si="10"/>
        <v>0</v>
      </c>
      <c r="X27" s="77">
        <f t="shared" si="11"/>
        <v>3821.1533333333336</v>
      </c>
      <c r="Y27" s="46">
        <f t="shared" si="12"/>
        <v>5.4727067877364352E-2</v>
      </c>
    </row>
    <row r="28" spans="2:25" x14ac:dyDescent="0.25">
      <c r="B28" s="20" t="str">
        <f>+'County Data'!$B$37</f>
        <v>Polk</v>
      </c>
      <c r="C28" s="15">
        <f>VLOOKUP($B28,'County Data'!$B$10:$P$46,2,FALSE)</f>
        <v>88916</v>
      </c>
      <c r="D28" s="26" t="str">
        <f>VLOOKUP($B28,'County Data'!$B$9:$P$46,12,FALSE)</f>
        <v>Y</v>
      </c>
      <c r="E28" s="75">
        <f>IF(D28="Y",$C$3*Input!$C$29/36*E$4,0)</f>
        <v>1333.3333333333333</v>
      </c>
      <c r="F28" s="15">
        <f t="shared" si="3"/>
        <v>88916</v>
      </c>
      <c r="G28" s="75">
        <f t="shared" si="22"/>
        <v>3168.15</v>
      </c>
      <c r="H28" s="76">
        <f t="shared" si="4"/>
        <v>4501.4833333333336</v>
      </c>
      <c r="I28" s="26">
        <f>VLOOKUP($B28,'County Data'!$B$9:$P$46,13,FALSE)</f>
        <v>0</v>
      </c>
      <c r="J28" s="47">
        <f>IF(I28="Y",$C$3*Input!$C$29/36*J$4,0)</f>
        <v>0</v>
      </c>
      <c r="K28" s="15">
        <f t="shared" si="5"/>
        <v>0</v>
      </c>
      <c r="L28" s="75">
        <f t="shared" si="0"/>
        <v>0</v>
      </c>
      <c r="M28" s="76">
        <f t="shared" si="6"/>
        <v>0</v>
      </c>
      <c r="N28" s="26">
        <f>VLOOKUP($B28,'County Data'!$B$9:$P$46,14,FALSE)</f>
        <v>0</v>
      </c>
      <c r="O28" s="47">
        <f>IF(N28="Y",$C$3*Input!$C$29/36*O$4,0)</f>
        <v>0</v>
      </c>
      <c r="P28" s="15">
        <f t="shared" si="7"/>
        <v>0</v>
      </c>
      <c r="Q28" s="75">
        <f t="shared" si="1"/>
        <v>0</v>
      </c>
      <c r="R28" s="76">
        <f t="shared" si="8"/>
        <v>0</v>
      </c>
      <c r="S28" s="26">
        <f>VLOOKUP($B28,'County Data'!$B$9:$P$46,15,FALSE)</f>
        <v>0</v>
      </c>
      <c r="T28" s="47">
        <f>IF(S28="Y",$C$3*Input!$C$29/36*T$4,0)</f>
        <v>0</v>
      </c>
      <c r="U28" s="15">
        <f t="shared" si="9"/>
        <v>0</v>
      </c>
      <c r="V28" s="75">
        <f t="shared" si="2"/>
        <v>0</v>
      </c>
      <c r="W28" s="76">
        <f t="shared" si="10"/>
        <v>0</v>
      </c>
      <c r="X28" s="77">
        <f t="shared" si="11"/>
        <v>4501.4833333333336</v>
      </c>
      <c r="Y28" s="46">
        <f t="shared" si="12"/>
        <v>5.0626246494819081E-2</v>
      </c>
    </row>
    <row r="29" spans="2:25" x14ac:dyDescent="0.25">
      <c r="B29" s="20" t="str">
        <f>+'County Data'!$B$40</f>
        <v>Umatilla</v>
      </c>
      <c r="C29" s="15">
        <f>VLOOKUP($B29,'County Data'!$B$10:$P$46,2,FALSE)</f>
        <v>80463</v>
      </c>
      <c r="D29" s="26" t="str">
        <f>VLOOKUP($B29,'County Data'!$B$9:$P$46,12,FALSE)</f>
        <v>Y</v>
      </c>
      <c r="E29" s="75">
        <f>IF(D29="Y",$C$3*Input!$C$29/36*E$4,0)</f>
        <v>1333.3333333333333</v>
      </c>
      <c r="F29" s="15">
        <f t="shared" si="3"/>
        <v>80463</v>
      </c>
      <c r="G29" s="75">
        <f t="shared" si="22"/>
        <v>2866.96</v>
      </c>
      <c r="H29" s="76">
        <f t="shared" si="4"/>
        <v>4200.2933333333331</v>
      </c>
      <c r="I29" s="26">
        <f>VLOOKUP($B29,'County Data'!$B$9:$P$46,13,FALSE)</f>
        <v>0</v>
      </c>
      <c r="J29" s="47">
        <f>IF(I29="Y",$C$3*Input!$C$29/36*J$4,0)</f>
        <v>0</v>
      </c>
      <c r="K29" s="15">
        <f t="shared" si="5"/>
        <v>0</v>
      </c>
      <c r="L29" s="75">
        <f t="shared" si="0"/>
        <v>0</v>
      </c>
      <c r="M29" s="76">
        <f t="shared" si="6"/>
        <v>0</v>
      </c>
      <c r="N29" s="26">
        <f>VLOOKUP($B29,'County Data'!$B$9:$P$46,14,FALSE)</f>
        <v>0</v>
      </c>
      <c r="O29" s="47">
        <f>IF(N29="Y",$C$3*Input!$C$29/36*O$4,0)</f>
        <v>0</v>
      </c>
      <c r="P29" s="15">
        <f t="shared" si="7"/>
        <v>0</v>
      </c>
      <c r="Q29" s="75">
        <f t="shared" si="1"/>
        <v>0</v>
      </c>
      <c r="R29" s="76">
        <f t="shared" si="8"/>
        <v>0</v>
      </c>
      <c r="S29" s="26">
        <f>VLOOKUP($B29,'County Data'!$B$9:$P$46,15,FALSE)</f>
        <v>0</v>
      </c>
      <c r="T29" s="47">
        <f>IF(S29="Y",$C$3*Input!$C$29/36*T$4,0)</f>
        <v>0</v>
      </c>
      <c r="U29" s="15">
        <f t="shared" si="9"/>
        <v>0</v>
      </c>
      <c r="V29" s="75">
        <f t="shared" si="2"/>
        <v>0</v>
      </c>
      <c r="W29" s="76">
        <f t="shared" si="10"/>
        <v>0</v>
      </c>
      <c r="X29" s="77">
        <f t="shared" si="11"/>
        <v>4200.2933333333331</v>
      </c>
      <c r="Y29" s="46">
        <f t="shared" si="12"/>
        <v>5.2201550194913598E-2</v>
      </c>
    </row>
    <row r="30" spans="2:25" x14ac:dyDescent="0.25">
      <c r="B30" s="20" t="str">
        <f>+'County Data'!$B$26</f>
        <v>Josephine</v>
      </c>
      <c r="C30" s="15">
        <f>VLOOKUP($B30,'County Data'!$B$10:$P$46,2,FALSE)</f>
        <v>88728</v>
      </c>
      <c r="D30" s="26" t="str">
        <f>VLOOKUP($B30,'County Data'!$B$9:$P$46,12,FALSE)</f>
        <v>Y</v>
      </c>
      <c r="E30" s="75">
        <f>IF(D30="Y",$C$3*Input!$C$29/36*E$4,0)</f>
        <v>1333.3333333333333</v>
      </c>
      <c r="F30" s="15">
        <f t="shared" si="3"/>
        <v>88728</v>
      </c>
      <c r="G30" s="75">
        <f t="shared" si="22"/>
        <v>3161.45</v>
      </c>
      <c r="H30" s="76">
        <f t="shared" si="4"/>
        <v>4494.7833333333328</v>
      </c>
      <c r="I30" s="26">
        <f>VLOOKUP($B30,'County Data'!$B$9:$P$46,13,FALSE)</f>
        <v>0</v>
      </c>
      <c r="J30" s="47">
        <f>IF(I30="Y",$C$3*Input!$C$29/36*J$4,0)</f>
        <v>0</v>
      </c>
      <c r="K30" s="15">
        <f t="shared" si="5"/>
        <v>0</v>
      </c>
      <c r="L30" s="75">
        <f t="shared" si="0"/>
        <v>0</v>
      </c>
      <c r="M30" s="76">
        <f t="shared" si="6"/>
        <v>0</v>
      </c>
      <c r="N30" s="26">
        <f>VLOOKUP($B30,'County Data'!$B$9:$P$46,14,FALSE)</f>
        <v>0</v>
      </c>
      <c r="O30" s="47">
        <f>IF(N30="Y",$C$3*Input!$C$29/36*O$4,0)</f>
        <v>0</v>
      </c>
      <c r="P30" s="15">
        <f t="shared" si="7"/>
        <v>0</v>
      </c>
      <c r="Q30" s="75">
        <f t="shared" si="1"/>
        <v>0</v>
      </c>
      <c r="R30" s="76">
        <f t="shared" si="8"/>
        <v>0</v>
      </c>
      <c r="S30" s="26">
        <f>VLOOKUP($B30,'County Data'!$B$9:$P$46,15,FALSE)</f>
        <v>0</v>
      </c>
      <c r="T30" s="47">
        <f>IF(S30="Y",$C$3*Input!$C$29/36*T$4,0)</f>
        <v>0</v>
      </c>
      <c r="U30" s="15">
        <f t="shared" si="9"/>
        <v>0</v>
      </c>
      <c r="V30" s="75">
        <f t="shared" si="2"/>
        <v>0</v>
      </c>
      <c r="W30" s="76">
        <f t="shared" si="10"/>
        <v>0</v>
      </c>
      <c r="X30" s="77">
        <f t="shared" si="11"/>
        <v>4494.7833333333328</v>
      </c>
      <c r="Y30" s="46">
        <f t="shared" si="12"/>
        <v>5.0658003486310214E-2</v>
      </c>
    </row>
    <row r="31" spans="2:25" x14ac:dyDescent="0.25">
      <c r="B31" s="20" t="str">
        <f>+'County Data'!$B$11</f>
        <v>Benton</v>
      </c>
      <c r="C31" s="15">
        <f>VLOOKUP($B31,'County Data'!$B$10:$P$46,2,FALSE)</f>
        <v>93976</v>
      </c>
      <c r="D31" s="26" t="str">
        <f>VLOOKUP($B31,'County Data'!$B$9:$P$46,12,FALSE)</f>
        <v>Y</v>
      </c>
      <c r="E31" s="75">
        <f>IF(D31="Y",$C$3*Input!$C$29/36*E$4,0)</f>
        <v>1333.3333333333333</v>
      </c>
      <c r="F31" s="15">
        <f t="shared" si="3"/>
        <v>93976</v>
      </c>
      <c r="G31" s="75">
        <f t="shared" si="22"/>
        <v>3348.44</v>
      </c>
      <c r="H31" s="76">
        <f t="shared" si="4"/>
        <v>4681.7733333333335</v>
      </c>
      <c r="I31" s="26">
        <f>VLOOKUP($B31,'County Data'!$B$9:$P$46,13,FALSE)</f>
        <v>0</v>
      </c>
      <c r="J31" s="47">
        <f>IF(I31="Y",$C$3*Input!$C$29/36*J$4,0)</f>
        <v>0</v>
      </c>
      <c r="K31" s="15">
        <f t="shared" si="5"/>
        <v>0</v>
      </c>
      <c r="L31" s="75">
        <f t="shared" si="0"/>
        <v>0</v>
      </c>
      <c r="M31" s="76">
        <f t="shared" si="6"/>
        <v>0</v>
      </c>
      <c r="N31" s="26">
        <f>VLOOKUP($B31,'County Data'!$B$9:$P$46,14,FALSE)</f>
        <v>0</v>
      </c>
      <c r="O31" s="47">
        <f>IF(N31="Y",$C$3*Input!$C$29/36*O$4,0)</f>
        <v>0</v>
      </c>
      <c r="P31" s="15">
        <f t="shared" si="7"/>
        <v>0</v>
      </c>
      <c r="Q31" s="75">
        <f t="shared" si="1"/>
        <v>0</v>
      </c>
      <c r="R31" s="76">
        <f t="shared" si="8"/>
        <v>0</v>
      </c>
      <c r="S31" s="26">
        <f>VLOOKUP($B31,'County Data'!$B$9:$P$46,15,FALSE)</f>
        <v>0</v>
      </c>
      <c r="T31" s="47">
        <f>IF(S31="Y",$C$3*Input!$C$29/36*T$4,0)</f>
        <v>0</v>
      </c>
      <c r="U31" s="15">
        <f t="shared" si="9"/>
        <v>0</v>
      </c>
      <c r="V31" s="75">
        <f t="shared" si="2"/>
        <v>0</v>
      </c>
      <c r="W31" s="76">
        <f t="shared" si="10"/>
        <v>0</v>
      </c>
      <c r="X31" s="77">
        <f t="shared" si="11"/>
        <v>4681.7733333333335</v>
      </c>
      <c r="Y31" s="46">
        <f t="shared" si="12"/>
        <v>4.9818818989245485E-2</v>
      </c>
    </row>
    <row r="32" spans="2:25" x14ac:dyDescent="0.25">
      <c r="B32" s="20" t="str">
        <f>+'County Data'!$B$46</f>
        <v>Yamhill</v>
      </c>
      <c r="C32" s="15">
        <f>VLOOKUP($B32,'County Data'!$B$10:$P$46,2,FALSE)</f>
        <v>108261</v>
      </c>
      <c r="D32" s="26" t="str">
        <f>VLOOKUP($B32,'County Data'!$B$9:$P$46,12,FALSE)</f>
        <v>Y</v>
      </c>
      <c r="E32" s="75">
        <f>IF(D32="Y",$C$3*Input!$C$29/36*E$4,0)</f>
        <v>1333.3333333333333</v>
      </c>
      <c r="F32" s="15">
        <f t="shared" si="3"/>
        <v>108261</v>
      </c>
      <c r="G32" s="75">
        <f t="shared" si="22"/>
        <v>3857.43</v>
      </c>
      <c r="H32" s="76">
        <f t="shared" si="4"/>
        <v>5190.7633333333333</v>
      </c>
      <c r="I32" s="26">
        <f>VLOOKUP($B32,'County Data'!$B$9:$P$46,13,FALSE)</f>
        <v>0</v>
      </c>
      <c r="J32" s="47">
        <f>IF(I32="Y",$C$3*Input!$C$29/36*J$4,0)</f>
        <v>0</v>
      </c>
      <c r="K32" s="15">
        <f t="shared" si="5"/>
        <v>0</v>
      </c>
      <c r="L32" s="75">
        <f t="shared" si="0"/>
        <v>0</v>
      </c>
      <c r="M32" s="76">
        <f t="shared" si="6"/>
        <v>0</v>
      </c>
      <c r="N32" s="26">
        <f>VLOOKUP($B32,'County Data'!$B$9:$P$46,14,FALSE)</f>
        <v>0</v>
      </c>
      <c r="O32" s="47">
        <f>IF(N32="Y",$C$3*Input!$C$29/36*O$4,0)</f>
        <v>0</v>
      </c>
      <c r="P32" s="15">
        <f t="shared" si="7"/>
        <v>0</v>
      </c>
      <c r="Q32" s="75">
        <f t="shared" si="1"/>
        <v>0</v>
      </c>
      <c r="R32" s="76">
        <f t="shared" si="8"/>
        <v>0</v>
      </c>
      <c r="S32" s="26">
        <f>VLOOKUP($B32,'County Data'!$B$9:$P$46,15,FALSE)</f>
        <v>0</v>
      </c>
      <c r="T32" s="47">
        <f>IF(S32="Y",$C$3*Input!$C$29/36*T$4,0)</f>
        <v>0</v>
      </c>
      <c r="U32" s="15">
        <f t="shared" si="9"/>
        <v>0</v>
      </c>
      <c r="V32" s="75">
        <f t="shared" si="2"/>
        <v>0</v>
      </c>
      <c r="W32" s="76">
        <f t="shared" si="10"/>
        <v>0</v>
      </c>
      <c r="X32" s="77">
        <f t="shared" si="11"/>
        <v>5190.7633333333333</v>
      </c>
      <c r="Y32" s="46">
        <f t="shared" si="12"/>
        <v>4.7946752139120585E-2</v>
      </c>
    </row>
    <row r="33" spans="2:25" x14ac:dyDescent="0.25">
      <c r="B33" s="20" t="str">
        <f>+'County Data'!$B$19</f>
        <v>Douglas</v>
      </c>
      <c r="C33" s="15">
        <f>VLOOKUP($B33,'County Data'!$B$10:$P$46,2,FALSE)</f>
        <v>111694</v>
      </c>
      <c r="D33" s="26" t="str">
        <f>VLOOKUP($B33,'County Data'!$B$9:$P$46,12,FALSE)</f>
        <v>Y</v>
      </c>
      <c r="E33" s="75">
        <f>IF(D33="Y",$C$3*Input!$C$29/36*E$4,0)</f>
        <v>1333.3333333333333</v>
      </c>
      <c r="F33" s="15">
        <f t="shared" si="3"/>
        <v>111694</v>
      </c>
      <c r="G33" s="75">
        <f t="shared" si="22"/>
        <v>3979.75</v>
      </c>
      <c r="H33" s="76">
        <f t="shared" si="4"/>
        <v>5313.083333333333</v>
      </c>
      <c r="I33" s="26">
        <f>VLOOKUP($B33,'County Data'!$B$9:$P$46,13,FALSE)</f>
        <v>0</v>
      </c>
      <c r="J33" s="47">
        <f>IF(I33="Y",$C$3*Input!$C$29/36*J$4,0)</f>
        <v>0</v>
      </c>
      <c r="K33" s="15">
        <f t="shared" si="5"/>
        <v>0</v>
      </c>
      <c r="L33" s="75">
        <f t="shared" si="0"/>
        <v>0</v>
      </c>
      <c r="M33" s="76">
        <f t="shared" si="6"/>
        <v>0</v>
      </c>
      <c r="N33" s="26">
        <f>VLOOKUP($B33,'County Data'!$B$9:$P$46,14,FALSE)</f>
        <v>0</v>
      </c>
      <c r="O33" s="47">
        <f>IF(N33="Y",$C$3*Input!$C$29/36*O$4,0)</f>
        <v>0</v>
      </c>
      <c r="P33" s="15">
        <f t="shared" si="7"/>
        <v>0</v>
      </c>
      <c r="Q33" s="75">
        <f t="shared" si="1"/>
        <v>0</v>
      </c>
      <c r="R33" s="76">
        <f t="shared" si="8"/>
        <v>0</v>
      </c>
      <c r="S33" s="26">
        <f>VLOOKUP($B33,'County Data'!$B$9:$P$46,15,FALSE)</f>
        <v>0</v>
      </c>
      <c r="T33" s="47">
        <f>IF(S33="Y",$C$3*Input!$C$29/36*T$4,0)</f>
        <v>0</v>
      </c>
      <c r="U33" s="15">
        <f t="shared" si="9"/>
        <v>0</v>
      </c>
      <c r="V33" s="75">
        <f t="shared" si="2"/>
        <v>0</v>
      </c>
      <c r="W33" s="76">
        <f t="shared" si="10"/>
        <v>0</v>
      </c>
      <c r="X33" s="77">
        <f t="shared" si="11"/>
        <v>5313.083333333333</v>
      </c>
      <c r="Y33" s="46">
        <f t="shared" si="12"/>
        <v>4.7568207185106924E-2</v>
      </c>
    </row>
    <row r="34" spans="2:25" x14ac:dyDescent="0.25">
      <c r="B34" s="20" t="str">
        <f>+'County Data'!$B$31</f>
        <v>Linn</v>
      </c>
      <c r="C34" s="15">
        <f>VLOOKUP($B34,'County Data'!$B$10:$P$46,2,FALSE)</f>
        <v>130440</v>
      </c>
      <c r="D34" s="26" t="str">
        <f>VLOOKUP($B34,'County Data'!$B$9:$P$46,12,FALSE)</f>
        <v>Y</v>
      </c>
      <c r="E34" s="75">
        <f>IF(D34="Y",$C$3*Input!$C$29/36*E$4,0)</f>
        <v>1333.3333333333333</v>
      </c>
      <c r="F34" s="15">
        <f t="shared" si="3"/>
        <v>130440</v>
      </c>
      <c r="G34" s="75">
        <f t="shared" si="22"/>
        <v>4647.6899999999996</v>
      </c>
      <c r="H34" s="76">
        <f t="shared" si="4"/>
        <v>5981.0233333333326</v>
      </c>
      <c r="I34" s="26">
        <f>VLOOKUP($B34,'County Data'!$B$9:$P$46,13,FALSE)</f>
        <v>0</v>
      </c>
      <c r="J34" s="47">
        <f>IF(I34="Y",$C$3*Input!$C$29/36*J$4,0)</f>
        <v>0</v>
      </c>
      <c r="K34" s="15">
        <f t="shared" si="5"/>
        <v>0</v>
      </c>
      <c r="L34" s="75">
        <f t="shared" si="0"/>
        <v>0</v>
      </c>
      <c r="M34" s="76">
        <f t="shared" si="6"/>
        <v>0</v>
      </c>
      <c r="N34" s="26">
        <f>VLOOKUP($B34,'County Data'!$B$9:$P$46,14,FALSE)</f>
        <v>0</v>
      </c>
      <c r="O34" s="47">
        <f>IF(N34="Y",$C$3*Input!$C$29/36*O$4,0)</f>
        <v>0</v>
      </c>
      <c r="P34" s="15">
        <f t="shared" si="7"/>
        <v>0</v>
      </c>
      <c r="Q34" s="75">
        <f t="shared" si="1"/>
        <v>0</v>
      </c>
      <c r="R34" s="76">
        <f t="shared" si="8"/>
        <v>0</v>
      </c>
      <c r="S34" s="26">
        <f>VLOOKUP($B34,'County Data'!$B$9:$P$46,15,FALSE)</f>
        <v>0</v>
      </c>
      <c r="T34" s="47">
        <f>IF(S34="Y",$C$3*Input!$C$29/36*T$4,0)</f>
        <v>0</v>
      </c>
      <c r="U34" s="15">
        <f t="shared" si="9"/>
        <v>0</v>
      </c>
      <c r="V34" s="75">
        <f t="shared" si="2"/>
        <v>0</v>
      </c>
      <c r="W34" s="76">
        <f t="shared" si="10"/>
        <v>0</v>
      </c>
      <c r="X34" s="77">
        <f t="shared" si="11"/>
        <v>5981.0233333333326</v>
      </c>
      <c r="Y34" s="46">
        <f t="shared" si="12"/>
        <v>4.5852678115097613E-2</v>
      </c>
    </row>
    <row r="35" spans="2:25" x14ac:dyDescent="0.25">
      <c r="B35" s="20" t="str">
        <f>+'County Data'!$B$18</f>
        <v>Deschutes</v>
      </c>
      <c r="C35" s="15">
        <f>VLOOKUP($B35,'County Data'!$B$10:$P$46,2,FALSE)</f>
        <v>203390</v>
      </c>
      <c r="D35" s="26" t="str">
        <f>VLOOKUP($B35,'County Data'!$B$9:$P$46,12,FALSE)</f>
        <v>Y</v>
      </c>
      <c r="E35" s="75">
        <f>IF(D35="Y",$C$3*Input!$C$29/36*E$4,0)</f>
        <v>1333.3333333333333</v>
      </c>
      <c r="F35" s="15">
        <f t="shared" si="3"/>
        <v>203390</v>
      </c>
      <c r="G35" s="75">
        <f t="shared" si="22"/>
        <v>7246.96</v>
      </c>
      <c r="H35" s="76">
        <f t="shared" si="4"/>
        <v>8580.2933333333331</v>
      </c>
      <c r="I35" s="26">
        <f>VLOOKUP($B35,'County Data'!$B$9:$P$46,13,FALSE)</f>
        <v>0</v>
      </c>
      <c r="J35" s="47">
        <f>IF(I35="Y",$C$3*Input!$C$29/36*J$4,0)</f>
        <v>0</v>
      </c>
      <c r="K35" s="15">
        <f t="shared" si="5"/>
        <v>0</v>
      </c>
      <c r="L35" s="75">
        <f t="shared" si="0"/>
        <v>0</v>
      </c>
      <c r="M35" s="76">
        <f t="shared" si="6"/>
        <v>0</v>
      </c>
      <c r="N35" s="26">
        <f>VLOOKUP($B35,'County Data'!$B$9:$P$46,14,FALSE)</f>
        <v>0</v>
      </c>
      <c r="O35" s="47">
        <f>IF(N35="Y",$C$3*Input!$C$29/36*O$4,0)</f>
        <v>0</v>
      </c>
      <c r="P35" s="15">
        <f t="shared" si="7"/>
        <v>0</v>
      </c>
      <c r="Q35" s="75">
        <f t="shared" si="1"/>
        <v>0</v>
      </c>
      <c r="R35" s="76">
        <f t="shared" si="8"/>
        <v>0</v>
      </c>
      <c r="S35" s="26">
        <f>VLOOKUP($B35,'County Data'!$B$9:$P$46,15,FALSE)</f>
        <v>0</v>
      </c>
      <c r="T35" s="47">
        <f>IF(S35="Y",$C$3*Input!$C$29/36*T$4,0)</f>
        <v>0</v>
      </c>
      <c r="U35" s="15">
        <f t="shared" si="9"/>
        <v>0</v>
      </c>
      <c r="V35" s="75">
        <f t="shared" si="2"/>
        <v>0</v>
      </c>
      <c r="W35" s="76">
        <f t="shared" si="10"/>
        <v>0</v>
      </c>
      <c r="X35" s="77">
        <f t="shared" si="11"/>
        <v>8580.2933333333331</v>
      </c>
      <c r="Y35" s="46">
        <f t="shared" si="12"/>
        <v>4.2186407066883001E-2</v>
      </c>
    </row>
    <row r="36" spans="2:25" x14ac:dyDescent="0.25">
      <c r="B36" s="20" t="str">
        <f>+'County Data'!$B$24</f>
        <v>Jackson</v>
      </c>
      <c r="C36" s="15">
        <f>VLOOKUP($B36,'County Data'!$B$10:$P$46,2,FALSE)</f>
        <v>223827</v>
      </c>
      <c r="D36" s="26" t="str">
        <f>VLOOKUP($B36,'County Data'!$B$9:$P$46,12,FALSE)</f>
        <v>Y</v>
      </c>
      <c r="E36" s="75">
        <f>IF(D36="Y",$C$3*Input!$C$29/36*E$4,0)</f>
        <v>1333.3333333333333</v>
      </c>
      <c r="F36" s="15">
        <f t="shared" si="3"/>
        <v>223827</v>
      </c>
      <c r="G36" s="75">
        <f t="shared" si="22"/>
        <v>7975.14</v>
      </c>
      <c r="H36" s="76">
        <f t="shared" si="4"/>
        <v>9308.4733333333334</v>
      </c>
      <c r="I36" s="26">
        <f>VLOOKUP($B36,'County Data'!$B$9:$P$46,13,FALSE)</f>
        <v>0</v>
      </c>
      <c r="J36" s="47">
        <f>IF(I36="Y",$C$3*Input!$C$29/36*J$4,0)</f>
        <v>0</v>
      </c>
      <c r="K36" s="15">
        <f t="shared" si="5"/>
        <v>0</v>
      </c>
      <c r="L36" s="75">
        <f t="shared" si="0"/>
        <v>0</v>
      </c>
      <c r="M36" s="76">
        <f t="shared" si="6"/>
        <v>0</v>
      </c>
      <c r="N36" s="26">
        <f>VLOOKUP($B36,'County Data'!$B$9:$P$46,14,FALSE)</f>
        <v>0</v>
      </c>
      <c r="O36" s="47">
        <f>IF(N36="Y",$C$3*Input!$C$29/36*O$4,0)</f>
        <v>0</v>
      </c>
      <c r="P36" s="15">
        <f t="shared" si="7"/>
        <v>0</v>
      </c>
      <c r="Q36" s="75">
        <f t="shared" si="1"/>
        <v>0</v>
      </c>
      <c r="R36" s="76">
        <f t="shared" si="8"/>
        <v>0</v>
      </c>
      <c r="S36" s="26">
        <f>VLOOKUP($B36,'County Data'!$B$9:$P$46,15,FALSE)</f>
        <v>0</v>
      </c>
      <c r="T36" s="47">
        <f>IF(S36="Y",$C$3*Input!$C$29/36*T$4,0)</f>
        <v>0</v>
      </c>
      <c r="U36" s="15">
        <f t="shared" si="9"/>
        <v>0</v>
      </c>
      <c r="V36" s="75">
        <f t="shared" si="2"/>
        <v>0</v>
      </c>
      <c r="W36" s="76">
        <f t="shared" si="10"/>
        <v>0</v>
      </c>
      <c r="X36" s="77">
        <f t="shared" si="11"/>
        <v>9308.4733333333334</v>
      </c>
      <c r="Y36" s="46">
        <f t="shared" si="12"/>
        <v>4.1587803675755534E-2</v>
      </c>
    </row>
    <row r="37" spans="2:25" x14ac:dyDescent="0.25">
      <c r="B37" s="20" t="str">
        <f>+'County Data'!$B$33</f>
        <v>Marion</v>
      </c>
      <c r="C37" s="15">
        <f>VLOOKUP($B37,'County Data'!$B$10:$P$46,2,FALSE)</f>
        <v>347182</v>
      </c>
      <c r="D37" s="26" t="str">
        <f>VLOOKUP($B37,'County Data'!$B$9:$P$46,12,FALSE)</f>
        <v>Y</v>
      </c>
      <c r="E37" s="75">
        <f>IF(D37="Y",$C$3*Input!$C$29/36*E$4,0)</f>
        <v>1333.3333333333333</v>
      </c>
      <c r="F37" s="15">
        <f t="shared" si="3"/>
        <v>347182</v>
      </c>
      <c r="G37" s="75">
        <f t="shared" si="22"/>
        <v>12370.39</v>
      </c>
      <c r="H37" s="76">
        <f t="shared" si="4"/>
        <v>13703.723333333333</v>
      </c>
      <c r="I37" s="26">
        <f>VLOOKUP($B37,'County Data'!$B$9:$P$46,13,FALSE)</f>
        <v>0</v>
      </c>
      <c r="J37" s="47">
        <f>IF(I37="Y",$C$3*Input!$C$29/36*J$4,0)</f>
        <v>0</v>
      </c>
      <c r="K37" s="15">
        <f t="shared" si="5"/>
        <v>0</v>
      </c>
      <c r="L37" s="75">
        <f t="shared" si="0"/>
        <v>0</v>
      </c>
      <c r="M37" s="76">
        <f t="shared" si="6"/>
        <v>0</v>
      </c>
      <c r="N37" s="26">
        <f>VLOOKUP($B37,'County Data'!$B$9:$P$46,14,FALSE)</f>
        <v>0</v>
      </c>
      <c r="O37" s="47">
        <f>IF(N37="Y",$C$3*Input!$C$29/36*O$4,0)</f>
        <v>0</v>
      </c>
      <c r="P37" s="15">
        <f t="shared" si="7"/>
        <v>0</v>
      </c>
      <c r="Q37" s="75">
        <f t="shared" si="1"/>
        <v>0</v>
      </c>
      <c r="R37" s="76">
        <f t="shared" si="8"/>
        <v>0</v>
      </c>
      <c r="S37" s="26">
        <f>VLOOKUP($B37,'County Data'!$B$9:$P$46,15,FALSE)</f>
        <v>0</v>
      </c>
      <c r="T37" s="47">
        <f>IF(S37="Y",$C$3*Input!$C$29/36*T$4,0)</f>
        <v>0</v>
      </c>
      <c r="U37" s="15">
        <f t="shared" si="9"/>
        <v>0</v>
      </c>
      <c r="V37" s="75">
        <f t="shared" si="2"/>
        <v>0</v>
      </c>
      <c r="W37" s="76">
        <f t="shared" si="10"/>
        <v>0</v>
      </c>
      <c r="X37" s="77">
        <f t="shared" si="11"/>
        <v>13703.723333333333</v>
      </c>
      <c r="Y37" s="46">
        <f t="shared" si="12"/>
        <v>3.9471295554877078E-2</v>
      </c>
    </row>
    <row r="38" spans="2:25" x14ac:dyDescent="0.25">
      <c r="B38" s="20" t="str">
        <f>+'County Data'!$B$29</f>
        <v>Lane</v>
      </c>
      <c r="C38" s="15">
        <f>VLOOKUP($B38,'County Data'!$B$10:$P$46,2,FALSE)</f>
        <v>382647</v>
      </c>
      <c r="D38" s="26" t="str">
        <f>VLOOKUP($B38,'County Data'!$B$9:$P$46,12,FALSE)</f>
        <v>Y</v>
      </c>
      <c r="E38" s="75">
        <f>IF(D38="Y",$C$3*Input!$C$29/36*E$4,0)</f>
        <v>1333.3333333333333</v>
      </c>
      <c r="F38" s="15">
        <f t="shared" si="3"/>
        <v>382647</v>
      </c>
      <c r="G38" s="75">
        <f t="shared" si="22"/>
        <v>13634.03</v>
      </c>
      <c r="H38" s="76">
        <f t="shared" si="4"/>
        <v>14967.363333333335</v>
      </c>
      <c r="I38" s="26">
        <f>VLOOKUP($B38,'County Data'!$B$9:$P$46,13,FALSE)</f>
        <v>0</v>
      </c>
      <c r="J38" s="47">
        <f>IF(I38="Y",$C$3*Input!$C$29/36*J$4,0)</f>
        <v>0</v>
      </c>
      <c r="K38" s="15">
        <f t="shared" si="5"/>
        <v>0</v>
      </c>
      <c r="L38" s="75">
        <f t="shared" si="0"/>
        <v>0</v>
      </c>
      <c r="M38" s="76">
        <f t="shared" si="6"/>
        <v>0</v>
      </c>
      <c r="N38" s="26">
        <f>VLOOKUP($B38,'County Data'!$B$9:$P$46,14,FALSE)</f>
        <v>0</v>
      </c>
      <c r="O38" s="47">
        <f>IF(N38="Y",$C$3*Input!$C$29/36*O$4,0)</f>
        <v>0</v>
      </c>
      <c r="P38" s="15">
        <f t="shared" si="7"/>
        <v>0</v>
      </c>
      <c r="Q38" s="75">
        <f t="shared" si="1"/>
        <v>0</v>
      </c>
      <c r="R38" s="76">
        <f t="shared" si="8"/>
        <v>0</v>
      </c>
      <c r="S38" s="26">
        <f>VLOOKUP($B38,'County Data'!$B$9:$P$46,15,FALSE)</f>
        <v>0</v>
      </c>
      <c r="T38" s="47">
        <f>IF(S38="Y",$C$3*Input!$C$29/36*T$4,0)</f>
        <v>0</v>
      </c>
      <c r="U38" s="15">
        <f t="shared" si="9"/>
        <v>0</v>
      </c>
      <c r="V38" s="75">
        <f t="shared" si="2"/>
        <v>0</v>
      </c>
      <c r="W38" s="76">
        <f t="shared" si="10"/>
        <v>0</v>
      </c>
      <c r="X38" s="77">
        <f t="shared" si="11"/>
        <v>14967.363333333335</v>
      </c>
      <c r="Y38" s="46">
        <f t="shared" si="12"/>
        <v>3.9115329097924027E-2</v>
      </c>
    </row>
    <row r="39" spans="2:25" x14ac:dyDescent="0.25">
      <c r="B39" s="20" t="str">
        <f>+'County Data'!$B$12</f>
        <v>Clackamas</v>
      </c>
      <c r="C39" s="15">
        <f>VLOOKUP($B39,'County Data'!$B$10:$P$46,2,FALSE)</f>
        <v>425316</v>
      </c>
      <c r="D39" s="26" t="str">
        <f>VLOOKUP($B39,'County Data'!$B$9:$P$46,12,FALSE)</f>
        <v>Y</v>
      </c>
      <c r="E39" s="75">
        <f>IF(D39="Y",$C$3*Input!$C$29/36*E$4,0)</f>
        <v>1333.3333333333333</v>
      </c>
      <c r="F39" s="15">
        <f t="shared" si="3"/>
        <v>425316</v>
      </c>
      <c r="G39" s="75">
        <f t="shared" si="22"/>
        <v>15154.37</v>
      </c>
      <c r="H39" s="76">
        <f t="shared" si="4"/>
        <v>16487.703333333335</v>
      </c>
      <c r="I39" s="26">
        <f>VLOOKUP($B39,'County Data'!$B$9:$P$46,13,FALSE)</f>
        <v>0</v>
      </c>
      <c r="J39" s="47">
        <f>IF(I39="Y",$C$3*Input!$C$29/36*J$4,0)</f>
        <v>0</v>
      </c>
      <c r="K39" s="15">
        <f t="shared" si="5"/>
        <v>0</v>
      </c>
      <c r="L39" s="75">
        <f t="shared" si="0"/>
        <v>0</v>
      </c>
      <c r="M39" s="76">
        <f t="shared" si="6"/>
        <v>0</v>
      </c>
      <c r="N39" s="26">
        <f>VLOOKUP($B39,'County Data'!$B$9:$P$46,14,FALSE)</f>
        <v>0</v>
      </c>
      <c r="O39" s="47">
        <f>IF(N39="Y",$C$3*Input!$C$29/36*O$4,0)</f>
        <v>0</v>
      </c>
      <c r="P39" s="15">
        <f t="shared" si="7"/>
        <v>0</v>
      </c>
      <c r="Q39" s="75">
        <f t="shared" si="1"/>
        <v>0</v>
      </c>
      <c r="R39" s="76">
        <f t="shared" si="8"/>
        <v>0</v>
      </c>
      <c r="S39" s="26">
        <f>VLOOKUP($B39,'County Data'!$B$9:$P$46,15,FALSE)</f>
        <v>0</v>
      </c>
      <c r="T39" s="47">
        <f>IF(S39="Y",$C$3*Input!$C$29/36*T$4,0)</f>
        <v>0</v>
      </c>
      <c r="U39" s="15">
        <f t="shared" si="9"/>
        <v>0</v>
      </c>
      <c r="V39" s="75">
        <f t="shared" si="2"/>
        <v>0</v>
      </c>
      <c r="W39" s="76">
        <f t="shared" si="10"/>
        <v>0</v>
      </c>
      <c r="X39" s="77">
        <f t="shared" si="11"/>
        <v>16487.703333333335</v>
      </c>
      <c r="Y39" s="46">
        <f t="shared" si="12"/>
        <v>3.8765772586343644E-2</v>
      </c>
    </row>
    <row r="40" spans="2:25" x14ac:dyDescent="0.25">
      <c r="B40" s="20" t="str">
        <f>+'County Data'!$B$44</f>
        <v>Washington</v>
      </c>
      <c r="C40" s="15">
        <f>VLOOKUP($B40,'County Data'!$B$10:$P$46,2,FALSE)</f>
        <v>605036</v>
      </c>
      <c r="D40" s="26" t="str">
        <f>VLOOKUP($B40,'County Data'!$B$9:$P$46,12,FALSE)</f>
        <v>Y</v>
      </c>
      <c r="E40" s="75">
        <f>IF(D40="Y",$C$3*Input!$C$29/36*E$4,0)</f>
        <v>1333.3333333333333</v>
      </c>
      <c r="F40" s="15">
        <f t="shared" si="3"/>
        <v>605036</v>
      </c>
      <c r="G40" s="75">
        <f t="shared" si="22"/>
        <v>21557.94</v>
      </c>
      <c r="H40" s="76">
        <f t="shared" si="4"/>
        <v>22891.273333333331</v>
      </c>
      <c r="I40" s="26">
        <f>VLOOKUP($B40,'County Data'!$B$9:$P$46,13,FALSE)</f>
        <v>0</v>
      </c>
      <c r="J40" s="47">
        <f>IF(I40="Y",$C$3*Input!$C$29/36*J$4,0)</f>
        <v>0</v>
      </c>
      <c r="K40" s="15">
        <f t="shared" si="5"/>
        <v>0</v>
      </c>
      <c r="L40" s="75">
        <f t="shared" si="0"/>
        <v>0</v>
      </c>
      <c r="M40" s="76">
        <f t="shared" si="6"/>
        <v>0</v>
      </c>
      <c r="N40" s="26">
        <f>VLOOKUP($B40,'County Data'!$B$9:$P$46,14,FALSE)</f>
        <v>0</v>
      </c>
      <c r="O40" s="47">
        <f>IF(N40="Y",$C$3*Input!$C$29/36*O$4,0)</f>
        <v>0</v>
      </c>
      <c r="P40" s="15">
        <f t="shared" si="7"/>
        <v>0</v>
      </c>
      <c r="Q40" s="75">
        <f t="shared" si="1"/>
        <v>0</v>
      </c>
      <c r="R40" s="76">
        <f t="shared" si="8"/>
        <v>0</v>
      </c>
      <c r="S40" s="26">
        <f>VLOOKUP($B40,'County Data'!$B$9:$P$46,15,FALSE)</f>
        <v>0</v>
      </c>
      <c r="T40" s="47">
        <f>IF(S40="Y",$C$3*Input!$C$29/36*T$4,0)</f>
        <v>0</v>
      </c>
      <c r="U40" s="15">
        <f t="shared" si="9"/>
        <v>0</v>
      </c>
      <c r="V40" s="75">
        <f t="shared" si="2"/>
        <v>0</v>
      </c>
      <c r="W40" s="76">
        <f t="shared" si="10"/>
        <v>0</v>
      </c>
      <c r="X40" s="77">
        <f t="shared" si="11"/>
        <v>22891.273333333331</v>
      </c>
      <c r="Y40" s="46">
        <f t="shared" si="12"/>
        <v>3.7834564114091279E-2</v>
      </c>
    </row>
    <row r="41" spans="2:25" x14ac:dyDescent="0.25">
      <c r="B41" s="20" t="str">
        <f>+'County Data'!$B$35</f>
        <v>Multnomah</v>
      </c>
      <c r="C41" s="15">
        <f>VLOOKUP($B41,'County Data'!$B$10:$P$46,2,FALSE)</f>
        <v>820672</v>
      </c>
      <c r="D41" s="26" t="str">
        <f>VLOOKUP($B41,'County Data'!$B$9:$P$46,12,FALSE)</f>
        <v>Y</v>
      </c>
      <c r="E41" s="75">
        <f>IF(D41="Y",$C$3*Input!$C$29/36*E$4,0)</f>
        <v>1333.3333333333333</v>
      </c>
      <c r="F41" s="15">
        <f t="shared" si="3"/>
        <v>820672</v>
      </c>
      <c r="G41" s="75">
        <f t="shared" si="22"/>
        <v>29241.23</v>
      </c>
      <c r="H41" s="76">
        <f t="shared" si="4"/>
        <v>30574.563333333332</v>
      </c>
      <c r="I41" s="26">
        <f>VLOOKUP($B41,'County Data'!$B$9:$P$46,13,FALSE)</f>
        <v>0</v>
      </c>
      <c r="J41" s="47">
        <f>IF(I41="Y",$C$3*Input!$C$29/36*J$4,0)</f>
        <v>0</v>
      </c>
      <c r="K41" s="15">
        <f t="shared" si="5"/>
        <v>0</v>
      </c>
      <c r="L41" s="75">
        <f t="shared" si="0"/>
        <v>0</v>
      </c>
      <c r="M41" s="76">
        <f t="shared" si="6"/>
        <v>0</v>
      </c>
      <c r="N41" s="26">
        <f>VLOOKUP($B41,'County Data'!$B$9:$P$46,14,FALSE)</f>
        <v>0</v>
      </c>
      <c r="O41" s="47">
        <f>IF(N41="Y",$C$3*Input!$C$29/36*O$4,0)</f>
        <v>0</v>
      </c>
      <c r="P41" s="15">
        <f t="shared" si="7"/>
        <v>0</v>
      </c>
      <c r="Q41" s="75">
        <f t="shared" si="1"/>
        <v>0</v>
      </c>
      <c r="R41" s="76">
        <f t="shared" si="8"/>
        <v>0</v>
      </c>
      <c r="S41" s="26">
        <f>VLOOKUP($B41,'County Data'!$B$9:$P$46,15,FALSE)</f>
        <v>0</v>
      </c>
      <c r="T41" s="47">
        <f>IF(S41="Y",$C$3*Input!$C$29/36*T$4,0)</f>
        <v>0</v>
      </c>
      <c r="U41" s="15">
        <f t="shared" si="9"/>
        <v>0</v>
      </c>
      <c r="V41" s="75">
        <f t="shared" si="2"/>
        <v>0</v>
      </c>
      <c r="W41" s="76">
        <f t="shared" si="10"/>
        <v>0</v>
      </c>
      <c r="X41" s="77">
        <f t="shared" si="11"/>
        <v>30574.563333333332</v>
      </c>
      <c r="Y41" s="46">
        <f t="shared" si="12"/>
        <v>3.7255521491330677E-2</v>
      </c>
    </row>
    <row r="42" spans="2:25" x14ac:dyDescent="0.25">
      <c r="B42" s="4" t="s">
        <v>89</v>
      </c>
      <c r="C42" s="5">
        <f t="shared" ref="C42:H42" si="23">SUM(C7:C41)</f>
        <v>4266560</v>
      </c>
      <c r="D42" s="5">
        <f>COUNTIF(D7:D41,"Y")</f>
        <v>35</v>
      </c>
      <c r="E42" s="74">
        <f t="shared" si="23"/>
        <v>47999.666666666686</v>
      </c>
      <c r="F42" s="5">
        <f t="shared" si="23"/>
        <v>4265977</v>
      </c>
      <c r="G42" s="74">
        <f t="shared" si="23"/>
        <v>151999.91</v>
      </c>
      <c r="H42" s="74">
        <f t="shared" si="23"/>
        <v>199999.57666666669</v>
      </c>
      <c r="I42" s="5">
        <f>COUNTIF(I7:I41,"Y")</f>
        <v>0</v>
      </c>
      <c r="J42" s="74">
        <f t="shared" ref="J42:M42" si="24">SUM(J7:J41)</f>
        <v>0</v>
      </c>
      <c r="K42" s="70">
        <f>SUM(K7:K41)+0.001</f>
        <v>1E-3</v>
      </c>
      <c r="L42" s="74">
        <f t="shared" si="24"/>
        <v>0</v>
      </c>
      <c r="M42" s="74">
        <f t="shared" si="24"/>
        <v>0</v>
      </c>
      <c r="N42" s="5">
        <f>COUNTIF(N7:N41,"Y")</f>
        <v>0</v>
      </c>
      <c r="O42" s="74">
        <f t="shared" ref="O42" si="25">SUM(O7:O41)</f>
        <v>0</v>
      </c>
      <c r="P42" s="70">
        <f>SUM(P7:P41)+0.001</f>
        <v>1E-3</v>
      </c>
      <c r="Q42" s="74">
        <f t="shared" ref="Q42:R42" si="26">SUM(Q7:Q41)</f>
        <v>0</v>
      </c>
      <c r="R42" s="74">
        <f t="shared" si="26"/>
        <v>0</v>
      </c>
      <c r="S42" s="5">
        <f>COUNTIF(S7:S41,"Y")</f>
        <v>0</v>
      </c>
      <c r="T42" s="74">
        <f t="shared" ref="T42" si="27">SUM(T7:T41)</f>
        <v>0</v>
      </c>
      <c r="U42" s="70">
        <f>SUM(U7:U41)+0.001</f>
        <v>1E-3</v>
      </c>
      <c r="V42" s="74">
        <f t="shared" ref="V42:X42" si="28">SUM(V7:V41)</f>
        <v>0</v>
      </c>
      <c r="W42" s="74">
        <f t="shared" si="28"/>
        <v>0</v>
      </c>
      <c r="X42" s="74">
        <f t="shared" si="28"/>
        <v>199999.57666666669</v>
      </c>
      <c r="Y42" s="73">
        <f t="shared" si="12"/>
        <v>4.687607268306708E-2</v>
      </c>
    </row>
    <row r="43" spans="2:25" x14ac:dyDescent="0.25">
      <c r="E43" s="38"/>
    </row>
  </sheetData>
  <sortState xmlns:xlrd2="http://schemas.microsoft.com/office/spreadsheetml/2017/richdata2" ref="B7:H41">
    <sortCondition ref="C7:C41"/>
  </sortState>
  <mergeCells count="4">
    <mergeCell ref="D5:H5"/>
    <mergeCell ref="I5:M5"/>
    <mergeCell ref="N5:R5"/>
    <mergeCell ref="S5:W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50"/>
  <sheetViews>
    <sheetView showGridLines="0" tabSelected="1" zoomScale="90" zoomScaleNormal="90" workbookViewId="0">
      <selection activeCell="I4" sqref="C4:I4"/>
    </sheetView>
  </sheetViews>
  <sheetFormatPr defaultRowHeight="15" x14ac:dyDescent="0.25"/>
  <cols>
    <col min="1" max="1" width="3" bestFit="1" customWidth="1"/>
    <col min="2" max="2" width="22" customWidth="1"/>
    <col min="3" max="10" width="14.28515625" customWidth="1"/>
    <col min="11" max="11" width="16.5703125" bestFit="1" customWidth="1"/>
    <col min="12" max="13" width="16.5703125" customWidth="1"/>
    <col min="14" max="22" width="14.28515625" customWidth="1"/>
    <col min="23" max="23" width="16.42578125" bestFit="1" customWidth="1"/>
    <col min="24" max="25" width="16.42578125" customWidth="1"/>
    <col min="26" max="27" width="14.28515625" customWidth="1"/>
    <col min="28" max="28" width="13.42578125" bestFit="1" customWidth="1"/>
    <col min="29" max="30" width="13.42578125" customWidth="1"/>
    <col min="31" max="31" width="11.5703125" bestFit="1" customWidth="1"/>
    <col min="32" max="33" width="11.5703125" customWidth="1"/>
    <col min="34" max="34" width="11" customWidth="1"/>
    <col min="35" max="35" width="10.140625" bestFit="1" customWidth="1"/>
    <col min="36" max="37" width="10.140625" customWidth="1"/>
    <col min="38" max="38" width="11.85546875" customWidth="1"/>
    <col min="39" max="39" width="11.140625" customWidth="1"/>
    <col min="40" max="40" width="10.140625" customWidth="1"/>
    <col min="42" max="42" width="13.85546875" bestFit="1" customWidth="1"/>
  </cols>
  <sheetData>
    <row r="1" spans="2:41" ht="18.75" x14ac:dyDescent="0.3">
      <c r="B1" s="24" t="s">
        <v>27</v>
      </c>
      <c r="C1" s="24"/>
    </row>
    <row r="2" spans="2:41" ht="18.75" x14ac:dyDescent="0.25">
      <c r="B2" s="180" t="s">
        <v>28</v>
      </c>
      <c r="C2" s="23"/>
    </row>
    <row r="3" spans="2:41" ht="18.75" x14ac:dyDescent="0.25">
      <c r="B3" s="180"/>
      <c r="C3" s="23"/>
    </row>
    <row r="4" spans="2:41" ht="18.75" x14ac:dyDescent="0.25">
      <c r="B4" s="219" t="s">
        <v>29</v>
      </c>
      <c r="C4" s="220"/>
      <c r="D4" s="221"/>
      <c r="E4" s="221"/>
      <c r="F4" s="221"/>
      <c r="G4" s="221"/>
      <c r="H4" s="221"/>
      <c r="I4" s="221"/>
    </row>
    <row r="5" spans="2:41" ht="18.75" x14ac:dyDescent="0.3">
      <c r="B5" s="181" t="s">
        <v>30</v>
      </c>
      <c r="C5" s="179"/>
      <c r="D5" s="176"/>
      <c r="E5" s="176"/>
      <c r="F5" s="176"/>
      <c r="G5" s="176"/>
      <c r="H5" s="176"/>
      <c r="I5" s="176"/>
      <c r="J5" s="176"/>
      <c r="K5" s="182">
        <f>Input!C5</f>
        <v>20000000</v>
      </c>
      <c r="L5" s="182"/>
      <c r="M5" s="182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</row>
    <row r="6" spans="2:41" ht="16.5" thickBot="1" x14ac:dyDescent="0.3">
      <c r="B6" s="23"/>
      <c r="C6" s="23"/>
    </row>
    <row r="7" spans="2:41" ht="34.5" customHeight="1" thickTop="1" x14ac:dyDescent="0.25">
      <c r="B7" s="92"/>
      <c r="C7" s="93"/>
      <c r="D7" s="203"/>
      <c r="E7" s="204" t="s">
        <v>31</v>
      </c>
      <c r="F7" s="204" t="s">
        <v>32</v>
      </c>
      <c r="G7" s="204" t="s">
        <v>33</v>
      </c>
      <c r="H7" s="204" t="s">
        <v>31</v>
      </c>
      <c r="I7" s="204" t="s">
        <v>32</v>
      </c>
      <c r="J7" s="204" t="s">
        <v>33</v>
      </c>
      <c r="K7" s="204" t="s">
        <v>31</v>
      </c>
      <c r="L7" s="204" t="s">
        <v>32</v>
      </c>
      <c r="M7" s="204" t="s">
        <v>33</v>
      </c>
      <c r="N7" s="204" t="s">
        <v>31</v>
      </c>
      <c r="O7" s="204" t="s">
        <v>32</v>
      </c>
      <c r="P7" s="204" t="s">
        <v>33</v>
      </c>
      <c r="Q7" s="204" t="s">
        <v>31</v>
      </c>
      <c r="R7" s="204" t="s">
        <v>32</v>
      </c>
      <c r="S7" s="204" t="s">
        <v>33</v>
      </c>
      <c r="T7" s="204" t="s">
        <v>31</v>
      </c>
      <c r="U7" s="204" t="s">
        <v>32</v>
      </c>
      <c r="V7" s="204" t="s">
        <v>33</v>
      </c>
      <c r="W7" s="204" t="s">
        <v>31</v>
      </c>
      <c r="X7" s="204" t="s">
        <v>32</v>
      </c>
      <c r="Y7" s="204" t="s">
        <v>33</v>
      </c>
      <c r="Z7" s="223" t="s">
        <v>34</v>
      </c>
      <c r="AA7" s="224"/>
      <c r="AB7" s="204" t="s">
        <v>31</v>
      </c>
      <c r="AC7" s="204" t="s">
        <v>32</v>
      </c>
      <c r="AD7" s="204" t="s">
        <v>33</v>
      </c>
      <c r="AE7" s="204" t="s">
        <v>31</v>
      </c>
      <c r="AF7" s="204" t="s">
        <v>32</v>
      </c>
      <c r="AG7" s="204" t="s">
        <v>33</v>
      </c>
      <c r="AH7" s="204" t="s">
        <v>35</v>
      </c>
      <c r="AI7" s="204" t="s">
        <v>31</v>
      </c>
      <c r="AJ7" s="204" t="s">
        <v>32</v>
      </c>
      <c r="AK7" s="204" t="s">
        <v>33</v>
      </c>
      <c r="AL7" s="204" t="s">
        <v>31</v>
      </c>
      <c r="AM7" s="204" t="s">
        <v>32</v>
      </c>
      <c r="AN7" s="204" t="s">
        <v>33</v>
      </c>
    </row>
    <row r="8" spans="2:41" s="2" customFormat="1" ht="32.25" x14ac:dyDescent="0.25">
      <c r="B8" s="94" t="s">
        <v>36</v>
      </c>
      <c r="C8" s="95" t="s">
        <v>37</v>
      </c>
      <c r="D8" s="205" t="s">
        <v>38</v>
      </c>
      <c r="E8" s="206" t="s">
        <v>39</v>
      </c>
      <c r="F8" s="205" t="s">
        <v>39</v>
      </c>
      <c r="G8" s="205" t="s">
        <v>40</v>
      </c>
      <c r="H8" s="205" t="s">
        <v>41</v>
      </c>
      <c r="I8" s="206" t="s">
        <v>41</v>
      </c>
      <c r="J8" s="205" t="s">
        <v>40</v>
      </c>
      <c r="K8" s="205" t="s">
        <v>42</v>
      </c>
      <c r="L8" s="205" t="s">
        <v>42</v>
      </c>
      <c r="M8" s="205" t="s">
        <v>40</v>
      </c>
      <c r="N8" s="205" t="s">
        <v>43</v>
      </c>
      <c r="O8" s="205" t="s">
        <v>43</v>
      </c>
      <c r="P8" s="205" t="s">
        <v>40</v>
      </c>
      <c r="Q8" s="205" t="s">
        <v>44</v>
      </c>
      <c r="R8" s="205" t="s">
        <v>44</v>
      </c>
      <c r="S8" s="205" t="s">
        <v>40</v>
      </c>
      <c r="T8" s="205" t="s">
        <v>45</v>
      </c>
      <c r="U8" s="205" t="s">
        <v>45</v>
      </c>
      <c r="V8" s="205" t="s">
        <v>40</v>
      </c>
      <c r="W8" s="205" t="s">
        <v>46</v>
      </c>
      <c r="X8" s="205" t="s">
        <v>46</v>
      </c>
      <c r="Y8" s="205" t="s">
        <v>40</v>
      </c>
      <c r="Z8" s="162" t="s">
        <v>47</v>
      </c>
      <c r="AA8" s="163" t="s">
        <v>48</v>
      </c>
      <c r="AB8" s="141" t="s">
        <v>49</v>
      </c>
      <c r="AC8" s="141" t="s">
        <v>49</v>
      </c>
      <c r="AD8" s="205" t="s">
        <v>40</v>
      </c>
      <c r="AE8" s="96" t="s">
        <v>50</v>
      </c>
      <c r="AF8" s="96" t="s">
        <v>50</v>
      </c>
      <c r="AG8" s="205" t="s">
        <v>40</v>
      </c>
      <c r="AH8" s="96" t="s">
        <v>51</v>
      </c>
      <c r="AI8" s="142" t="s">
        <v>52</v>
      </c>
      <c r="AJ8" s="142" t="s">
        <v>52</v>
      </c>
      <c r="AK8" s="205" t="s">
        <v>40</v>
      </c>
      <c r="AL8" s="97" t="s">
        <v>53</v>
      </c>
      <c r="AM8" s="97" t="s">
        <v>53</v>
      </c>
      <c r="AN8" s="205" t="s">
        <v>40</v>
      </c>
    </row>
    <row r="9" spans="2:41" x14ac:dyDescent="0.25">
      <c r="B9" s="98" t="s">
        <v>54</v>
      </c>
      <c r="C9" s="99">
        <f>VLOOKUP($B9,'County Data'!$B$10:$C$46,2,FALSE)</f>
        <v>1456</v>
      </c>
      <c r="D9" s="129">
        <f>VLOOKUP($B9,Floor!$B$6:$M$45,4,FALSE)</f>
        <v>199999.99999999997</v>
      </c>
      <c r="E9" s="100">
        <f>VLOOKUP($B9,[1]Burden!$B$6:$H$41,6,FALSE)</f>
        <v>666.26506257349979</v>
      </c>
      <c r="F9" s="100">
        <f>VLOOKUP($B9,Burden!$B$6:$H$41,6,FALSE)</f>
        <v>199.87951877204998</v>
      </c>
      <c r="G9" s="207">
        <f>F9-E9</f>
        <v>-466.38554380144978</v>
      </c>
      <c r="H9" s="100">
        <f>VLOOKUP($B9,'[1]Health Status'!$B$6:$H$41,6,FALSE)</f>
        <v>1308.7779335175471</v>
      </c>
      <c r="I9" s="100">
        <f>VLOOKUP($B9,'Health Status'!$B$6:$H$41,6,FALSE)</f>
        <v>392.63338005526418</v>
      </c>
      <c r="J9" s="207">
        <f>I9-H9</f>
        <v>-916.14455346228294</v>
      </c>
      <c r="K9" s="100">
        <f>VLOOKUP($B9,[1]Ethnicity!$B$6:$H$41,6,FALSE)</f>
        <v>262.46700519293006</v>
      </c>
      <c r="L9" s="100">
        <f>VLOOKUP($B9,Ethnicity!$B$6:$H$41,6,FALSE)</f>
        <v>283.46436560836452</v>
      </c>
      <c r="M9" s="207">
        <f>L9-K9</f>
        <v>20.997360415434457</v>
      </c>
      <c r="N9" s="100">
        <f>VLOOKUP($B9,[1]Poverty!$B$6:$H$41,6,FALSE)</f>
        <v>478.54633982970688</v>
      </c>
      <c r="O9" s="100">
        <f>VLOOKUP($B9,Poverty!$B$6:$H$41,6,FALSE)</f>
        <v>1033.6600940321669</v>
      </c>
      <c r="P9" s="207">
        <f>O9-N9</f>
        <v>555.11375420245997</v>
      </c>
      <c r="Q9" s="100">
        <f>VLOOKUP($B9,[1]Rurality!$B$6:$H$41,6,FALSE)</f>
        <v>3511.0102723970936</v>
      </c>
      <c r="R9" s="100">
        <f>VLOOKUP($B9,Rurality!$B$6:$H$41,6,FALSE)</f>
        <v>3791.8910941888612</v>
      </c>
      <c r="S9" s="207">
        <f>R9-Q9</f>
        <v>280.88082179176763</v>
      </c>
      <c r="T9" s="100">
        <f>VLOOKUP($B9,[1]Education!$B$6:$H$41,6,FALSE)</f>
        <v>271.00583793439085</v>
      </c>
      <c r="U9" s="100">
        <f>VLOOKUP($B9,Education!$B$6:$H$41,6,FALSE)</f>
        <v>585.37260993828431</v>
      </c>
      <c r="V9" s="207">
        <f>U9-T9</f>
        <v>314.36677200389346</v>
      </c>
      <c r="W9" s="130">
        <f>VLOOKUP($B9,[1]Language!$B$6:$H$41,6,FALSE)</f>
        <v>8.3533292792845071</v>
      </c>
      <c r="X9" s="130">
        <f>VLOOKUP($B9,Language!$B$6:$H$41,6,FALSE)</f>
        <v>9.0215956216272684</v>
      </c>
      <c r="Y9" s="207">
        <f>X9-W9</f>
        <v>0.66826634234276128</v>
      </c>
      <c r="Z9" s="164">
        <f>VLOOKUP($B9,Matching!$B$7:$L$41,10,FALSE)</f>
        <v>0</v>
      </c>
      <c r="AA9" s="165">
        <f>VLOOKUP($B9,Incentives!$B$7:$Y$41,23,FALSE)</f>
        <v>1385.2133333333334</v>
      </c>
      <c r="AB9" s="143">
        <v>207891.63911405782</v>
      </c>
      <c r="AC9" s="143">
        <v>207681.13599154996</v>
      </c>
      <c r="AD9" s="211">
        <f>AC9-AB9</f>
        <v>-210.50312250785646</v>
      </c>
      <c r="AE9" s="101">
        <v>1.0394582175721548E-2</v>
      </c>
      <c r="AF9" s="101">
        <f t="shared" ref="AF9:AF43" si="0">AC9/$AB$44</f>
        <v>1.0384057019373373E-2</v>
      </c>
      <c r="AG9" s="213">
        <f>AF9-AE9</f>
        <v>-1.0525156348174802E-5</v>
      </c>
      <c r="AH9" s="101">
        <v>3.4125853146328656E-4</v>
      </c>
      <c r="AI9" s="144">
        <f t="shared" ref="AI9:AI43" si="1">AB9/C9</f>
        <v>142.782719171743</v>
      </c>
      <c r="AJ9" s="144">
        <f>AC9/C9</f>
        <v>142.63814285133927</v>
      </c>
      <c r="AK9" s="217">
        <f>AJ9-AI9</f>
        <v>-0.14457632040372914</v>
      </c>
      <c r="AL9" s="102"/>
      <c r="AN9" s="22"/>
      <c r="AO9" s="22"/>
    </row>
    <row r="10" spans="2:41" x14ac:dyDescent="0.25">
      <c r="B10" s="98" t="s">
        <v>55</v>
      </c>
      <c r="C10" s="99">
        <f>VLOOKUP($B10,'County Data'!$B$10:$C$46,2,FALSE)</f>
        <v>2039</v>
      </c>
      <c r="D10" s="129">
        <f>VLOOKUP($B10,Floor!$B$6:$M$45,4,FALSE)</f>
        <v>199999.99999999997</v>
      </c>
      <c r="E10" s="100">
        <f>VLOOKUP($B10,[1]Burden!$B$6:$H$41,6,FALSE)</f>
        <v>972.28475525974898</v>
      </c>
      <c r="F10" s="100">
        <f>VLOOKUP($B10,Burden!$B$6:$H$41,6,FALSE)</f>
        <v>291.68542657792472</v>
      </c>
      <c r="G10" s="207">
        <f t="shared" ref="G10:G43" si="2">F10-E10</f>
        <v>-680.59932868182432</v>
      </c>
      <c r="H10" s="100">
        <f>VLOOKUP($B10,'[1]Health Status'!$B$6:$H$41,6,FALSE)</f>
        <v>817.63903393741248</v>
      </c>
      <c r="I10" s="100">
        <f>VLOOKUP($B10,'Health Status'!$B$6:$H$41,6,FALSE)</f>
        <v>245.29171018122378</v>
      </c>
      <c r="J10" s="207">
        <f t="shared" ref="J10:J43" si="3">I10-H10</f>
        <v>-572.34732375618864</v>
      </c>
      <c r="K10" s="100">
        <f>VLOOKUP($B10,[1]Ethnicity!$B$6:$H$41,6,FALSE)</f>
        <v>418.52511592760789</v>
      </c>
      <c r="L10" s="100">
        <f>VLOOKUP($B10,Ethnicity!$B$6:$H$41,6,FALSE)</f>
        <v>452.00712520181656</v>
      </c>
      <c r="M10" s="207">
        <f t="shared" ref="M10:M43" si="4">L10-K10</f>
        <v>33.482009274208679</v>
      </c>
      <c r="N10" s="100">
        <f>VLOOKUP($B10,[1]Poverty!$B$6:$H$41,6,FALSE)</f>
        <v>480.38097901368002</v>
      </c>
      <c r="O10" s="100">
        <f>VLOOKUP($B10,Poverty!$B$6:$H$41,6,FALSE)</f>
        <v>1037.6229146695489</v>
      </c>
      <c r="P10" s="207">
        <f t="shared" ref="P10:P43" si="5">O10-N10</f>
        <v>557.24193565586893</v>
      </c>
      <c r="Q10" s="100">
        <f>VLOOKUP($B10,[1]Rurality!$B$6:$H$41,6,FALSE)</f>
        <v>4916.8612262484021</v>
      </c>
      <c r="R10" s="100">
        <f>VLOOKUP($B10,Rurality!$B$6:$H$41,6,FALSE)</f>
        <v>5310.2101243482739</v>
      </c>
      <c r="S10" s="207">
        <f t="shared" ref="S10:S43" si="6">R10-Q10</f>
        <v>393.3488980998718</v>
      </c>
      <c r="T10" s="100">
        <f>VLOOKUP($B10,[1]Education!$B$6:$H$41,6,FALSE)</f>
        <v>463.10242861884319</v>
      </c>
      <c r="U10" s="100">
        <f>VLOOKUP($B10,Education!$B$6:$H$41,6,FALSE)</f>
        <v>1000.3012458167013</v>
      </c>
      <c r="V10" s="207">
        <f t="shared" ref="V10:V43" si="7">U10-T10</f>
        <v>537.19881719785815</v>
      </c>
      <c r="W10" s="130">
        <f>VLOOKUP($B10,[1]Language!$B$6:$H$41,6,FALSE)</f>
        <v>435.95017226545423</v>
      </c>
      <c r="X10" s="130">
        <f>VLOOKUP($B10,Language!$B$6:$H$41,6,FALSE)</f>
        <v>470.82618604669062</v>
      </c>
      <c r="Y10" s="207">
        <f t="shared" ref="Y10:Y43" si="8">X10-W10</f>
        <v>34.876013781236395</v>
      </c>
      <c r="Z10" s="164">
        <f>VLOOKUP($B10,Matching!$B$7:$L$41,10,FALSE)</f>
        <v>0</v>
      </c>
      <c r="AA10" s="165">
        <f>VLOOKUP($B10,Incentives!$B$7:$Y$41,23,FALSE)</f>
        <v>1384.44</v>
      </c>
      <c r="AB10" s="143">
        <v>209889.18371127115</v>
      </c>
      <c r="AC10" s="143">
        <v>210192.38473284213</v>
      </c>
      <c r="AD10" s="211">
        <f t="shared" ref="AD10:AD43" si="9">AC10-AB10</f>
        <v>303.20102157097426</v>
      </c>
      <c r="AE10" s="101">
        <v>1.0494459407696282E-2</v>
      </c>
      <c r="AF10" s="101">
        <f t="shared" si="0"/>
        <v>1.0509619459095719E-2</v>
      </c>
      <c r="AG10" s="213">
        <f t="shared" ref="AG10:AG43" si="10">AF10-AE10</f>
        <v>1.5160051399436963E-5</v>
      </c>
      <c r="AH10" s="101">
        <v>4.779025725643141E-4</v>
      </c>
      <c r="AI10" s="144">
        <f t="shared" si="1"/>
        <v>102.93731422818595</v>
      </c>
      <c r="AJ10" s="144">
        <f t="shared" ref="AJ10:AJ43" si="11">AC10/C10</f>
        <v>103.08601507250717</v>
      </c>
      <c r="AK10" s="217">
        <f t="shared" ref="AK10:AK43" si="12">AJ10-AI10</f>
        <v>0.14870084432121189</v>
      </c>
      <c r="AL10" s="102"/>
      <c r="AN10" s="22"/>
      <c r="AO10" s="22"/>
    </row>
    <row r="11" spans="2:41" x14ac:dyDescent="0.25">
      <c r="B11" s="98" t="s">
        <v>56</v>
      </c>
      <c r="C11" s="99">
        <f>VLOOKUP($B11,'County Data'!$B$10:$C$46,2,FALSE)</f>
        <v>7433</v>
      </c>
      <c r="D11" s="129">
        <f>VLOOKUP($B11,Floor!$B$6:$M$45,4,FALSE)</f>
        <v>199999.99999999997</v>
      </c>
      <c r="E11" s="100">
        <f>VLOOKUP($B11,[1]Burden!$B$6:$H$41,6,FALSE)</f>
        <v>3544.380866035171</v>
      </c>
      <c r="F11" s="100">
        <f>VLOOKUP($B11,Burden!$B$6:$H$41,6,FALSE)</f>
        <v>1063.3142598105514</v>
      </c>
      <c r="G11" s="207">
        <f t="shared" si="2"/>
        <v>-2481.0666062246196</v>
      </c>
      <c r="H11" s="100">
        <f>VLOOKUP($B11,'[1]Health Status'!$B$6:$H$41,6,FALSE)</f>
        <v>2980.6331237159334</v>
      </c>
      <c r="I11" s="100">
        <f>VLOOKUP($B11,'Health Status'!$B$6:$H$41,6,FALSE)</f>
        <v>894.18993711478015</v>
      </c>
      <c r="J11" s="207">
        <f t="shared" si="3"/>
        <v>-2086.4431866011532</v>
      </c>
      <c r="K11" s="100">
        <f>VLOOKUP($B11,[1]Ethnicity!$B$6:$H$41,6,FALSE)</f>
        <v>1072.4656076829767</v>
      </c>
      <c r="L11" s="100">
        <f>VLOOKUP($B11,Ethnicity!$B$6:$H$41,6,FALSE)</f>
        <v>1158.2628562976149</v>
      </c>
      <c r="M11" s="207">
        <f t="shared" si="4"/>
        <v>85.797248614638193</v>
      </c>
      <c r="N11" s="100">
        <f>VLOOKUP($B11,[1]Poverty!$B$6:$H$41,6,FALSE)</f>
        <v>1808.2301997152206</v>
      </c>
      <c r="O11" s="100">
        <f>VLOOKUP($B11,Poverty!$B$6:$H$41,6,FALSE)</f>
        <v>3905.7772313848764</v>
      </c>
      <c r="P11" s="207">
        <f t="shared" si="5"/>
        <v>2097.5470316696556</v>
      </c>
      <c r="Q11" s="100">
        <f>VLOOKUP($B11,[1]Rurality!$B$6:$H$41,6,FALSE)</f>
        <v>17923.996809565655</v>
      </c>
      <c r="R11" s="100">
        <f>VLOOKUP($B11,Rurality!$B$6:$H$41,6,FALSE)</f>
        <v>19357.916554330906</v>
      </c>
      <c r="S11" s="207">
        <f t="shared" si="6"/>
        <v>1433.9197447652514</v>
      </c>
      <c r="T11" s="100">
        <f>VLOOKUP($B11,[1]Education!$B$6:$H$41,6,FALSE)</f>
        <v>1309.9633900244771</v>
      </c>
      <c r="U11" s="100">
        <f>VLOOKUP($B11,Education!$B$6:$H$41,6,FALSE)</f>
        <v>2829.5209224528708</v>
      </c>
      <c r="V11" s="207">
        <f t="shared" si="7"/>
        <v>1519.5575324283936</v>
      </c>
      <c r="W11" s="130">
        <f>VLOOKUP($B11,[1]Language!$B$6:$H$41,6,FALSE)</f>
        <v>631.94941209738022</v>
      </c>
      <c r="X11" s="130">
        <f>VLOOKUP($B11,Language!$B$6:$H$41,6,FALSE)</f>
        <v>682.50536506517062</v>
      </c>
      <c r="Y11" s="207">
        <f t="shared" si="8"/>
        <v>50.555952967790404</v>
      </c>
      <c r="Z11" s="164">
        <f>VLOOKUP($B11,Matching!$B$7:$L$41,10,FALSE)</f>
        <v>0</v>
      </c>
      <c r="AA11" s="165">
        <f>VLOOKUP($B11,Incentives!$B$7:$Y$41,23,FALSE)</f>
        <v>1598.1733333333332</v>
      </c>
      <c r="AB11" s="143">
        <v>230869.7927421701</v>
      </c>
      <c r="AC11" s="143">
        <v>231489.66045979009</v>
      </c>
      <c r="AD11" s="211">
        <f t="shared" si="9"/>
        <v>619.86771761998534</v>
      </c>
      <c r="AE11" s="101">
        <v>1.1543489881445709E-2</v>
      </c>
      <c r="AF11" s="101">
        <f t="shared" si="0"/>
        <v>1.1574483267982735E-2</v>
      </c>
      <c r="AG11" s="213">
        <f t="shared" si="10"/>
        <v>3.0993386537026338E-5</v>
      </c>
      <c r="AH11" s="101">
        <v>1.7421529288232207E-3</v>
      </c>
      <c r="AI11" s="144">
        <f t="shared" si="1"/>
        <v>31.060109342414922</v>
      </c>
      <c r="AJ11" s="144">
        <f t="shared" si="11"/>
        <v>31.143503357969877</v>
      </c>
      <c r="AK11" s="217">
        <f t="shared" si="12"/>
        <v>8.3394015554954848E-2</v>
      </c>
      <c r="AL11" s="102"/>
      <c r="AN11" s="22"/>
      <c r="AO11" s="22"/>
    </row>
    <row r="12" spans="2:41" x14ac:dyDescent="0.25">
      <c r="B12" s="98" t="s">
        <v>57</v>
      </c>
      <c r="C12" s="99">
        <f>VLOOKUP($B12,'County Data'!$B$10:$C$46,2,FALSE)</f>
        <v>7537</v>
      </c>
      <c r="D12" s="129">
        <f>VLOOKUP($B12,Floor!$B$6:$M$45,4,FALSE)</f>
        <v>199999.99999999997</v>
      </c>
      <c r="E12" s="100">
        <f>VLOOKUP($B12,[1]Burden!$B$6:$H$41,6,FALSE)</f>
        <v>5059.4756379918399</v>
      </c>
      <c r="F12" s="100">
        <f>VLOOKUP($B12,Burden!$B$6:$H$41,6,FALSE)</f>
        <v>1517.8426913975522</v>
      </c>
      <c r="G12" s="207">
        <f t="shared" si="2"/>
        <v>-3541.6329465942877</v>
      </c>
      <c r="H12" s="100">
        <f>VLOOKUP($B12,'[1]Health Status'!$B$6:$H$41,6,FALSE)</f>
        <v>2474.665297345804</v>
      </c>
      <c r="I12" s="100">
        <f>VLOOKUP($B12,'Health Status'!$B$6:$H$41,6,FALSE)</f>
        <v>742.39958920374136</v>
      </c>
      <c r="J12" s="207">
        <f t="shared" si="3"/>
        <v>-1732.2657081420625</v>
      </c>
      <c r="K12" s="100">
        <f>VLOOKUP($B12,[1]Ethnicity!$B$6:$H$41,6,FALSE)</f>
        <v>2001.2250719304056</v>
      </c>
      <c r="L12" s="100">
        <f>VLOOKUP($B12,Ethnicity!$B$6:$H$41,6,FALSE)</f>
        <v>2161.3230776848382</v>
      </c>
      <c r="M12" s="207">
        <f t="shared" si="4"/>
        <v>160.09800575443251</v>
      </c>
      <c r="N12" s="100">
        <f>VLOOKUP($B12,[1]Poverty!$B$6:$H$41,6,FALSE)</f>
        <v>2020.6241706314706</v>
      </c>
      <c r="O12" s="100">
        <f>VLOOKUP($B12,Poverty!$B$6:$H$41,6,FALSE)</f>
        <v>4364.5482085639769</v>
      </c>
      <c r="P12" s="207">
        <f t="shared" si="5"/>
        <v>2343.9240379325065</v>
      </c>
      <c r="Q12" s="100">
        <f>VLOOKUP($B12,[1]Rurality!$B$6:$H$41,6,FALSE)</f>
        <v>8051.4289831141496</v>
      </c>
      <c r="R12" s="100">
        <f>VLOOKUP($B12,Rurality!$B$6:$H$41,6,FALSE)</f>
        <v>8695.5433017632822</v>
      </c>
      <c r="S12" s="207">
        <f t="shared" si="6"/>
        <v>644.11431864913266</v>
      </c>
      <c r="T12" s="100">
        <f>VLOOKUP($B12,[1]Education!$B$6:$H$41,6,FALSE)</f>
        <v>1809.2577414251534</v>
      </c>
      <c r="U12" s="100">
        <f>VLOOKUP($B12,Education!$B$6:$H$41,6,FALSE)</f>
        <v>3907.9967214783314</v>
      </c>
      <c r="V12" s="207">
        <f t="shared" si="7"/>
        <v>2098.7389800531782</v>
      </c>
      <c r="W12" s="130">
        <f>VLOOKUP($B12,[1]Language!$B$6:$H$41,6,FALSE)</f>
        <v>890.75658539422864</v>
      </c>
      <c r="X12" s="130">
        <f>VLOOKUP($B12,Language!$B$6:$H$41,6,FALSE)</f>
        <v>962.01711222576694</v>
      </c>
      <c r="Y12" s="207">
        <f t="shared" si="8"/>
        <v>71.2605268315383</v>
      </c>
      <c r="Z12" s="164">
        <f>VLOOKUP($B12,Matching!$B$7:$L$41,10,FALSE)</f>
        <v>14815.223772711081</v>
      </c>
      <c r="AA12" s="165">
        <f>VLOOKUP($B12,Incentives!$B$7:$Y$41,23,FALSE)</f>
        <v>1601.8833333333332</v>
      </c>
      <c r="AB12" s="143">
        <v>238724.54059387743</v>
      </c>
      <c r="AC12" s="143">
        <v>238768.77780836186</v>
      </c>
      <c r="AD12" s="211">
        <f t="shared" si="9"/>
        <v>44.237214484426659</v>
      </c>
      <c r="AE12" s="101">
        <v>1.1936227282344017E-2</v>
      </c>
      <c r="AF12" s="101">
        <f t="shared" si="0"/>
        <v>1.1938439143115057E-2</v>
      </c>
      <c r="AG12" s="213">
        <f t="shared" si="10"/>
        <v>2.211860771039742E-6</v>
      </c>
      <c r="AH12" s="101">
        <v>1.7665285382134554E-3</v>
      </c>
      <c r="AI12" s="144">
        <f t="shared" si="1"/>
        <v>31.673681915069317</v>
      </c>
      <c r="AJ12" s="144">
        <f t="shared" si="11"/>
        <v>31.679551254923958</v>
      </c>
      <c r="AK12" s="217">
        <f t="shared" si="12"/>
        <v>5.8693398546409981E-3</v>
      </c>
      <c r="AL12" s="102"/>
      <c r="AN12" s="22"/>
      <c r="AO12" s="22"/>
    </row>
    <row r="13" spans="2:41" x14ac:dyDescent="0.25">
      <c r="B13" s="98" t="s">
        <v>58</v>
      </c>
      <c r="C13" s="99">
        <f>VLOOKUP($B13,'County Data'!$B$10:$C$46,2,FALSE)</f>
        <v>7226</v>
      </c>
      <c r="D13" s="129">
        <f>VLOOKUP($B13,Floor!$B$6:$M$45,4,FALSE)</f>
        <v>199999.99999999997</v>
      </c>
      <c r="E13" s="100">
        <f>VLOOKUP($B13,[1]Burden!$B$6:$H$41,6,FALSE)</f>
        <v>4016.8922974095562</v>
      </c>
      <c r="F13" s="100">
        <f>VLOOKUP($B13,Burden!$B$6:$H$41,6,FALSE)</f>
        <v>1205.0676892228671</v>
      </c>
      <c r="G13" s="207">
        <f t="shared" si="2"/>
        <v>-2811.8246081866891</v>
      </c>
      <c r="H13" s="100">
        <f>VLOOKUP($B13,'[1]Health Status'!$B$6:$H$41,6,FALSE)</f>
        <v>3014.3090512882027</v>
      </c>
      <c r="I13" s="100">
        <f>VLOOKUP($B13,'Health Status'!$B$6:$H$41,6,FALSE)</f>
        <v>904.29271538646094</v>
      </c>
      <c r="J13" s="207">
        <f t="shared" si="3"/>
        <v>-2110.0163359017415</v>
      </c>
      <c r="K13" s="100">
        <f>VLOOKUP($B13,[1]Ethnicity!$B$6:$H$41,6,FALSE)</f>
        <v>1122.5498805077887</v>
      </c>
      <c r="L13" s="100">
        <f>VLOOKUP($B13,Ethnicity!$B$6:$H$41,6,FALSE)</f>
        <v>1212.3538709484117</v>
      </c>
      <c r="M13" s="207">
        <f t="shared" si="4"/>
        <v>89.803990440623011</v>
      </c>
      <c r="N13" s="100">
        <f>VLOOKUP($B13,[1]Poverty!$B$6:$H$41,6,FALSE)</f>
        <v>1934.3722097961399</v>
      </c>
      <c r="O13" s="100">
        <f>VLOOKUP($B13,Poverty!$B$6:$H$41,6,FALSE)</f>
        <v>4178.2439731596623</v>
      </c>
      <c r="P13" s="207">
        <f t="shared" si="5"/>
        <v>2243.8717633635224</v>
      </c>
      <c r="Q13" s="100">
        <f>VLOOKUP($B13,[1]Rurality!$B$6:$H$41,6,FALSE)</f>
        <v>17424.835321663046</v>
      </c>
      <c r="R13" s="100">
        <f>VLOOKUP($B13,Rurality!$B$6:$H$41,6,FALSE)</f>
        <v>18818.822147396091</v>
      </c>
      <c r="S13" s="207">
        <f t="shared" si="6"/>
        <v>1393.9868257330454</v>
      </c>
      <c r="T13" s="100">
        <f>VLOOKUP($B13,[1]Education!$B$6:$H$41,6,FALSE)</f>
        <v>1905.9687839026756</v>
      </c>
      <c r="U13" s="100">
        <f>VLOOKUP($B13,Education!$B$6:$H$41,6,FALSE)</f>
        <v>4116.8925732297794</v>
      </c>
      <c r="V13" s="207">
        <f t="shared" si="7"/>
        <v>2210.9237893271038</v>
      </c>
      <c r="W13" s="130">
        <f>VLOOKUP($B13,[1]Language!$B$6:$H$41,6,FALSE)</f>
        <v>353.09665228529502</v>
      </c>
      <c r="X13" s="130">
        <f>VLOOKUP($B13,Language!$B$6:$H$41,6,FALSE)</f>
        <v>381.34438446811868</v>
      </c>
      <c r="Y13" s="207">
        <f t="shared" si="8"/>
        <v>28.247732182823654</v>
      </c>
      <c r="Z13" s="164">
        <f>VLOOKUP($B13,Matching!$B$7:$L$41,10,FALSE)</f>
        <v>0</v>
      </c>
      <c r="AA13" s="165">
        <f>VLOOKUP($B13,Incentives!$B$7:$Y$41,23,FALSE)</f>
        <v>1590.8033333333333</v>
      </c>
      <c r="AB13" s="143">
        <v>231362.82753018598</v>
      </c>
      <c r="AC13" s="143">
        <v>232407.82068714473</v>
      </c>
      <c r="AD13" s="211">
        <f t="shared" si="9"/>
        <v>1044.9931569587498</v>
      </c>
      <c r="AE13" s="101">
        <v>1.1568141621368298E-2</v>
      </c>
      <c r="AF13" s="101">
        <f t="shared" si="0"/>
        <v>1.1620391280322186E-2</v>
      </c>
      <c r="AG13" s="213">
        <f t="shared" si="10"/>
        <v>5.2249658953888722E-5</v>
      </c>
      <c r="AH13" s="101">
        <v>1.6936360909022726E-3</v>
      </c>
      <c r="AI13" s="144">
        <f t="shared" si="1"/>
        <v>32.018105110737061</v>
      </c>
      <c r="AJ13" s="144">
        <f t="shared" si="11"/>
        <v>32.162720825788092</v>
      </c>
      <c r="AK13" s="217">
        <f t="shared" si="12"/>
        <v>0.14461571505103166</v>
      </c>
      <c r="AL13" s="102"/>
      <c r="AN13" s="22"/>
      <c r="AO13" s="22"/>
    </row>
    <row r="14" spans="2:41" x14ac:dyDescent="0.25">
      <c r="B14" s="98" t="s">
        <v>59</v>
      </c>
      <c r="C14" s="99">
        <f>VLOOKUP($B14,'County Data'!$B$10:$C$46,2,FALSE)</f>
        <v>8177</v>
      </c>
      <c r="D14" s="129">
        <f>VLOOKUP($B14,Floor!$B$6:$M$45,4,FALSE)</f>
        <v>199999.99999999997</v>
      </c>
      <c r="E14" s="100">
        <f>VLOOKUP($B14,[1]Burden!$B$6:$H$41,6,FALSE)</f>
        <v>5333.1206568819416</v>
      </c>
      <c r="F14" s="100">
        <f>VLOOKUP($B14,Burden!$B$6:$H$41,6,FALSE)</f>
        <v>1599.9361970645828</v>
      </c>
      <c r="G14" s="207">
        <f t="shared" si="2"/>
        <v>-3733.1844598173589</v>
      </c>
      <c r="H14" s="100">
        <f>VLOOKUP($B14,'[1]Health Status'!$B$6:$H$41,6,FALSE)</f>
        <v>3939.1738749110923</v>
      </c>
      <c r="I14" s="100">
        <f>VLOOKUP($B14,'Health Status'!$B$6:$H$41,6,FALSE)</f>
        <v>1181.7521624733279</v>
      </c>
      <c r="J14" s="207">
        <f t="shared" si="3"/>
        <v>-2757.4217124377647</v>
      </c>
      <c r="K14" s="100">
        <f>VLOOKUP($B14,[1]Ethnicity!$B$6:$H$41,6,FALSE)</f>
        <v>2137.957605500661</v>
      </c>
      <c r="L14" s="100">
        <f>VLOOKUP($B14,Ethnicity!$B$6:$H$41,6,FALSE)</f>
        <v>2308.994213940714</v>
      </c>
      <c r="M14" s="207">
        <f t="shared" si="4"/>
        <v>171.03660844005299</v>
      </c>
      <c r="N14" s="100">
        <f>VLOOKUP($B14,[1]Poverty!$B$6:$H$41,6,FALSE)</f>
        <v>2593.6060926986224</v>
      </c>
      <c r="O14" s="100">
        <f>VLOOKUP($B14,Poverty!$B$6:$H$41,6,FALSE)</f>
        <v>5602.1891602290252</v>
      </c>
      <c r="P14" s="207">
        <f t="shared" si="5"/>
        <v>3008.5830675304028</v>
      </c>
      <c r="Q14" s="100">
        <f>VLOOKUP($B14,[1]Rurality!$B$6:$H$41,6,FALSE)</f>
        <v>12481.547473453656</v>
      </c>
      <c r="R14" s="100">
        <f>VLOOKUP($B14,Rurality!$B$6:$H$41,6,FALSE)</f>
        <v>13480.071271329949</v>
      </c>
      <c r="S14" s="207">
        <f t="shared" si="6"/>
        <v>998.52379787629252</v>
      </c>
      <c r="T14" s="100">
        <f>VLOOKUP($B14,[1]Education!$B$6:$H$41,6,FALSE)</f>
        <v>2517.2284659462116</v>
      </c>
      <c r="U14" s="100">
        <f>VLOOKUP($B14,Education!$B$6:$H$41,6,FALSE)</f>
        <v>5437.2134864438176</v>
      </c>
      <c r="V14" s="207">
        <f t="shared" si="7"/>
        <v>2919.985020497606</v>
      </c>
      <c r="W14" s="130">
        <f>VLOOKUP($B14,[1]Language!$B$6:$H$41,6,FALSE)</f>
        <v>1139.7801208830895</v>
      </c>
      <c r="X14" s="130">
        <f>VLOOKUP($B14,Language!$B$6:$H$41,6,FALSE)</f>
        <v>1230.9625305537365</v>
      </c>
      <c r="Y14" s="207">
        <f t="shared" si="8"/>
        <v>91.182409670647075</v>
      </c>
      <c r="Z14" s="164">
        <f>VLOOKUP($B14,Matching!$B$7:$L$41,10,FALSE)</f>
        <v>14201.984535982436</v>
      </c>
      <c r="AA14" s="165">
        <f>VLOOKUP($B14,Incentives!$B$7:$Y$41,23,FALSE)</f>
        <v>1624.6833333333334</v>
      </c>
      <c r="AB14" s="143">
        <v>245969.08215959097</v>
      </c>
      <c r="AC14" s="143">
        <v>246667.7868913509</v>
      </c>
      <c r="AD14" s="211">
        <f t="shared" si="9"/>
        <v>698.70473175993538</v>
      </c>
      <c r="AE14" s="101">
        <v>1.2298454368296834E-2</v>
      </c>
      <c r="AF14" s="101">
        <f t="shared" si="0"/>
        <v>1.2333389605624294E-2</v>
      </c>
      <c r="AG14" s="213">
        <f t="shared" si="10"/>
        <v>3.4935237327459595E-5</v>
      </c>
      <c r="AH14" s="101">
        <v>1.9165322883072076E-3</v>
      </c>
      <c r="AI14" s="144">
        <f t="shared" si="1"/>
        <v>30.080601951766045</v>
      </c>
      <c r="AJ14" s="144">
        <f t="shared" si="11"/>
        <v>30.166049515880019</v>
      </c>
      <c r="AK14" s="217">
        <f t="shared" si="12"/>
        <v>8.5447564113973584E-2</v>
      </c>
      <c r="AL14" s="102"/>
      <c r="AN14" s="22"/>
      <c r="AO14" s="22"/>
    </row>
    <row r="15" spans="2:41" x14ac:dyDescent="0.25">
      <c r="B15" s="98" t="s">
        <v>60</v>
      </c>
      <c r="C15" s="99">
        <f>VLOOKUP($B15,'County Data'!$B$10:$C$46,2,FALSE)</f>
        <v>12635</v>
      </c>
      <c r="D15" s="129">
        <f>VLOOKUP($B15,Floor!$B$6:$M$45,4,FALSE)</f>
        <v>199999.99999999997</v>
      </c>
      <c r="E15" s="100">
        <f>VLOOKUP($B15,[1]Burden!$B$6:$H$41,6,FALSE)</f>
        <v>5896.2830619672877</v>
      </c>
      <c r="F15" s="100">
        <f>VLOOKUP($B15,Burden!$B$6:$H$41,6,FALSE)</f>
        <v>1768.8849185901865</v>
      </c>
      <c r="G15" s="207">
        <f t="shared" si="2"/>
        <v>-4127.3981433771014</v>
      </c>
      <c r="H15" s="100">
        <f>VLOOKUP($B15,'[1]Health Status'!$B$6:$H$41,6,FALSE)</f>
        <v>10609.330104786703</v>
      </c>
      <c r="I15" s="100">
        <f>VLOOKUP($B15,'Health Status'!$B$6:$H$41,6,FALSE)</f>
        <v>3182.7990314360113</v>
      </c>
      <c r="J15" s="207">
        <f t="shared" si="3"/>
        <v>-7426.5310733506913</v>
      </c>
      <c r="K15" s="100">
        <f>VLOOKUP($B15,[1]Ethnicity!$B$6:$H$41,6,FALSE)</f>
        <v>4209.172332800089</v>
      </c>
      <c r="L15" s="100">
        <f>VLOOKUP($B15,Ethnicity!$B$6:$H$41,6,FALSE)</f>
        <v>4545.9061194240958</v>
      </c>
      <c r="M15" s="207">
        <f t="shared" si="4"/>
        <v>336.73378662400683</v>
      </c>
      <c r="N15" s="100">
        <f>VLOOKUP($B15,[1]Poverty!$B$6:$H$41,6,FALSE)</f>
        <v>3606.0576420948632</v>
      </c>
      <c r="O15" s="100">
        <f>VLOOKUP($B15,Poverty!$B$6:$H$41,6,FALSE)</f>
        <v>7789.0845069249053</v>
      </c>
      <c r="P15" s="207">
        <f t="shared" si="5"/>
        <v>4183.0268648300425</v>
      </c>
      <c r="Q15" s="100">
        <f>VLOOKUP($B15,[1]Rurality!$B$6:$H$41,6,FALSE)</f>
        <v>13984.877190527066</v>
      </c>
      <c r="R15" s="100">
        <f>VLOOKUP($B15,Rurality!$B$6:$H$41,6,FALSE)</f>
        <v>15103.667365769232</v>
      </c>
      <c r="S15" s="207">
        <f t="shared" si="6"/>
        <v>1118.7901752421658</v>
      </c>
      <c r="T15" s="100">
        <f>VLOOKUP($B15,[1]Education!$B$6:$H$41,6,FALSE)</f>
        <v>7327.9715710447053</v>
      </c>
      <c r="U15" s="100">
        <f>VLOOKUP($B15,Education!$B$6:$H$41,6,FALSE)</f>
        <v>15828.418593456563</v>
      </c>
      <c r="V15" s="207">
        <f t="shared" si="7"/>
        <v>8500.4470224118577</v>
      </c>
      <c r="W15" s="130">
        <f>VLOOKUP($B15,[1]Language!$B$6:$H$41,6,FALSE)</f>
        <v>15029.718238468024</v>
      </c>
      <c r="X15" s="130">
        <f>VLOOKUP($B15,Language!$B$6:$H$41,6,FALSE)</f>
        <v>16232.095697545466</v>
      </c>
      <c r="Y15" s="207">
        <f t="shared" si="8"/>
        <v>1202.3774590774428</v>
      </c>
      <c r="Z15" s="164">
        <f>VLOOKUP($B15,Matching!$B$7:$L$41,10,FALSE)</f>
        <v>14182.710392239198</v>
      </c>
      <c r="AA15" s="165">
        <f>VLOOKUP($B15,Incentives!$B$7:$Y$41,23,FALSE)</f>
        <v>1783.5333333333333</v>
      </c>
      <c r="AB15" s="143">
        <v>276629.65386726119</v>
      </c>
      <c r="AC15" s="143">
        <v>280417.09995871899</v>
      </c>
      <c r="AD15" s="211">
        <f t="shared" si="9"/>
        <v>3787.446091457794</v>
      </c>
      <c r="AE15" s="101">
        <v>1.3831482986129452E-2</v>
      </c>
      <c r="AF15" s="101">
        <f t="shared" si="0"/>
        <v>1.4020855294710722E-2</v>
      </c>
      <c r="AG15" s="213">
        <f t="shared" si="10"/>
        <v>1.8937230858127006E-4</v>
      </c>
      <c r="AH15" s="101">
        <v>2.9614021600540014E-3</v>
      </c>
      <c r="AI15" s="144">
        <f t="shared" si="1"/>
        <v>21.893917995034524</v>
      </c>
      <c r="AJ15" s="144">
        <f t="shared" si="11"/>
        <v>22.193676292735969</v>
      </c>
      <c r="AK15" s="217">
        <f t="shared" si="12"/>
        <v>0.29975829770144458</v>
      </c>
      <c r="AL15" s="102"/>
      <c r="AN15" s="22"/>
      <c r="AO15" s="22"/>
    </row>
    <row r="16" spans="2:41" x14ac:dyDescent="0.25">
      <c r="B16" s="98" t="s">
        <v>61</v>
      </c>
      <c r="C16" s="99">
        <f>VLOOKUP($B16,'County Data'!$B$10:$C$46,2,FALSE)</f>
        <v>16860</v>
      </c>
      <c r="D16" s="129">
        <f>VLOOKUP($B16,Floor!$B$6:$M$45,4,FALSE)</f>
        <v>199999.99999999997</v>
      </c>
      <c r="E16" s="100">
        <f>VLOOKUP($B16,[1]Burden!$B$6:$H$41,6,FALSE)</f>
        <v>10195.005576949448</v>
      </c>
      <c r="F16" s="100">
        <f>VLOOKUP($B16,Burden!$B$6:$H$41,6,FALSE)</f>
        <v>3058.5016730848351</v>
      </c>
      <c r="G16" s="207">
        <f t="shared" si="2"/>
        <v>-7136.5039038646137</v>
      </c>
      <c r="H16" s="100">
        <f>VLOOKUP($B16,'[1]Health Status'!$B$6:$H$41,6,FALSE)</f>
        <v>8575.8563291089595</v>
      </c>
      <c r="I16" s="100">
        <f>VLOOKUP($B16,'Health Status'!$B$6:$H$41,6,FALSE)</f>
        <v>2572.7568987326881</v>
      </c>
      <c r="J16" s="207">
        <f t="shared" si="3"/>
        <v>-6003.0994303762709</v>
      </c>
      <c r="K16" s="100">
        <f>VLOOKUP($B16,[1]Ethnicity!$B$6:$H$41,6,FALSE)</f>
        <v>3478.6940598705551</v>
      </c>
      <c r="L16" s="100">
        <f>VLOOKUP($B16,Ethnicity!$B$6:$H$41,6,FALSE)</f>
        <v>3756.9895846601994</v>
      </c>
      <c r="M16" s="207">
        <f t="shared" si="4"/>
        <v>278.29552478964433</v>
      </c>
      <c r="N16" s="100">
        <f>VLOOKUP($B16,[1]Poverty!$B$6:$H$41,6,FALSE)</f>
        <v>4368.7831686440541</v>
      </c>
      <c r="O16" s="100">
        <f>VLOOKUP($B16,Poverty!$B$6:$H$41,6,FALSE)</f>
        <v>9436.5716442711564</v>
      </c>
      <c r="P16" s="207">
        <f t="shared" si="5"/>
        <v>5067.7884756271023</v>
      </c>
      <c r="Q16" s="100">
        <f>VLOOKUP($B16,[1]Rurality!$B$6:$H$41,6,FALSE)</f>
        <v>16669.100006162189</v>
      </c>
      <c r="R16" s="100">
        <f>VLOOKUP($B16,Rurality!$B$6:$H$41,6,FALSE)</f>
        <v>18002.628006655166</v>
      </c>
      <c r="S16" s="207">
        <f t="shared" si="6"/>
        <v>1333.5280004929773</v>
      </c>
      <c r="T16" s="100">
        <f>VLOOKUP($B16,[1]Education!$B$6:$H$41,6,FALSE)</f>
        <v>4114.5777686963902</v>
      </c>
      <c r="U16" s="100">
        <f>VLOOKUP($B16,Education!$B$6:$H$41,6,FALSE)</f>
        <v>8887.4879803842032</v>
      </c>
      <c r="V16" s="207">
        <f t="shared" si="7"/>
        <v>4772.910211687813</v>
      </c>
      <c r="W16" s="130">
        <f>VLOOKUP($B16,[1]Language!$B$6:$H$41,6,FALSE)</f>
        <v>1799.6577222931719</v>
      </c>
      <c r="X16" s="130">
        <f>VLOOKUP($B16,Language!$B$6:$H$41,6,FALSE)</f>
        <v>1943.6303400766258</v>
      </c>
      <c r="Y16" s="207">
        <f t="shared" si="8"/>
        <v>143.97261778345387</v>
      </c>
      <c r="Z16" s="164">
        <f>VLOOKUP($B16,Matching!$B$7:$L$41,10,FALSE)</f>
        <v>15133.369723542533</v>
      </c>
      <c r="AA16" s="165">
        <f>VLOOKUP($B16,Incentives!$B$7:$Y$41,23,FALSE)</f>
        <v>1934.0733333333333</v>
      </c>
      <c r="AB16" s="143">
        <v>266269.11768860056</v>
      </c>
      <c r="AC16" s="143">
        <v>264726.00918474066</v>
      </c>
      <c r="AD16" s="211">
        <f t="shared" si="9"/>
        <v>-1543.1085038598976</v>
      </c>
      <c r="AE16" s="101">
        <v>1.3313456166231518E-2</v>
      </c>
      <c r="AF16" s="101">
        <f t="shared" si="0"/>
        <v>1.3236300739405401E-2</v>
      </c>
      <c r="AG16" s="213">
        <f t="shared" si="10"/>
        <v>-7.7155426826116744E-5</v>
      </c>
      <c r="AH16" s="101">
        <v>3.9516612915322883E-3</v>
      </c>
      <c r="AI16" s="144">
        <f t="shared" si="1"/>
        <v>15.792948854602642</v>
      </c>
      <c r="AJ16" s="144">
        <f t="shared" si="11"/>
        <v>15.701424032309648</v>
      </c>
      <c r="AK16" s="217">
        <f t="shared" si="12"/>
        <v>-9.1524822292994301E-2</v>
      </c>
      <c r="AL16" s="103">
        <f>SUM(AB9:AB16)/SUM(C9:C16)</f>
        <v>30.105989890109612</v>
      </c>
      <c r="AM16" s="103">
        <f>SUM(AC9:AC16)/SUM(C9:C16)</f>
        <v>30.180873312729819</v>
      </c>
      <c r="AN16" s="218">
        <f>AM16-AL16</f>
        <v>7.4883422620207085E-2</v>
      </c>
      <c r="AO16" s="22"/>
    </row>
    <row r="17" spans="1:42" x14ac:dyDescent="0.25">
      <c r="B17" s="104" t="s">
        <v>62</v>
      </c>
      <c r="C17" s="105">
        <f>VLOOKUP($B17,'County Data'!$B$10:$C$46,2,FALSE)</f>
        <v>25482</v>
      </c>
      <c r="D17" s="131">
        <f>VLOOKUP($B17,Floor!$B$6:$M$45,4,FALSE)</f>
        <v>199999.99999999997</v>
      </c>
      <c r="E17" s="106">
        <f>VLOOKUP($B17,[1]Burden!$B$6:$H$41,6,FALSE)</f>
        <v>14938.178280627586</v>
      </c>
      <c r="F17" s="106">
        <f>VLOOKUP($B17,Burden!$B$6:$H$41,6,FALSE)</f>
        <v>4481.4534841882769</v>
      </c>
      <c r="G17" s="207">
        <f t="shared" si="2"/>
        <v>-10456.72479643931</v>
      </c>
      <c r="H17" s="106">
        <f>VLOOKUP($B17,'[1]Health Status'!$B$6:$H$41,6,FALSE)</f>
        <v>15773.187634557091</v>
      </c>
      <c r="I17" s="106">
        <f>VLOOKUP($B17,'Health Status'!$B$6:$H$41,6,FALSE)</f>
        <v>4731.9562903671276</v>
      </c>
      <c r="J17" s="207">
        <f t="shared" si="3"/>
        <v>-11041.231344189964</v>
      </c>
      <c r="K17" s="106">
        <f>VLOOKUP($B17,[1]Ethnicity!$B$6:$H$41,6,FALSE)</f>
        <v>5371.8502683251436</v>
      </c>
      <c r="L17" s="106">
        <f>VLOOKUP($B17,Ethnicity!$B$6:$H$41,6,FALSE)</f>
        <v>5801.5982897911554</v>
      </c>
      <c r="M17" s="207">
        <f t="shared" si="4"/>
        <v>429.74802146601178</v>
      </c>
      <c r="N17" s="106">
        <f>VLOOKUP($B17,[1]Poverty!$B$6:$H$41,6,FALSE)</f>
        <v>6660.1393511117676</v>
      </c>
      <c r="O17" s="106">
        <f>VLOOKUP($B17,Poverty!$B$6:$H$41,6,FALSE)</f>
        <v>14385.900998401419</v>
      </c>
      <c r="P17" s="207">
        <f t="shared" si="5"/>
        <v>7725.7616472896516</v>
      </c>
      <c r="Q17" s="106">
        <f>VLOOKUP($B17,[1]Rurality!$B$6:$H$41,6,FALSE)</f>
        <v>29494.801239963534</v>
      </c>
      <c r="R17" s="106">
        <f>VLOOKUP($B17,Rurality!$B$6:$H$41,6,FALSE)</f>
        <v>31854.385339160617</v>
      </c>
      <c r="S17" s="207">
        <f t="shared" si="6"/>
        <v>2359.5840991970836</v>
      </c>
      <c r="T17" s="106">
        <f>VLOOKUP($B17,[1]Education!$B$6:$H$41,6,FALSE)</f>
        <v>7445.5828078920931</v>
      </c>
      <c r="U17" s="106">
        <f>VLOOKUP($B17,Education!$B$6:$H$41,6,FALSE)</f>
        <v>16082.458865046923</v>
      </c>
      <c r="V17" s="207">
        <f t="shared" si="7"/>
        <v>8636.8760571548301</v>
      </c>
      <c r="W17" s="132">
        <f>VLOOKUP($B17,[1]Language!$B$6:$H$41,6,FALSE)</f>
        <v>2551.1583681287398</v>
      </c>
      <c r="X17" s="132">
        <f>VLOOKUP($B17,Language!$B$6:$H$41,6,FALSE)</f>
        <v>2755.2510375790389</v>
      </c>
      <c r="Y17" s="207">
        <f t="shared" si="8"/>
        <v>204.09266945029913</v>
      </c>
      <c r="Z17" s="166">
        <f>VLOOKUP($B17,Matching!$B$7:$L$41,10,FALSE)</f>
        <v>20126.185952757241</v>
      </c>
      <c r="AA17" s="167">
        <f>VLOOKUP($B17,Incentives!$B$7:$Y$41,23,FALSE)</f>
        <v>2241.2833333333333</v>
      </c>
      <c r="AB17" s="145">
        <v>304602.36723669659</v>
      </c>
      <c r="AC17" s="145">
        <v>302460.4735906251</v>
      </c>
      <c r="AD17" s="211">
        <f t="shared" si="9"/>
        <v>-2141.8936460714904</v>
      </c>
      <c r="AE17" s="107">
        <v>1.5230118684205677E-2</v>
      </c>
      <c r="AF17" s="107">
        <f t="shared" si="0"/>
        <v>1.5123023999635265E-2</v>
      </c>
      <c r="AG17" s="213">
        <f t="shared" si="10"/>
        <v>-1.070946845704128E-4</v>
      </c>
      <c r="AH17" s="107">
        <v>5.9724930623265586E-3</v>
      </c>
      <c r="AI17" s="146">
        <f t="shared" si="1"/>
        <v>11.953628727599741</v>
      </c>
      <c r="AJ17" s="146">
        <f t="shared" si="11"/>
        <v>11.869573565286284</v>
      </c>
      <c r="AK17" s="217">
        <f t="shared" si="12"/>
        <v>-8.4055162313456222E-2</v>
      </c>
      <c r="AL17" s="102"/>
      <c r="AN17" s="22"/>
      <c r="AO17" s="22"/>
    </row>
    <row r="18" spans="1:42" x14ac:dyDescent="0.25">
      <c r="A18" s="40"/>
      <c r="B18" s="104" t="s">
        <v>63</v>
      </c>
      <c r="C18" s="105">
        <f>VLOOKUP($B18,'County Data'!$B$10:$C$46,2,FALSE)</f>
        <v>23662</v>
      </c>
      <c r="D18" s="131">
        <f>VLOOKUP($B18,Floor!$B$6:$M$45,4,FALSE)</f>
        <v>199999.99999999997</v>
      </c>
      <c r="E18" s="106">
        <f>VLOOKUP($B18,[1]Burden!$B$6:$H$41,6,FALSE)</f>
        <v>16409.958071936697</v>
      </c>
      <c r="F18" s="106">
        <f>VLOOKUP($B18,Burden!$B$6:$H$41,6,FALSE)</f>
        <v>4922.9874215810096</v>
      </c>
      <c r="G18" s="207">
        <f t="shared" si="2"/>
        <v>-11486.970650355688</v>
      </c>
      <c r="H18" s="106">
        <f>VLOOKUP($B18,'[1]Health Status'!$B$6:$H$41,6,FALSE)</f>
        <v>12990.914955316033</v>
      </c>
      <c r="I18" s="106">
        <f>VLOOKUP($B18,'Health Status'!$B$6:$H$41,6,FALSE)</f>
        <v>3897.2744865948107</v>
      </c>
      <c r="J18" s="207">
        <f t="shared" si="3"/>
        <v>-9093.6404687212234</v>
      </c>
      <c r="K18" s="106">
        <f>VLOOKUP($B18,[1]Ethnicity!$B$6:$H$41,6,FALSE)</f>
        <v>6409.239232155046</v>
      </c>
      <c r="L18" s="106">
        <f>VLOOKUP($B18,Ethnicity!$B$6:$H$41,6,FALSE)</f>
        <v>6921.9783707274501</v>
      </c>
      <c r="M18" s="207">
        <f t="shared" si="4"/>
        <v>512.73913857240404</v>
      </c>
      <c r="N18" s="106">
        <f>VLOOKUP($B18,[1]Poverty!$B$6:$H$41,6,FALSE)</f>
        <v>5542.146105294516</v>
      </c>
      <c r="O18" s="106">
        <f>VLOOKUP($B18,Poverty!$B$6:$H$41,6,FALSE)</f>
        <v>11971.035587436156</v>
      </c>
      <c r="P18" s="207">
        <f t="shared" si="5"/>
        <v>6428.8894821416397</v>
      </c>
      <c r="Q18" s="106">
        <f>VLOOKUP($B18,[1]Rurality!$B$6:$H$41,6,FALSE)</f>
        <v>22081.732280448505</v>
      </c>
      <c r="R18" s="106">
        <f>VLOOKUP($B18,Rurality!$B$6:$H$41,6,FALSE)</f>
        <v>23848.270862884387</v>
      </c>
      <c r="S18" s="207">
        <f t="shared" si="6"/>
        <v>1766.5385824358818</v>
      </c>
      <c r="T18" s="106">
        <f>VLOOKUP($B18,[1]Education!$B$6:$H$41,6,FALSE)</f>
        <v>6084.8393876263317</v>
      </c>
      <c r="U18" s="106">
        <f>VLOOKUP($B18,Education!$B$6:$H$41,6,FALSE)</f>
        <v>13143.253077272877</v>
      </c>
      <c r="V18" s="207">
        <f t="shared" si="7"/>
        <v>7058.4136896465452</v>
      </c>
      <c r="W18" s="132">
        <f>VLOOKUP($B18,[1]Language!$B$6:$H$41,6,FALSE)</f>
        <v>2415.4732774682907</v>
      </c>
      <c r="X18" s="132">
        <f>VLOOKUP($B18,Language!$B$6:$H$41,6,FALSE)</f>
        <v>2608.7111396657542</v>
      </c>
      <c r="Y18" s="207">
        <f t="shared" si="8"/>
        <v>193.23786219746353</v>
      </c>
      <c r="Z18" s="166">
        <f>VLOOKUP($B18,Matching!$B$7:$L$41,10,FALSE)</f>
        <v>28343.342132757818</v>
      </c>
      <c r="AA18" s="167">
        <f>VLOOKUP($B18,Incentives!$B$7:$Y$41,23,FALSE)</f>
        <v>2176.4333333333334</v>
      </c>
      <c r="AB18" s="145">
        <v>302454.07877633657</v>
      </c>
      <c r="AC18" s="145">
        <v>297833.28641225357</v>
      </c>
      <c r="AD18" s="211">
        <f t="shared" si="9"/>
        <v>-4620.7923640829977</v>
      </c>
      <c r="AE18" s="107">
        <v>1.512270425891407E-2</v>
      </c>
      <c r="AF18" s="107">
        <f t="shared" si="0"/>
        <v>1.4891664635819582E-2</v>
      </c>
      <c r="AG18" s="213">
        <f t="shared" si="10"/>
        <v>-2.3103962309448806E-4</v>
      </c>
      <c r="AH18" s="107">
        <v>5.5459198979974497E-3</v>
      </c>
      <c r="AI18" s="146">
        <f t="shared" si="1"/>
        <v>12.782270255106777</v>
      </c>
      <c r="AJ18" s="146">
        <f t="shared" si="11"/>
        <v>12.58698700077143</v>
      </c>
      <c r="AK18" s="217">
        <f t="shared" si="12"/>
        <v>-0.19528325433534732</v>
      </c>
      <c r="AL18" s="102"/>
      <c r="AN18" s="22"/>
      <c r="AO18" s="22"/>
    </row>
    <row r="19" spans="1:42" x14ac:dyDescent="0.25">
      <c r="A19" s="40"/>
      <c r="B19" s="104" t="s">
        <v>64</v>
      </c>
      <c r="C19" s="105">
        <f>VLOOKUP($B19,'County Data'!$B$10:$C$46,2,FALSE)</f>
        <v>24889</v>
      </c>
      <c r="D19" s="131">
        <f>VLOOKUP($B19,Floor!$B$6:$M$45,4,FALSE)</f>
        <v>199999.99999999997</v>
      </c>
      <c r="E19" s="106">
        <f>VLOOKUP($B19,[1]Burden!$B$6:$H$41,6,FALSE)</f>
        <v>14992.579399520209</v>
      </c>
      <c r="F19" s="106">
        <f>VLOOKUP($B19,Burden!$B$6:$H$41,6,FALSE)</f>
        <v>4497.7738198560637</v>
      </c>
      <c r="G19" s="207">
        <f t="shared" si="2"/>
        <v>-10494.805579664146</v>
      </c>
      <c r="H19" s="106">
        <f>VLOOKUP($B19,'[1]Health Status'!$B$6:$H$41,6,FALSE)</f>
        <v>9176.6916090811446</v>
      </c>
      <c r="I19" s="106">
        <f>VLOOKUP($B19,'Health Status'!$B$6:$H$41,6,FALSE)</f>
        <v>2753.0074827243438</v>
      </c>
      <c r="J19" s="207">
        <f t="shared" si="3"/>
        <v>-6423.6841263568003</v>
      </c>
      <c r="K19" s="106">
        <f>VLOOKUP($B19,[1]Ethnicity!$B$6:$H$41,6,FALSE)</f>
        <v>21032.38717913513</v>
      </c>
      <c r="L19" s="106">
        <f>VLOOKUP($B19,Ethnicity!$B$6:$H$41,6,FALSE)</f>
        <v>22714.978153465941</v>
      </c>
      <c r="M19" s="207">
        <f t="shared" si="4"/>
        <v>1682.5909743308112</v>
      </c>
      <c r="N19" s="106">
        <f>VLOOKUP($B19,[1]Poverty!$B$6:$H$41,6,FALSE)</f>
        <v>7338.5946635281252</v>
      </c>
      <c r="O19" s="106">
        <f>VLOOKUP($B19,Poverty!$B$6:$H$41,6,FALSE)</f>
        <v>15851.36447322075</v>
      </c>
      <c r="P19" s="207">
        <f t="shared" si="5"/>
        <v>8512.7698096926251</v>
      </c>
      <c r="Q19" s="106">
        <f>VLOOKUP($B19,[1]Rurality!$B$6:$H$41,6,FALSE)</f>
        <v>37871.066192702739</v>
      </c>
      <c r="R19" s="106">
        <f>VLOOKUP($B19,Rurality!$B$6:$H$41,6,FALSE)</f>
        <v>40900.751488118956</v>
      </c>
      <c r="S19" s="207">
        <f t="shared" si="6"/>
        <v>3029.6852954162168</v>
      </c>
      <c r="T19" s="106">
        <f>VLOOKUP($B19,[1]Education!$B$6:$H$41,6,FALSE)</f>
        <v>8188.1328605776644</v>
      </c>
      <c r="U19" s="106">
        <f>VLOOKUP($B19,Education!$B$6:$H$41,6,FALSE)</f>
        <v>17686.366978847756</v>
      </c>
      <c r="V19" s="207">
        <f t="shared" si="7"/>
        <v>9498.2341182700911</v>
      </c>
      <c r="W19" s="132">
        <f>VLOOKUP($B19,[1]Language!$B$6:$H$41,6,FALSE)</f>
        <v>9593.2472327104242</v>
      </c>
      <c r="X19" s="132">
        <f>VLOOKUP($B19,Language!$B$6:$H$41,6,FALSE)</f>
        <v>10360.707011327258</v>
      </c>
      <c r="Y19" s="207">
        <f t="shared" si="8"/>
        <v>767.45977861683423</v>
      </c>
      <c r="Z19" s="166">
        <f>VLOOKUP($B19,Matching!$B$7:$L$41,10,FALSE)</f>
        <v>0</v>
      </c>
      <c r="AA19" s="167">
        <f>VLOOKUP($B19,Incentives!$B$7:$Y$41,23,FALSE)</f>
        <v>2220.1533333333332</v>
      </c>
      <c r="AB19" s="145">
        <v>310412.8524705887</v>
      </c>
      <c r="AC19" s="145">
        <v>316985.10274089442</v>
      </c>
      <c r="AD19" s="211">
        <f t="shared" si="9"/>
        <v>6572.2502703057253</v>
      </c>
      <c r="AE19" s="107">
        <v>1.5520642952049713E-2</v>
      </c>
      <c r="AF19" s="107">
        <f t="shared" si="0"/>
        <v>1.584925547252063E-2</v>
      </c>
      <c r="AG19" s="213">
        <f t="shared" si="10"/>
        <v>3.2861252047091706E-4</v>
      </c>
      <c r="AH19" s="107">
        <v>5.8335052126303154E-3</v>
      </c>
      <c r="AI19" s="146">
        <f t="shared" si="1"/>
        <v>12.471889287258978</v>
      </c>
      <c r="AJ19" s="146">
        <f t="shared" si="11"/>
        <v>12.73595173534069</v>
      </c>
      <c r="AK19" s="217">
        <f t="shared" si="12"/>
        <v>0.26406244808171131</v>
      </c>
      <c r="AL19" s="102"/>
      <c r="AN19" s="22"/>
      <c r="AO19" s="22"/>
      <c r="AP19" s="31"/>
    </row>
    <row r="20" spans="1:42" x14ac:dyDescent="0.25">
      <c r="B20" s="104" t="s">
        <v>65</v>
      </c>
      <c r="C20" s="105">
        <f>VLOOKUP($B20,'County Data'!$B$10:$C$46,2,FALSE)</f>
        <v>23888</v>
      </c>
      <c r="D20" s="131">
        <f>VLOOKUP($B20,Floor!$B$6:$M$45,4,FALSE)</f>
        <v>199999.99999999997</v>
      </c>
      <c r="E20" s="106">
        <f>VLOOKUP($B20,[1]Burden!$B$6:$H$41,6,FALSE)</f>
        <v>7952.3252823544381</v>
      </c>
      <c r="F20" s="106">
        <f>VLOOKUP($B20,Burden!$B$6:$H$41,6,FALSE)</f>
        <v>2385.6975847063318</v>
      </c>
      <c r="G20" s="207">
        <f t="shared" si="2"/>
        <v>-5566.6276976481058</v>
      </c>
      <c r="H20" s="106">
        <f>VLOOKUP($B20,'[1]Health Status'!$B$6:$H$41,6,FALSE)</f>
        <v>10543.426155742527</v>
      </c>
      <c r="I20" s="106">
        <f>VLOOKUP($B20,'Health Status'!$B$6:$H$41,6,FALSE)</f>
        <v>3163.0278467227586</v>
      </c>
      <c r="J20" s="207">
        <f t="shared" si="3"/>
        <v>-7380.3983090197689</v>
      </c>
      <c r="K20" s="106">
        <f>VLOOKUP($B20,[1]Ethnicity!$B$6:$H$41,6,FALSE)</f>
        <v>9351.8443492421993</v>
      </c>
      <c r="L20" s="106">
        <f>VLOOKUP($B20,Ethnicity!$B$6:$H$41,6,FALSE)</f>
        <v>10099.991897181575</v>
      </c>
      <c r="M20" s="207">
        <f t="shared" si="4"/>
        <v>748.14754793937573</v>
      </c>
      <c r="N20" s="106">
        <f>VLOOKUP($B20,[1]Poverty!$B$6:$H$41,6,FALSE)</f>
        <v>4806.2882535810022</v>
      </c>
      <c r="O20" s="106">
        <f>VLOOKUP($B20,Poverty!$B$6:$H$41,6,FALSE)</f>
        <v>10381.582627734964</v>
      </c>
      <c r="P20" s="207">
        <f t="shared" si="5"/>
        <v>5575.2943741539621</v>
      </c>
      <c r="Q20" s="106">
        <f>VLOOKUP($B20,[1]Rurality!$B$6:$H$41,6,FALSE)</f>
        <v>30069.140788478955</v>
      </c>
      <c r="R20" s="106">
        <f>VLOOKUP($B20,Rurality!$B$6:$H$41,6,FALSE)</f>
        <v>32474.672051557274</v>
      </c>
      <c r="S20" s="207">
        <f t="shared" si="6"/>
        <v>2405.5312630783192</v>
      </c>
      <c r="T20" s="106">
        <f>VLOOKUP($B20,[1]Education!$B$6:$H$41,6,FALSE)</f>
        <v>10631.205142058867</v>
      </c>
      <c r="U20" s="106">
        <f>VLOOKUP($B20,Education!$B$6:$H$41,6,FALSE)</f>
        <v>22963.403106847152</v>
      </c>
      <c r="V20" s="207">
        <f t="shared" si="7"/>
        <v>12332.197964788285</v>
      </c>
      <c r="W20" s="132">
        <f>VLOOKUP($B20,[1]Language!$B$6:$H$41,6,FALSE)</f>
        <v>28747.90591509144</v>
      </c>
      <c r="X20" s="132">
        <f>VLOOKUP($B20,Language!$B$6:$H$41,6,FALSE)</f>
        <v>31047.738388298756</v>
      </c>
      <c r="Y20" s="207">
        <f t="shared" si="8"/>
        <v>2299.8324732073161</v>
      </c>
      <c r="Z20" s="166">
        <f>VLOOKUP($B20,Matching!$B$7:$L$41,10,FALSE)</f>
        <v>0</v>
      </c>
      <c r="AA20" s="167">
        <f>VLOOKUP($B20,Incentives!$B$7:$Y$41,23,FALSE)</f>
        <v>2184.4833333333331</v>
      </c>
      <c r="AB20" s="145">
        <v>304286.6192198827</v>
      </c>
      <c r="AC20" s="145">
        <v>314700.59683638212</v>
      </c>
      <c r="AD20" s="211">
        <f t="shared" si="9"/>
        <v>10413.977616499411</v>
      </c>
      <c r="AE20" s="107">
        <v>1.5214331283030815E-2</v>
      </c>
      <c r="AF20" s="107">
        <f t="shared" si="0"/>
        <v>1.5735030174877245E-2</v>
      </c>
      <c r="AG20" s="213">
        <f t="shared" si="10"/>
        <v>5.2069889184643003E-4</v>
      </c>
      <c r="AH20" s="107">
        <v>5.5988899722493064E-3</v>
      </c>
      <c r="AI20" s="146">
        <f t="shared" si="1"/>
        <v>12.73805338328377</v>
      </c>
      <c r="AJ20" s="146">
        <f t="shared" si="11"/>
        <v>13.17400355142256</v>
      </c>
      <c r="AK20" s="217">
        <f t="shared" si="12"/>
        <v>0.43595016813879006</v>
      </c>
      <c r="AL20" s="102"/>
      <c r="AN20" s="22"/>
      <c r="AO20" s="22"/>
    </row>
    <row r="21" spans="1:42" x14ac:dyDescent="0.25">
      <c r="B21" s="104" t="s">
        <v>66</v>
      </c>
      <c r="C21" s="105">
        <f>VLOOKUP($B21,'County Data'!$B$10:$C$46,2,FALSE)</f>
        <v>27628</v>
      </c>
      <c r="D21" s="131">
        <f>VLOOKUP($B21,Floor!$B$6:$M$45,4,FALSE)</f>
        <v>199999.99999999997</v>
      </c>
      <c r="E21" s="106">
        <f>VLOOKUP($B21,[1]Burden!$B$6:$H$41,6,FALSE)</f>
        <v>15916.940807190093</v>
      </c>
      <c r="F21" s="106">
        <f>VLOOKUP($B21,Burden!$B$6:$H$41,6,FALSE)</f>
        <v>4775.0822421570283</v>
      </c>
      <c r="G21" s="207">
        <f t="shared" si="2"/>
        <v>-11141.858565033064</v>
      </c>
      <c r="H21" s="106">
        <f>VLOOKUP($B21,'[1]Health Status'!$B$6:$H$41,6,FALSE)</f>
        <v>12565.919528279946</v>
      </c>
      <c r="I21" s="106">
        <f>VLOOKUP($B21,'Health Status'!$B$6:$H$41,6,FALSE)</f>
        <v>3769.7758584839848</v>
      </c>
      <c r="J21" s="207">
        <f t="shared" si="3"/>
        <v>-8796.1436697959616</v>
      </c>
      <c r="K21" s="106">
        <f>VLOOKUP($B21,[1]Ethnicity!$B$6:$H$41,6,FALSE)</f>
        <v>6059.9823142749929</v>
      </c>
      <c r="L21" s="106">
        <f>VLOOKUP($B21,Ethnicity!$B$6:$H$41,6,FALSE)</f>
        <v>6544.7808994169927</v>
      </c>
      <c r="M21" s="207">
        <f t="shared" si="4"/>
        <v>484.79858514199987</v>
      </c>
      <c r="N21" s="106">
        <f>VLOOKUP($B21,[1]Poverty!$B$6:$H$41,6,FALSE)</f>
        <v>6827.6750211968792</v>
      </c>
      <c r="O21" s="106">
        <f>VLOOKUP($B21,Poverty!$B$6:$H$41,6,FALSE)</f>
        <v>14747.77804578526</v>
      </c>
      <c r="P21" s="207">
        <f t="shared" si="5"/>
        <v>7920.1030245883812</v>
      </c>
      <c r="Q21" s="106">
        <f>VLOOKUP($B21,[1]Rurality!$B$6:$H$41,6,FALSE)</f>
        <v>46369.179599469557</v>
      </c>
      <c r="R21" s="106">
        <f>VLOOKUP($B21,Rurality!$B$6:$H$41,6,FALSE)</f>
        <v>50078.713967427124</v>
      </c>
      <c r="S21" s="207">
        <f t="shared" si="6"/>
        <v>3709.5343679575672</v>
      </c>
      <c r="T21" s="106">
        <f>VLOOKUP($B21,[1]Education!$B$6:$H$41,6,FALSE)</f>
        <v>6284.2698533065222</v>
      </c>
      <c r="U21" s="106">
        <f>VLOOKUP($B21,Education!$B$6:$H$41,6,FALSE)</f>
        <v>13574.022883142088</v>
      </c>
      <c r="V21" s="207">
        <f t="shared" si="7"/>
        <v>7289.7530298355659</v>
      </c>
      <c r="W21" s="132">
        <f>VLOOKUP($B21,[1]Language!$B$6:$H$41,6,FALSE)</f>
        <v>6755.3172896182768</v>
      </c>
      <c r="X21" s="132">
        <f>VLOOKUP($B21,Language!$B$6:$H$41,6,FALSE)</f>
        <v>7295.7426727877391</v>
      </c>
      <c r="Y21" s="207">
        <f t="shared" si="8"/>
        <v>540.42538316946229</v>
      </c>
      <c r="Z21" s="166">
        <f>VLOOKUP($B21,Matching!$B$7:$L$41,10,FALSE)</f>
        <v>0</v>
      </c>
      <c r="AA21" s="167">
        <f>VLOOKUP($B21,Incentives!$B$7:$Y$41,23,FALSE)</f>
        <v>2317.7433333333333</v>
      </c>
      <c r="AB21" s="145">
        <v>303097.02774666954</v>
      </c>
      <c r="AC21" s="145">
        <v>303103.63990253356</v>
      </c>
      <c r="AD21" s="211">
        <f t="shared" si="9"/>
        <v>6.6121558640152216</v>
      </c>
      <c r="AE21" s="107">
        <v>1.5154851708111173E-2</v>
      </c>
      <c r="AF21" s="107">
        <f t="shared" si="0"/>
        <v>1.5155182315911371E-2</v>
      </c>
      <c r="AG21" s="213">
        <f t="shared" si="10"/>
        <v>3.306078001988344E-7</v>
      </c>
      <c r="AH21" s="107">
        <v>6.4754743868596712E-3</v>
      </c>
      <c r="AI21" s="146">
        <f t="shared" si="1"/>
        <v>10.970646726026841</v>
      </c>
      <c r="AJ21" s="146">
        <f t="shared" si="11"/>
        <v>10.970886054094887</v>
      </c>
      <c r="AK21" s="217">
        <f t="shared" si="12"/>
        <v>2.3932806804616291E-4</v>
      </c>
      <c r="AL21" s="102"/>
      <c r="AN21" s="22"/>
      <c r="AO21" s="22"/>
    </row>
    <row r="22" spans="1:42" x14ac:dyDescent="0.25">
      <c r="B22" s="104" t="s">
        <v>67</v>
      </c>
      <c r="C22" s="105">
        <f>VLOOKUP($B22,'County Data'!$B$10:$C$46,2,FALSE)</f>
        <v>26295</v>
      </c>
      <c r="D22" s="131">
        <f>VLOOKUP($B22,Floor!$B$6:$M$45,4,FALSE)</f>
        <v>199999.99999999997</v>
      </c>
      <c r="E22" s="106">
        <f>VLOOKUP($B22,[1]Burden!$B$6:$H$41,6,FALSE)</f>
        <v>14348.309359105784</v>
      </c>
      <c r="F22" s="106">
        <f>VLOOKUP($B22,Burden!$B$6:$H$41,6,FALSE)</f>
        <v>4304.4928077317354</v>
      </c>
      <c r="G22" s="207">
        <f t="shared" si="2"/>
        <v>-10043.81655137405</v>
      </c>
      <c r="H22" s="106">
        <f>VLOOKUP($B22,'[1]Health Status'!$B$6:$H$41,6,FALSE)</f>
        <v>7501.3108482666266</v>
      </c>
      <c r="I22" s="106">
        <f>VLOOKUP($B22,'Health Status'!$B$6:$H$41,6,FALSE)</f>
        <v>2250.3932544799882</v>
      </c>
      <c r="J22" s="207">
        <f t="shared" si="3"/>
        <v>-5250.9175937866385</v>
      </c>
      <c r="K22" s="106">
        <f>VLOOKUP($B22,[1]Ethnicity!$B$6:$H$41,6,FALSE)</f>
        <v>6099.904671754618</v>
      </c>
      <c r="L22" s="106">
        <f>VLOOKUP($B22,Ethnicity!$B$6:$H$41,6,FALSE)</f>
        <v>6587.8970454949877</v>
      </c>
      <c r="M22" s="207">
        <f t="shared" si="4"/>
        <v>487.99237374036966</v>
      </c>
      <c r="N22" s="106">
        <f>VLOOKUP($B22,[1]Poverty!$B$6:$H$41,6,FALSE)</f>
        <v>7781.8576507624466</v>
      </c>
      <c r="O22" s="106">
        <f>VLOOKUP($B22,Poverty!$B$6:$H$41,6,FALSE)</f>
        <v>16808.812525646885</v>
      </c>
      <c r="P22" s="207">
        <f t="shared" si="5"/>
        <v>9026.9548748844391</v>
      </c>
      <c r="Q22" s="106">
        <f>VLOOKUP($B22,[1]Rurality!$B$6:$H$41,6,FALSE)</f>
        <v>26694.758490686083</v>
      </c>
      <c r="R22" s="106">
        <f>VLOOKUP($B22,Rurality!$B$6:$H$41,6,FALSE)</f>
        <v>28830.339169940973</v>
      </c>
      <c r="S22" s="207">
        <f t="shared" si="6"/>
        <v>2135.5806792548901</v>
      </c>
      <c r="T22" s="106">
        <f>VLOOKUP($B22,[1]Education!$B$6:$H$41,6,FALSE)</f>
        <v>4751.2195795893685</v>
      </c>
      <c r="U22" s="106">
        <f>VLOOKUP($B22,Education!$B$6:$H$41,6,FALSE)</f>
        <v>10262.634291913037</v>
      </c>
      <c r="V22" s="207">
        <f t="shared" si="7"/>
        <v>5511.414712323668</v>
      </c>
      <c r="W22" s="132">
        <f>VLOOKUP($B22,[1]Language!$B$6:$H$41,6,FALSE)</f>
        <v>3292.4092547212372</v>
      </c>
      <c r="X22" s="132">
        <f>VLOOKUP($B22,Language!$B$6:$H$41,6,FALSE)</f>
        <v>3555.801995098936</v>
      </c>
      <c r="Y22" s="207">
        <f t="shared" si="8"/>
        <v>263.39274037769883</v>
      </c>
      <c r="Z22" s="166">
        <f>VLOOKUP($B22,Matching!$B$7:$L$41,10,FALSE)</f>
        <v>14126.730150795955</v>
      </c>
      <c r="AA22" s="167">
        <f>VLOOKUP($B22,Incentives!$B$7:$Y$41,23,FALSE)</f>
        <v>2270.2433333333333</v>
      </c>
      <c r="AB22" s="145">
        <v>286866.74333901546</v>
      </c>
      <c r="AC22" s="145">
        <v>288997.34457443579</v>
      </c>
      <c r="AD22" s="211">
        <f t="shared" si="9"/>
        <v>2130.6012354203267</v>
      </c>
      <c r="AE22" s="107">
        <v>1.4343337470551418E-2</v>
      </c>
      <c r="AF22" s="107">
        <f t="shared" si="0"/>
        <v>1.444986753457732E-2</v>
      </c>
      <c r="AG22" s="213">
        <f t="shared" si="10"/>
        <v>1.0653006402590141E-4</v>
      </c>
      <c r="AH22" s="107">
        <v>6.1630447011175281E-3</v>
      </c>
      <c r="AI22" s="146">
        <f t="shared" si="1"/>
        <v>10.909554795170772</v>
      </c>
      <c r="AJ22" s="146">
        <f t="shared" si="11"/>
        <v>10.990581653334694</v>
      </c>
      <c r="AK22" s="217">
        <f t="shared" si="12"/>
        <v>8.1026858163921744E-2</v>
      </c>
      <c r="AL22" s="102"/>
      <c r="AN22" s="22"/>
      <c r="AO22" s="22"/>
    </row>
    <row r="23" spans="1:42" x14ac:dyDescent="0.25">
      <c r="B23" s="108" t="s">
        <v>68</v>
      </c>
      <c r="C23" s="105">
        <f>VLOOKUP($B23,'County Data'!$B$10:$C$46,2,FALSE)</f>
        <v>28489</v>
      </c>
      <c r="D23" s="131">
        <f>VLOOKUP($B23,Floor!$B$6:$M$45,4,FALSE)</f>
        <v>399999.99999999994</v>
      </c>
      <c r="E23" s="106">
        <f>VLOOKUP($B23,[1]Burden!$B$6:$H$41,6,FALSE)</f>
        <v>16303.070898331021</v>
      </c>
      <c r="F23" s="106">
        <f>VLOOKUP($B23,Burden!$B$6:$H$41,6,FALSE)</f>
        <v>4890.9212694993075</v>
      </c>
      <c r="G23" s="207">
        <f t="shared" si="2"/>
        <v>-11412.149628831714</v>
      </c>
      <c r="H23" s="106">
        <f>VLOOKUP($B23,'[1]Health Status'!$B$6:$H$41,6,FALSE)</f>
        <v>10580.700318363479</v>
      </c>
      <c r="I23" s="106">
        <f>VLOOKUP($B23,'Health Status'!$B$6:$H$41,6,FALSE)</f>
        <v>3174.2100955090441</v>
      </c>
      <c r="J23" s="207">
        <f t="shared" si="3"/>
        <v>-7406.4902228544343</v>
      </c>
      <c r="K23" s="106">
        <f>VLOOKUP($B23,[1]Ethnicity!$B$6:$H$41,6,FALSE)</f>
        <v>9954.2130143530885</v>
      </c>
      <c r="L23" s="106">
        <f>VLOOKUP($B23,Ethnicity!$B$6:$H$41,6,FALSE)</f>
        <v>10750.550055501335</v>
      </c>
      <c r="M23" s="207">
        <f t="shared" si="4"/>
        <v>796.3370411482465</v>
      </c>
      <c r="N23" s="106">
        <f>VLOOKUP($B23,[1]Poverty!$B$6:$H$41,6,FALSE)</f>
        <v>6602.3783825771498</v>
      </c>
      <c r="O23" s="106">
        <f>VLOOKUP($B23,Poverty!$B$6:$H$41,6,FALSE)</f>
        <v>14261.137306366643</v>
      </c>
      <c r="P23" s="207">
        <f t="shared" si="5"/>
        <v>7658.7589237894936</v>
      </c>
      <c r="Q23" s="106">
        <f>VLOOKUP($B23,[1]Rurality!$B$6:$H$41,6,FALSE)</f>
        <v>28509.921864617532</v>
      </c>
      <c r="R23" s="106">
        <f>VLOOKUP($B23,Rurality!$B$6:$H$41,6,FALSE)</f>
        <v>30790.715613786935</v>
      </c>
      <c r="S23" s="207">
        <f t="shared" si="6"/>
        <v>2280.7937491694029</v>
      </c>
      <c r="T23" s="106">
        <f>VLOOKUP($B23,[1]Education!$B$6:$H$41,6,FALSE)</f>
        <v>9045.0891213858249</v>
      </c>
      <c r="U23" s="106">
        <f>VLOOKUP($B23,Education!$B$6:$H$41,6,FALSE)</f>
        <v>19537.392502193379</v>
      </c>
      <c r="V23" s="207">
        <f t="shared" si="7"/>
        <v>10492.303380807554</v>
      </c>
      <c r="W23" s="132">
        <f>VLOOKUP($B23,[1]Language!$B$6:$H$41,6,FALSE)</f>
        <v>12090.249437124614</v>
      </c>
      <c r="X23" s="132">
        <f>VLOOKUP($B23,Language!$B$6:$H$41,6,FALSE)</f>
        <v>13057.469392094583</v>
      </c>
      <c r="Y23" s="207">
        <f t="shared" si="8"/>
        <v>967.21995496996897</v>
      </c>
      <c r="Z23" s="166">
        <f>VLOOKUP($B23,Matching!$B$7:$L$41,10,FALSE)</f>
        <v>43540.087452943699</v>
      </c>
      <c r="AA23" s="167">
        <f>VLOOKUP($B23,Incentives!$B$7:$Y$41,23,FALSE)</f>
        <v>3681.7566666666667</v>
      </c>
      <c r="AB23" s="145">
        <v>540307.46715636307</v>
      </c>
      <c r="AC23" s="145">
        <v>543684.2403545616</v>
      </c>
      <c r="AD23" s="211">
        <f t="shared" si="9"/>
        <v>3376.7731981985271</v>
      </c>
      <c r="AE23" s="107">
        <v>2.7015373929643573E-2</v>
      </c>
      <c r="AF23" s="107">
        <f t="shared" si="0"/>
        <v>2.7184212593127248E-2</v>
      </c>
      <c r="AG23" s="213">
        <f t="shared" si="10"/>
        <v>1.6883866348367527E-4</v>
      </c>
      <c r="AH23" s="107">
        <v>6.6772763069076731E-3</v>
      </c>
      <c r="AI23" s="146">
        <f t="shared" si="1"/>
        <v>18.96547675089905</v>
      </c>
      <c r="AJ23" s="146">
        <f t="shared" si="11"/>
        <v>19.084005769053373</v>
      </c>
      <c r="AK23" s="217">
        <f t="shared" si="12"/>
        <v>0.11852901815432304</v>
      </c>
      <c r="AL23" s="102"/>
      <c r="AN23" s="22"/>
      <c r="AO23" s="22"/>
    </row>
    <row r="24" spans="1:42" x14ac:dyDescent="0.25">
      <c r="B24" s="104" t="s">
        <v>69</v>
      </c>
      <c r="C24" s="105">
        <f>VLOOKUP($B24,'County Data'!$B$10:$C$46,2,FALSE)</f>
        <v>31995</v>
      </c>
      <c r="D24" s="131">
        <f>VLOOKUP($B24,Floor!$B$6:$M$45,4,FALSE)</f>
        <v>199999.99999999997</v>
      </c>
      <c r="E24" s="106">
        <f>VLOOKUP($B24,[1]Burden!$B$6:$H$41,6,FALSE)</f>
        <v>17329.360981341761</v>
      </c>
      <c r="F24" s="106">
        <f>VLOOKUP($B24,Burden!$B$6:$H$41,6,FALSE)</f>
        <v>5198.8082944025291</v>
      </c>
      <c r="G24" s="207">
        <f t="shared" si="2"/>
        <v>-12130.552686939231</v>
      </c>
      <c r="H24" s="106">
        <f>VLOOKUP($B24,'[1]Health Status'!$B$6:$H$41,6,FALSE)</f>
        <v>23335.092545741456</v>
      </c>
      <c r="I24" s="106">
        <f>VLOOKUP($B24,'Health Status'!$B$6:$H$41,6,FALSE)</f>
        <v>7000.5277637224381</v>
      </c>
      <c r="J24" s="207">
        <f t="shared" si="3"/>
        <v>-16334.564782019017</v>
      </c>
      <c r="K24" s="106">
        <f>VLOOKUP($B24,[1]Ethnicity!$B$6:$H$41,6,FALSE)</f>
        <v>10211.927770900818</v>
      </c>
      <c r="L24" s="106">
        <f>VLOOKUP($B24,Ethnicity!$B$6:$H$41,6,FALSE)</f>
        <v>11028.881992572884</v>
      </c>
      <c r="M24" s="207">
        <f t="shared" si="4"/>
        <v>816.95422167206561</v>
      </c>
      <c r="N24" s="106">
        <f>VLOOKUP($B24,[1]Poverty!$B$6:$H$41,6,FALSE)</f>
        <v>11352.265990073232</v>
      </c>
      <c r="O24" s="106">
        <f>VLOOKUP($B24,Poverty!$B$6:$H$41,6,FALSE)</f>
        <v>24520.894538558183</v>
      </c>
      <c r="P24" s="207">
        <f t="shared" si="5"/>
        <v>13168.62854848495</v>
      </c>
      <c r="Q24" s="106">
        <f>VLOOKUP($B24,[1]Rurality!$B$6:$H$41,6,FALSE)</f>
        <v>37342.053883260283</v>
      </c>
      <c r="R24" s="106">
        <f>VLOOKUP($B24,Rurality!$B$6:$H$41,6,FALSE)</f>
        <v>40329.418193921112</v>
      </c>
      <c r="S24" s="207">
        <f t="shared" si="6"/>
        <v>2987.3643106608288</v>
      </c>
      <c r="T24" s="106">
        <f>VLOOKUP($B24,[1]Education!$B$6:$H$41,6,FALSE)</f>
        <v>14360.160177178032</v>
      </c>
      <c r="U24" s="106">
        <f>VLOOKUP($B24,Education!$B$6:$H$41,6,FALSE)</f>
        <v>31017.945982704547</v>
      </c>
      <c r="V24" s="207">
        <f t="shared" si="7"/>
        <v>16657.785805526517</v>
      </c>
      <c r="W24" s="132">
        <f>VLOOKUP($B24,[1]Language!$B$6:$H$41,6,FALSE)</f>
        <v>19505.86396629599</v>
      </c>
      <c r="X24" s="132">
        <f>VLOOKUP($B24,Language!$B$6:$H$41,6,FALSE)</f>
        <v>21066.333083599671</v>
      </c>
      <c r="Y24" s="207">
        <f t="shared" si="8"/>
        <v>1560.4691173036808</v>
      </c>
      <c r="Z24" s="166">
        <f>VLOOKUP($B24,Matching!$B$7:$L$41,10,FALSE)</f>
        <v>0</v>
      </c>
      <c r="AA24" s="167">
        <f>VLOOKUP($B24,Incentives!$B$7:$Y$41,23,FALSE)</f>
        <v>2473.3433333333332</v>
      </c>
      <c r="AB24" s="145">
        <v>335910.06864812487</v>
      </c>
      <c r="AC24" s="145">
        <v>342636.15318281465</v>
      </c>
      <c r="AD24" s="211">
        <f t="shared" si="9"/>
        <v>6726.084534689784</v>
      </c>
      <c r="AE24" s="107">
        <v>1.6795503787911076E-2</v>
      </c>
      <c r="AF24" s="107">
        <f t="shared" si="0"/>
        <v>1.7131808021764006E-2</v>
      </c>
      <c r="AG24" s="213">
        <f t="shared" si="10"/>
        <v>3.3630423385292915E-4</v>
      </c>
      <c r="AH24" s="107">
        <v>7.4990156003900098E-3</v>
      </c>
      <c r="AI24" s="146">
        <f t="shared" si="1"/>
        <v>10.498830087455067</v>
      </c>
      <c r="AJ24" s="146">
        <f t="shared" si="11"/>
        <v>10.709053076506162</v>
      </c>
      <c r="AK24" s="217">
        <f t="shared" si="12"/>
        <v>0.21022298905109515</v>
      </c>
      <c r="AL24" s="102"/>
      <c r="AN24" s="22"/>
      <c r="AO24" s="22"/>
    </row>
    <row r="25" spans="1:42" x14ac:dyDescent="0.25">
      <c r="B25" s="104" t="s">
        <v>70</v>
      </c>
      <c r="C25" s="105">
        <f>VLOOKUP($B25,'County Data'!$B$10:$C$46,2,FALSE)</f>
        <v>41428</v>
      </c>
      <c r="D25" s="131">
        <f>VLOOKUP($B25,Floor!$B$6:$M$45,4,FALSE)</f>
        <v>199999.99999999997</v>
      </c>
      <c r="E25" s="106">
        <f>VLOOKUP($B25,[1]Burden!$B$6:$H$41,6,FALSE)</f>
        <v>23744.560506601036</v>
      </c>
      <c r="F25" s="106">
        <f>VLOOKUP($B25,Burden!$B$6:$H$41,6,FALSE)</f>
        <v>7123.3681519803122</v>
      </c>
      <c r="G25" s="207">
        <f t="shared" si="2"/>
        <v>-16621.192354620725</v>
      </c>
      <c r="H25" s="106">
        <f>VLOOKUP($B25,'[1]Health Status'!$B$6:$H$41,6,FALSE)</f>
        <v>16724.122841812408</v>
      </c>
      <c r="I25" s="106">
        <f>VLOOKUP($B25,'Health Status'!$B$6:$H$41,6,FALSE)</f>
        <v>5017.2368525437232</v>
      </c>
      <c r="J25" s="207">
        <f t="shared" si="3"/>
        <v>-11706.885989268685</v>
      </c>
      <c r="K25" s="106">
        <f>VLOOKUP($B25,[1]Ethnicity!$B$6:$H$41,6,FALSE)</f>
        <v>10644.872282709612</v>
      </c>
      <c r="L25" s="106">
        <f>VLOOKUP($B25,Ethnicity!$B$6:$H$41,6,FALSE)</f>
        <v>11496.462065326383</v>
      </c>
      <c r="M25" s="207">
        <f t="shared" si="4"/>
        <v>851.58978261677112</v>
      </c>
      <c r="N25" s="106">
        <f>VLOOKUP($B25,[1]Poverty!$B$6:$H$41,6,FALSE)</f>
        <v>9234.31326102409</v>
      </c>
      <c r="O25" s="106">
        <f>VLOOKUP($B25,Poverty!$B$6:$H$41,6,FALSE)</f>
        <v>19946.116643812034</v>
      </c>
      <c r="P25" s="207">
        <f t="shared" si="5"/>
        <v>10711.803382787944</v>
      </c>
      <c r="Q25" s="106">
        <f>VLOOKUP($B25,[1]Rurality!$B$6:$H$41,6,FALSE)</f>
        <v>38960.928633446463</v>
      </c>
      <c r="R25" s="106">
        <f>VLOOKUP($B25,Rurality!$B$6:$H$41,6,FALSE)</f>
        <v>42077.802924122181</v>
      </c>
      <c r="S25" s="207">
        <f t="shared" si="6"/>
        <v>3116.8742906757179</v>
      </c>
      <c r="T25" s="106">
        <f>VLOOKUP($B25,[1]Education!$B$6:$H$41,6,FALSE)</f>
        <v>8211.1735868261931</v>
      </c>
      <c r="U25" s="106">
        <f>VLOOKUP($B25,Education!$B$6:$H$41,6,FALSE)</f>
        <v>17736.134947544579</v>
      </c>
      <c r="V25" s="207">
        <f t="shared" si="7"/>
        <v>9524.9613607183855</v>
      </c>
      <c r="W25" s="132">
        <f>VLOOKUP($B25,[1]Language!$B$6:$H$41,6,FALSE)</f>
        <v>9881.8595213814842</v>
      </c>
      <c r="X25" s="132">
        <f>VLOOKUP($B25,Language!$B$6:$H$41,6,FALSE)</f>
        <v>10672.408283092003</v>
      </c>
      <c r="Y25" s="207">
        <f t="shared" si="8"/>
        <v>790.5487617105191</v>
      </c>
      <c r="Z25" s="166">
        <f>VLOOKUP($B25,Matching!$B$7:$L$41,10,FALSE)</f>
        <v>14115.814214597214</v>
      </c>
      <c r="AA25" s="167">
        <f>VLOOKUP($B25,Incentives!$B$7:$Y$41,23,FALSE)</f>
        <v>2809.4433333333332</v>
      </c>
      <c r="AB25" s="145">
        <v>334327.08818173187</v>
      </c>
      <c r="AC25" s="145">
        <v>330994.78741635178</v>
      </c>
      <c r="AD25" s="211">
        <f t="shared" si="9"/>
        <v>-3332.3007653800887</v>
      </c>
      <c r="AE25" s="107">
        <v>1.6716354762916105E-2</v>
      </c>
      <c r="AF25" s="107">
        <f t="shared" si="0"/>
        <v>1.6549739721120414E-2</v>
      </c>
      <c r="AG25" s="213">
        <f t="shared" si="10"/>
        <v>-1.6661504179569034E-4</v>
      </c>
      <c r="AH25" s="107">
        <v>9.7099302482562058E-3</v>
      </c>
      <c r="AI25" s="146">
        <f t="shared" si="1"/>
        <v>8.0700755088764087</v>
      </c>
      <c r="AJ25" s="146">
        <f t="shared" si="11"/>
        <v>7.9896395533540545</v>
      </c>
      <c r="AK25" s="217">
        <f t="shared" si="12"/>
        <v>-8.0435955522354163E-2</v>
      </c>
      <c r="AL25" s="102"/>
      <c r="AN25" s="22"/>
      <c r="AO25" s="22"/>
    </row>
    <row r="26" spans="1:42" x14ac:dyDescent="0.25">
      <c r="B26" s="104" t="s">
        <v>71</v>
      </c>
      <c r="C26" s="105">
        <f>VLOOKUP($B26,'County Data'!$B$10:$C$46,2,FALSE)</f>
        <v>50903</v>
      </c>
      <c r="D26" s="131">
        <f>VLOOKUP($B26,Floor!$B$6:$M$45,4,FALSE)</f>
        <v>199999.99999999997</v>
      </c>
      <c r="E26" s="106">
        <f>VLOOKUP($B26,[1]Burden!$B$6:$H$41,6,FALSE)</f>
        <v>34889.770627642712</v>
      </c>
      <c r="F26" s="106">
        <f>VLOOKUP($B26,Burden!$B$6:$H$41,6,FALSE)</f>
        <v>10466.931188292814</v>
      </c>
      <c r="G26" s="207">
        <f t="shared" si="2"/>
        <v>-24422.839439349897</v>
      </c>
      <c r="H26" s="106">
        <f>VLOOKUP($B26,'[1]Health Status'!$B$6:$H$41,6,FALSE)</f>
        <v>29179.718922560183</v>
      </c>
      <c r="I26" s="106">
        <f>VLOOKUP($B26,'Health Status'!$B$6:$H$41,6,FALSE)</f>
        <v>8753.9156767680561</v>
      </c>
      <c r="J26" s="207">
        <f t="shared" si="3"/>
        <v>-20425.803245792129</v>
      </c>
      <c r="K26" s="106">
        <f>VLOOKUP($B26,[1]Ethnicity!$B$6:$H$41,6,FALSE)</f>
        <v>17567.766053748754</v>
      </c>
      <c r="L26" s="106">
        <f>VLOOKUP($B26,Ethnicity!$B$6:$H$41,6,FALSE)</f>
        <v>18973.187338048658</v>
      </c>
      <c r="M26" s="207">
        <f t="shared" si="4"/>
        <v>1405.4212842999041</v>
      </c>
      <c r="N26" s="106">
        <f>VLOOKUP($B26,[1]Poverty!$B$6:$H$41,6,FALSE)</f>
        <v>13894.133861620385</v>
      </c>
      <c r="O26" s="106">
        <f>VLOOKUP($B26,Poverty!$B$6:$H$41,6,FALSE)</f>
        <v>30011.329141100032</v>
      </c>
      <c r="P26" s="207">
        <f t="shared" si="5"/>
        <v>16117.195279479647</v>
      </c>
      <c r="Q26" s="106">
        <f>VLOOKUP($B26,[1]Rurality!$B$6:$H$41,6,FALSE)</f>
        <v>46153.213885186669</v>
      </c>
      <c r="R26" s="106">
        <f>VLOOKUP($B26,Rurality!$B$6:$H$41,6,FALSE)</f>
        <v>49845.470996001604</v>
      </c>
      <c r="S26" s="207">
        <f t="shared" si="6"/>
        <v>3692.257110814935</v>
      </c>
      <c r="T26" s="106">
        <f>VLOOKUP($B26,[1]Education!$B$6:$H$41,6,FALSE)</f>
        <v>11258.329173176029</v>
      </c>
      <c r="U26" s="106">
        <f>VLOOKUP($B26,Education!$B$6:$H$41,6,FALSE)</f>
        <v>24317.991014060226</v>
      </c>
      <c r="V26" s="207">
        <f t="shared" si="7"/>
        <v>13059.661840884197</v>
      </c>
      <c r="W26" s="132">
        <f>VLOOKUP($B26,[1]Language!$B$6:$H$41,6,FALSE)</f>
        <v>7836.1244192725071</v>
      </c>
      <c r="X26" s="132">
        <f>VLOOKUP($B26,Language!$B$6:$H$41,6,FALSE)</f>
        <v>8463.0143728143084</v>
      </c>
      <c r="Y26" s="207">
        <f t="shared" si="8"/>
        <v>626.88995354180133</v>
      </c>
      <c r="Z26" s="166">
        <f>VLOOKUP($B26,Matching!$B$7:$L$41,10,FALSE)</f>
        <v>44032.16931956292</v>
      </c>
      <c r="AA26" s="167">
        <f>VLOOKUP($B26,Incentives!$B$7:$Y$41,23,FALSE)</f>
        <v>3147.0533333333333</v>
      </c>
      <c r="AB26" s="145">
        <v>407958.27959610347</v>
      </c>
      <c r="AC26" s="145">
        <v>398011.06237998192</v>
      </c>
      <c r="AD26" s="211">
        <f t="shared" si="9"/>
        <v>-9947.2172161215567</v>
      </c>
      <c r="AE26" s="107">
        <v>2.0397914411561031E-2</v>
      </c>
      <c r="AF26" s="107">
        <f t="shared" si="0"/>
        <v>1.9900553540227482E-2</v>
      </c>
      <c r="AG26" s="213">
        <f t="shared" si="10"/>
        <v>-4.9736087133354923E-4</v>
      </c>
      <c r="AH26" s="107">
        <v>1.1930688892222305E-2</v>
      </c>
      <c r="AI26" s="146">
        <f t="shared" si="1"/>
        <v>8.0144250750663701</v>
      </c>
      <c r="AJ26" s="146">
        <f t="shared" si="11"/>
        <v>7.819009928294637</v>
      </c>
      <c r="AK26" s="217">
        <f t="shared" si="12"/>
        <v>-0.19541514677173311</v>
      </c>
      <c r="AL26" s="102"/>
      <c r="AN26" s="22"/>
      <c r="AO26" s="22"/>
    </row>
    <row r="27" spans="1:42" x14ac:dyDescent="0.25">
      <c r="B27" s="104" t="s">
        <v>72</v>
      </c>
      <c r="C27" s="105">
        <f>VLOOKUP($B27,'County Data'!$B$10:$C$46,2,FALSE)</f>
        <v>53014</v>
      </c>
      <c r="D27" s="131">
        <f>VLOOKUP($B27,Floor!$B$6:$M$45,4,FALSE)</f>
        <v>199999.99999999997</v>
      </c>
      <c r="E27" s="106">
        <f>VLOOKUP($B27,[1]Burden!$B$6:$H$41,6,FALSE)</f>
        <v>26711.701939131588</v>
      </c>
      <c r="F27" s="106">
        <f>VLOOKUP($B27,Burden!$B$6:$H$41,6,FALSE)</f>
        <v>8013.5105817394779</v>
      </c>
      <c r="G27" s="207">
        <f t="shared" si="2"/>
        <v>-18698.191357392112</v>
      </c>
      <c r="H27" s="106">
        <f>VLOOKUP($B27,'[1]Health Status'!$B$6:$H$41,6,FALSE)</f>
        <v>29248.429871720866</v>
      </c>
      <c r="I27" s="106">
        <f>VLOOKUP($B27,'Health Status'!$B$6:$H$41,6,FALSE)</f>
        <v>8774.5289615162601</v>
      </c>
      <c r="J27" s="207">
        <f t="shared" si="3"/>
        <v>-20473.900910204604</v>
      </c>
      <c r="K27" s="106">
        <f>VLOOKUP($B27,[1]Ethnicity!$B$6:$H$41,6,FALSE)</f>
        <v>11094.313691615309</v>
      </c>
      <c r="L27" s="106">
        <f>VLOOKUP($B27,Ethnicity!$B$6:$H$41,6,FALSE)</f>
        <v>11981.858786944535</v>
      </c>
      <c r="M27" s="207">
        <f t="shared" si="4"/>
        <v>887.54509532922566</v>
      </c>
      <c r="N27" s="106">
        <f>VLOOKUP($B27,[1]Poverty!$B$6:$H$41,6,FALSE)</f>
        <v>10838.358113528922</v>
      </c>
      <c r="O27" s="106">
        <f>VLOOKUP($B27,Poverty!$B$6:$H$41,6,FALSE)</f>
        <v>23410.853525222472</v>
      </c>
      <c r="P27" s="207">
        <f t="shared" si="5"/>
        <v>12572.49541169355</v>
      </c>
      <c r="Q27" s="106">
        <f>VLOOKUP($B27,[1]Rurality!$B$6:$H$41,6,FALSE)</f>
        <v>55737.538860751883</v>
      </c>
      <c r="R27" s="106">
        <f>VLOOKUP($B27,Rurality!$B$6:$H$41,6,FALSE)</f>
        <v>60196.541969612037</v>
      </c>
      <c r="S27" s="207">
        <f t="shared" si="6"/>
        <v>4459.0031088601536</v>
      </c>
      <c r="T27" s="106">
        <f>VLOOKUP($B27,[1]Education!$B$6:$H$41,6,FALSE)</f>
        <v>11939.904536371163</v>
      </c>
      <c r="U27" s="106">
        <f>VLOOKUP($B27,Education!$B$6:$H$41,6,FALSE)</f>
        <v>25790.193798561711</v>
      </c>
      <c r="V27" s="207">
        <f t="shared" si="7"/>
        <v>13850.289262190548</v>
      </c>
      <c r="W27" s="132">
        <f>VLOOKUP($B27,[1]Language!$B$6:$H$41,6,FALSE)</f>
        <v>5565.7236206080033</v>
      </c>
      <c r="X27" s="132">
        <f>VLOOKUP($B27,Language!$B$6:$H$41,6,FALSE)</f>
        <v>6010.9815102566445</v>
      </c>
      <c r="Y27" s="207">
        <f t="shared" si="8"/>
        <v>445.25788964864114</v>
      </c>
      <c r="Z27" s="166">
        <f>VLOOKUP($B27,Matching!$B$7:$L$41,10,FALSE)</f>
        <v>41219.900961791471</v>
      </c>
      <c r="AA27" s="167">
        <f>VLOOKUP($B27,Incentives!$B$7:$Y$41,23,FALSE)</f>
        <v>3222.2633333333333</v>
      </c>
      <c r="AB27" s="145">
        <v>395578.13492885249</v>
      </c>
      <c r="AC27" s="145">
        <v>388620.63342897786</v>
      </c>
      <c r="AD27" s="211">
        <f t="shared" si="9"/>
        <v>-6957.5014998746337</v>
      </c>
      <c r="AE27" s="107">
        <v>1.9778907165096161E-2</v>
      </c>
      <c r="AF27" s="107">
        <f t="shared" si="0"/>
        <v>1.9431032082739073E-2</v>
      </c>
      <c r="AG27" s="213">
        <f t="shared" si="10"/>
        <v>-3.4787508235708739E-4</v>
      </c>
      <c r="AH27" s="107">
        <v>1.2425466886672168E-2</v>
      </c>
      <c r="AI27" s="146">
        <f t="shared" si="1"/>
        <v>7.4617673619959346</v>
      </c>
      <c r="AJ27" s="146">
        <f t="shared" si="11"/>
        <v>7.3305284156822319</v>
      </c>
      <c r="AK27" s="217">
        <f t="shared" si="12"/>
        <v>-0.1312389463137027</v>
      </c>
      <c r="AL27" s="102"/>
      <c r="AN27" s="22"/>
      <c r="AO27" s="22"/>
    </row>
    <row r="28" spans="1:42" x14ac:dyDescent="0.25">
      <c r="B28" s="104" t="s">
        <v>73</v>
      </c>
      <c r="C28" s="105">
        <f>VLOOKUP($B28,'County Data'!$B$10:$C$46,2,FALSE)</f>
        <v>65154</v>
      </c>
      <c r="D28" s="131">
        <f>VLOOKUP($B28,Floor!$B$6:$M$45,4,FALSE)</f>
        <v>199999.99999999997</v>
      </c>
      <c r="E28" s="106">
        <f>VLOOKUP($B28,[1]Burden!$B$6:$H$41,6,FALSE)</f>
        <v>44930.15478340241</v>
      </c>
      <c r="F28" s="106">
        <f>VLOOKUP($B28,Burden!$B$6:$H$41,6,FALSE)</f>
        <v>13479.046435020726</v>
      </c>
      <c r="G28" s="207">
        <f t="shared" si="2"/>
        <v>-31451.108348381684</v>
      </c>
      <c r="H28" s="106">
        <f>VLOOKUP($B28,'[1]Health Status'!$B$6:$H$41,6,FALSE)</f>
        <v>37524.33280582945</v>
      </c>
      <c r="I28" s="106">
        <f>VLOOKUP($B28,'Health Status'!$B$6:$H$41,6,FALSE)</f>
        <v>11257.299841748838</v>
      </c>
      <c r="J28" s="207">
        <f t="shared" si="3"/>
        <v>-26267.032964080612</v>
      </c>
      <c r="K28" s="106">
        <f>VLOOKUP($B28,[1]Ethnicity!$B$6:$H$41,6,FALSE)</f>
        <v>22237.619904329546</v>
      </c>
      <c r="L28" s="106">
        <f>VLOOKUP($B28,Ethnicity!$B$6:$H$41,6,FALSE)</f>
        <v>24016.629496675909</v>
      </c>
      <c r="M28" s="207">
        <f t="shared" si="4"/>
        <v>1779.0095923463632</v>
      </c>
      <c r="N28" s="106">
        <f>VLOOKUP($B28,[1]Poverty!$B$6:$H$41,6,FALSE)</f>
        <v>18919.658401515084</v>
      </c>
      <c r="O28" s="106">
        <f>VLOOKUP($B28,Poverty!$B$6:$H$41,6,FALSE)</f>
        <v>40866.462147272585</v>
      </c>
      <c r="P28" s="207">
        <f t="shared" si="5"/>
        <v>21946.803745757501</v>
      </c>
      <c r="Q28" s="106">
        <f>VLOOKUP($B28,[1]Rurality!$B$6:$H$41,6,FALSE)</f>
        <v>60331.348559409293</v>
      </c>
      <c r="R28" s="106">
        <f>VLOOKUP($B28,Rurality!$B$6:$H$41,6,FALSE)</f>
        <v>65157.856444162033</v>
      </c>
      <c r="S28" s="207">
        <f t="shared" si="6"/>
        <v>4826.5078847527402</v>
      </c>
      <c r="T28" s="106">
        <f>VLOOKUP($B28,[1]Education!$B$6:$H$41,6,FALSE)</f>
        <v>17070.505345229602</v>
      </c>
      <c r="U28" s="106">
        <f>VLOOKUP($B28,Education!$B$6:$H$41,6,FALSE)</f>
        <v>36872.291545695938</v>
      </c>
      <c r="V28" s="207">
        <f t="shared" si="7"/>
        <v>19801.786200466337</v>
      </c>
      <c r="W28" s="132">
        <f>VLOOKUP($B28,[1]Language!$B$6:$H$41,6,FALSE)</f>
        <v>7512.7450389880478</v>
      </c>
      <c r="X28" s="132">
        <f>VLOOKUP($B28,Language!$B$6:$H$41,6,FALSE)</f>
        <v>8113.7646421070922</v>
      </c>
      <c r="Y28" s="207">
        <f t="shared" si="8"/>
        <v>601.0196031190444</v>
      </c>
      <c r="Z28" s="166">
        <f>VLOOKUP($B28,Matching!$B$7:$L$41,10,FALSE)</f>
        <v>69297.250523927287</v>
      </c>
      <c r="AA28" s="167">
        <f>VLOOKUP($B28,Incentives!$B$7:$Y$41,23,FALSE)</f>
        <v>3654.8233333333328</v>
      </c>
      <c r="AB28" s="145">
        <v>481478.43869596405</v>
      </c>
      <c r="AC28" s="145">
        <v>472715.42440994363</v>
      </c>
      <c r="AD28" s="211">
        <f t="shared" si="9"/>
        <v>-8763.0142860204214</v>
      </c>
      <c r="AE28" s="107">
        <v>2.4073922444362898E-2</v>
      </c>
      <c r="AF28" s="107">
        <f t="shared" si="0"/>
        <v>2.3635771720787686E-2</v>
      </c>
      <c r="AG28" s="213">
        <f t="shared" si="10"/>
        <v>-4.381507235752119E-4</v>
      </c>
      <c r="AH28" s="107">
        <v>1.5270850521263032E-2</v>
      </c>
      <c r="AI28" s="146">
        <f t="shared" si="1"/>
        <v>7.3898523298026841</v>
      </c>
      <c r="AJ28" s="146">
        <f t="shared" si="11"/>
        <v>7.2553553797148851</v>
      </c>
      <c r="AK28" s="217">
        <f t="shared" si="12"/>
        <v>-0.13449695008779905</v>
      </c>
      <c r="AL28" s="102"/>
      <c r="AN28" s="22"/>
      <c r="AO28" s="22"/>
    </row>
    <row r="29" spans="1:42" x14ac:dyDescent="0.25">
      <c r="B29" s="104" t="s">
        <v>74</v>
      </c>
      <c r="C29" s="105">
        <f>VLOOKUP($B29,'County Data'!$B$10:$C$46,2,FALSE)</f>
        <v>69822</v>
      </c>
      <c r="D29" s="131">
        <f>VLOOKUP($B29,Floor!$B$6:$M$45,4,FALSE)</f>
        <v>199999.99999999997</v>
      </c>
      <c r="E29" s="106">
        <f>VLOOKUP($B29,[1]Burden!$B$6:$H$41,6,FALSE)</f>
        <v>47371.651547567068</v>
      </c>
      <c r="F29" s="106">
        <f>VLOOKUP($B29,Burden!$B$6:$H$41,6,FALSE)</f>
        <v>14211.495464270123</v>
      </c>
      <c r="G29" s="207">
        <f t="shared" si="2"/>
        <v>-33160.156083296941</v>
      </c>
      <c r="H29" s="106">
        <f>VLOOKUP($B29,'[1]Health Status'!$B$6:$H$41,6,FALSE)</f>
        <v>32696.378726242878</v>
      </c>
      <c r="I29" s="106">
        <f>VLOOKUP($B29,'Health Status'!$B$6:$H$41,6,FALSE)</f>
        <v>9808.9136178728659</v>
      </c>
      <c r="J29" s="207">
        <f t="shared" si="3"/>
        <v>-22887.465108370012</v>
      </c>
      <c r="K29" s="106">
        <f>VLOOKUP($B29,[1]Ethnicity!$B$6:$H$41,6,FALSE)</f>
        <v>24486.74592337638</v>
      </c>
      <c r="L29" s="106">
        <f>VLOOKUP($B29,Ethnicity!$B$6:$H$41,6,FALSE)</f>
        <v>26445.685597246491</v>
      </c>
      <c r="M29" s="207">
        <f t="shared" si="4"/>
        <v>1958.9396738701107</v>
      </c>
      <c r="N29" s="106">
        <f>VLOOKUP($B29,[1]Poverty!$B$6:$H$41,6,FALSE)</f>
        <v>22518.947270302528</v>
      </c>
      <c r="O29" s="106">
        <f>VLOOKUP($B29,Poverty!$B$6:$H$41,6,FALSE)</f>
        <v>48640.926103853461</v>
      </c>
      <c r="P29" s="207">
        <f t="shared" si="5"/>
        <v>26121.978833550933</v>
      </c>
      <c r="Q29" s="106">
        <f>VLOOKUP($B29,[1]Rurality!$B$6:$H$41,6,FALSE)</f>
        <v>63306.871891470124</v>
      </c>
      <c r="R29" s="106">
        <f>VLOOKUP($B29,Rurality!$B$6:$H$41,6,FALSE)</f>
        <v>68371.42164278774</v>
      </c>
      <c r="S29" s="207">
        <f t="shared" si="6"/>
        <v>5064.549751317616</v>
      </c>
      <c r="T29" s="106">
        <f>VLOOKUP($B29,[1]Education!$B$6:$H$41,6,FALSE)</f>
        <v>20661.119415278594</v>
      </c>
      <c r="U29" s="106">
        <f>VLOOKUP($B29,Education!$B$6:$H$41,6,FALSE)</f>
        <v>44628.017937001765</v>
      </c>
      <c r="V29" s="207">
        <f t="shared" si="7"/>
        <v>23966.898521723171</v>
      </c>
      <c r="W29" s="132">
        <f>VLOOKUP($B29,[1]Language!$B$6:$H$41,6,FALSE)</f>
        <v>18175.227886798653</v>
      </c>
      <c r="X29" s="132">
        <f>VLOOKUP($B29,Language!$B$6:$H$41,6,FALSE)</f>
        <v>19629.246117742547</v>
      </c>
      <c r="Y29" s="207">
        <f t="shared" si="8"/>
        <v>1454.0182309438933</v>
      </c>
      <c r="Z29" s="166">
        <f>VLOOKUP($B29,Matching!$B$7:$L$41,10,FALSE)</f>
        <v>28638.281924688468</v>
      </c>
      <c r="AA29" s="167">
        <f>VLOOKUP($B29,Incentives!$B$7:$Y$41,23,FALSE)</f>
        <v>3821.1533333333336</v>
      </c>
      <c r="AB29" s="145">
        <v>461676.37791905802</v>
      </c>
      <c r="AC29" s="145">
        <v>464195.14173879678</v>
      </c>
      <c r="AD29" s="211">
        <f t="shared" si="9"/>
        <v>2518.7638197387569</v>
      </c>
      <c r="AE29" s="107">
        <v>2.3083819384560413E-2</v>
      </c>
      <c r="AF29" s="107">
        <f t="shared" si="0"/>
        <v>2.3209757578213044E-2</v>
      </c>
      <c r="AG29" s="213">
        <f t="shared" si="10"/>
        <v>1.2593819365263118E-4</v>
      </c>
      <c r="AH29" s="107">
        <v>1.6364940373509336E-2</v>
      </c>
      <c r="AI29" s="146">
        <f t="shared" si="1"/>
        <v>6.6121906837251583</v>
      </c>
      <c r="AJ29" s="146">
        <f t="shared" si="11"/>
        <v>6.6482647552175074</v>
      </c>
      <c r="AK29" s="217">
        <f t="shared" si="12"/>
        <v>3.6074071492349091E-2</v>
      </c>
      <c r="AL29" s="109">
        <f>SUM(AB17:AB29)/SUM(C17:C29)</f>
        <v>9.6802298267435578</v>
      </c>
      <c r="AM29" s="109">
        <f>SUM(AC17:AC29)/SUM(C17:C29)</f>
        <v>9.6720746149257444</v>
      </c>
      <c r="AN29" s="218">
        <f>AM29-AL29</f>
        <v>-8.1552118178134236E-3</v>
      </c>
      <c r="AO29" s="22"/>
    </row>
    <row r="30" spans="1:42" x14ac:dyDescent="0.25">
      <c r="A30" s="40"/>
      <c r="B30" s="110" t="s">
        <v>75</v>
      </c>
      <c r="C30" s="111">
        <f>VLOOKUP($B30,'County Data'!$B$10:$C$46,2,FALSE)</f>
        <v>80463</v>
      </c>
      <c r="D30" s="133">
        <f>VLOOKUP($B30,Floor!$B$6:$M$45,4,FALSE)</f>
        <v>199999.99999999997</v>
      </c>
      <c r="E30" s="112">
        <f>VLOOKUP($B30,[1]Burden!$B$6:$H$41,6,FALSE)</f>
        <v>39952.287949582751</v>
      </c>
      <c r="F30" s="112">
        <f>VLOOKUP($B30,Burden!$B$6:$H$41,6,FALSE)</f>
        <v>11985.686384874827</v>
      </c>
      <c r="G30" s="207">
        <f t="shared" si="2"/>
        <v>-27966.601564707926</v>
      </c>
      <c r="H30" s="112">
        <f>VLOOKUP($B30,'[1]Health Status'!$B$6:$H$41,6,FALSE)</f>
        <v>39844.847237716567</v>
      </c>
      <c r="I30" s="112">
        <f>VLOOKUP($B30,'Health Status'!$B$6:$H$41,6,FALSE)</f>
        <v>11953.454171314972</v>
      </c>
      <c r="J30" s="207">
        <f t="shared" si="3"/>
        <v>-27891.393066401593</v>
      </c>
      <c r="K30" s="112">
        <f>VLOOKUP($B30,[1]Ethnicity!$B$6:$H$41,6,FALSE)</f>
        <v>34117.200574776558</v>
      </c>
      <c r="L30" s="112">
        <f>VLOOKUP($B30,Ethnicity!$B$6:$H$41,6,FALSE)</f>
        <v>36846.576620758686</v>
      </c>
      <c r="M30" s="207">
        <f t="shared" si="4"/>
        <v>2729.3760459821278</v>
      </c>
      <c r="N30" s="112">
        <f>VLOOKUP($B30,[1]Poverty!$B$6:$H$41,6,FALSE)</f>
        <v>23038.466838047858</v>
      </c>
      <c r="O30" s="112">
        <f>VLOOKUP($B30,Poverty!$B$6:$H$41,6,FALSE)</f>
        <v>49763.088370183374</v>
      </c>
      <c r="P30" s="207">
        <f t="shared" si="5"/>
        <v>26724.621532135516</v>
      </c>
      <c r="Q30" s="112">
        <f>VLOOKUP($B30,[1]Rurality!$B$6:$H$41,6,FALSE)</f>
        <v>56462.478082716487</v>
      </c>
      <c r="R30" s="112">
        <f>VLOOKUP($B30,Rurality!$B$6:$H$41,6,FALSE)</f>
        <v>60979.476329333811</v>
      </c>
      <c r="S30" s="207">
        <f t="shared" si="6"/>
        <v>4516.9982466173242</v>
      </c>
      <c r="T30" s="112">
        <f>VLOOKUP($B30,[1]Education!$B$6:$H$41,6,FALSE)</f>
        <v>33687.730179087099</v>
      </c>
      <c r="U30" s="112">
        <f>VLOOKUP($B30,Education!$B$6:$H$41,6,FALSE)</f>
        <v>72765.497186828143</v>
      </c>
      <c r="V30" s="207">
        <f t="shared" si="7"/>
        <v>39077.767007741044</v>
      </c>
      <c r="W30" s="134">
        <f>VLOOKUP($B30,[1]Language!$B$6:$H$41,6,FALSE)</f>
        <v>65910.582552446271</v>
      </c>
      <c r="X30" s="134">
        <f>VLOOKUP($B30,Language!$B$6:$H$41,6,FALSE)</f>
        <v>71183.429156641971</v>
      </c>
      <c r="Y30" s="207">
        <f t="shared" si="8"/>
        <v>5272.8466041956999</v>
      </c>
      <c r="Z30" s="168">
        <f>VLOOKUP($B30,Matching!$B$7:$L$41,10,FALSE)</f>
        <v>18701.631037239204</v>
      </c>
      <c r="AA30" s="169">
        <f>VLOOKUP($B30,Incentives!$B$7:$Y$41,23,FALSE)</f>
        <v>4200.2933333333331</v>
      </c>
      <c r="AB30" s="147">
        <v>515915.51778494607</v>
      </c>
      <c r="AC30" s="147">
        <v>538379.13259050832</v>
      </c>
      <c r="AD30" s="211">
        <f t="shared" si="9"/>
        <v>22463.614805562247</v>
      </c>
      <c r="AE30" s="113">
        <v>2.5795776435257909E-2</v>
      </c>
      <c r="AF30" s="113">
        <f t="shared" si="0"/>
        <v>2.6918957199310013E-2</v>
      </c>
      <c r="AG30" s="213">
        <f t="shared" si="10"/>
        <v>1.1231807640521042E-3</v>
      </c>
      <c r="AH30" s="113">
        <v>1.8858987099677493E-2</v>
      </c>
      <c r="AI30" s="148">
        <f t="shared" si="1"/>
        <v>6.411835474503139</v>
      </c>
      <c r="AJ30" s="148">
        <f t="shared" si="11"/>
        <v>6.6910149085978441</v>
      </c>
      <c r="AK30" s="217">
        <f t="shared" si="12"/>
        <v>0.27917943409470514</v>
      </c>
      <c r="AL30" s="102"/>
      <c r="AN30" s="22"/>
      <c r="AO30" s="22"/>
    </row>
    <row r="31" spans="1:42" x14ac:dyDescent="0.25">
      <c r="A31" s="40"/>
      <c r="B31" s="110" t="s">
        <v>76</v>
      </c>
      <c r="C31" s="111">
        <f>VLOOKUP($B31,'County Data'!$B$10:$C$46,2,FALSE)</f>
        <v>88916</v>
      </c>
      <c r="D31" s="133">
        <f>VLOOKUP($B31,Floor!$B$6:$M$45,4,FALSE)</f>
        <v>199999.99999999997</v>
      </c>
      <c r="E31" s="112">
        <f>VLOOKUP($B31,[1]Burden!$B$6:$H$41,6,FALSE)</f>
        <v>37430.863137832021</v>
      </c>
      <c r="F31" s="112">
        <f>VLOOKUP($B31,Burden!$B$6:$H$41,6,FALSE)</f>
        <v>11229.258941349606</v>
      </c>
      <c r="G31" s="207">
        <f t="shared" si="2"/>
        <v>-26201.604196482414</v>
      </c>
      <c r="H31" s="112">
        <f>VLOOKUP($B31,'[1]Health Status'!$B$6:$H$41,6,FALSE)</f>
        <v>43791.430193472101</v>
      </c>
      <c r="I31" s="112">
        <f>VLOOKUP($B31,'Health Status'!$B$6:$H$41,6,FALSE)</f>
        <v>13137.429058041633</v>
      </c>
      <c r="J31" s="207">
        <f t="shared" si="3"/>
        <v>-30654.001135430466</v>
      </c>
      <c r="K31" s="112">
        <f>VLOOKUP($B31,[1]Ethnicity!$B$6:$H$41,6,FALSE)</f>
        <v>31218.444883470926</v>
      </c>
      <c r="L31" s="112">
        <f>VLOOKUP($B31,Ethnicity!$B$6:$H$41,6,FALSE)</f>
        <v>33715.920474148603</v>
      </c>
      <c r="M31" s="207">
        <f t="shared" si="4"/>
        <v>2497.4755906776772</v>
      </c>
      <c r="N31" s="112">
        <f>VLOOKUP($B31,[1]Poverty!$B$6:$H$41,6,FALSE)</f>
        <v>20268.471718745091</v>
      </c>
      <c r="O31" s="112">
        <f>VLOOKUP($B31,Poverty!$B$6:$H$41,6,FALSE)</f>
        <v>43779.8989124894</v>
      </c>
      <c r="P31" s="207">
        <f t="shared" si="5"/>
        <v>23511.427193744308</v>
      </c>
      <c r="Q31" s="112">
        <f>VLOOKUP($B31,[1]Rurality!$B$6:$H$41,6,FALSE)</f>
        <v>42668.14071889528</v>
      </c>
      <c r="R31" s="112">
        <f>VLOOKUP($B31,Rurality!$B$6:$H$41,6,FALSE)</f>
        <v>46081.591976406904</v>
      </c>
      <c r="S31" s="207">
        <f t="shared" si="6"/>
        <v>3413.4512575116241</v>
      </c>
      <c r="T31" s="112">
        <f>VLOOKUP($B31,[1]Education!$B$6:$H$41,6,FALSE)</f>
        <v>19980.80310755939</v>
      </c>
      <c r="U31" s="112">
        <f>VLOOKUP($B31,Education!$B$6:$H$41,6,FALSE)</f>
        <v>43158.534712328285</v>
      </c>
      <c r="V31" s="207">
        <f t="shared" si="7"/>
        <v>23177.731604768895</v>
      </c>
      <c r="W31" s="134">
        <f>VLOOKUP($B31,[1]Language!$B$6:$H$41,6,FALSE)</f>
        <v>35418.624480935316</v>
      </c>
      <c r="X31" s="134">
        <f>VLOOKUP($B31,Language!$B$6:$H$41,6,FALSE)</f>
        <v>38252.114439410143</v>
      </c>
      <c r="Y31" s="207">
        <f t="shared" si="8"/>
        <v>2833.4899584748273</v>
      </c>
      <c r="Z31" s="168">
        <f>VLOOKUP($B31,Matching!$B$7:$L$41,10,FALSE)</f>
        <v>16082.063122895586</v>
      </c>
      <c r="AA31" s="169">
        <f>VLOOKUP($B31,Incentives!$B$7:$Y$41,23,FALSE)</f>
        <v>4501.4833333333336</v>
      </c>
      <c r="AB31" s="147">
        <v>451360.32469713909</v>
      </c>
      <c r="AC31" s="147">
        <v>449938.29497040354</v>
      </c>
      <c r="AD31" s="211">
        <f t="shared" si="9"/>
        <v>-1422.029726735549</v>
      </c>
      <c r="AE31" s="113">
        <v>2.2568016712546643E-2</v>
      </c>
      <c r="AF31" s="113">
        <f t="shared" si="0"/>
        <v>2.2496915224704886E-2</v>
      </c>
      <c r="AG31" s="213">
        <f t="shared" si="10"/>
        <v>-7.1101487841757072E-5</v>
      </c>
      <c r="AH31" s="113">
        <v>2.0840208505212631E-2</v>
      </c>
      <c r="AI31" s="148">
        <f t="shared" si="1"/>
        <v>5.0762553949473554</v>
      </c>
      <c r="AJ31" s="148">
        <f t="shared" si="11"/>
        <v>5.0602624383733357</v>
      </c>
      <c r="AK31" s="217">
        <f t="shared" si="12"/>
        <v>-1.5992956574019779E-2</v>
      </c>
      <c r="AL31" s="102"/>
      <c r="AN31" s="22"/>
      <c r="AO31" s="22"/>
    </row>
    <row r="32" spans="1:42" x14ac:dyDescent="0.25">
      <c r="B32" s="110" t="s">
        <v>77</v>
      </c>
      <c r="C32" s="111">
        <f>VLOOKUP($B32,'County Data'!$B$10:$C$46,2,FALSE)</f>
        <v>88728</v>
      </c>
      <c r="D32" s="133">
        <f>VLOOKUP($B32,Floor!$B$6:$M$45,4,FALSE)</f>
        <v>199999.99999999997</v>
      </c>
      <c r="E32" s="112">
        <f>VLOOKUP($B32,[1]Burden!$B$6:$H$41,6,FALSE)</f>
        <v>61681.114936387312</v>
      </c>
      <c r="F32" s="112">
        <f>VLOOKUP($B32,Burden!$B$6:$H$41,6,FALSE)</f>
        <v>18504.334480916197</v>
      </c>
      <c r="G32" s="207">
        <f t="shared" si="2"/>
        <v>-43176.780455471118</v>
      </c>
      <c r="H32" s="112">
        <f>VLOOKUP($B32,'[1]Health Status'!$B$6:$H$41,6,FALSE)</f>
        <v>52056.541113709929</v>
      </c>
      <c r="I32" s="112">
        <f>VLOOKUP($B32,'Health Status'!$B$6:$H$41,6,FALSE)</f>
        <v>15616.962334112981</v>
      </c>
      <c r="J32" s="207">
        <f t="shared" si="3"/>
        <v>-36439.578779596952</v>
      </c>
      <c r="K32" s="112">
        <f>VLOOKUP($B32,[1]Ethnicity!$B$6:$H$41,6,FALSE)</f>
        <v>20603.013803756927</v>
      </c>
      <c r="L32" s="112">
        <f>VLOOKUP($B32,Ethnicity!$B$6:$H$41,6,FALSE)</f>
        <v>22251.254908057483</v>
      </c>
      <c r="M32" s="207">
        <f t="shared" si="4"/>
        <v>1648.2411043005559</v>
      </c>
      <c r="N32" s="112">
        <f>VLOOKUP($B32,[1]Poverty!$B$6:$H$41,6,FALSE)</f>
        <v>28894.894549151777</v>
      </c>
      <c r="O32" s="112">
        <f>VLOOKUP($B32,Poverty!$B$6:$H$41,6,FALSE)</f>
        <v>62412.97222616784</v>
      </c>
      <c r="P32" s="207">
        <f t="shared" si="5"/>
        <v>33518.077677016059</v>
      </c>
      <c r="Q32" s="112">
        <f>VLOOKUP($B32,[1]Rurality!$B$6:$H$41,6,FALSE)</f>
        <v>96281.740214397098</v>
      </c>
      <c r="R32" s="112">
        <f>VLOOKUP($B32,Rurality!$B$6:$H$41,6,FALSE)</f>
        <v>103984.27943154887</v>
      </c>
      <c r="S32" s="207">
        <f t="shared" si="6"/>
        <v>7702.5392171517742</v>
      </c>
      <c r="T32" s="112">
        <f>VLOOKUP($B32,[1]Education!$B$6:$H$41,6,FALSE)</f>
        <v>20411.001113525737</v>
      </c>
      <c r="U32" s="112">
        <f>VLOOKUP($B32,Education!$B$6:$H$41,6,FALSE)</f>
        <v>44087.762405215595</v>
      </c>
      <c r="V32" s="207">
        <f t="shared" si="7"/>
        <v>23676.761291689858</v>
      </c>
      <c r="W32" s="134">
        <f>VLOOKUP($B32,[1]Language!$B$6:$H$41,6,FALSE)</f>
        <v>9061.7411676460342</v>
      </c>
      <c r="X32" s="134">
        <f>VLOOKUP($B32,Language!$B$6:$H$41,6,FALSE)</f>
        <v>9786.6804610577183</v>
      </c>
      <c r="Y32" s="207">
        <f t="shared" si="8"/>
        <v>724.93929341168405</v>
      </c>
      <c r="Z32" s="168">
        <f>VLOOKUP($B32,Matching!$B$7:$L$41,10,FALSE)</f>
        <v>25177.004635304402</v>
      </c>
      <c r="AA32" s="169">
        <f>VLOOKUP($B32,Incentives!$B$7:$Y$41,23,FALSE)</f>
        <v>4494.7833333333328</v>
      </c>
      <c r="AB32" s="147">
        <v>518661.8348672124</v>
      </c>
      <c r="AC32" s="147">
        <v>506316.03421571432</v>
      </c>
      <c r="AD32" s="211">
        <f t="shared" si="9"/>
        <v>-12345.800651498081</v>
      </c>
      <c r="AE32" s="113">
        <v>2.5933092292277742E-2</v>
      </c>
      <c r="AF32" s="113">
        <f t="shared" si="0"/>
        <v>2.5315802246636866E-2</v>
      </c>
      <c r="AG32" s="213">
        <f t="shared" si="10"/>
        <v>-6.17290045640876E-4</v>
      </c>
      <c r="AH32" s="113">
        <v>2.0796144903622589E-2</v>
      </c>
      <c r="AI32" s="148">
        <f t="shared" si="1"/>
        <v>5.8455260443964967</v>
      </c>
      <c r="AJ32" s="148">
        <f t="shared" si="11"/>
        <v>5.706383939857929</v>
      </c>
      <c r="AK32" s="217">
        <f t="shared" si="12"/>
        <v>-0.13914210453856768</v>
      </c>
      <c r="AL32" s="102"/>
      <c r="AN32" s="22"/>
      <c r="AO32" s="22"/>
    </row>
    <row r="33" spans="2:41" x14ac:dyDescent="0.25">
      <c r="B33" s="110" t="s">
        <v>78</v>
      </c>
      <c r="C33" s="111">
        <f>VLOOKUP($B33,'County Data'!$B$10:$C$46,2,FALSE)</f>
        <v>93976</v>
      </c>
      <c r="D33" s="133">
        <f>VLOOKUP($B33,Floor!$B$6:$M$45,4,FALSE)</f>
        <v>199999.99999999997</v>
      </c>
      <c r="E33" s="112">
        <f>VLOOKUP($B33,[1]Burden!$B$6:$H$41,6,FALSE)</f>
        <v>26780.056286091927</v>
      </c>
      <c r="F33" s="112">
        <f>VLOOKUP($B33,Burden!$B$6:$H$41,6,FALSE)</f>
        <v>8034.0168858275802</v>
      </c>
      <c r="G33" s="207">
        <f t="shared" si="2"/>
        <v>-18746.039400264348</v>
      </c>
      <c r="H33" s="112">
        <f>VLOOKUP($B33,'[1]Health Status'!$B$6:$H$41,6,FALSE)</f>
        <v>28579.427280194457</v>
      </c>
      <c r="I33" s="112">
        <f>VLOOKUP($B33,'Health Status'!$B$6:$H$41,6,FALSE)</f>
        <v>8573.8281840583386</v>
      </c>
      <c r="J33" s="207">
        <f t="shared" si="3"/>
        <v>-20005.599096136117</v>
      </c>
      <c r="K33" s="112">
        <f>VLOOKUP($B33,[1]Ethnicity!$B$6:$H$41,6,FALSE)</f>
        <v>39425.318893353848</v>
      </c>
      <c r="L33" s="112">
        <f>VLOOKUP($B33,Ethnicity!$B$6:$H$41,6,FALSE)</f>
        <v>42579.344404822157</v>
      </c>
      <c r="M33" s="207">
        <f t="shared" si="4"/>
        <v>3154.0255114683096</v>
      </c>
      <c r="N33" s="112">
        <f>VLOOKUP($B33,[1]Poverty!$B$6:$H$41,6,FALSE)</f>
        <v>25453.476745968605</v>
      </c>
      <c r="O33" s="112">
        <f>VLOOKUP($B33,Poverty!$B$6:$H$41,6,FALSE)</f>
        <v>54979.509771292185</v>
      </c>
      <c r="P33" s="207">
        <f t="shared" si="5"/>
        <v>29526.033025323581</v>
      </c>
      <c r="Q33" s="112">
        <f>VLOOKUP($B33,[1]Rurality!$B$6:$H$41,6,FALSE)</f>
        <v>42603.524625997517</v>
      </c>
      <c r="R33" s="112">
        <f>VLOOKUP($B33,Rurality!$B$6:$H$41,6,FALSE)</f>
        <v>46011.806596077316</v>
      </c>
      <c r="S33" s="207">
        <f t="shared" si="6"/>
        <v>3408.2819700797991</v>
      </c>
      <c r="T33" s="112">
        <f>VLOOKUP($B33,[1]Education!$B$6:$H$41,6,FALSE)</f>
        <v>10066.591320647307</v>
      </c>
      <c r="U33" s="112">
        <f>VLOOKUP($B33,Education!$B$6:$H$41,6,FALSE)</f>
        <v>21743.837252598183</v>
      </c>
      <c r="V33" s="207">
        <f t="shared" si="7"/>
        <v>11677.245931950876</v>
      </c>
      <c r="W33" s="134">
        <f>VLOOKUP($B33,[1]Language!$B$6:$H$41,6,FALSE)</f>
        <v>34884.509409832841</v>
      </c>
      <c r="X33" s="134">
        <f>VLOOKUP($B33,Language!$B$6:$H$41,6,FALSE)</f>
        <v>37675.270162619468</v>
      </c>
      <c r="Y33" s="207">
        <f t="shared" si="8"/>
        <v>2790.7607527866276</v>
      </c>
      <c r="Z33" s="168">
        <f>VLOOKUP($B33,Matching!$B$7:$L$41,10,FALSE)</f>
        <v>0</v>
      </c>
      <c r="AA33" s="169">
        <f>VLOOKUP($B33,Incentives!$B$7:$Y$41,23,FALSE)</f>
        <v>4681.7733333333335</v>
      </c>
      <c r="AB33" s="147">
        <v>412474.67789541982</v>
      </c>
      <c r="AC33" s="147">
        <v>424279.38659062859</v>
      </c>
      <c r="AD33" s="211">
        <f t="shared" si="9"/>
        <v>11804.70869520877</v>
      </c>
      <c r="AE33" s="113">
        <v>2.0623734331306702E-2</v>
      </c>
      <c r="AF33" s="113">
        <f t="shared" si="0"/>
        <v>2.1213969778560458E-2</v>
      </c>
      <c r="AG33" s="213">
        <f t="shared" si="10"/>
        <v>5.9023544725375632E-4</v>
      </c>
      <c r="AH33" s="113">
        <v>2.2026175654391359E-2</v>
      </c>
      <c r="AI33" s="148">
        <f t="shared" si="1"/>
        <v>4.3891491220675469</v>
      </c>
      <c r="AJ33" s="148">
        <f t="shared" si="11"/>
        <v>4.5147632011431496</v>
      </c>
      <c r="AK33" s="217">
        <f t="shared" si="12"/>
        <v>0.12561407907560262</v>
      </c>
      <c r="AL33" s="102"/>
      <c r="AN33" s="22"/>
      <c r="AO33" s="22"/>
    </row>
    <row r="34" spans="2:41" x14ac:dyDescent="0.25">
      <c r="B34" s="110" t="s">
        <v>79</v>
      </c>
      <c r="C34" s="111">
        <f>VLOOKUP($B34,'County Data'!$B$10:$C$46,2,FALSE)</f>
        <v>108261</v>
      </c>
      <c r="D34" s="133">
        <f>VLOOKUP($B34,Floor!$B$6:$M$45,4,FALSE)</f>
        <v>199999.99999999997</v>
      </c>
      <c r="E34" s="112">
        <f>VLOOKUP($B34,[1]Burden!$B$6:$H$41,6,FALSE)</f>
        <v>47674.25087484291</v>
      </c>
      <c r="F34" s="112">
        <f>VLOOKUP($B34,Burden!$B$6:$H$41,6,FALSE)</f>
        <v>14302.275262452875</v>
      </c>
      <c r="G34" s="207">
        <f t="shared" si="2"/>
        <v>-33371.975612390037</v>
      </c>
      <c r="H34" s="112">
        <f>VLOOKUP($B34,'[1]Health Status'!$B$6:$H$41,6,FALSE)</f>
        <v>53610.268158065621</v>
      </c>
      <c r="I34" s="112">
        <f>VLOOKUP($B34,'Health Status'!$B$6:$H$41,6,FALSE)</f>
        <v>16083.080447419688</v>
      </c>
      <c r="J34" s="207">
        <f t="shared" si="3"/>
        <v>-37527.187710645929</v>
      </c>
      <c r="K34" s="112">
        <f>VLOOKUP($B34,[1]Ethnicity!$B$6:$H$41,6,FALSE)</f>
        <v>36958.080037488864</v>
      </c>
      <c r="L34" s="112">
        <f>VLOOKUP($B34,Ethnicity!$B$6:$H$41,6,FALSE)</f>
        <v>39914.726440487975</v>
      </c>
      <c r="M34" s="207">
        <f t="shared" si="4"/>
        <v>2956.6464029991112</v>
      </c>
      <c r="N34" s="112">
        <f>VLOOKUP($B34,[1]Poverty!$B$6:$H$41,6,FALSE)</f>
        <v>22683.911025761961</v>
      </c>
      <c r="O34" s="112">
        <f>VLOOKUP($B34,Poverty!$B$6:$H$41,6,FALSE)</f>
        <v>48997.247815645838</v>
      </c>
      <c r="P34" s="207">
        <f t="shared" si="5"/>
        <v>26313.336789883877</v>
      </c>
      <c r="Q34" s="112">
        <f>VLOOKUP($B34,[1]Rurality!$B$6:$H$41,6,FALSE)</f>
        <v>58999.889547112551</v>
      </c>
      <c r="R34" s="112">
        <f>VLOOKUP($B34,Rurality!$B$6:$H$41,6,FALSE)</f>
        <v>63719.88071088156</v>
      </c>
      <c r="S34" s="207">
        <f t="shared" si="6"/>
        <v>4719.9911637690093</v>
      </c>
      <c r="T34" s="112">
        <f>VLOOKUP($B34,[1]Education!$B$6:$H$41,6,FALSE)</f>
        <v>29880.448091274287</v>
      </c>
      <c r="U34" s="112">
        <f>VLOOKUP($B34,Education!$B$6:$H$41,6,FALSE)</f>
        <v>64541.767877152459</v>
      </c>
      <c r="V34" s="207">
        <f t="shared" si="7"/>
        <v>34661.319785878171</v>
      </c>
      <c r="W34" s="134">
        <f>VLOOKUP($B34,[1]Language!$B$6:$H$41,6,FALSE)</f>
        <v>44541.104002820583</v>
      </c>
      <c r="X34" s="134">
        <f>VLOOKUP($B34,Language!$B$6:$H$41,6,FALSE)</f>
        <v>48104.392323046231</v>
      </c>
      <c r="Y34" s="207">
        <f t="shared" si="8"/>
        <v>3563.2883202256489</v>
      </c>
      <c r="Z34" s="168">
        <f>VLOOKUP($B34,Matching!$B$7:$L$41,10,FALSE)</f>
        <v>37639.8737856855</v>
      </c>
      <c r="AA34" s="169">
        <f>VLOOKUP($B34,Incentives!$B$7:$Y$41,23,FALSE)</f>
        <v>5190.7633333333333</v>
      </c>
      <c r="AB34" s="147">
        <v>537178.58885638556</v>
      </c>
      <c r="AC34" s="147">
        <v>538494.00799610536</v>
      </c>
      <c r="AD34" s="211">
        <f t="shared" si="9"/>
        <v>1315.419139719801</v>
      </c>
      <c r="AE34" s="113">
        <v>2.6858930011333298E-2</v>
      </c>
      <c r="AF34" s="113">
        <f t="shared" si="0"/>
        <v>2.6924700969711442E-2</v>
      </c>
      <c r="AG34" s="213">
        <f t="shared" si="10"/>
        <v>6.5770958378143923E-5</v>
      </c>
      <c r="AH34" s="113">
        <v>2.5374306232655817E-2</v>
      </c>
      <c r="AI34" s="148">
        <f t="shared" si="1"/>
        <v>4.9618846016237201</v>
      </c>
      <c r="AJ34" s="148">
        <f t="shared" si="11"/>
        <v>4.9740350449017221</v>
      </c>
      <c r="AK34" s="217">
        <f t="shared" si="12"/>
        <v>1.2150443278001966E-2</v>
      </c>
      <c r="AL34" s="102"/>
      <c r="AN34" s="22"/>
      <c r="AO34" s="22"/>
    </row>
    <row r="35" spans="2:41" x14ac:dyDescent="0.25">
      <c r="B35" s="110" t="s">
        <v>80</v>
      </c>
      <c r="C35" s="111">
        <f>VLOOKUP($B35,'County Data'!$B$10:$C$46,2,FALSE)</f>
        <v>111694</v>
      </c>
      <c r="D35" s="133">
        <f>VLOOKUP($B35,Floor!$B$6:$M$45,4,FALSE)</f>
        <v>199999.99999999997</v>
      </c>
      <c r="E35" s="112">
        <f>VLOOKUP($B35,[1]Burden!$B$6:$H$41,6,FALSE)</f>
        <v>78996.28028905917</v>
      </c>
      <c r="F35" s="112">
        <f>VLOOKUP($B35,Burden!$B$6:$H$41,6,FALSE)</f>
        <v>23698.884086717753</v>
      </c>
      <c r="G35" s="207">
        <f t="shared" si="2"/>
        <v>-55297.396202341421</v>
      </c>
      <c r="H35" s="112">
        <f>VLOOKUP($B35,'[1]Health Status'!$B$6:$H$41,6,FALSE)</f>
        <v>66733.04483697559</v>
      </c>
      <c r="I35" s="112">
        <f>VLOOKUP($B35,'Health Status'!$B$6:$H$41,6,FALSE)</f>
        <v>20019.913451092681</v>
      </c>
      <c r="J35" s="207">
        <f t="shared" si="3"/>
        <v>-46713.131385882909</v>
      </c>
      <c r="K35" s="112">
        <f>VLOOKUP($B35,[1]Ethnicity!$B$6:$H$41,6,FALSE)</f>
        <v>24415.51889474929</v>
      </c>
      <c r="L35" s="112">
        <f>VLOOKUP($B35,Ethnicity!$B$6:$H$41,6,FALSE)</f>
        <v>26368.760406329235</v>
      </c>
      <c r="M35" s="207">
        <f t="shared" si="4"/>
        <v>1953.2415115799449</v>
      </c>
      <c r="N35" s="112">
        <f>VLOOKUP($B35,[1]Poverty!$B$6:$H$41,6,FALSE)</f>
        <v>30127.520834678526</v>
      </c>
      <c r="O35" s="112">
        <f>VLOOKUP($B35,Poverty!$B$6:$H$41,6,FALSE)</f>
        <v>65075.445002905624</v>
      </c>
      <c r="P35" s="207">
        <f t="shared" si="5"/>
        <v>34947.924168227095</v>
      </c>
      <c r="Q35" s="112">
        <f>VLOOKUP($B35,[1]Rurality!$B$6:$H$41,6,FALSE)</f>
        <v>110968.00681485565</v>
      </c>
      <c r="R35" s="112">
        <f>VLOOKUP($B35,Rurality!$B$6:$H$41,6,FALSE)</f>
        <v>119845.4473600441</v>
      </c>
      <c r="S35" s="207">
        <f t="shared" si="6"/>
        <v>8877.4405451884522</v>
      </c>
      <c r="T35" s="112">
        <f>VLOOKUP($B35,[1]Education!$B$6:$H$41,6,FALSE)</f>
        <v>28579.095251899009</v>
      </c>
      <c r="U35" s="112">
        <f>VLOOKUP($B35,Education!$B$6:$H$41,6,FALSE)</f>
        <v>61730.845744101862</v>
      </c>
      <c r="V35" s="207">
        <f t="shared" si="7"/>
        <v>33151.750492202853</v>
      </c>
      <c r="W35" s="134">
        <f>VLOOKUP($B35,[1]Language!$B$6:$H$41,6,FALSE)</f>
        <v>10316.374828027378</v>
      </c>
      <c r="X35" s="134">
        <f>VLOOKUP($B35,Language!$B$6:$H$41,6,FALSE)</f>
        <v>11141.684814269569</v>
      </c>
      <c r="Y35" s="207">
        <f t="shared" si="8"/>
        <v>825.30998624219137</v>
      </c>
      <c r="Z35" s="168">
        <f>VLOOKUP($B35,Matching!$B$7:$L$41,10,FALSE)</f>
        <v>0</v>
      </c>
      <c r="AA35" s="169">
        <f>VLOOKUP($B35,Incentives!$B$7:$Y$41,23,FALSE)</f>
        <v>5313.083333333333</v>
      </c>
      <c r="AB35" s="147">
        <v>555448.92508357787</v>
      </c>
      <c r="AC35" s="147">
        <v>533194.06419879419</v>
      </c>
      <c r="AD35" s="211">
        <f t="shared" si="9"/>
        <v>-22254.860884783673</v>
      </c>
      <c r="AE35" s="113">
        <v>2.7772446842029022E-2</v>
      </c>
      <c r="AF35" s="113">
        <f t="shared" si="0"/>
        <v>2.6659703774236775E-2</v>
      </c>
      <c r="AG35" s="213">
        <f t="shared" si="10"/>
        <v>-1.1127430677922469E-3</v>
      </c>
      <c r="AH35" s="113">
        <v>2.6178935723393085E-2</v>
      </c>
      <c r="AI35" s="148">
        <f t="shared" si="1"/>
        <v>4.9729522184143988</v>
      </c>
      <c r="AJ35" s="148">
        <f t="shared" si="11"/>
        <v>4.7737037280318928</v>
      </c>
      <c r="AK35" s="217">
        <f t="shared" si="12"/>
        <v>-0.19924849038250603</v>
      </c>
      <c r="AL35" s="102"/>
      <c r="AN35" s="22"/>
      <c r="AO35" s="22"/>
    </row>
    <row r="36" spans="2:41" x14ac:dyDescent="0.25">
      <c r="B36" s="110" t="s">
        <v>81</v>
      </c>
      <c r="C36" s="111">
        <f>VLOOKUP($B36,'County Data'!$B$10:$C$46,2,FALSE)</f>
        <v>130440</v>
      </c>
      <c r="D36" s="133">
        <f>VLOOKUP($B36,Floor!$B$6:$M$45,4,FALSE)</f>
        <v>199999.99999999997</v>
      </c>
      <c r="E36" s="112">
        <f>VLOOKUP($B36,[1]Burden!$B$6:$H$41,6,FALSE)</f>
        <v>68257.051255390834</v>
      </c>
      <c r="F36" s="112">
        <f>VLOOKUP($B36,Burden!$B$6:$H$41,6,FALSE)</f>
        <v>20477.115376617254</v>
      </c>
      <c r="G36" s="207">
        <f t="shared" si="2"/>
        <v>-47779.935878773584</v>
      </c>
      <c r="H36" s="112">
        <f>VLOOKUP($B36,'[1]Health Status'!$B$6:$H$41,6,FALSE)</f>
        <v>63540.040489679748</v>
      </c>
      <c r="I36" s="112">
        <f>VLOOKUP($B36,'Health Status'!$B$6:$H$41,6,FALSE)</f>
        <v>19062.01214690393</v>
      </c>
      <c r="J36" s="207">
        <f t="shared" si="3"/>
        <v>-44478.028342775819</v>
      </c>
      <c r="K36" s="112">
        <f>VLOOKUP($B36,[1]Ethnicity!$B$6:$H$41,6,FALSE)</f>
        <v>36534.004852404956</v>
      </c>
      <c r="L36" s="112">
        <f>VLOOKUP($B36,Ethnicity!$B$6:$H$41,6,FALSE)</f>
        <v>39456.725240597356</v>
      </c>
      <c r="M36" s="207">
        <f t="shared" si="4"/>
        <v>2922.7203881923997</v>
      </c>
      <c r="N36" s="112">
        <f>VLOOKUP($B36,[1]Poverty!$B$6:$H$41,6,FALSE)</f>
        <v>32414.327800061921</v>
      </c>
      <c r="O36" s="112">
        <f>VLOOKUP($B36,Poverty!$B$6:$H$41,6,FALSE)</f>
        <v>70014.948048133752</v>
      </c>
      <c r="P36" s="207">
        <f t="shared" si="5"/>
        <v>37600.620248071835</v>
      </c>
      <c r="Q36" s="112">
        <f>VLOOKUP($B36,[1]Rurality!$B$6:$H$41,6,FALSE)</f>
        <v>99395.929160952393</v>
      </c>
      <c r="R36" s="112">
        <f>VLOOKUP($B36,Rurality!$B$6:$H$41,6,FALSE)</f>
        <v>107347.60349382859</v>
      </c>
      <c r="S36" s="207">
        <f t="shared" si="6"/>
        <v>7951.674332876195</v>
      </c>
      <c r="T36" s="112">
        <f>VLOOKUP($B36,[1]Education!$B$6:$H$41,6,FALSE)</f>
        <v>30915.955958260016</v>
      </c>
      <c r="U36" s="112">
        <f>VLOOKUP($B36,Education!$B$6:$H$41,6,FALSE)</f>
        <v>66778.464869841642</v>
      </c>
      <c r="V36" s="207">
        <f t="shared" si="7"/>
        <v>35862.508911581623</v>
      </c>
      <c r="W36" s="134">
        <f>VLOOKUP($B36,[1]Language!$B$6:$H$41,6,FALSE)</f>
        <v>24498.491350341326</v>
      </c>
      <c r="X36" s="134">
        <f>VLOOKUP($B36,Language!$B$6:$H$41,6,FALSE)</f>
        <v>26458.370658368633</v>
      </c>
      <c r="Y36" s="207">
        <f t="shared" si="8"/>
        <v>1959.8793080273063</v>
      </c>
      <c r="Z36" s="168">
        <f>VLOOKUP($B36,Matching!$B$7:$L$41,10,FALSE)</f>
        <v>35303.313657534658</v>
      </c>
      <c r="AA36" s="169">
        <f>VLOOKUP($B36,Incentives!$B$7:$Y$41,23,FALSE)</f>
        <v>5981.0233333333326</v>
      </c>
      <c r="AB36" s="147">
        <v>596840.13785795914</v>
      </c>
      <c r="AC36" s="147">
        <v>590879.57682515914</v>
      </c>
      <c r="AD36" s="211">
        <f t="shared" si="9"/>
        <v>-5960.5610328000039</v>
      </c>
      <c r="AE36" s="113">
        <v>2.9842007524553786E-2</v>
      </c>
      <c r="AF36" s="113">
        <f t="shared" si="0"/>
        <v>2.9543979466605527E-2</v>
      </c>
      <c r="AG36" s="213">
        <f t="shared" si="10"/>
        <v>-2.9802805794825957E-4</v>
      </c>
      <c r="AH36" s="113">
        <v>3.0572639315982898E-2</v>
      </c>
      <c r="AI36" s="148">
        <f t="shared" si="1"/>
        <v>4.5755913665896895</v>
      </c>
      <c r="AJ36" s="148">
        <f t="shared" si="11"/>
        <v>4.5298955598371595</v>
      </c>
      <c r="AK36" s="217">
        <f t="shared" si="12"/>
        <v>-4.5695806752529933E-2</v>
      </c>
      <c r="AL36" s="114">
        <f>SUM(AB30:AB36)/SUM(C30:C36)</f>
        <v>5.107462450130309</v>
      </c>
      <c r="AM36" s="114">
        <f>SUM(AC30:AC36)/SUM(C30:C36)</f>
        <v>5.0983525425526688</v>
      </c>
      <c r="AN36" s="218">
        <f>AM36-AL36</f>
        <v>-9.1099075776401861E-3</v>
      </c>
      <c r="AO36" s="22"/>
    </row>
    <row r="37" spans="2:41" x14ac:dyDescent="0.25">
      <c r="B37" s="115" t="s">
        <v>82</v>
      </c>
      <c r="C37" s="116">
        <f>VLOOKUP($B37,'County Data'!$B$10:$C$46,2,FALSE)</f>
        <v>203390</v>
      </c>
      <c r="D37" s="135">
        <f>VLOOKUP($B37,Floor!$B$6:$M$45,4,FALSE)</f>
        <v>199999.99999999997</v>
      </c>
      <c r="E37" s="117">
        <f>VLOOKUP($B37,[1]Burden!$B$6:$H$41,6,FALSE)</f>
        <v>76603.849523976387</v>
      </c>
      <c r="F37" s="117">
        <f>VLOOKUP($B37,Burden!$B$6:$H$41,6,FALSE)</f>
        <v>22981.15485719292</v>
      </c>
      <c r="G37" s="207">
        <f t="shared" si="2"/>
        <v>-53622.694666783471</v>
      </c>
      <c r="H37" s="117">
        <f>VLOOKUP($B37,'[1]Health Status'!$B$6:$H$41,6,FALSE)</f>
        <v>74990.851636104853</v>
      </c>
      <c r="I37" s="117">
        <f>VLOOKUP($B37,'Health Status'!$B$6:$H$41,6,FALSE)</f>
        <v>22497.255490831463</v>
      </c>
      <c r="J37" s="207">
        <f t="shared" si="3"/>
        <v>-52493.59614527339</v>
      </c>
      <c r="K37" s="117">
        <f>VLOOKUP($B37,[1]Ethnicity!$B$6:$H$41,6,FALSE)</f>
        <v>38668.950411069891</v>
      </c>
      <c r="L37" s="117">
        <f>VLOOKUP($B37,Ethnicity!$B$6:$H$41,6,FALSE)</f>
        <v>41762.466443955491</v>
      </c>
      <c r="M37" s="207">
        <f t="shared" si="4"/>
        <v>3093.5160328856</v>
      </c>
      <c r="N37" s="117">
        <f>VLOOKUP($B37,[1]Poverty!$B$6:$H$41,6,FALSE)</f>
        <v>37084.528924912564</v>
      </c>
      <c r="O37" s="117">
        <f>VLOOKUP($B37,Poverty!$B$6:$H$41,6,FALSE)</f>
        <v>80102.582477811142</v>
      </c>
      <c r="P37" s="207">
        <f t="shared" si="5"/>
        <v>43018.053552898578</v>
      </c>
      <c r="Q37" s="117">
        <f>VLOOKUP($B37,[1]Rurality!$B$6:$H$41,6,FALSE)</f>
        <v>135365.94003268215</v>
      </c>
      <c r="R37" s="117">
        <f>VLOOKUP($B37,Rurality!$B$6:$H$41,6,FALSE)</f>
        <v>146195.21523529672</v>
      </c>
      <c r="S37" s="207">
        <f t="shared" si="6"/>
        <v>10829.275202614575</v>
      </c>
      <c r="T37" s="117">
        <f>VLOOKUP($B37,[1]Education!$B$6:$H$41,6,FALSE)</f>
        <v>30916.931866839339</v>
      </c>
      <c r="U37" s="117">
        <f>VLOOKUP($B37,Education!$B$6:$H$41,6,FALSE)</f>
        <v>66780.572832372971</v>
      </c>
      <c r="V37" s="207">
        <f t="shared" si="7"/>
        <v>35863.640965533632</v>
      </c>
      <c r="W37" s="136">
        <f>VLOOKUP($B37,[1]Language!$B$6:$H$41,6,FALSE)</f>
        <v>33429.078057996208</v>
      </c>
      <c r="X37" s="136">
        <f>VLOOKUP($B37,Language!$B$6:$H$41,6,FALSE)</f>
        <v>36103.404302635907</v>
      </c>
      <c r="Y37" s="207">
        <f t="shared" si="8"/>
        <v>2674.3262446396984</v>
      </c>
      <c r="Z37" s="170">
        <f>VLOOKUP($B37,Matching!$B$7:$L$41,10,FALSE)</f>
        <v>23067.612341335163</v>
      </c>
      <c r="AA37" s="171">
        <f>VLOOKUP($B37,Incentives!$B$7:$Y$41,23,FALSE)</f>
        <v>8580.2933333333331</v>
      </c>
      <c r="AB37" s="210">
        <v>658708.03612824983</v>
      </c>
      <c r="AC37" s="210">
        <v>648070.55731476506</v>
      </c>
      <c r="AD37" s="211">
        <f t="shared" si="9"/>
        <v>-10637.478813484777</v>
      </c>
      <c r="AE37" s="118">
        <v>3.293540250354518E-2</v>
      </c>
      <c r="AF37" s="118">
        <f t="shared" si="0"/>
        <v>3.2403528551612944E-2</v>
      </c>
      <c r="AG37" s="213">
        <f t="shared" si="10"/>
        <v>-5.3187395193223658E-4</v>
      </c>
      <c r="AH37" s="118">
        <v>4.7670723018075449E-2</v>
      </c>
      <c r="AI37" s="149">
        <f t="shared" si="1"/>
        <v>3.2386451454262737</v>
      </c>
      <c r="AJ37" s="214">
        <f t="shared" si="11"/>
        <v>3.1863442515107185</v>
      </c>
      <c r="AK37" s="217">
        <f t="shared" si="12"/>
        <v>-5.2300893915555147E-2</v>
      </c>
      <c r="AL37" s="102"/>
      <c r="AN37" s="22"/>
      <c r="AO37" s="22"/>
    </row>
    <row r="38" spans="2:41" x14ac:dyDescent="0.25">
      <c r="B38" s="115" t="s">
        <v>83</v>
      </c>
      <c r="C38" s="116">
        <f>VLOOKUP($B38,'County Data'!$B$10:$C$46,2,FALSE)</f>
        <v>223827</v>
      </c>
      <c r="D38" s="135">
        <f>VLOOKUP($B38,Floor!$B$6:$M$45,4,FALSE)</f>
        <v>199999.99999999997</v>
      </c>
      <c r="E38" s="117">
        <f>VLOOKUP($B38,[1]Burden!$B$6:$H$41,6,FALSE)</f>
        <v>119608.91548022337</v>
      </c>
      <c r="F38" s="117">
        <f>VLOOKUP($B38,Burden!$B$6:$H$41,6,FALSE)</f>
        <v>35882.67464406701</v>
      </c>
      <c r="G38" s="207">
        <f t="shared" si="2"/>
        <v>-83726.240836156358</v>
      </c>
      <c r="H38" s="117">
        <f>VLOOKUP($B38,'[1]Health Status'!$B$6:$H$41,6,FALSE)</f>
        <v>110837.93324480056</v>
      </c>
      <c r="I38" s="117">
        <f>VLOOKUP($B38,'Health Status'!$B$6:$H$41,6,FALSE)</f>
        <v>33251.379973440169</v>
      </c>
      <c r="J38" s="207">
        <f t="shared" si="3"/>
        <v>-77586.55327136039</v>
      </c>
      <c r="K38" s="117">
        <f>VLOOKUP($B38,[1]Ethnicity!$B$6:$H$41,6,FALSE)</f>
        <v>56445.86778820875</v>
      </c>
      <c r="L38" s="117">
        <f>VLOOKUP($B38,Ethnicity!$B$6:$H$41,6,FALSE)</f>
        <v>60961.537211265451</v>
      </c>
      <c r="M38" s="207">
        <f t="shared" si="4"/>
        <v>4515.6694230567009</v>
      </c>
      <c r="N38" s="117">
        <f>VLOOKUP($B38,[1]Poverty!$B$6:$H$41,6,FALSE)</f>
        <v>58329.467300537755</v>
      </c>
      <c r="O38" s="117">
        <f>VLOOKUP($B38,Poverty!$B$6:$H$41,6,FALSE)</f>
        <v>125991.64936916155</v>
      </c>
      <c r="P38" s="207">
        <f t="shared" si="5"/>
        <v>67662.182068623792</v>
      </c>
      <c r="Q38" s="117">
        <f>VLOOKUP($B38,[1]Rurality!$B$6:$H$41,6,FALSE)</f>
        <v>108487.38883530542</v>
      </c>
      <c r="R38" s="117">
        <f>VLOOKUP($B38,Rurality!$B$6:$H$41,6,FALSE)</f>
        <v>117166.37994212986</v>
      </c>
      <c r="S38" s="207">
        <f t="shared" si="6"/>
        <v>8678.9911068244401</v>
      </c>
      <c r="T38" s="117">
        <f>VLOOKUP($B38,[1]Education!$B$6:$H$41,6,FALSE)</f>
        <v>54545.334844551253</v>
      </c>
      <c r="U38" s="117">
        <f>VLOOKUP($B38,Education!$B$6:$H$41,6,FALSE)</f>
        <v>117817.92326423072</v>
      </c>
      <c r="V38" s="207">
        <f t="shared" si="7"/>
        <v>63272.588419679465</v>
      </c>
      <c r="W38" s="136">
        <f>VLOOKUP($B38,[1]Language!$B$6:$H$41,6,FALSE)</f>
        <v>61276.486487092734</v>
      </c>
      <c r="X38" s="136">
        <f>VLOOKUP($B38,Language!$B$6:$H$41,6,FALSE)</f>
        <v>66178.60540606016</v>
      </c>
      <c r="Y38" s="207">
        <f t="shared" si="8"/>
        <v>4902.118918967426</v>
      </c>
      <c r="Z38" s="170">
        <f>VLOOKUP($B38,Matching!$B$7:$L$41,10,FALSE)</f>
        <v>99865.880533162272</v>
      </c>
      <c r="AA38" s="171">
        <f>VLOOKUP($B38,Incentives!$B$7:$Y$41,23,FALSE)</f>
        <v>9308.4733333333334</v>
      </c>
      <c r="AB38" s="210">
        <v>878705.74784721551</v>
      </c>
      <c r="AC38" s="210">
        <v>866424.50367685047</v>
      </c>
      <c r="AD38" s="211">
        <f t="shared" si="9"/>
        <v>-12281.24417036504</v>
      </c>
      <c r="AE38" s="118">
        <v>4.3935288322324385E-2</v>
      </c>
      <c r="AF38" s="118">
        <f t="shared" si="0"/>
        <v>4.3321226100808484E-2</v>
      </c>
      <c r="AG38" s="213">
        <f t="shared" si="10"/>
        <v>-6.140622215159014E-4</v>
      </c>
      <c r="AH38" s="118">
        <v>5.2460764644116101E-2</v>
      </c>
      <c r="AI38" s="149">
        <f t="shared" si="1"/>
        <v>3.9258255163461757</v>
      </c>
      <c r="AJ38" s="214">
        <f t="shared" si="11"/>
        <v>3.8709561566605033</v>
      </c>
      <c r="AK38" s="217">
        <f t="shared" si="12"/>
        <v>-5.4869359685672414E-2</v>
      </c>
      <c r="AL38" s="102"/>
      <c r="AN38" s="22"/>
      <c r="AO38" s="22"/>
    </row>
    <row r="39" spans="2:41" x14ac:dyDescent="0.25">
      <c r="B39" s="115" t="s">
        <v>84</v>
      </c>
      <c r="C39" s="116">
        <f>VLOOKUP($B39,'County Data'!$B$10:$C$46,2,FALSE)</f>
        <v>347182</v>
      </c>
      <c r="D39" s="135">
        <f>VLOOKUP($B39,Floor!$B$6:$M$45,4,FALSE)</f>
        <v>199999.99999999997</v>
      </c>
      <c r="E39" s="117">
        <f>VLOOKUP($B39,[1]Burden!$B$6:$H$41,6,FALSE)</f>
        <v>154738.14242242553</v>
      </c>
      <c r="F39" s="117">
        <f>VLOOKUP($B39,Burden!$B$6:$H$41,6,FALSE)</f>
        <v>46421.442726727662</v>
      </c>
      <c r="G39" s="207">
        <f t="shared" si="2"/>
        <v>-108316.69969569787</v>
      </c>
      <c r="H39" s="117">
        <f>VLOOKUP($B39,'[1]Health Status'!$B$6:$H$41,6,FALSE)</f>
        <v>179397.56814416888</v>
      </c>
      <c r="I39" s="117">
        <f>VLOOKUP($B39,'Health Status'!$B$6:$H$41,6,FALSE)</f>
        <v>53819.270443250673</v>
      </c>
      <c r="J39" s="207">
        <f t="shared" si="3"/>
        <v>-125578.29770091821</v>
      </c>
      <c r="K39" s="117">
        <f>VLOOKUP($B39,[1]Ethnicity!$B$6:$H$41,6,FALSE)</f>
        <v>192113.32470218686</v>
      </c>
      <c r="L39" s="117">
        <f>VLOOKUP($B39,Ethnicity!$B$6:$H$41,6,FALSE)</f>
        <v>207482.39067836181</v>
      </c>
      <c r="M39" s="207">
        <f t="shared" si="4"/>
        <v>15369.065976174956</v>
      </c>
      <c r="N39" s="117">
        <f>VLOOKUP($B39,[1]Poverty!$B$6:$H$41,6,FALSE)</f>
        <v>92476.916662710937</v>
      </c>
      <c r="O39" s="117">
        <f>VLOOKUP($B39,Poverty!$B$6:$H$41,6,FALSE)</f>
        <v>199750.13999145565</v>
      </c>
      <c r="P39" s="207">
        <f t="shared" si="5"/>
        <v>107273.22332874472</v>
      </c>
      <c r="Q39" s="117">
        <f>VLOOKUP($B39,[1]Rurality!$B$6:$H$41,6,FALSE)</f>
        <v>109672.87325499256</v>
      </c>
      <c r="R39" s="117">
        <f>VLOOKUP($B39,Rurality!$B$6:$H$41,6,FALSE)</f>
        <v>118446.70311539197</v>
      </c>
      <c r="S39" s="207">
        <f t="shared" si="6"/>
        <v>8773.8298603994044</v>
      </c>
      <c r="T39" s="117">
        <f>VLOOKUP($B39,[1]Education!$B$6:$H$41,6,FALSE)</f>
        <v>120225.99266519562</v>
      </c>
      <c r="U39" s="117">
        <f>VLOOKUP($B39,Education!$B$6:$H$41,6,FALSE)</f>
        <v>259688.14415682256</v>
      </c>
      <c r="V39" s="207">
        <f t="shared" si="7"/>
        <v>139462.15149162692</v>
      </c>
      <c r="W39" s="136">
        <f>VLOOKUP($B39,[1]Language!$B$6:$H$41,6,FALSE)</f>
        <v>281532.07250862895</v>
      </c>
      <c r="X39" s="136">
        <f>VLOOKUP($B39,Language!$B$6:$H$41,6,FALSE)</f>
        <v>304054.63830931927</v>
      </c>
      <c r="Y39" s="207">
        <f t="shared" si="8"/>
        <v>22522.565800690325</v>
      </c>
      <c r="Z39" s="170">
        <f>VLOOKUP($B39,Matching!$B$7:$L$41,10,FALSE)</f>
        <v>77564.23659944236</v>
      </c>
      <c r="AA39" s="171">
        <f>VLOOKUP($B39,Incentives!$B$7:$Y$41,23,FALSE)</f>
        <v>13703.723333333333</v>
      </c>
      <c r="AB39" s="210">
        <v>1421424.850293085</v>
      </c>
      <c r="AC39" s="210">
        <v>1480930.6893541052</v>
      </c>
      <c r="AD39" s="211">
        <f t="shared" si="9"/>
        <v>59505.839061020175</v>
      </c>
      <c r="AE39" s="118">
        <v>7.1071244018995589E-2</v>
      </c>
      <c r="AF39" s="118">
        <f t="shared" si="0"/>
        <v>7.4046536035023619E-2</v>
      </c>
      <c r="AG39" s="213">
        <f t="shared" si="10"/>
        <v>2.9752920160280305E-3</v>
      </c>
      <c r="AH39" s="118">
        <v>8.1372815570389265E-2</v>
      </c>
      <c r="AI39" s="149">
        <f t="shared" si="1"/>
        <v>4.0941778384048853</v>
      </c>
      <c r="AJ39" s="214">
        <f t="shared" si="11"/>
        <v>4.2655745094910023</v>
      </c>
      <c r="AK39" s="217">
        <f t="shared" si="12"/>
        <v>0.171396671086117</v>
      </c>
      <c r="AL39" s="119">
        <f>SUM(AB37:AB39)/SUM(C37:C39)</f>
        <v>3.8208192860121852</v>
      </c>
      <c r="AM39" s="119">
        <f>SUM(AC37:AC39)/SUM(C37:C39)</f>
        <v>3.8680651064189404</v>
      </c>
      <c r="AN39" s="218">
        <f>AM39-AL39</f>
        <v>4.7245820406755179E-2</v>
      </c>
      <c r="AO39" s="22"/>
    </row>
    <row r="40" spans="2:41" x14ac:dyDescent="0.25">
      <c r="B40" s="120" t="s">
        <v>85</v>
      </c>
      <c r="C40" s="121">
        <f>VLOOKUP($B40,'County Data'!$B$10:$C$46,2,FALSE)</f>
        <v>382647</v>
      </c>
      <c r="D40" s="137">
        <f>VLOOKUP($B40,Floor!$B$6:$M$45,4,FALSE)</f>
        <v>199999.99999999997</v>
      </c>
      <c r="E40" s="122">
        <f>VLOOKUP($B40,[1]Burden!$B$6:$H$41,6,FALSE)</f>
        <v>182701.84493403599</v>
      </c>
      <c r="F40" s="122">
        <f>VLOOKUP($B40,Burden!$B$6:$H$41,6,FALSE)</f>
        <v>54810.553480210809</v>
      </c>
      <c r="G40" s="207">
        <f t="shared" si="2"/>
        <v>-127891.29145382519</v>
      </c>
      <c r="H40" s="122">
        <f>VLOOKUP($B40,'[1]Health Status'!$B$6:$H$41,6,FALSE)</f>
        <v>170948.19637064543</v>
      </c>
      <c r="I40" s="122">
        <f>VLOOKUP($B40,'Health Status'!$B$6:$H$41,6,FALSE)</f>
        <v>51284.458911193637</v>
      </c>
      <c r="J40" s="207">
        <f t="shared" si="3"/>
        <v>-119663.73745945179</v>
      </c>
      <c r="K40" s="122">
        <f>VLOOKUP($B40,[1]Ethnicity!$B$6:$H$41,6,FALSE)</f>
        <v>145331.02209475872</v>
      </c>
      <c r="L40" s="122">
        <f>VLOOKUP($B40,Ethnicity!$B$6:$H$41,6,FALSE)</f>
        <v>156957.50386233942</v>
      </c>
      <c r="M40" s="207">
        <f t="shared" si="4"/>
        <v>11626.481767580699</v>
      </c>
      <c r="N40" s="122">
        <f>VLOOKUP($B40,[1]Poverty!$B$6:$H$41,6,FALSE)</f>
        <v>106805.89513816357</v>
      </c>
      <c r="O40" s="122">
        <f>VLOOKUP($B40,Poverty!$B$6:$H$41,6,FALSE)</f>
        <v>230700.73349843331</v>
      </c>
      <c r="P40" s="207">
        <f t="shared" si="5"/>
        <v>123894.83836026974</v>
      </c>
      <c r="Q40" s="122">
        <f>VLOOKUP($B40,[1]Rurality!$B$6:$H$41,6,FALSE)</f>
        <v>161475.66679109741</v>
      </c>
      <c r="R40" s="122">
        <f>VLOOKUP($B40,Rurality!$B$6:$H$41,6,FALSE)</f>
        <v>174393.72013438519</v>
      </c>
      <c r="S40" s="207">
        <f t="shared" si="6"/>
        <v>12918.053343287786</v>
      </c>
      <c r="T40" s="122">
        <f>VLOOKUP($B40,[1]Education!$B$6:$H$41,6,FALSE)</f>
        <v>77459.834105092275</v>
      </c>
      <c r="U40" s="122">
        <f>VLOOKUP($B40,Education!$B$6:$H$41,6,FALSE)</f>
        <v>167313.24166699933</v>
      </c>
      <c r="V40" s="207">
        <f t="shared" si="7"/>
        <v>89853.40756190705</v>
      </c>
      <c r="W40" s="138">
        <f>VLOOKUP($B40,[1]Language!$B$6:$H$41,6,FALSE)</f>
        <v>76890.117000138678</v>
      </c>
      <c r="X40" s="138">
        <f>VLOOKUP($B40,Language!$B$6:$H$41,6,FALSE)</f>
        <v>83041.326360149775</v>
      </c>
      <c r="Y40" s="207">
        <f t="shared" si="8"/>
        <v>6151.2093600110966</v>
      </c>
      <c r="Z40" s="172">
        <f>VLOOKUP($B40,Matching!$B$7:$L$41,10,FALSE)</f>
        <v>95269.863100811883</v>
      </c>
      <c r="AA40" s="173">
        <f>VLOOKUP($B40,Incentives!$B$7:$Y$41,23,FALSE)</f>
        <v>14967.363333333335</v>
      </c>
      <c r="AB40" s="150">
        <v>1231849.8028680771</v>
      </c>
      <c r="AC40" s="150">
        <v>1228738.7643478564</v>
      </c>
      <c r="AD40" s="211">
        <f t="shared" si="9"/>
        <v>-3111.0385202206671</v>
      </c>
      <c r="AE40" s="123">
        <v>6.1592491447111597E-2</v>
      </c>
      <c r="AF40" s="123">
        <f t="shared" si="0"/>
        <v>6.1436939517808049E-2</v>
      </c>
      <c r="AG40" s="213">
        <f t="shared" si="10"/>
        <v>-1.5555192930354761E-4</v>
      </c>
      <c r="AH40" s="123">
        <v>8.9685132753318839E-2</v>
      </c>
      <c r="AI40" s="151">
        <f t="shared" si="1"/>
        <v>3.2192851449719377</v>
      </c>
      <c r="AJ40" s="151">
        <f t="shared" si="11"/>
        <v>3.2111548355216595</v>
      </c>
      <c r="AK40" s="217">
        <f t="shared" si="12"/>
        <v>-8.1303094502782614E-3</v>
      </c>
      <c r="AL40" s="183"/>
      <c r="AN40" s="22"/>
      <c r="AO40" s="22"/>
    </row>
    <row r="41" spans="2:41" x14ac:dyDescent="0.25">
      <c r="B41" s="120" t="s">
        <v>86</v>
      </c>
      <c r="C41" s="121">
        <f>VLOOKUP($B41,'County Data'!$B$10:$C$46,2,FALSE)</f>
        <v>425316</v>
      </c>
      <c r="D41" s="137">
        <f>VLOOKUP($B41,Floor!$B$6:$M$45,4,FALSE)</f>
        <v>199999.99999999997</v>
      </c>
      <c r="E41" s="122">
        <f>VLOOKUP($B41,[1]Burden!$B$6:$H$41,6,FALSE)</f>
        <v>168769.11774280545</v>
      </c>
      <c r="F41" s="122">
        <f>VLOOKUP($B41,Burden!$B$6:$H$41,6,FALSE)</f>
        <v>50630.735322841647</v>
      </c>
      <c r="G41" s="207">
        <f t="shared" si="2"/>
        <v>-118138.3824199638</v>
      </c>
      <c r="H41" s="122">
        <f>VLOOKUP($B41,'[1]Health Status'!$B$6:$H$41,6,FALSE)</f>
        <v>165973.15333193354</v>
      </c>
      <c r="I41" s="122">
        <f>VLOOKUP($B41,'Health Status'!$B$6:$H$41,6,FALSE)</f>
        <v>49791.945999580072</v>
      </c>
      <c r="J41" s="207">
        <f t="shared" si="3"/>
        <v>-116181.20733235347</v>
      </c>
      <c r="K41" s="122">
        <f>VLOOKUP($B41,[1]Ethnicity!$B$6:$H$41,6,FALSE)</f>
        <v>148639.43931081134</v>
      </c>
      <c r="L41" s="122">
        <f>VLOOKUP($B41,Ethnicity!$B$6:$H$41,6,FALSE)</f>
        <v>160530.59445567624</v>
      </c>
      <c r="M41" s="207">
        <f t="shared" si="4"/>
        <v>11891.155144864897</v>
      </c>
      <c r="N41" s="122">
        <f>VLOOKUP($B41,[1]Poverty!$B$6:$H$41,6,FALSE)</f>
        <v>57070.049178133762</v>
      </c>
      <c r="O41" s="122">
        <f>VLOOKUP($B41,Poverty!$B$6:$H$41,6,FALSE)</f>
        <v>123271.30622476894</v>
      </c>
      <c r="P41" s="207">
        <f t="shared" si="5"/>
        <v>66201.257046635175</v>
      </c>
      <c r="Q41" s="122">
        <f>VLOOKUP($B41,[1]Rurality!$B$6:$H$41,6,FALSE)</f>
        <v>185635.49515637802</v>
      </c>
      <c r="R41" s="122">
        <f>VLOOKUP($B41,Rurality!$B$6:$H$41,6,FALSE)</f>
        <v>200486.33476888828</v>
      </c>
      <c r="S41" s="207">
        <f t="shared" si="6"/>
        <v>14850.839612510259</v>
      </c>
      <c r="T41" s="122">
        <f>VLOOKUP($B41,[1]Education!$B$6:$H$41,6,FALSE)</f>
        <v>67198.366795547365</v>
      </c>
      <c r="U41" s="122">
        <f>VLOOKUP($B41,Education!$B$6:$H$41,6,FALSE)</f>
        <v>145148.47227838231</v>
      </c>
      <c r="V41" s="207">
        <f t="shared" si="7"/>
        <v>77950.105482834944</v>
      </c>
      <c r="W41" s="138">
        <f>VLOOKUP($B41,[1]Language!$B$6:$H$41,6,FALSE)</f>
        <v>135444.76441164807</v>
      </c>
      <c r="X41" s="138">
        <f>VLOOKUP($B41,Language!$B$6:$H$41,6,FALSE)</f>
        <v>146280.34556457991</v>
      </c>
      <c r="Y41" s="207">
        <f t="shared" si="8"/>
        <v>10835.581152931845</v>
      </c>
      <c r="Z41" s="172">
        <f>VLOOKUP($B41,Matching!$B$7:$L$41,10,FALSE)</f>
        <v>118420.84403815745</v>
      </c>
      <c r="AA41" s="173">
        <f>VLOOKUP($B41,Incentives!$B$7:$Y$41,23,FALSE)</f>
        <v>16487.703333333335</v>
      </c>
      <c r="AB41" s="150">
        <v>1263638.9332987482</v>
      </c>
      <c r="AC41" s="150">
        <v>1211048.2819862082</v>
      </c>
      <c r="AD41" s="211">
        <f t="shared" si="9"/>
        <v>-52590.651312540052</v>
      </c>
      <c r="AE41" s="123">
        <v>6.3181948002288657E-2</v>
      </c>
      <c r="AF41" s="123">
        <f t="shared" si="0"/>
        <v>6.0552415381003206E-2</v>
      </c>
      <c r="AG41" s="213">
        <f t="shared" si="10"/>
        <v>-2.6295326212854506E-3</v>
      </c>
      <c r="AH41" s="123">
        <v>9.9685929648241203E-2</v>
      </c>
      <c r="AI41" s="151">
        <f t="shared" si="1"/>
        <v>2.9710590085930182</v>
      </c>
      <c r="AJ41" s="151">
        <f t="shared" si="11"/>
        <v>2.8474082376073513</v>
      </c>
      <c r="AK41" s="217">
        <f t="shared" si="12"/>
        <v>-0.1236507709856669</v>
      </c>
      <c r="AL41" s="102"/>
      <c r="AN41" s="22"/>
      <c r="AO41" s="22"/>
    </row>
    <row r="42" spans="2:41" x14ac:dyDescent="0.25">
      <c r="B42" s="120" t="s">
        <v>87</v>
      </c>
      <c r="C42" s="121">
        <f>VLOOKUP($B42,'County Data'!$B$10:$C$46,2,FALSE)</f>
        <v>605036</v>
      </c>
      <c r="D42" s="137">
        <f>VLOOKUP($B42,Floor!$B$6:$M$45,4,FALSE)</f>
        <v>199999.99999999997</v>
      </c>
      <c r="E42" s="122">
        <f>VLOOKUP($B42,[1]Burden!$B$6:$H$41,6,FALSE)</f>
        <v>180818.14692343466</v>
      </c>
      <c r="F42" s="122">
        <f>VLOOKUP($B42,Burden!$B$6:$H$41,6,FALSE)</f>
        <v>54245.444077030406</v>
      </c>
      <c r="G42" s="207">
        <f t="shared" si="2"/>
        <v>-126572.70284640425</v>
      </c>
      <c r="H42" s="122">
        <f>VLOOKUP($B42,'[1]Health Status'!$B$6:$H$41,6,FALSE)</f>
        <v>245876.0829303113</v>
      </c>
      <c r="I42" s="122">
        <f>VLOOKUP($B42,'Health Status'!$B$6:$H$41,6,FALSE)</f>
        <v>73762.824879093401</v>
      </c>
      <c r="J42" s="207">
        <f t="shared" si="3"/>
        <v>-172113.25805121788</v>
      </c>
      <c r="K42" s="122">
        <f>VLOOKUP($B42,[1]Ethnicity!$B$6:$H$41,6,FALSE)</f>
        <v>421715.03537221247</v>
      </c>
      <c r="L42" s="122">
        <f>VLOOKUP($B42,Ethnicity!$B$6:$H$41,6,FALSE)</f>
        <v>455452.2382019895</v>
      </c>
      <c r="M42" s="207">
        <f t="shared" si="4"/>
        <v>33737.20282977703</v>
      </c>
      <c r="N42" s="122">
        <f>VLOOKUP($B42,[1]Poverty!$B$6:$H$41,6,FALSE)</f>
        <v>95989.347869489517</v>
      </c>
      <c r="O42" s="122">
        <f>VLOOKUP($B42,Poverty!$B$6:$H$41,6,FALSE)</f>
        <v>207336.99139809737</v>
      </c>
      <c r="P42" s="207">
        <f t="shared" si="5"/>
        <v>111347.64352860785</v>
      </c>
      <c r="Q42" s="122">
        <f>VLOOKUP($B42,[1]Rurality!$B$6:$H$41,6,FALSE)</f>
        <v>81703.369660386466</v>
      </c>
      <c r="R42" s="122">
        <f>VLOOKUP($B42,Rurality!$B$6:$H$41,6,FALSE)</f>
        <v>88239.639233217385</v>
      </c>
      <c r="S42" s="207">
        <f t="shared" si="6"/>
        <v>6536.2695728309191</v>
      </c>
      <c r="T42" s="122">
        <f>VLOOKUP($B42,[1]Education!$B$6:$H$41,6,FALSE)</f>
        <v>119317.04960040686</v>
      </c>
      <c r="U42" s="122">
        <f>VLOOKUP($B42,Education!$B$6:$H$41,6,FALSE)</f>
        <v>257724.82713687883</v>
      </c>
      <c r="V42" s="207">
        <f t="shared" si="7"/>
        <v>138407.77753647196</v>
      </c>
      <c r="W42" s="138">
        <f>VLOOKUP($B42,[1]Language!$B$6:$H$41,6,FALSE)</f>
        <v>427200.10537293809</v>
      </c>
      <c r="X42" s="138">
        <f>VLOOKUP($B42,Language!$B$6:$H$41,6,FALSE)</f>
        <v>461376.11380277318</v>
      </c>
      <c r="Y42" s="207">
        <f t="shared" si="8"/>
        <v>34176.008429835085</v>
      </c>
      <c r="Z42" s="172">
        <f>VLOOKUP($B42,Matching!$B$7:$L$41,10,FALSE)</f>
        <v>91134.626090134479</v>
      </c>
      <c r="AA42" s="173">
        <f>VLOOKUP($B42,Incentives!$B$7:$Y$41,23,FALSE)</f>
        <v>22891.273333333331</v>
      </c>
      <c r="AB42" s="150">
        <v>1886645.037152647</v>
      </c>
      <c r="AC42" s="150">
        <v>1912163.978152548</v>
      </c>
      <c r="AD42" s="211">
        <f t="shared" si="9"/>
        <v>25518.940999900922</v>
      </c>
      <c r="AE42" s="123">
        <v>9.4332253854331735E-2</v>
      </c>
      <c r="AF42" s="123">
        <f t="shared" si="0"/>
        <v>9.5608200931334333E-2</v>
      </c>
      <c r="AG42" s="213">
        <f t="shared" si="10"/>
        <v>1.2759470770025982E-3</v>
      </c>
      <c r="AH42" s="123">
        <v>0.14180885772144303</v>
      </c>
      <c r="AI42" s="151">
        <f t="shared" si="1"/>
        <v>3.1182360010853025</v>
      </c>
      <c r="AJ42" s="151">
        <f t="shared" si="11"/>
        <v>3.1604135591147435</v>
      </c>
      <c r="AK42" s="217">
        <f t="shared" si="12"/>
        <v>4.2177558029441009E-2</v>
      </c>
      <c r="AL42" s="102"/>
      <c r="AN42" s="22"/>
      <c r="AO42" s="22"/>
    </row>
    <row r="43" spans="2:41" x14ac:dyDescent="0.25">
      <c r="B43" s="120" t="s">
        <v>88</v>
      </c>
      <c r="C43" s="121">
        <f>VLOOKUP($B43,'County Data'!$B$10:$C$46,2,FALSE)</f>
        <v>820672</v>
      </c>
      <c r="D43" s="137">
        <f>VLOOKUP($B43,Floor!$B$6:$M$45,4,FALSE)</f>
        <v>199999.99999999997</v>
      </c>
      <c r="E43" s="122">
        <f>VLOOKUP($B43,[1]Burden!$B$6:$H$41,6,FALSE)</f>
        <v>357799.14117742341</v>
      </c>
      <c r="F43" s="122">
        <f>VLOOKUP($B43,Burden!$B$6:$H$41,6,FALSE)</f>
        <v>107339.74235322703</v>
      </c>
      <c r="G43" s="207">
        <f t="shared" si="2"/>
        <v>-250459.39882419637</v>
      </c>
      <c r="H43" s="122">
        <f>VLOOKUP($B43,'[1]Health Status'!$B$6:$H$41,6,FALSE)</f>
        <v>355593.33685342851</v>
      </c>
      <c r="I43" s="122">
        <f>VLOOKUP($B43,'Health Status'!$B$6:$H$41,6,FALSE)</f>
        <v>106678.00105602857</v>
      </c>
      <c r="J43" s="207">
        <f t="shared" si="3"/>
        <v>-248915.33579739992</v>
      </c>
      <c r="K43" s="122">
        <f>VLOOKUP($B43,[1]Ethnicity!$B$6:$H$41,6,FALSE)</f>
        <v>531922.38837875007</v>
      </c>
      <c r="L43" s="122">
        <f>VLOOKUP($B43,Ethnicity!$B$6:$H$41,6,FALSE)</f>
        <v>574476.17944905011</v>
      </c>
      <c r="M43" s="207">
        <f t="shared" si="4"/>
        <v>42553.791070300038</v>
      </c>
      <c r="N43" s="122">
        <f>VLOOKUP($B43,[1]Poverty!$B$6:$H$41,6,FALSE)</f>
        <v>186422.03495176288</v>
      </c>
      <c r="O43" s="122">
        <f>VLOOKUP($B43,Poverty!$B$6:$H$41,6,FALSE)</f>
        <v>402671.59549580782</v>
      </c>
      <c r="P43" s="207">
        <f t="shared" si="5"/>
        <v>216249.56054404494</v>
      </c>
      <c r="Q43" s="122">
        <f>VLOOKUP($B43,[1]Rurality!$B$6:$H$41,6,FALSE)</f>
        <v>25726.676984541671</v>
      </c>
      <c r="R43" s="122">
        <f>VLOOKUP($B43,Rurality!$B$6:$H$41,6,FALSE)</f>
        <v>27784.811143305007</v>
      </c>
      <c r="S43" s="207">
        <f t="shared" si="6"/>
        <v>2058.134158763336</v>
      </c>
      <c r="T43" s="122">
        <f>VLOOKUP($B43,[1]Education!$B$6:$H$41,6,FALSE)</f>
        <v>167830.92479269215</v>
      </c>
      <c r="U43" s="122">
        <f>VLOOKUP($B43,Education!$B$6:$H$41,6,FALSE)</f>
        <v>362514.79755221511</v>
      </c>
      <c r="V43" s="207">
        <f t="shared" si="7"/>
        <v>194683.87275952296</v>
      </c>
      <c r="W43" s="138">
        <f>VLOOKUP($B43,[1]Language!$B$6:$H$41,6,FALSE)</f>
        <v>538716.71424166649</v>
      </c>
      <c r="X43" s="138">
        <f>VLOOKUP($B43,Language!$B$6:$H$41,6,FALSE)</f>
        <v>581814.05138099985</v>
      </c>
      <c r="Y43" s="207">
        <f t="shared" si="8"/>
        <v>43097.337139333365</v>
      </c>
      <c r="Z43" s="172">
        <f>VLOOKUP($B43,Matching!$B$7:$L$41,10,FALSE)</f>
        <v>0</v>
      </c>
      <c r="AA43" s="173">
        <f>VLOOKUP($B43,Incentives!$B$7:$Y$41,23,FALSE)</f>
        <v>30574.563333333332</v>
      </c>
      <c r="AB43" s="150">
        <v>2394585.7807135982</v>
      </c>
      <c r="AC43" s="150">
        <v>2393853.7417639671</v>
      </c>
      <c r="AD43" s="211">
        <f t="shared" si="9"/>
        <v>-732.03894963115454</v>
      </c>
      <c r="AE43" s="123">
        <v>0.11972929156994994</v>
      </c>
      <c r="AF43" s="123">
        <f t="shared" si="0"/>
        <v>0.11969268962169363</v>
      </c>
      <c r="AG43" s="213">
        <f t="shared" si="10"/>
        <v>-3.6601948256304029E-5</v>
      </c>
      <c r="AH43" s="123">
        <v>0.19234980874521862</v>
      </c>
      <c r="AI43" s="151">
        <f t="shared" si="1"/>
        <v>2.9178353601848221</v>
      </c>
      <c r="AJ43" s="151">
        <f t="shared" si="11"/>
        <v>2.916943360762847</v>
      </c>
      <c r="AK43" s="217">
        <f t="shared" si="12"/>
        <v>-8.9199942197515369E-4</v>
      </c>
      <c r="AL43" s="124">
        <f>SUM(AB40:AB43)/SUM(C40:C43)</f>
        <v>3.0338933325601984</v>
      </c>
      <c r="AM43" s="124">
        <f>SUM(AC40:AC43)/SUM(C40:C43)</f>
        <v>3.020052982847778</v>
      </c>
      <c r="AN43" s="218">
        <f>AM43-AL43</f>
        <v>-1.384034971242043E-2</v>
      </c>
      <c r="AO43" s="22"/>
    </row>
    <row r="44" spans="2:41" ht="15.75" thickBot="1" x14ac:dyDescent="0.3">
      <c r="B44" s="125" t="s">
        <v>89</v>
      </c>
      <c r="C44" s="126">
        <f t="shared" ref="C44:J44" si="13">SUM(C9:C43)</f>
        <v>4266560</v>
      </c>
      <c r="D44" s="139">
        <f t="shared" si="13"/>
        <v>7199999.9999999991</v>
      </c>
      <c r="E44" s="127">
        <f t="shared" si="13"/>
        <v>1933333.3333333326</v>
      </c>
      <c r="F44" s="127">
        <f t="shared" si="13"/>
        <v>579999.99999999988</v>
      </c>
      <c r="G44" s="208">
        <f t="shared" ref="G44" si="14">SUM(G9:G43)</f>
        <v>-1353333.3333333326</v>
      </c>
      <c r="H44" s="127">
        <f t="shared" si="13"/>
        <v>1933333.333333333</v>
      </c>
      <c r="I44" s="127">
        <f t="shared" si="13"/>
        <v>580000</v>
      </c>
      <c r="J44" s="208">
        <f t="shared" si="13"/>
        <v>-1353333.3333333328</v>
      </c>
      <c r="K44" s="127">
        <f t="shared" ref="K44" si="15">SUM(K9:K43)</f>
        <v>1933333.333333333</v>
      </c>
      <c r="L44" s="127">
        <f t="shared" ref="L44:N44" si="16">SUM(L9:L43)</f>
        <v>2088000</v>
      </c>
      <c r="M44" s="208">
        <f t="shared" si="16"/>
        <v>154666.66666666674</v>
      </c>
      <c r="N44" s="127">
        <f t="shared" si="16"/>
        <v>966666.66666666663</v>
      </c>
      <c r="O44" s="127">
        <f t="shared" ref="O44:P44" si="17">SUM(O9:O43)</f>
        <v>2088000.0000000005</v>
      </c>
      <c r="P44" s="208">
        <f t="shared" si="17"/>
        <v>1121333.3333333335</v>
      </c>
      <c r="Q44" s="127">
        <f t="shared" ref="Q44" si="18">SUM(Q9:Q43)</f>
        <v>1933333.3333333335</v>
      </c>
      <c r="R44" s="127">
        <f t="shared" ref="R44:T44" si="19">SUM(R9:R43)</f>
        <v>2088000</v>
      </c>
      <c r="S44" s="208">
        <f t="shared" si="19"/>
        <v>154666.66666666674</v>
      </c>
      <c r="T44" s="127">
        <f t="shared" si="19"/>
        <v>966666.66666666674</v>
      </c>
      <c r="U44" s="127">
        <f t="shared" ref="U44:W44" si="20">SUM(U9:U43)</f>
        <v>2088000.0000000009</v>
      </c>
      <c r="V44" s="208">
        <f t="shared" si="20"/>
        <v>1121333.3333333337</v>
      </c>
      <c r="W44" s="140">
        <f t="shared" si="20"/>
        <v>1933333.3333333326</v>
      </c>
      <c r="X44" s="140">
        <f t="shared" ref="X44:Y44" si="21">SUM(X9:X43)</f>
        <v>2087999.9999999995</v>
      </c>
      <c r="Y44" s="209">
        <f t="shared" si="21"/>
        <v>154666.66666666672</v>
      </c>
      <c r="Z44" s="174">
        <f t="shared" ref="Z44:AA44" si="22">SUM(Z9:Z43)</f>
        <v>1000000.0000000002</v>
      </c>
      <c r="AA44" s="175">
        <f t="shared" si="22"/>
        <v>199999.57666666669</v>
      </c>
      <c r="AB44" s="139">
        <f>SUM(AB9:AB43)</f>
        <v>19999999.576666664</v>
      </c>
      <c r="AC44" s="139">
        <f t="shared" ref="AC44:AH44" si="23">SUM(AC9:AC43)</f>
        <v>19999999.576666664</v>
      </c>
      <c r="AD44" s="139">
        <f t="shared" si="23"/>
        <v>2.3865140974521637E-9</v>
      </c>
      <c r="AE44" s="212">
        <f t="shared" si="23"/>
        <v>0.99999999999999989</v>
      </c>
      <c r="AF44" s="212">
        <f t="shared" si="23"/>
        <v>1</v>
      </c>
      <c r="AG44" s="212">
        <f t="shared" si="23"/>
        <v>1.2663481374630692E-16</v>
      </c>
      <c r="AH44" s="212">
        <f t="shared" si="23"/>
        <v>1</v>
      </c>
      <c r="AI44" s="216">
        <f>SUM(AB44/C44)</f>
        <v>4.68761709120853</v>
      </c>
      <c r="AJ44" s="215">
        <f>SUM(AC44/C44)</f>
        <v>4.68761709120853</v>
      </c>
      <c r="AK44" s="215"/>
      <c r="AL44" s="128">
        <f>AB44/C44</f>
        <v>4.68761709120853</v>
      </c>
      <c r="AO44" s="22"/>
    </row>
    <row r="45" spans="2:41" ht="15.75" thickTop="1" x14ac:dyDescent="0.25">
      <c r="AB45" s="38"/>
      <c r="AC45" s="38"/>
      <c r="AD45" s="38"/>
    </row>
    <row r="46" spans="2:41" ht="17.25" x14ac:dyDescent="0.25">
      <c r="B46" s="188" t="s">
        <v>90</v>
      </c>
      <c r="Z46" s="222" t="s">
        <v>91</v>
      </c>
      <c r="AA46" s="222"/>
      <c r="AB46" s="222"/>
      <c r="AC46" s="222"/>
      <c r="AD46" s="222"/>
      <c r="AE46" s="222"/>
      <c r="AF46" s="222"/>
      <c r="AG46" s="222"/>
      <c r="AH46" s="222"/>
    </row>
    <row r="47" spans="2:41" ht="17.25" x14ac:dyDescent="0.25">
      <c r="B47" s="189" t="s">
        <v>92</v>
      </c>
      <c r="C47" s="39"/>
      <c r="D47" s="39"/>
      <c r="E47" s="39"/>
      <c r="F47" s="39"/>
      <c r="G47" s="39"/>
      <c r="H47" s="39"/>
      <c r="I47" s="39"/>
      <c r="J47" s="39"/>
      <c r="Z47" s="41" t="s">
        <v>93</v>
      </c>
      <c r="AA47" s="42" t="s">
        <v>94</v>
      </c>
      <c r="AB47" s="43" t="s">
        <v>95</v>
      </c>
      <c r="AC47" s="43"/>
      <c r="AD47" s="43"/>
      <c r="AE47" s="44" t="s">
        <v>96</v>
      </c>
      <c r="AF47" s="44"/>
      <c r="AG47" s="44"/>
      <c r="AH47" s="45" t="s">
        <v>97</v>
      </c>
    </row>
    <row r="48" spans="2:41" ht="17.25" x14ac:dyDescent="0.25">
      <c r="B48" s="189" t="s">
        <v>98</v>
      </c>
      <c r="C48" s="25"/>
      <c r="Z48" t="s">
        <v>99</v>
      </c>
      <c r="AA48" t="s">
        <v>100</v>
      </c>
      <c r="AB48" t="s">
        <v>101</v>
      </c>
      <c r="AE48" t="s">
        <v>102</v>
      </c>
      <c r="AH48" t="s">
        <v>103</v>
      </c>
    </row>
    <row r="49" spans="2:30" ht="17.25" x14ac:dyDescent="0.25">
      <c r="B49" s="189" t="s">
        <v>104</v>
      </c>
      <c r="C49" s="25"/>
      <c r="AB49" s="38"/>
      <c r="AC49" s="38"/>
      <c r="AD49" s="38"/>
    </row>
    <row r="50" spans="2:30" ht="17.25" x14ac:dyDescent="0.25">
      <c r="B50" s="189" t="s">
        <v>105</v>
      </c>
      <c r="C50" s="25"/>
    </row>
  </sheetData>
  <sortState xmlns:xlrd2="http://schemas.microsoft.com/office/spreadsheetml/2017/richdata2" ref="AN9:AO43">
    <sortCondition ref="AO9:AO43"/>
  </sortState>
  <mergeCells count="2">
    <mergeCell ref="Z46:AH46"/>
    <mergeCell ref="Z7:AA7"/>
  </mergeCells>
  <pageMargins left="0.7" right="0.7" top="0.75" bottom="0.75" header="0.3" footer="0.3"/>
  <pageSetup paperSize="5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52"/>
  <sheetViews>
    <sheetView topLeftCell="A19" zoomScaleNormal="100" workbookViewId="0">
      <selection activeCell="R27" sqref="R27"/>
    </sheetView>
  </sheetViews>
  <sheetFormatPr defaultRowHeight="15" x14ac:dyDescent="0.25"/>
  <cols>
    <col min="2" max="2" width="18" customWidth="1"/>
    <col min="3" max="3" width="13" customWidth="1"/>
    <col min="4" max="4" width="12.140625" bestFit="1" customWidth="1"/>
    <col min="5" max="5" width="12.5703125" bestFit="1" customWidth="1"/>
    <col min="6" max="6" width="11.140625" bestFit="1" customWidth="1"/>
    <col min="7" max="7" width="13.5703125" bestFit="1" customWidth="1"/>
    <col min="8" max="8" width="15.140625" bestFit="1" customWidth="1"/>
    <col min="9" max="9" width="10.85546875" bestFit="1" customWidth="1"/>
    <col min="10" max="10" width="11.28515625" bestFit="1" customWidth="1"/>
    <col min="11" max="11" width="14.5703125" bestFit="1" customWidth="1"/>
    <col min="12" max="12" width="14.5703125" hidden="1" customWidth="1"/>
    <col min="13" max="16" width="10.7109375" hidden="1" customWidth="1"/>
  </cols>
  <sheetData>
    <row r="1" spans="2:21" ht="18.75" x14ac:dyDescent="0.3">
      <c r="B1" s="24" t="str">
        <f>Input!$B$1</f>
        <v>PHAB Funding and Incentives Subcommittee</v>
      </c>
    </row>
    <row r="2" spans="2:21" ht="15.75" x14ac:dyDescent="0.25">
      <c r="B2" s="23" t="str">
        <f>Input!$B$2</f>
        <v>Subcommittee Members: Carrie Brogoitti, Bob Dannenhoffer, Jeff Luck, Alejandro Queral, Akiko Saito</v>
      </c>
    </row>
    <row r="3" spans="2:21" ht="15.75" x14ac:dyDescent="0.25">
      <c r="B3" s="23" t="str">
        <f>Input!$B$3</f>
        <v>Updated March, 2022</v>
      </c>
    </row>
    <row r="4" spans="2:21" ht="15" customHeight="1" x14ac:dyDescent="0.25"/>
    <row r="5" spans="2:21" x14ac:dyDescent="0.25">
      <c r="B5" t="s">
        <v>106</v>
      </c>
      <c r="C5" s="9">
        <f>Input!C5</f>
        <v>20000000</v>
      </c>
    </row>
    <row r="6" spans="2:21" x14ac:dyDescent="0.25"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2:21" s="2" customFormat="1" ht="30" x14ac:dyDescent="0.25">
      <c r="B7" s="68" t="s">
        <v>36</v>
      </c>
      <c r="C7" s="186" t="s">
        <v>107</v>
      </c>
      <c r="D7" s="69" t="s">
        <v>38</v>
      </c>
      <c r="E7" s="186" t="s">
        <v>108</v>
      </c>
      <c r="F7" s="186" t="s">
        <v>109</v>
      </c>
      <c r="G7" s="186" t="s">
        <v>110</v>
      </c>
      <c r="H7" s="186" t="s">
        <v>111</v>
      </c>
      <c r="I7" s="186" t="s">
        <v>112</v>
      </c>
      <c r="J7" s="186" t="s">
        <v>113</v>
      </c>
      <c r="K7" s="186" t="s">
        <v>114</v>
      </c>
      <c r="L7" s="184" t="s">
        <v>115</v>
      </c>
      <c r="M7" s="184" t="s">
        <v>116</v>
      </c>
      <c r="N7" s="184" t="s">
        <v>117</v>
      </c>
      <c r="O7" s="184" t="s">
        <v>118</v>
      </c>
      <c r="P7" s="185" t="s">
        <v>119</v>
      </c>
    </row>
    <row r="8" spans="2:21" x14ac:dyDescent="0.25">
      <c r="B8" s="62" t="s">
        <v>120</v>
      </c>
      <c r="C8" s="63">
        <f>Input!C15</f>
        <v>0</v>
      </c>
      <c r="D8" s="63">
        <f>Input!C7</f>
        <v>0.36</v>
      </c>
      <c r="E8" s="63">
        <f>Input!C16</f>
        <v>2.8999999999999998E-2</v>
      </c>
      <c r="F8" s="63">
        <f>Input!C17</f>
        <v>2.8999999999999998E-2</v>
      </c>
      <c r="G8" s="63">
        <f>Input!C18</f>
        <v>0.10439999999999999</v>
      </c>
      <c r="H8" s="63">
        <f>Input!C20</f>
        <v>0.10439999999999999</v>
      </c>
      <c r="I8" s="63">
        <f>Input!C19</f>
        <v>0.10439999999999999</v>
      </c>
      <c r="J8" s="63">
        <f>Input!C21</f>
        <v>0.10439999999999999</v>
      </c>
      <c r="K8" s="63">
        <f>Input!C22</f>
        <v>0.10439999999999999</v>
      </c>
      <c r="L8" s="63">
        <f>Input!C25</f>
        <v>0.05</v>
      </c>
      <c r="M8" s="63">
        <f>Input!C31</f>
        <v>0.01</v>
      </c>
      <c r="N8" s="63">
        <f>Input!C32</f>
        <v>0</v>
      </c>
      <c r="O8" s="63">
        <f>Input!C33</f>
        <v>0</v>
      </c>
      <c r="P8" s="64">
        <f>Input!C34</f>
        <v>0</v>
      </c>
      <c r="Q8" s="187">
        <f>1-SUM(C8:P8)</f>
        <v>0</v>
      </c>
    </row>
    <row r="9" spans="2:21" x14ac:dyDescent="0.25">
      <c r="B9" s="65" t="s">
        <v>121</v>
      </c>
      <c r="C9" s="66">
        <f>$C$5*C$8</f>
        <v>0</v>
      </c>
      <c r="D9" s="66">
        <f t="shared" ref="D9:P9" si="0">$C$5*D$8</f>
        <v>7200000</v>
      </c>
      <c r="E9" s="66">
        <f t="shared" si="0"/>
        <v>580000</v>
      </c>
      <c r="F9" s="66">
        <f t="shared" si="0"/>
        <v>580000</v>
      </c>
      <c r="G9" s="66">
        <f t="shared" si="0"/>
        <v>2087999.9999999998</v>
      </c>
      <c r="H9" s="66">
        <f t="shared" si="0"/>
        <v>2087999.9999999998</v>
      </c>
      <c r="I9" s="66">
        <f t="shared" si="0"/>
        <v>2087999.9999999998</v>
      </c>
      <c r="J9" s="66">
        <f t="shared" si="0"/>
        <v>2087999.9999999998</v>
      </c>
      <c r="K9" s="66">
        <f t="shared" si="0"/>
        <v>2087999.9999999998</v>
      </c>
      <c r="L9" s="66">
        <f t="shared" si="0"/>
        <v>1000000</v>
      </c>
      <c r="M9" s="66">
        <f t="shared" si="0"/>
        <v>200000</v>
      </c>
      <c r="N9" s="66">
        <f t="shared" si="0"/>
        <v>0</v>
      </c>
      <c r="O9" s="66">
        <f t="shared" si="0"/>
        <v>0</v>
      </c>
      <c r="P9" s="67">
        <f t="shared" si="0"/>
        <v>0</v>
      </c>
    </row>
    <row r="10" spans="2:21" x14ac:dyDescent="0.25">
      <c r="B10" s="17" t="s">
        <v>61</v>
      </c>
      <c r="C10" s="153">
        <v>16860</v>
      </c>
      <c r="D10" s="56" t="str">
        <f>IF(C10&gt;375000,"Extra Large",IF(C10&gt;150000,"Large",IF(C10&gt;75000,"Medium",IF(C10&gt;20000,"Small","Extra Small"))))</f>
        <v>Extra Small</v>
      </c>
      <c r="E10" s="156">
        <v>8.6297479999999996E-2</v>
      </c>
      <c r="F10" s="156">
        <v>0.18899999999999997</v>
      </c>
      <c r="G10" s="156">
        <v>7.063313313313313E-2</v>
      </c>
      <c r="H10" s="159">
        <v>0.26671850699844479</v>
      </c>
      <c r="I10" s="35">
        <v>0.41</v>
      </c>
      <c r="J10" s="156">
        <v>0.10388846896783405</v>
      </c>
      <c r="K10" s="156">
        <v>1.370043472533263E-2</v>
      </c>
      <c r="L10" s="84">
        <v>361764</v>
      </c>
      <c r="M10" s="78" t="s">
        <v>122</v>
      </c>
      <c r="N10" s="78"/>
      <c r="O10" s="78"/>
      <c r="P10" s="79"/>
      <c r="Q10" s="7"/>
      <c r="T10" s="201"/>
      <c r="U10" s="201"/>
    </row>
    <row r="11" spans="2:21" x14ac:dyDescent="0.25">
      <c r="B11" s="18" t="s">
        <v>78</v>
      </c>
      <c r="C11" s="154">
        <v>93976</v>
      </c>
      <c r="D11" s="57" t="str">
        <f t="shared" ref="D11:D46" si="1">IF(C11&gt;375000,"Extra Large",IF(C11&gt;150000,"Large",IF(C11&gt;75000,"Medium",IF(C11&gt;20000,"Small","Extra Small"))))</f>
        <v>Medium</v>
      </c>
      <c r="E11" s="157">
        <v>4.0668929999999999E-2</v>
      </c>
      <c r="F11" s="157">
        <v>0.113</v>
      </c>
      <c r="G11" s="157">
        <v>0.14361773223435065</v>
      </c>
      <c r="H11" s="160">
        <v>0.2787920514707628</v>
      </c>
      <c r="I11" s="36">
        <v>0.188</v>
      </c>
      <c r="J11" s="157">
        <v>4.5600029431241265E-2</v>
      </c>
      <c r="K11" s="157">
        <v>4.7645036926935759E-2</v>
      </c>
      <c r="L11" s="85">
        <v>1791995</v>
      </c>
      <c r="M11" s="80" t="s">
        <v>122</v>
      </c>
      <c r="N11" s="80"/>
      <c r="O11" s="80"/>
      <c r="P11" s="81"/>
      <c r="Q11" s="7"/>
      <c r="T11" s="201"/>
      <c r="U11" s="201"/>
    </row>
    <row r="12" spans="2:21" x14ac:dyDescent="0.25">
      <c r="B12" s="18" t="s">
        <v>86</v>
      </c>
      <c r="C12" s="154">
        <v>425316</v>
      </c>
      <c r="D12" s="57" t="str">
        <f t="shared" si="1"/>
        <v>Extra Large</v>
      </c>
      <c r="E12" s="157">
        <v>5.6630379999999994E-2</v>
      </c>
      <c r="F12" s="157">
        <v>0.14499999999999999</v>
      </c>
      <c r="G12" s="157">
        <v>0.11963882618510158</v>
      </c>
      <c r="H12" s="160">
        <v>0.13811687940583775</v>
      </c>
      <c r="I12" s="36">
        <v>0.18099999999999999</v>
      </c>
      <c r="J12" s="157">
        <v>6.7258416497069859E-2</v>
      </c>
      <c r="K12" s="157">
        <v>4.0874504898895145E-2</v>
      </c>
      <c r="L12" s="85">
        <v>5019520</v>
      </c>
      <c r="M12" s="80" t="s">
        <v>122</v>
      </c>
      <c r="N12" s="80"/>
      <c r="O12" s="80"/>
      <c r="P12" s="81"/>
      <c r="Q12" s="7"/>
      <c r="T12" s="201"/>
      <c r="U12" s="201"/>
    </row>
    <row r="13" spans="2:21" x14ac:dyDescent="0.25">
      <c r="B13" s="18" t="s">
        <v>70</v>
      </c>
      <c r="C13" s="154">
        <v>41428</v>
      </c>
      <c r="D13" s="57" t="str">
        <f t="shared" si="1"/>
        <v>Small</v>
      </c>
      <c r="E13" s="157">
        <v>8.1797190000000006E-2</v>
      </c>
      <c r="F13" s="157">
        <v>0.15</v>
      </c>
      <c r="G13" s="157">
        <v>8.7962242622270634E-2</v>
      </c>
      <c r="H13" s="160">
        <v>0.22943563260789376</v>
      </c>
      <c r="I13" s="36">
        <v>0.39</v>
      </c>
      <c r="J13" s="157">
        <v>8.4374440665831399E-2</v>
      </c>
      <c r="K13" s="157">
        <v>3.0615877536489856E-2</v>
      </c>
      <c r="L13" s="85">
        <v>446000</v>
      </c>
      <c r="M13" s="80" t="s">
        <v>122</v>
      </c>
      <c r="N13" s="80"/>
      <c r="O13" s="80"/>
      <c r="P13" s="81"/>
      <c r="Q13" s="7"/>
      <c r="T13" s="201"/>
      <c r="U13" s="201"/>
    </row>
    <row r="14" spans="2:21" x14ac:dyDescent="0.25">
      <c r="B14" s="18" t="s">
        <v>72</v>
      </c>
      <c r="C14" s="154">
        <v>53014</v>
      </c>
      <c r="D14" s="57" t="str">
        <f t="shared" si="1"/>
        <v>Small</v>
      </c>
      <c r="E14" s="157">
        <v>7.1908329999999993E-2</v>
      </c>
      <c r="F14" s="157">
        <v>0.20499999999999999</v>
      </c>
      <c r="G14" s="157">
        <v>7.1640675699592926E-2</v>
      </c>
      <c r="H14" s="160">
        <v>0.21043750992536128</v>
      </c>
      <c r="I14" s="36">
        <v>0.436</v>
      </c>
      <c r="J14" s="157">
        <v>9.5876003321339609E-2</v>
      </c>
      <c r="K14" s="157">
        <v>1.3475133196508903E-2</v>
      </c>
      <c r="L14" s="85">
        <v>615328</v>
      </c>
      <c r="M14" s="80" t="s">
        <v>122</v>
      </c>
      <c r="N14" s="80"/>
      <c r="O14" s="80"/>
      <c r="P14" s="81"/>
      <c r="Q14" s="7"/>
      <c r="T14" s="201"/>
      <c r="U14" s="201"/>
    </row>
    <row r="15" spans="2:21" x14ac:dyDescent="0.25">
      <c r="B15" s="18" t="s">
        <v>73</v>
      </c>
      <c r="C15" s="154">
        <v>65154</v>
      </c>
      <c r="D15" s="57" t="str">
        <f t="shared" si="1"/>
        <v>Small</v>
      </c>
      <c r="E15" s="157">
        <v>9.8415849999999985E-2</v>
      </c>
      <c r="F15" s="157">
        <v>0.214</v>
      </c>
      <c r="G15" s="157">
        <v>0.11684147343147785</v>
      </c>
      <c r="H15" s="160">
        <v>0.29889760747123673</v>
      </c>
      <c r="I15" s="36">
        <v>0.38400000000000001</v>
      </c>
      <c r="J15" s="157">
        <v>0.11153339844579388</v>
      </c>
      <c r="K15" s="157">
        <v>1.4799926913941166E-2</v>
      </c>
      <c r="L15" s="85">
        <v>332653</v>
      </c>
      <c r="M15" s="80" t="s">
        <v>122</v>
      </c>
      <c r="N15" s="80"/>
      <c r="O15" s="80"/>
      <c r="P15" s="81"/>
      <c r="Q15" s="7"/>
      <c r="T15" s="201"/>
      <c r="U15" s="201"/>
    </row>
    <row r="16" spans="2:21" x14ac:dyDescent="0.25">
      <c r="B16" s="18" t="s">
        <v>62</v>
      </c>
      <c r="C16" s="154">
        <v>25482</v>
      </c>
      <c r="D16" s="57" t="str">
        <f t="shared" si="1"/>
        <v>Small</v>
      </c>
      <c r="E16" s="157">
        <v>8.3662790000000001E-2</v>
      </c>
      <c r="F16" s="157">
        <v>0.23</v>
      </c>
      <c r="G16" s="157">
        <v>7.2167256122129209E-2</v>
      </c>
      <c r="H16" s="160">
        <v>0.26902958152958151</v>
      </c>
      <c r="I16" s="36">
        <v>0.48</v>
      </c>
      <c r="J16" s="157">
        <v>0.12438408845090734</v>
      </c>
      <c r="K16" s="157">
        <v>1.2850082372322899E-2</v>
      </c>
      <c r="L16" s="85">
        <v>1584688</v>
      </c>
      <c r="M16" s="80" t="s">
        <v>122</v>
      </c>
      <c r="N16" s="80"/>
      <c r="O16" s="80"/>
      <c r="P16" s="81"/>
      <c r="Q16" s="7"/>
      <c r="T16" s="201"/>
      <c r="U16" s="201"/>
    </row>
    <row r="17" spans="2:21" x14ac:dyDescent="0.25">
      <c r="B17" s="18" t="s">
        <v>63</v>
      </c>
      <c r="C17" s="154">
        <v>23662</v>
      </c>
      <c r="D17" s="57" t="str">
        <f t="shared" si="1"/>
        <v>Small</v>
      </c>
      <c r="E17" s="157">
        <v>9.8974709999999994E-2</v>
      </c>
      <c r="F17" s="157">
        <v>0.20399999999999999</v>
      </c>
      <c r="G17" s="157">
        <v>9.2726707246634385E-2</v>
      </c>
      <c r="H17" s="160">
        <v>0.24108864278348205</v>
      </c>
      <c r="I17" s="36">
        <v>0.38700000000000001</v>
      </c>
      <c r="J17" s="157">
        <v>0.10947055258663435</v>
      </c>
      <c r="K17" s="157">
        <v>1.3102458447150332E-2</v>
      </c>
      <c r="L17" s="85">
        <v>703878</v>
      </c>
      <c r="M17" s="80" t="s">
        <v>122</v>
      </c>
      <c r="N17" s="80"/>
      <c r="O17" s="80"/>
      <c r="P17" s="81"/>
      <c r="Q17" s="7"/>
      <c r="T17" s="201"/>
      <c r="U17" s="201"/>
    </row>
    <row r="18" spans="2:21" x14ac:dyDescent="0.25">
      <c r="B18" s="18" t="s">
        <v>82</v>
      </c>
      <c r="C18" s="154">
        <v>203390</v>
      </c>
      <c r="D18" s="57" t="str">
        <f t="shared" si="1"/>
        <v>Large</v>
      </c>
      <c r="E18" s="157">
        <v>5.375133E-2</v>
      </c>
      <c r="F18" s="157">
        <v>0.13699999999999998</v>
      </c>
      <c r="G18" s="157">
        <v>6.5085252435783877E-2</v>
      </c>
      <c r="H18" s="160">
        <v>0.18767801513128615</v>
      </c>
      <c r="I18" s="36">
        <v>0.27600000000000002</v>
      </c>
      <c r="J18" s="157">
        <v>6.4709260039046049E-2</v>
      </c>
      <c r="K18" s="157">
        <v>2.1095839220861116E-2</v>
      </c>
      <c r="L18" s="85">
        <v>3814900</v>
      </c>
      <c r="M18" s="80" t="s">
        <v>122</v>
      </c>
      <c r="N18" s="80"/>
      <c r="O18" s="80"/>
      <c r="P18" s="81"/>
      <c r="Q18" s="7"/>
      <c r="T18" s="201"/>
      <c r="U18" s="201"/>
    </row>
    <row r="19" spans="2:21" x14ac:dyDescent="0.25">
      <c r="B19" s="18" t="s">
        <v>80</v>
      </c>
      <c r="C19" s="154">
        <v>111694</v>
      </c>
      <c r="D19" s="57" t="str">
        <f t="shared" si="1"/>
        <v>Medium</v>
      </c>
      <c r="E19" s="157">
        <v>0.10093575</v>
      </c>
      <c r="F19" s="157">
        <v>0.222</v>
      </c>
      <c r="G19" s="157">
        <v>7.483175318261126E-2</v>
      </c>
      <c r="H19" s="160">
        <v>0.27764111677500819</v>
      </c>
      <c r="I19" s="36">
        <v>0.41199999999999998</v>
      </c>
      <c r="J19" s="157">
        <v>0.10892266853651207</v>
      </c>
      <c r="K19" s="157">
        <v>1.1854937610714216E-2</v>
      </c>
      <c r="L19" s="85">
        <v>444652</v>
      </c>
      <c r="M19" s="80" t="s">
        <v>122</v>
      </c>
      <c r="N19" s="80"/>
      <c r="O19" s="80"/>
      <c r="P19" s="81"/>
      <c r="Q19" s="7"/>
      <c r="T19" s="201"/>
      <c r="U19" s="201"/>
    </row>
    <row r="20" spans="2:21" x14ac:dyDescent="0.25">
      <c r="B20" s="27" t="s">
        <v>55</v>
      </c>
      <c r="C20" s="54">
        <v>2039</v>
      </c>
      <c r="D20" s="54" t="str">
        <f t="shared" si="1"/>
        <v>Extra Small</v>
      </c>
      <c r="E20" s="55">
        <v>6.8052559999999998E-2</v>
      </c>
      <c r="F20" s="55">
        <v>0.14899999999999999</v>
      </c>
      <c r="G20" s="55">
        <v>7.0267435762978503E-2</v>
      </c>
      <c r="H20" s="177">
        <v>0.2425039452919516</v>
      </c>
      <c r="I20" s="202">
        <v>1</v>
      </c>
      <c r="J20" s="55">
        <v>9.668508287292818E-2</v>
      </c>
      <c r="K20" s="55">
        <v>2.7442371020856202E-2</v>
      </c>
      <c r="L20" s="190"/>
      <c r="M20" s="190"/>
      <c r="N20" s="190"/>
      <c r="O20" s="190"/>
      <c r="P20" s="191"/>
      <c r="Q20" s="7"/>
      <c r="T20" s="201"/>
      <c r="U20" s="201"/>
    </row>
    <row r="21" spans="2:21" x14ac:dyDescent="0.25">
      <c r="B21" s="18" t="s">
        <v>58</v>
      </c>
      <c r="C21" s="154">
        <v>7226</v>
      </c>
      <c r="D21" s="57" t="str">
        <f t="shared" si="1"/>
        <v>Extra Small</v>
      </c>
      <c r="E21" s="157">
        <v>7.9334200000000007E-2</v>
      </c>
      <c r="F21" s="157">
        <v>0.155</v>
      </c>
      <c r="G21" s="157">
        <v>5.3181122093832661E-2</v>
      </c>
      <c r="H21" s="160">
        <v>0.27554486272289841</v>
      </c>
      <c r="I21" s="202">
        <v>1</v>
      </c>
      <c r="J21" s="157">
        <v>0.11228389444949954</v>
      </c>
      <c r="K21" s="157">
        <v>6.2718786464410732E-3</v>
      </c>
      <c r="L21" s="85">
        <v>0</v>
      </c>
      <c r="M21" s="80" t="s">
        <v>122</v>
      </c>
      <c r="N21" s="80"/>
      <c r="O21" s="80"/>
      <c r="P21" s="81"/>
      <c r="Q21" s="7"/>
      <c r="T21" s="201"/>
      <c r="U21" s="201"/>
    </row>
    <row r="22" spans="2:21" x14ac:dyDescent="0.25">
      <c r="B22" s="18" t="s">
        <v>57</v>
      </c>
      <c r="C22" s="154">
        <v>7537</v>
      </c>
      <c r="D22" s="57" t="str">
        <f t="shared" si="1"/>
        <v>Extra Small</v>
      </c>
      <c r="E22" s="157">
        <v>9.5802139999999994E-2</v>
      </c>
      <c r="F22" s="157">
        <v>0.122</v>
      </c>
      <c r="G22" s="157">
        <v>9.0896513558384059E-2</v>
      </c>
      <c r="H22" s="160">
        <v>0.27595435976898153</v>
      </c>
      <c r="I22" s="36">
        <v>0.443</v>
      </c>
      <c r="J22" s="157">
        <v>0.1021883920076118</v>
      </c>
      <c r="K22" s="157">
        <v>1.5169194865810968E-2</v>
      </c>
      <c r="L22" s="85">
        <v>172270</v>
      </c>
      <c r="M22" s="80" t="s">
        <v>122</v>
      </c>
      <c r="N22" s="80"/>
      <c r="O22" s="80"/>
      <c r="P22" s="81"/>
      <c r="Q22" s="7"/>
      <c r="T22" s="201"/>
      <c r="U22" s="201"/>
    </row>
    <row r="23" spans="2:21" x14ac:dyDescent="0.25">
      <c r="B23" s="18" t="s">
        <v>65</v>
      </c>
      <c r="C23" s="154">
        <v>23888</v>
      </c>
      <c r="D23" s="57" t="str">
        <f t="shared" si="1"/>
        <v>Small</v>
      </c>
      <c r="E23" s="157">
        <v>4.750973E-2</v>
      </c>
      <c r="F23" s="157">
        <v>0.16399999999999998</v>
      </c>
      <c r="G23" s="157">
        <v>0.13401928148372313</v>
      </c>
      <c r="H23" s="160">
        <v>0.2071000743234381</v>
      </c>
      <c r="I23" s="36">
        <v>0.52200000000000002</v>
      </c>
      <c r="J23" s="157">
        <v>0.18945337620578778</v>
      </c>
      <c r="K23" s="157">
        <v>0.15446440944154463</v>
      </c>
      <c r="L23" s="85">
        <v>729676</v>
      </c>
      <c r="M23" s="80" t="s">
        <v>122</v>
      </c>
      <c r="N23" s="80"/>
      <c r="O23" s="80"/>
      <c r="P23" s="81"/>
      <c r="Q23" s="7"/>
      <c r="T23" s="201"/>
      <c r="U23" s="201"/>
    </row>
    <row r="24" spans="2:21" x14ac:dyDescent="0.25">
      <c r="B24" s="18" t="s">
        <v>83</v>
      </c>
      <c r="C24" s="154">
        <v>223827</v>
      </c>
      <c r="D24" s="57" t="str">
        <f t="shared" si="1"/>
        <v>Large</v>
      </c>
      <c r="E24" s="157">
        <v>7.6263950000000011E-2</v>
      </c>
      <c r="F24" s="157">
        <v>0.184</v>
      </c>
      <c r="G24" s="157">
        <v>8.6331539621126913E-2</v>
      </c>
      <c r="H24" s="160">
        <v>0.26824137573224915</v>
      </c>
      <c r="I24" s="36">
        <v>0.20100000000000001</v>
      </c>
      <c r="J24" s="157">
        <v>0.10373965023348289</v>
      </c>
      <c r="K24" s="157">
        <v>3.5138513530205188E-2</v>
      </c>
      <c r="L24" s="85">
        <v>2298330</v>
      </c>
      <c r="M24" s="80" t="s">
        <v>122</v>
      </c>
      <c r="N24" s="80"/>
      <c r="O24" s="80"/>
      <c r="P24" s="81"/>
      <c r="Q24" s="7"/>
      <c r="T24" s="201"/>
      <c r="U24" s="201"/>
    </row>
    <row r="25" spans="2:21" x14ac:dyDescent="0.25">
      <c r="B25" s="18" t="s">
        <v>64</v>
      </c>
      <c r="C25" s="154">
        <v>24889</v>
      </c>
      <c r="D25" s="57" t="str">
        <f t="shared" si="1"/>
        <v>Small</v>
      </c>
      <c r="E25" s="157">
        <v>8.5968059999999999E-2</v>
      </c>
      <c r="F25" s="157">
        <v>0.13699999999999998</v>
      </c>
      <c r="G25" s="157">
        <v>0.28928833772631035</v>
      </c>
      <c r="H25" s="160">
        <v>0.30349789583239062</v>
      </c>
      <c r="I25" s="36">
        <v>0.63100000000000001</v>
      </c>
      <c r="J25" s="157">
        <v>0.14004805260495701</v>
      </c>
      <c r="K25" s="157">
        <v>4.9472082622527551E-2</v>
      </c>
      <c r="L25" s="85">
        <v>261557</v>
      </c>
      <c r="M25" s="80" t="s">
        <v>122</v>
      </c>
      <c r="N25" s="80"/>
      <c r="O25" s="80"/>
      <c r="P25" s="81"/>
      <c r="Q25" s="7"/>
      <c r="T25" s="201"/>
      <c r="U25" s="201"/>
    </row>
    <row r="26" spans="2:21" x14ac:dyDescent="0.25">
      <c r="B26" s="18" t="s">
        <v>77</v>
      </c>
      <c r="C26" s="154">
        <v>88728</v>
      </c>
      <c r="D26" s="57" t="str">
        <f t="shared" si="1"/>
        <v>Medium</v>
      </c>
      <c r="E26" s="157">
        <v>9.9210980000000004E-2</v>
      </c>
      <c r="F26" s="157">
        <v>0.218</v>
      </c>
      <c r="G26" s="157">
        <v>7.9491348954738486E-2</v>
      </c>
      <c r="H26" s="160">
        <v>0.33520512729383611</v>
      </c>
      <c r="I26" s="36">
        <v>0.45</v>
      </c>
      <c r="J26" s="157">
        <v>9.7927181538266198E-2</v>
      </c>
      <c r="K26" s="157">
        <v>1.3108498984552895E-2</v>
      </c>
      <c r="L26" s="85">
        <v>657998</v>
      </c>
      <c r="M26" s="80" t="s">
        <v>122</v>
      </c>
      <c r="N26" s="80"/>
      <c r="O26" s="80"/>
      <c r="P26" s="81"/>
      <c r="Q26" s="7"/>
      <c r="T26" s="201"/>
      <c r="U26" s="201"/>
    </row>
    <row r="27" spans="2:21" x14ac:dyDescent="0.25">
      <c r="B27" s="18" t="s">
        <v>74</v>
      </c>
      <c r="C27" s="154">
        <v>69822</v>
      </c>
      <c r="D27" s="57" t="str">
        <f t="shared" si="1"/>
        <v>Small</v>
      </c>
      <c r="E27" s="157">
        <v>9.6826550000000011E-2</v>
      </c>
      <c r="F27" s="157">
        <v>0.17399999999999999</v>
      </c>
      <c r="G27" s="157">
        <v>0.12005730659025787</v>
      </c>
      <c r="H27" s="160">
        <v>0.33197549770290963</v>
      </c>
      <c r="I27" s="36">
        <v>0.376</v>
      </c>
      <c r="J27" s="157">
        <v>0.12596828136800087</v>
      </c>
      <c r="K27" s="157">
        <v>3.3411008437123343E-2</v>
      </c>
      <c r="L27" s="85">
        <v>542426</v>
      </c>
      <c r="M27" s="80" t="s">
        <v>122</v>
      </c>
      <c r="N27" s="80"/>
      <c r="O27" s="80"/>
      <c r="P27" s="81"/>
      <c r="Q27" s="7"/>
      <c r="T27" s="201"/>
      <c r="U27" s="201"/>
    </row>
    <row r="28" spans="2:21" x14ac:dyDescent="0.25">
      <c r="B28" s="18" t="s">
        <v>59</v>
      </c>
      <c r="C28" s="154">
        <v>8177</v>
      </c>
      <c r="D28" s="57" t="str">
        <f t="shared" si="1"/>
        <v>Extra Small</v>
      </c>
      <c r="E28" s="157">
        <v>9.3079839999999997E-2</v>
      </c>
      <c r="F28" s="157">
        <v>0.17899999999999999</v>
      </c>
      <c r="G28" s="157">
        <v>8.9506566364911389E-2</v>
      </c>
      <c r="H28" s="160">
        <v>0.32648275862068965</v>
      </c>
      <c r="I28" s="36">
        <v>0.63300000000000001</v>
      </c>
      <c r="J28" s="157">
        <v>0.13104736038024103</v>
      </c>
      <c r="K28" s="157">
        <v>1.7890772128060263E-2</v>
      </c>
      <c r="L28" s="85">
        <v>187877</v>
      </c>
      <c r="M28" s="80" t="s">
        <v>122</v>
      </c>
      <c r="N28" s="80"/>
      <c r="O28" s="80"/>
      <c r="P28" s="81"/>
      <c r="Q28" s="7"/>
      <c r="T28" s="201"/>
      <c r="U28" s="201"/>
    </row>
    <row r="29" spans="2:21" x14ac:dyDescent="0.25">
      <c r="B29" s="18" t="s">
        <v>85</v>
      </c>
      <c r="C29" s="154">
        <v>382647</v>
      </c>
      <c r="D29" s="57" t="str">
        <f t="shared" si="1"/>
        <v>Extra Large</v>
      </c>
      <c r="E29" s="157">
        <v>6.8141679999999996E-2</v>
      </c>
      <c r="F29" s="157">
        <v>0.16600000000000001</v>
      </c>
      <c r="G29" s="157">
        <v>0.1300198979619499</v>
      </c>
      <c r="H29" s="160">
        <v>0.28730761886047818</v>
      </c>
      <c r="I29" s="36">
        <v>0.17499999999999999</v>
      </c>
      <c r="J29" s="157">
        <v>8.6174325107355759E-2</v>
      </c>
      <c r="K29" s="157">
        <v>2.5791358183192822E-2</v>
      </c>
      <c r="L29" s="85">
        <v>4024080</v>
      </c>
      <c r="M29" s="80" t="s">
        <v>122</v>
      </c>
      <c r="N29" s="80"/>
      <c r="O29" s="80"/>
      <c r="P29" s="81"/>
      <c r="Q29" s="7"/>
      <c r="T29" s="201"/>
      <c r="U29" s="201"/>
    </row>
    <row r="30" spans="2:21" x14ac:dyDescent="0.25">
      <c r="B30" s="18" t="s">
        <v>71</v>
      </c>
      <c r="C30" s="154">
        <v>50903</v>
      </c>
      <c r="D30" s="57" t="str">
        <f t="shared" si="1"/>
        <v>Small</v>
      </c>
      <c r="E30" s="157">
        <v>9.7818940000000007E-2</v>
      </c>
      <c r="F30" s="157">
        <v>0.21299999999999999</v>
      </c>
      <c r="G30" s="157">
        <v>0.11814707295169274</v>
      </c>
      <c r="H30" s="160">
        <v>0.28095601322145947</v>
      </c>
      <c r="I30" s="36">
        <v>0.376</v>
      </c>
      <c r="J30" s="157">
        <v>9.4152142042677966E-2</v>
      </c>
      <c r="K30" s="157">
        <v>1.9758771929824562E-2</v>
      </c>
      <c r="L30" s="85">
        <v>1458472</v>
      </c>
      <c r="M30" s="80" t="s">
        <v>122</v>
      </c>
      <c r="N30" s="80"/>
      <c r="O30" s="80"/>
      <c r="P30" s="81"/>
      <c r="Q30" s="7"/>
      <c r="T30" s="201"/>
      <c r="U30" s="201"/>
    </row>
    <row r="31" spans="2:21" x14ac:dyDescent="0.25">
      <c r="B31" s="18" t="s">
        <v>81</v>
      </c>
      <c r="C31" s="154">
        <v>130440</v>
      </c>
      <c r="D31" s="57" t="str">
        <f t="shared" si="1"/>
        <v>Medium</v>
      </c>
      <c r="E31" s="157">
        <v>7.4680110000000008E-2</v>
      </c>
      <c r="F31" s="157">
        <v>0.18100000000000002</v>
      </c>
      <c r="G31" s="157">
        <v>9.5881826320501337E-2</v>
      </c>
      <c r="H31" s="160">
        <v>0.25578581775085596</v>
      </c>
      <c r="I31" s="36">
        <v>0.316</v>
      </c>
      <c r="J31" s="157">
        <v>0.10089543820066277</v>
      </c>
      <c r="K31" s="157">
        <v>2.4106299860542066E-2</v>
      </c>
      <c r="L31" s="85">
        <v>1327242</v>
      </c>
      <c r="M31" s="80" t="s">
        <v>122</v>
      </c>
      <c r="N31" s="80"/>
      <c r="O31" s="80"/>
      <c r="P31" s="81"/>
      <c r="Q31" s="7"/>
      <c r="T31" s="201"/>
      <c r="U31" s="201"/>
    </row>
    <row r="32" spans="2:21" x14ac:dyDescent="0.25">
      <c r="B32" s="18" t="s">
        <v>69</v>
      </c>
      <c r="C32" s="154">
        <v>31995</v>
      </c>
      <c r="D32" s="57" t="str">
        <f t="shared" si="1"/>
        <v>Small</v>
      </c>
      <c r="E32" s="157">
        <v>7.7298069999999997E-2</v>
      </c>
      <c r="F32" s="157">
        <v>0.27100000000000002</v>
      </c>
      <c r="G32" s="157">
        <v>0.10926357990207354</v>
      </c>
      <c r="H32" s="160">
        <v>0.36521673972500096</v>
      </c>
      <c r="I32" s="36">
        <v>0.48399999999999999</v>
      </c>
      <c r="J32" s="157">
        <v>0.1910630959626699</v>
      </c>
      <c r="K32" s="157">
        <v>7.8250132298465336E-2</v>
      </c>
      <c r="L32" s="85">
        <v>474185</v>
      </c>
      <c r="M32" s="80" t="s">
        <v>122</v>
      </c>
      <c r="N32" s="80"/>
      <c r="O32" s="80"/>
      <c r="P32" s="81"/>
      <c r="Q32" s="7"/>
      <c r="T32" s="201"/>
      <c r="U32" s="201"/>
    </row>
    <row r="33" spans="2:21" x14ac:dyDescent="0.25">
      <c r="B33" s="18" t="s">
        <v>84</v>
      </c>
      <c r="C33" s="154">
        <v>347182</v>
      </c>
      <c r="D33" s="57" t="str">
        <f t="shared" si="1"/>
        <v>Large</v>
      </c>
      <c r="E33" s="157">
        <v>6.3607510000000006E-2</v>
      </c>
      <c r="F33" s="157">
        <v>0.192</v>
      </c>
      <c r="G33" s="157">
        <v>0.18943058175608621</v>
      </c>
      <c r="H33" s="160">
        <v>0.27417406553517121</v>
      </c>
      <c r="I33" s="36">
        <v>0.13100000000000001</v>
      </c>
      <c r="J33" s="157">
        <v>0.14741470645743621</v>
      </c>
      <c r="K33" s="157">
        <v>0.10408129343246751</v>
      </c>
      <c r="L33" s="85">
        <v>4647307</v>
      </c>
      <c r="M33" s="80" t="s">
        <v>122</v>
      </c>
      <c r="N33" s="80"/>
      <c r="O33" s="80"/>
      <c r="P33" s="81"/>
      <c r="Q33" s="7"/>
      <c r="T33" s="201"/>
      <c r="U33" s="201"/>
    </row>
    <row r="34" spans="2:21" x14ac:dyDescent="0.25">
      <c r="B34" s="18" t="s">
        <v>60</v>
      </c>
      <c r="C34" s="154">
        <v>12635</v>
      </c>
      <c r="D34" s="57" t="str">
        <f t="shared" si="1"/>
        <v>Extra Small</v>
      </c>
      <c r="E34" s="157">
        <v>6.6599549999999993E-2</v>
      </c>
      <c r="F34" s="157">
        <v>0.312</v>
      </c>
      <c r="G34" s="157">
        <v>0.11404369148461882</v>
      </c>
      <c r="H34" s="160">
        <v>0.29377013963480131</v>
      </c>
      <c r="I34" s="36">
        <v>0.45900000000000002</v>
      </c>
      <c r="J34" s="157">
        <v>0.24689265536723165</v>
      </c>
      <c r="K34" s="157">
        <v>0.15267839876232836</v>
      </c>
      <c r="L34" s="85">
        <v>712823</v>
      </c>
      <c r="M34" s="80" t="s">
        <v>122</v>
      </c>
      <c r="N34" s="80"/>
      <c r="O34" s="80"/>
      <c r="P34" s="81"/>
      <c r="Q34" s="7"/>
      <c r="T34" s="201"/>
      <c r="U34" s="201"/>
    </row>
    <row r="35" spans="2:21" x14ac:dyDescent="0.25">
      <c r="B35" s="18" t="s">
        <v>88</v>
      </c>
      <c r="C35" s="154">
        <v>820672</v>
      </c>
      <c r="D35" s="57" t="str">
        <f t="shared" si="1"/>
        <v>Extra Large</v>
      </c>
      <c r="E35" s="157">
        <v>6.2221129999999999E-2</v>
      </c>
      <c r="F35" s="157">
        <v>0.161</v>
      </c>
      <c r="G35" s="157">
        <v>0.22188526345181289</v>
      </c>
      <c r="H35" s="160">
        <v>0.23381795591069882</v>
      </c>
      <c r="I35" s="36">
        <v>1.2999999999999999E-2</v>
      </c>
      <c r="J35" s="157">
        <v>8.7056662281201555E-2</v>
      </c>
      <c r="K35" s="157">
        <v>8.4254448034793039E-2</v>
      </c>
      <c r="L35" s="85">
        <v>25329190</v>
      </c>
      <c r="M35" s="80" t="s">
        <v>122</v>
      </c>
      <c r="N35" s="80"/>
      <c r="O35" s="80"/>
      <c r="P35" s="81"/>
      <c r="Q35" s="7"/>
      <c r="T35" s="201"/>
      <c r="U35" s="201"/>
    </row>
    <row r="36" spans="2:21" x14ac:dyDescent="0.25">
      <c r="B36" s="48" t="s">
        <v>68</v>
      </c>
      <c r="C36" s="54">
        <f>C38+C43</f>
        <v>28489</v>
      </c>
      <c r="D36" s="54" t="str">
        <f t="shared" si="1"/>
        <v>Small</v>
      </c>
      <c r="E36" s="55">
        <v>8.1669599999999995E-2</v>
      </c>
      <c r="F36" s="55">
        <v>0.13800000000000001</v>
      </c>
      <c r="G36" s="55">
        <v>0.11961331608686772</v>
      </c>
      <c r="H36" s="177">
        <v>0.23854671280276818</v>
      </c>
      <c r="I36" s="55">
        <v>0.41499999999999998</v>
      </c>
      <c r="J36" s="55">
        <v>0.13515598630599354</v>
      </c>
      <c r="K36" s="55">
        <v>5.4470336679592647E-2</v>
      </c>
      <c r="L36" s="192">
        <v>772441</v>
      </c>
      <c r="M36" s="190" t="s">
        <v>122</v>
      </c>
      <c r="N36" s="190"/>
      <c r="O36" s="190"/>
      <c r="P36" s="191"/>
      <c r="Q36" s="7"/>
    </row>
    <row r="37" spans="2:21" x14ac:dyDescent="0.25">
      <c r="B37" s="18" t="s">
        <v>76</v>
      </c>
      <c r="C37" s="154">
        <v>88916</v>
      </c>
      <c r="D37" s="57" t="str">
        <f t="shared" si="1"/>
        <v>Medium</v>
      </c>
      <c r="E37" s="157">
        <v>6.0078370000000006E-2</v>
      </c>
      <c r="F37" s="157">
        <v>0.183</v>
      </c>
      <c r="G37" s="157">
        <v>0.12019354759477814</v>
      </c>
      <c r="H37" s="160">
        <v>0.23463420155701728</v>
      </c>
      <c r="I37" s="36">
        <v>0.19900000000000001</v>
      </c>
      <c r="J37" s="157">
        <v>9.566050387968196E-2</v>
      </c>
      <c r="K37" s="157">
        <v>5.112740819862184E-2</v>
      </c>
      <c r="L37" s="85">
        <v>291010</v>
      </c>
      <c r="M37" s="80" t="s">
        <v>122</v>
      </c>
      <c r="N37" s="80"/>
      <c r="O37" s="80"/>
      <c r="P37" s="81"/>
      <c r="Q37" s="7"/>
      <c r="T37" s="201"/>
      <c r="U37" s="201"/>
    </row>
    <row r="38" spans="2:21" x14ac:dyDescent="0.25">
      <c r="B38" s="27" t="s">
        <v>123</v>
      </c>
      <c r="C38" s="54">
        <v>1908</v>
      </c>
      <c r="D38" s="54" t="str">
        <f t="shared" si="1"/>
        <v>Extra Small</v>
      </c>
      <c r="E38" s="55"/>
      <c r="F38" s="55"/>
      <c r="G38" s="55">
        <v>4.5482866043613707E-2</v>
      </c>
      <c r="H38" s="177">
        <v>0.22423485321673953</v>
      </c>
      <c r="I38" s="55"/>
      <c r="J38" s="55">
        <v>8.6429725363489501E-2</v>
      </c>
      <c r="K38" s="55">
        <v>2.5974025974025974E-3</v>
      </c>
      <c r="L38" s="192"/>
      <c r="M38" s="190"/>
      <c r="N38" s="190"/>
      <c r="O38" s="190"/>
      <c r="P38" s="191"/>
      <c r="Q38" s="7"/>
      <c r="T38" s="201"/>
      <c r="U38" s="201"/>
    </row>
    <row r="39" spans="2:21" x14ac:dyDescent="0.25">
      <c r="B39" s="18" t="s">
        <v>66</v>
      </c>
      <c r="C39" s="154">
        <v>27628</v>
      </c>
      <c r="D39" s="57" t="str">
        <f t="shared" si="1"/>
        <v>Small</v>
      </c>
      <c r="E39" s="157">
        <v>8.2220169999999995E-2</v>
      </c>
      <c r="F39" s="157">
        <v>0.16899999999999998</v>
      </c>
      <c r="G39" s="157">
        <v>7.5088203712225798E-2</v>
      </c>
      <c r="H39" s="160">
        <v>0.25437453094758461</v>
      </c>
      <c r="I39" s="36">
        <v>0.69599999999999995</v>
      </c>
      <c r="J39" s="157">
        <v>9.6828904764352158E-2</v>
      </c>
      <c r="K39" s="157">
        <v>3.1383278345537939E-2</v>
      </c>
      <c r="L39" s="85">
        <v>119798</v>
      </c>
      <c r="M39" s="80" t="s">
        <v>122</v>
      </c>
      <c r="N39" s="80"/>
      <c r="O39" s="80"/>
      <c r="P39" s="81"/>
      <c r="Q39" s="7"/>
      <c r="T39" s="201"/>
      <c r="U39" s="201"/>
    </row>
    <row r="40" spans="2:21" x14ac:dyDescent="0.25">
      <c r="B40" s="18" t="s">
        <v>75</v>
      </c>
      <c r="C40" s="154">
        <v>80463</v>
      </c>
      <c r="D40" s="57" t="str">
        <f t="shared" si="1"/>
        <v>Medium</v>
      </c>
      <c r="E40" s="157">
        <v>7.0862040000000001E-2</v>
      </c>
      <c r="F40" s="157">
        <v>0.184</v>
      </c>
      <c r="G40" s="157">
        <v>0.14515331998231423</v>
      </c>
      <c r="H40" s="160">
        <v>0.2947186267045061</v>
      </c>
      <c r="I40" s="36">
        <v>0.29099999999999998</v>
      </c>
      <c r="J40" s="157">
        <v>0.1782276866667995</v>
      </c>
      <c r="K40" s="157">
        <v>0.10513829579390996</v>
      </c>
      <c r="L40" s="85">
        <v>532317</v>
      </c>
      <c r="M40" s="80" t="s">
        <v>122</v>
      </c>
      <c r="N40" s="80"/>
      <c r="O40" s="80"/>
      <c r="P40" s="81"/>
      <c r="Q40" s="7"/>
      <c r="T40" s="201"/>
      <c r="U40" s="201"/>
    </row>
    <row r="41" spans="2:21" x14ac:dyDescent="0.25">
      <c r="B41" s="18" t="s">
        <v>67</v>
      </c>
      <c r="C41" s="154">
        <v>26295</v>
      </c>
      <c r="D41" s="57" t="str">
        <f t="shared" si="1"/>
        <v>Small</v>
      </c>
      <c r="E41" s="157">
        <v>7.7874589999999994E-2</v>
      </c>
      <c r="F41" s="157">
        <v>0.106</v>
      </c>
      <c r="G41" s="157">
        <v>7.9414476717381277E-2</v>
      </c>
      <c r="H41" s="160">
        <v>0.30462135000395663</v>
      </c>
      <c r="I41" s="36">
        <v>0.42099999999999999</v>
      </c>
      <c r="J41" s="157">
        <v>7.6918634867471275E-2</v>
      </c>
      <c r="K41" s="157">
        <v>1.6070990431013329E-2</v>
      </c>
      <c r="L41" s="85">
        <v>153290</v>
      </c>
      <c r="M41" s="80" t="s">
        <v>122</v>
      </c>
      <c r="N41" s="80"/>
      <c r="O41" s="80"/>
      <c r="P41" s="81"/>
      <c r="Q41" s="7"/>
      <c r="T41" s="201"/>
      <c r="U41" s="201"/>
    </row>
    <row r="42" spans="2:21" x14ac:dyDescent="0.25">
      <c r="B42" s="18" t="s">
        <v>56</v>
      </c>
      <c r="C42" s="154">
        <v>7433</v>
      </c>
      <c r="D42" s="57" t="str">
        <f t="shared" si="1"/>
        <v>Extra Small</v>
      </c>
      <c r="E42" s="157">
        <v>6.8052559999999998E-2</v>
      </c>
      <c r="F42" s="157">
        <v>0.14899999999999999</v>
      </c>
      <c r="G42" s="157">
        <v>4.9393414211438474E-2</v>
      </c>
      <c r="H42" s="160">
        <v>0.25040316669110102</v>
      </c>
      <c r="I42" s="36">
        <v>1</v>
      </c>
      <c r="J42" s="157">
        <v>7.5023041474654384E-2</v>
      </c>
      <c r="K42" s="157">
        <v>1.0912397696271597E-2</v>
      </c>
      <c r="L42" s="85">
        <v>0</v>
      </c>
      <c r="M42" s="80" t="s">
        <v>122</v>
      </c>
      <c r="N42" s="80"/>
      <c r="O42" s="80"/>
      <c r="P42" s="81"/>
      <c r="Q42" s="7"/>
      <c r="T42" s="201"/>
      <c r="U42" s="201"/>
    </row>
    <row r="43" spans="2:21" x14ac:dyDescent="0.25">
      <c r="B43" s="27" t="s">
        <v>124</v>
      </c>
      <c r="C43" s="54">
        <v>26581</v>
      </c>
      <c r="D43" s="54" t="str">
        <f t="shared" si="1"/>
        <v>Small</v>
      </c>
      <c r="E43" s="55"/>
      <c r="F43" s="55"/>
      <c r="G43" s="55">
        <v>0.12785123327920822</v>
      </c>
      <c r="H43" s="177">
        <v>0.23915268918812504</v>
      </c>
      <c r="I43" s="55"/>
      <c r="J43" s="55">
        <v>0.1415831163795491</v>
      </c>
      <c r="K43" s="55">
        <v>5.9799430481614464E-2</v>
      </c>
      <c r="L43" s="192"/>
      <c r="M43" s="190"/>
      <c r="N43" s="190"/>
      <c r="O43" s="190"/>
      <c r="P43" s="191"/>
      <c r="Q43" s="7"/>
      <c r="T43" s="201"/>
      <c r="U43" s="201"/>
    </row>
    <row r="44" spans="2:21" x14ac:dyDescent="0.25">
      <c r="B44" s="18" t="s">
        <v>87</v>
      </c>
      <c r="C44" s="154">
        <v>605036</v>
      </c>
      <c r="D44" s="57" t="str">
        <f t="shared" si="1"/>
        <v>Extra Large</v>
      </c>
      <c r="E44" s="157">
        <v>4.2650979999999998E-2</v>
      </c>
      <c r="F44" s="157">
        <v>0.151</v>
      </c>
      <c r="G44" s="157">
        <v>0.2386094692353834</v>
      </c>
      <c r="H44" s="160">
        <v>0.16330220782308263</v>
      </c>
      <c r="I44" s="36">
        <v>5.6000000000000001E-2</v>
      </c>
      <c r="J44" s="157">
        <v>8.3950044504063362E-2</v>
      </c>
      <c r="K44" s="157">
        <v>9.0625859571268771E-2</v>
      </c>
      <c r="L44" s="85">
        <v>8674852</v>
      </c>
      <c r="M44" s="80" t="s">
        <v>122</v>
      </c>
      <c r="N44" s="80"/>
      <c r="O44" s="80"/>
      <c r="P44" s="81"/>
      <c r="Q44" s="7"/>
      <c r="T44" s="201"/>
      <c r="U44" s="201"/>
    </row>
    <row r="45" spans="2:21" x14ac:dyDescent="0.25">
      <c r="B45" s="18" t="s">
        <v>54</v>
      </c>
      <c r="C45" s="154">
        <v>1456</v>
      </c>
      <c r="D45" s="57" t="str">
        <f t="shared" si="1"/>
        <v>Extra Small</v>
      </c>
      <c r="E45" s="157">
        <v>6.5306119999999995E-2</v>
      </c>
      <c r="F45" s="157">
        <v>0.33399999999999996</v>
      </c>
      <c r="G45" s="157">
        <v>6.1711079943899017E-2</v>
      </c>
      <c r="H45" s="160">
        <v>0.3383084577114428</v>
      </c>
      <c r="I45" s="36">
        <v>1</v>
      </c>
      <c r="J45" s="157">
        <v>7.9234972677595633E-2</v>
      </c>
      <c r="K45" s="157">
        <v>7.3637702503681884E-4</v>
      </c>
      <c r="L45" s="85">
        <v>6791</v>
      </c>
      <c r="M45" s="80" t="s">
        <v>122</v>
      </c>
      <c r="N45" s="80"/>
      <c r="O45" s="80"/>
      <c r="P45" s="81"/>
      <c r="Q45" s="7"/>
      <c r="T45" s="201"/>
      <c r="U45" s="201"/>
    </row>
    <row r="46" spans="2:21" x14ac:dyDescent="0.25">
      <c r="B46" s="19" t="s">
        <v>79</v>
      </c>
      <c r="C46" s="155">
        <v>108261</v>
      </c>
      <c r="D46" s="58" t="str">
        <f t="shared" si="1"/>
        <v>Medium</v>
      </c>
      <c r="E46" s="158">
        <v>6.2846349999999995E-2</v>
      </c>
      <c r="F46" s="158">
        <v>0.184</v>
      </c>
      <c r="G46" s="158">
        <v>0.11686572914659989</v>
      </c>
      <c r="H46" s="161">
        <v>0.21567317522496532</v>
      </c>
      <c r="I46" s="37">
        <v>0.22600000000000001</v>
      </c>
      <c r="J46" s="158">
        <v>0.11749373577949944</v>
      </c>
      <c r="K46" s="158">
        <v>5.2806933273375781E-2</v>
      </c>
      <c r="L46" s="86">
        <v>1553242</v>
      </c>
      <c r="M46" s="82" t="s">
        <v>122</v>
      </c>
      <c r="N46" s="82"/>
      <c r="O46" s="82"/>
      <c r="P46" s="83"/>
      <c r="Q46" s="7"/>
      <c r="T46" s="201"/>
      <c r="U46" s="201"/>
    </row>
    <row r="47" spans="2:21" ht="15.75" thickBot="1" x14ac:dyDescent="0.3">
      <c r="C47" s="16">
        <f>SUM(C10:C46)-C36</f>
        <v>4266560</v>
      </c>
      <c r="D47" s="51"/>
    </row>
    <row r="48" spans="2:21" ht="15.75" thickTop="1" x14ac:dyDescent="0.25"/>
    <row r="49" spans="11:11" x14ac:dyDescent="0.25">
      <c r="K49" s="38"/>
    </row>
    <row r="50" spans="11:11" x14ac:dyDescent="0.25">
      <c r="K50" s="38"/>
    </row>
    <row r="51" spans="11:11" x14ac:dyDescent="0.25">
      <c r="K51" s="38"/>
    </row>
    <row r="52" spans="11:11" x14ac:dyDescent="0.25">
      <c r="K52" s="38"/>
    </row>
  </sheetData>
  <pageMargins left="0.7" right="0.7" top="0.75" bottom="0.75" header="0.3" footer="0.3"/>
  <pageSetup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F42"/>
  <sheetViews>
    <sheetView workbookViewId="0">
      <selection activeCell="H9" sqref="H9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7.140625" customWidth="1"/>
    <col min="5" max="5" width="14.140625" customWidth="1"/>
    <col min="6" max="6" width="10" bestFit="1" customWidth="1"/>
    <col min="7" max="7" width="13.5703125" bestFit="1" customWidth="1"/>
  </cols>
  <sheetData>
    <row r="3" spans="2:6" x14ac:dyDescent="0.25">
      <c r="B3" t="s">
        <v>125</v>
      </c>
      <c r="C3" s="1">
        <f>'County Data'!C5</f>
        <v>20000000</v>
      </c>
    </row>
    <row r="4" spans="2:6" x14ac:dyDescent="0.25">
      <c r="B4" t="s">
        <v>126</v>
      </c>
      <c r="C4" s="14">
        <f>'County Data'!C9</f>
        <v>0</v>
      </c>
    </row>
    <row r="6" spans="2:6" s="2" customFormat="1" ht="30" x14ac:dyDescent="0.25">
      <c r="B6" s="3" t="s">
        <v>36</v>
      </c>
      <c r="C6" s="3" t="s">
        <v>107</v>
      </c>
      <c r="D6" s="3" t="s">
        <v>127</v>
      </c>
      <c r="E6" s="13" t="s">
        <v>128</v>
      </c>
      <c r="F6" s="3" t="s">
        <v>129</v>
      </c>
    </row>
    <row r="7" spans="2:6" x14ac:dyDescent="0.25">
      <c r="B7" s="20" t="str">
        <f>+'County Data'!$B$10</f>
        <v>Baker</v>
      </c>
      <c r="C7" s="15">
        <f>VLOOKUP($B7,'County Data'!$B$10:$P$46,2,FALSE)</f>
        <v>16860</v>
      </c>
      <c r="D7" s="6">
        <f t="shared" ref="D7:D41" si="0">C7/$C$42</f>
        <v>3.9516612915322883E-3</v>
      </c>
      <c r="E7" s="14">
        <f t="shared" ref="E7:E41" si="1">$C$4*D7</f>
        <v>0</v>
      </c>
      <c r="F7" s="10">
        <f t="shared" ref="F7:F41" si="2">E7/C7</f>
        <v>0</v>
      </c>
    </row>
    <row r="8" spans="2:6" x14ac:dyDescent="0.25">
      <c r="B8" s="20" t="str">
        <f>+'County Data'!B20</f>
        <v>Gilliam</v>
      </c>
      <c r="C8" s="15">
        <f>VLOOKUP($B8,'County Data'!$B$10:$P$46,2,FALSE)</f>
        <v>2039</v>
      </c>
      <c r="D8" s="6">
        <f t="shared" si="0"/>
        <v>4.779025725643141E-4</v>
      </c>
      <c r="E8" s="14">
        <f t="shared" ref="E8" si="3">$C$4*D8</f>
        <v>0</v>
      </c>
      <c r="F8" s="10">
        <f t="shared" ref="F8" si="4">E8/C8</f>
        <v>0</v>
      </c>
    </row>
    <row r="9" spans="2:6" x14ac:dyDescent="0.25">
      <c r="B9" s="20" t="str">
        <f>+'County Data'!$B$19</f>
        <v>Douglas</v>
      </c>
      <c r="C9" s="15">
        <f>VLOOKUP($B9,'County Data'!$B$10:$P$46,2,FALSE)</f>
        <v>111694</v>
      </c>
      <c r="D9" s="6">
        <f t="shared" si="0"/>
        <v>2.6178935723393085E-2</v>
      </c>
      <c r="E9" s="14">
        <f t="shared" si="1"/>
        <v>0</v>
      </c>
      <c r="F9" s="10">
        <f t="shared" si="2"/>
        <v>0</v>
      </c>
    </row>
    <row r="10" spans="2:6" x14ac:dyDescent="0.25">
      <c r="B10" s="20" t="str">
        <f>+'County Data'!$B$23</f>
        <v>Hood River</v>
      </c>
      <c r="C10" s="15">
        <f>VLOOKUP($B10,'County Data'!$B$10:$P$46,2,FALSE)</f>
        <v>23888</v>
      </c>
      <c r="D10" s="6">
        <f t="shared" si="0"/>
        <v>5.5988899722493064E-3</v>
      </c>
      <c r="E10" s="14">
        <f t="shared" si="1"/>
        <v>0</v>
      </c>
      <c r="F10" s="10">
        <f t="shared" si="2"/>
        <v>0</v>
      </c>
    </row>
    <row r="11" spans="2:6" x14ac:dyDescent="0.25">
      <c r="B11" s="20" t="str">
        <f>+'County Data'!$B$24</f>
        <v>Jackson</v>
      </c>
      <c r="C11" s="15">
        <f>VLOOKUP($B11,'County Data'!$B$10:$P$46,2,FALSE)</f>
        <v>223827</v>
      </c>
      <c r="D11" s="6">
        <f t="shared" si="0"/>
        <v>5.2460764644116101E-2</v>
      </c>
      <c r="E11" s="14">
        <f t="shared" si="1"/>
        <v>0</v>
      </c>
      <c r="F11" s="10">
        <f t="shared" si="2"/>
        <v>0</v>
      </c>
    </row>
    <row r="12" spans="2:6" x14ac:dyDescent="0.25">
      <c r="B12" s="20" t="str">
        <f>+'County Data'!$B$25</f>
        <v>Jefferson</v>
      </c>
      <c r="C12" s="15">
        <f>VLOOKUP($B12,'County Data'!$B$10:$P$46,2,FALSE)</f>
        <v>24889</v>
      </c>
      <c r="D12" s="6">
        <f t="shared" si="0"/>
        <v>5.8335052126303154E-3</v>
      </c>
      <c r="E12" s="14">
        <f t="shared" si="1"/>
        <v>0</v>
      </c>
      <c r="F12" s="10">
        <f t="shared" si="2"/>
        <v>0</v>
      </c>
    </row>
    <row r="13" spans="2:6" x14ac:dyDescent="0.25">
      <c r="B13" s="20" t="str">
        <f>+'County Data'!$B$26</f>
        <v>Josephine</v>
      </c>
      <c r="C13" s="15">
        <f>VLOOKUP($B13,'County Data'!$B$10:$P$46,2,FALSE)</f>
        <v>88728</v>
      </c>
      <c r="D13" s="6">
        <f t="shared" si="0"/>
        <v>2.0796144903622589E-2</v>
      </c>
      <c r="E13" s="14">
        <f t="shared" si="1"/>
        <v>0</v>
      </c>
      <c r="F13" s="10">
        <f t="shared" si="2"/>
        <v>0</v>
      </c>
    </row>
    <row r="14" spans="2:6" x14ac:dyDescent="0.25">
      <c r="B14" s="20" t="str">
        <f>+'County Data'!$B$27</f>
        <v>Klamath</v>
      </c>
      <c r="C14" s="15">
        <f>VLOOKUP($B14,'County Data'!$B$10:$P$46,2,FALSE)</f>
        <v>69822</v>
      </c>
      <c r="D14" s="6">
        <f t="shared" si="0"/>
        <v>1.6364940373509336E-2</v>
      </c>
      <c r="E14" s="14">
        <f t="shared" si="1"/>
        <v>0</v>
      </c>
      <c r="F14" s="10">
        <f t="shared" si="2"/>
        <v>0</v>
      </c>
    </row>
    <row r="15" spans="2:6" x14ac:dyDescent="0.25">
      <c r="B15" s="20" t="str">
        <f>+'County Data'!$B$29</f>
        <v>Lane</v>
      </c>
      <c r="C15" s="15">
        <f>VLOOKUP($B15,'County Data'!$B$10:$P$46,2,FALSE)</f>
        <v>382647</v>
      </c>
      <c r="D15" s="6">
        <f t="shared" si="0"/>
        <v>8.9685132753318839E-2</v>
      </c>
      <c r="E15" s="14">
        <f t="shared" si="1"/>
        <v>0</v>
      </c>
      <c r="F15" s="10">
        <f t="shared" si="2"/>
        <v>0</v>
      </c>
    </row>
    <row r="16" spans="2:6" x14ac:dyDescent="0.25">
      <c r="B16" s="20" t="str">
        <f>+'County Data'!$B$11</f>
        <v>Benton</v>
      </c>
      <c r="C16" s="15">
        <f>VLOOKUP($B16,'County Data'!$B$10:$P$46,2,FALSE)</f>
        <v>93976</v>
      </c>
      <c r="D16" s="6">
        <f t="shared" si="0"/>
        <v>2.2026175654391359E-2</v>
      </c>
      <c r="E16" s="14">
        <f t="shared" si="1"/>
        <v>0</v>
      </c>
      <c r="F16" s="10">
        <f t="shared" si="2"/>
        <v>0</v>
      </c>
    </row>
    <row r="17" spans="2:6" x14ac:dyDescent="0.25">
      <c r="B17" s="20" t="str">
        <f>+'County Data'!$B$30</f>
        <v>Lincoln</v>
      </c>
      <c r="C17" s="15">
        <f>VLOOKUP($B17,'County Data'!$B$10:$P$46,2,FALSE)</f>
        <v>50903</v>
      </c>
      <c r="D17" s="6">
        <f t="shared" si="0"/>
        <v>1.1930688892222305E-2</v>
      </c>
      <c r="E17" s="14">
        <f t="shared" si="1"/>
        <v>0</v>
      </c>
      <c r="F17" s="10">
        <f t="shared" si="2"/>
        <v>0</v>
      </c>
    </row>
    <row r="18" spans="2:6" x14ac:dyDescent="0.25">
      <c r="B18" s="20" t="str">
        <f>+'County Data'!$B$31</f>
        <v>Linn</v>
      </c>
      <c r="C18" s="15">
        <f>VLOOKUP($B18,'County Data'!$B$10:$P$46,2,FALSE)</f>
        <v>130440</v>
      </c>
      <c r="D18" s="6">
        <f t="shared" si="0"/>
        <v>3.0572639315982898E-2</v>
      </c>
      <c r="E18" s="14">
        <f t="shared" si="1"/>
        <v>0</v>
      </c>
      <c r="F18" s="10">
        <f t="shared" si="2"/>
        <v>0</v>
      </c>
    </row>
    <row r="19" spans="2:6" x14ac:dyDescent="0.25">
      <c r="B19" s="20" t="str">
        <f>+'County Data'!$B$32</f>
        <v>Malheur</v>
      </c>
      <c r="C19" s="15">
        <f>VLOOKUP($B19,'County Data'!$B$10:$P$46,2,FALSE)</f>
        <v>31995</v>
      </c>
      <c r="D19" s="6">
        <f t="shared" si="0"/>
        <v>7.4990156003900098E-3</v>
      </c>
      <c r="E19" s="14">
        <f t="shared" si="1"/>
        <v>0</v>
      </c>
      <c r="F19" s="10">
        <f t="shared" si="2"/>
        <v>0</v>
      </c>
    </row>
    <row r="20" spans="2:6" x14ac:dyDescent="0.25">
      <c r="B20" s="20" t="str">
        <f>+'County Data'!$B$33</f>
        <v>Marion</v>
      </c>
      <c r="C20" s="15">
        <f>VLOOKUP($B20,'County Data'!$B$10:$P$46,2,FALSE)</f>
        <v>347182</v>
      </c>
      <c r="D20" s="6">
        <f t="shared" si="0"/>
        <v>8.1372815570389265E-2</v>
      </c>
      <c r="E20" s="14">
        <f t="shared" si="1"/>
        <v>0</v>
      </c>
      <c r="F20" s="10">
        <f t="shared" si="2"/>
        <v>0</v>
      </c>
    </row>
    <row r="21" spans="2:6" x14ac:dyDescent="0.25">
      <c r="B21" s="20" t="str">
        <f>+'County Data'!$B$34</f>
        <v>Morrow</v>
      </c>
      <c r="C21" s="15">
        <f>VLOOKUP($B21,'County Data'!$B$10:$P$46,2,FALSE)</f>
        <v>12635</v>
      </c>
      <c r="D21" s="6">
        <f t="shared" si="0"/>
        <v>2.9614021600540014E-3</v>
      </c>
      <c r="E21" s="14">
        <f t="shared" si="1"/>
        <v>0</v>
      </c>
      <c r="F21" s="10">
        <f t="shared" si="2"/>
        <v>0</v>
      </c>
    </row>
    <row r="22" spans="2:6" x14ac:dyDescent="0.25">
      <c r="B22" s="20" t="str">
        <f>+'County Data'!$B$35</f>
        <v>Multnomah</v>
      </c>
      <c r="C22" s="15">
        <f>VLOOKUP($B22,'County Data'!$B$10:$P$46,2,FALSE)</f>
        <v>820672</v>
      </c>
      <c r="D22" s="6">
        <f t="shared" si="0"/>
        <v>0.19234980874521862</v>
      </c>
      <c r="E22" s="14">
        <f t="shared" si="1"/>
        <v>0</v>
      </c>
      <c r="F22" s="10">
        <f t="shared" si="2"/>
        <v>0</v>
      </c>
    </row>
    <row r="23" spans="2:6" x14ac:dyDescent="0.25">
      <c r="B23" s="20" t="str">
        <f>+'County Data'!$B$36</f>
        <v>Sherman, Wasco</v>
      </c>
      <c r="C23" s="15">
        <f>VLOOKUP($B23,'County Data'!$B$10:$P$46,2,FALSE)</f>
        <v>28489</v>
      </c>
      <c r="D23" s="6">
        <f t="shared" si="0"/>
        <v>6.6772763069076731E-3</v>
      </c>
      <c r="E23" s="14">
        <f t="shared" si="1"/>
        <v>0</v>
      </c>
      <c r="F23" s="10">
        <f t="shared" si="2"/>
        <v>0</v>
      </c>
    </row>
    <row r="24" spans="2:6" x14ac:dyDescent="0.25">
      <c r="B24" s="20" t="str">
        <f>+'County Data'!$B$37</f>
        <v>Polk</v>
      </c>
      <c r="C24" s="15">
        <f>VLOOKUP($B24,'County Data'!$B$10:$P$46,2,FALSE)</f>
        <v>88916</v>
      </c>
      <c r="D24" s="6">
        <f t="shared" si="0"/>
        <v>2.0840208505212631E-2</v>
      </c>
      <c r="E24" s="14">
        <f t="shared" si="1"/>
        <v>0</v>
      </c>
      <c r="F24" s="10">
        <f t="shared" si="2"/>
        <v>0</v>
      </c>
    </row>
    <row r="25" spans="2:6" x14ac:dyDescent="0.25">
      <c r="B25" s="20" t="str">
        <f>+'County Data'!$B$39</f>
        <v>Tillamook</v>
      </c>
      <c r="C25" s="15">
        <f>VLOOKUP($B25,'County Data'!$B$10:$P$46,2,FALSE)</f>
        <v>27628</v>
      </c>
      <c r="D25" s="6">
        <f t="shared" si="0"/>
        <v>6.4754743868596712E-3</v>
      </c>
      <c r="E25" s="14">
        <f t="shared" si="1"/>
        <v>0</v>
      </c>
      <c r="F25" s="10">
        <f t="shared" si="2"/>
        <v>0</v>
      </c>
    </row>
    <row r="26" spans="2:6" x14ac:dyDescent="0.25">
      <c r="B26" s="20" t="str">
        <f>+'County Data'!$B$40</f>
        <v>Umatilla</v>
      </c>
      <c r="C26" s="15">
        <f>VLOOKUP($B26,'County Data'!$B$10:$P$46,2,FALSE)</f>
        <v>80463</v>
      </c>
      <c r="D26" s="6">
        <f t="shared" si="0"/>
        <v>1.8858987099677493E-2</v>
      </c>
      <c r="E26" s="14">
        <f t="shared" si="1"/>
        <v>0</v>
      </c>
      <c r="F26" s="10">
        <f t="shared" si="2"/>
        <v>0</v>
      </c>
    </row>
    <row r="27" spans="2:6" x14ac:dyDescent="0.25">
      <c r="B27" s="20" t="str">
        <f>+'County Data'!$B$12</f>
        <v>Clackamas</v>
      </c>
      <c r="C27" s="15">
        <f>VLOOKUP($B27,'County Data'!$B$10:$P$46,2,FALSE)</f>
        <v>425316</v>
      </c>
      <c r="D27" s="6">
        <f t="shared" si="0"/>
        <v>9.9685929648241203E-2</v>
      </c>
      <c r="E27" s="14">
        <f t="shared" si="1"/>
        <v>0</v>
      </c>
      <c r="F27" s="10">
        <f t="shared" si="2"/>
        <v>0</v>
      </c>
    </row>
    <row r="28" spans="2:6" x14ac:dyDescent="0.25">
      <c r="B28" s="20" t="str">
        <f>+'County Data'!$B$41</f>
        <v>Union</v>
      </c>
      <c r="C28" s="15">
        <f>VLOOKUP($B28,'County Data'!$B$10:$P$46,2,FALSE)</f>
        <v>26295</v>
      </c>
      <c r="D28" s="6">
        <f t="shared" si="0"/>
        <v>6.1630447011175281E-3</v>
      </c>
      <c r="E28" s="14">
        <f t="shared" si="1"/>
        <v>0</v>
      </c>
      <c r="F28" s="10">
        <f t="shared" si="2"/>
        <v>0</v>
      </c>
    </row>
    <row r="29" spans="2:6" x14ac:dyDescent="0.25">
      <c r="B29" s="20" t="str">
        <f>+'County Data'!$B$44</f>
        <v>Washington</v>
      </c>
      <c r="C29" s="15">
        <f>VLOOKUP($B29,'County Data'!$B$10:$P$46,2,FALSE)</f>
        <v>605036</v>
      </c>
      <c r="D29" s="6">
        <f t="shared" si="0"/>
        <v>0.14180885772144303</v>
      </c>
      <c r="E29" s="14">
        <f t="shared" si="1"/>
        <v>0</v>
      </c>
      <c r="F29" s="10">
        <f t="shared" si="2"/>
        <v>0</v>
      </c>
    </row>
    <row r="30" spans="2:6" x14ac:dyDescent="0.25">
      <c r="B30" s="20" t="str">
        <f>+'County Data'!$B$46</f>
        <v>Yamhill</v>
      </c>
      <c r="C30" s="15">
        <f>VLOOKUP($B30,'County Data'!$B$10:$P$46,2,FALSE)</f>
        <v>108261</v>
      </c>
      <c r="D30" s="6">
        <f t="shared" si="0"/>
        <v>2.5374306232655817E-2</v>
      </c>
      <c r="E30" s="14">
        <f t="shared" si="1"/>
        <v>0</v>
      </c>
      <c r="F30" s="10">
        <f t="shared" si="2"/>
        <v>0</v>
      </c>
    </row>
    <row r="31" spans="2:6" x14ac:dyDescent="0.25">
      <c r="B31" s="20" t="str">
        <f>+'County Data'!$B$13</f>
        <v>Clatsop</v>
      </c>
      <c r="C31" s="15">
        <f>VLOOKUP($B31,'County Data'!$B$10:$P$46,2,FALSE)</f>
        <v>41428</v>
      </c>
      <c r="D31" s="6">
        <f t="shared" si="0"/>
        <v>9.7099302482562058E-3</v>
      </c>
      <c r="E31" s="14">
        <f t="shared" si="1"/>
        <v>0</v>
      </c>
      <c r="F31" s="10">
        <f t="shared" si="2"/>
        <v>0</v>
      </c>
    </row>
    <row r="32" spans="2:6" x14ac:dyDescent="0.25">
      <c r="B32" s="20" t="str">
        <f>+'County Data'!$B$14</f>
        <v>Columbia</v>
      </c>
      <c r="C32" s="15">
        <f>VLOOKUP($B32,'County Data'!$B$10:$P$46,2,FALSE)</f>
        <v>53014</v>
      </c>
      <c r="D32" s="6">
        <f t="shared" si="0"/>
        <v>1.2425466886672168E-2</v>
      </c>
      <c r="E32" s="14">
        <f t="shared" si="1"/>
        <v>0</v>
      </c>
      <c r="F32" s="10">
        <f t="shared" si="2"/>
        <v>0</v>
      </c>
    </row>
    <row r="33" spans="2:6" x14ac:dyDescent="0.25">
      <c r="B33" s="20" t="str">
        <f>+'County Data'!$B$15</f>
        <v>Coos</v>
      </c>
      <c r="C33" s="15">
        <f>VLOOKUP($B33,'County Data'!$B$10:$P$46,2,FALSE)</f>
        <v>65154</v>
      </c>
      <c r="D33" s="6">
        <f t="shared" si="0"/>
        <v>1.5270850521263032E-2</v>
      </c>
      <c r="E33" s="14">
        <f t="shared" si="1"/>
        <v>0</v>
      </c>
      <c r="F33" s="10">
        <f t="shared" si="2"/>
        <v>0</v>
      </c>
    </row>
    <row r="34" spans="2:6" x14ac:dyDescent="0.25">
      <c r="B34" s="20" t="str">
        <f>+'County Data'!$B$16</f>
        <v>Crook</v>
      </c>
      <c r="C34" s="15">
        <f>VLOOKUP($B34,'County Data'!$B$10:$P$46,2,FALSE)</f>
        <v>25482</v>
      </c>
      <c r="D34" s="6">
        <f t="shared" si="0"/>
        <v>5.9724930623265586E-3</v>
      </c>
      <c r="E34" s="14">
        <f t="shared" si="1"/>
        <v>0</v>
      </c>
      <c r="F34" s="10">
        <f t="shared" si="2"/>
        <v>0</v>
      </c>
    </row>
    <row r="35" spans="2:6" x14ac:dyDescent="0.25">
      <c r="B35" s="20" t="str">
        <f>+'County Data'!$B$17</f>
        <v>Curry</v>
      </c>
      <c r="C35" s="15">
        <f>VLOOKUP($B35,'County Data'!$B$10:$P$46,2,FALSE)</f>
        <v>23662</v>
      </c>
      <c r="D35" s="6">
        <f t="shared" si="0"/>
        <v>5.5459198979974497E-3</v>
      </c>
      <c r="E35" s="14">
        <f t="shared" si="1"/>
        <v>0</v>
      </c>
      <c r="F35" s="10">
        <f t="shared" si="2"/>
        <v>0</v>
      </c>
    </row>
    <row r="36" spans="2:6" x14ac:dyDescent="0.25">
      <c r="B36" s="20" t="str">
        <f>+'County Data'!$B$18</f>
        <v>Deschutes</v>
      </c>
      <c r="C36" s="15">
        <f>VLOOKUP($B36,'County Data'!$B$10:$P$46,2,FALSE)</f>
        <v>203390</v>
      </c>
      <c r="D36" s="6">
        <f t="shared" si="0"/>
        <v>4.7670723018075449E-2</v>
      </c>
      <c r="E36" s="14">
        <f t="shared" si="1"/>
        <v>0</v>
      </c>
      <c r="F36" s="10">
        <f t="shared" si="2"/>
        <v>0</v>
      </c>
    </row>
    <row r="37" spans="2:6" x14ac:dyDescent="0.25">
      <c r="B37" s="20" t="str">
        <f>+'County Data'!$B$21</f>
        <v>Grant</v>
      </c>
      <c r="C37" s="15">
        <f>VLOOKUP($B37,'County Data'!$B$10:$P$46,2,FALSE)</f>
        <v>7226</v>
      </c>
      <c r="D37" s="6">
        <f t="shared" si="0"/>
        <v>1.6936360909022726E-3</v>
      </c>
      <c r="E37" s="14">
        <f t="shared" si="1"/>
        <v>0</v>
      </c>
      <c r="F37" s="10">
        <f t="shared" si="2"/>
        <v>0</v>
      </c>
    </row>
    <row r="38" spans="2:6" x14ac:dyDescent="0.25">
      <c r="B38" s="20" t="str">
        <f>+'County Data'!$B$22</f>
        <v>Harney</v>
      </c>
      <c r="C38" s="15">
        <f>VLOOKUP($B38,'County Data'!$B$10:$P$46,2,FALSE)</f>
        <v>7537</v>
      </c>
      <c r="D38" s="6">
        <f t="shared" si="0"/>
        <v>1.7665285382134554E-3</v>
      </c>
      <c r="E38" s="14">
        <f t="shared" si="1"/>
        <v>0</v>
      </c>
      <c r="F38" s="10">
        <f t="shared" si="2"/>
        <v>0</v>
      </c>
    </row>
    <row r="39" spans="2:6" x14ac:dyDescent="0.25">
      <c r="B39" s="20" t="str">
        <f>+'County Data'!$B$28</f>
        <v>Lake</v>
      </c>
      <c r="C39" s="15">
        <f>VLOOKUP($B39,'County Data'!$B$10:$P$46,2,FALSE)</f>
        <v>8177</v>
      </c>
      <c r="D39" s="6">
        <f t="shared" si="0"/>
        <v>1.9165322883072076E-3</v>
      </c>
      <c r="E39" s="14">
        <f t="shared" si="1"/>
        <v>0</v>
      </c>
      <c r="F39" s="10">
        <f t="shared" si="2"/>
        <v>0</v>
      </c>
    </row>
    <row r="40" spans="2:6" x14ac:dyDescent="0.25">
      <c r="B40" s="20" t="str">
        <f>+'County Data'!$B$42</f>
        <v>Wallowa</v>
      </c>
      <c r="C40" s="15">
        <f>VLOOKUP($B40,'County Data'!$B$10:$P$46,2,FALSE)</f>
        <v>7433</v>
      </c>
      <c r="D40" s="6">
        <f t="shared" si="0"/>
        <v>1.7421529288232207E-3</v>
      </c>
      <c r="E40" s="14">
        <f t="shared" si="1"/>
        <v>0</v>
      </c>
      <c r="F40" s="10">
        <f t="shared" si="2"/>
        <v>0</v>
      </c>
    </row>
    <row r="41" spans="2:6" x14ac:dyDescent="0.25">
      <c r="B41" s="20" t="str">
        <f>'County Data'!$B$45</f>
        <v>Wheeler</v>
      </c>
      <c r="C41" s="15">
        <f>VLOOKUP($B41,'County Data'!$B$10:$P$46,2,FALSE)</f>
        <v>1456</v>
      </c>
      <c r="D41" s="6">
        <f t="shared" si="0"/>
        <v>3.4125853146328656E-4</v>
      </c>
      <c r="E41" s="14">
        <f t="shared" si="1"/>
        <v>0</v>
      </c>
      <c r="F41" s="10">
        <f t="shared" si="2"/>
        <v>0</v>
      </c>
    </row>
    <row r="42" spans="2:6" x14ac:dyDescent="0.25">
      <c r="B42" s="4" t="s">
        <v>89</v>
      </c>
      <c r="C42" s="5">
        <f t="shared" ref="C42:D42" si="5">SUM(C7:C41)</f>
        <v>4266560</v>
      </c>
      <c r="D42" s="8">
        <f t="shared" si="5"/>
        <v>0.99999999999999978</v>
      </c>
      <c r="E42" s="11">
        <f>SUM(E7:E41)</f>
        <v>0</v>
      </c>
      <c r="F42" s="12">
        <f t="shared" ref="F42" si="6">E42/C42</f>
        <v>0</v>
      </c>
    </row>
  </sheetData>
  <sortState xmlns:xlrd2="http://schemas.microsoft.com/office/spreadsheetml/2017/richdata2" ref="B7:F41">
    <sortCondition ref="B7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T59"/>
  <sheetViews>
    <sheetView workbookViewId="0">
      <selection activeCell="C4" sqref="C4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12.140625" bestFit="1" customWidth="1"/>
    <col min="5" max="5" width="14.140625" customWidth="1"/>
    <col min="6" max="6" width="10" bestFit="1" customWidth="1"/>
    <col min="7" max="7" width="13.5703125" bestFit="1" customWidth="1"/>
    <col min="8" max="8" width="10.7109375" bestFit="1" customWidth="1"/>
    <col min="10" max="10" width="10.85546875" bestFit="1" customWidth="1"/>
  </cols>
  <sheetData>
    <row r="3" spans="2:20" x14ac:dyDescent="0.25">
      <c r="B3" t="s">
        <v>125</v>
      </c>
      <c r="C3" s="1">
        <f>'County Data'!C5</f>
        <v>20000000</v>
      </c>
    </row>
    <row r="4" spans="2:20" x14ac:dyDescent="0.25">
      <c r="B4" t="s">
        <v>126</v>
      </c>
      <c r="C4" s="14">
        <f>C3*Input!C7</f>
        <v>7200000</v>
      </c>
    </row>
    <row r="6" spans="2:20" s="2" customFormat="1" ht="30" x14ac:dyDescent="0.25">
      <c r="B6" s="3" t="s">
        <v>36</v>
      </c>
      <c r="C6" s="3" t="s">
        <v>107</v>
      </c>
      <c r="D6" s="3" t="s">
        <v>130</v>
      </c>
      <c r="E6" s="13" t="s">
        <v>131</v>
      </c>
      <c r="F6" s="3" t="s">
        <v>129</v>
      </c>
      <c r="P6" s="2" t="s">
        <v>132</v>
      </c>
      <c r="Q6" s="2" t="s">
        <v>133</v>
      </c>
    </row>
    <row r="7" spans="2:20" x14ac:dyDescent="0.25">
      <c r="B7" s="20" t="str">
        <f>+'County Data'!$B$10</f>
        <v>Baker</v>
      </c>
      <c r="C7" s="15">
        <f>VLOOKUP($B7,'County Data'!$B$10:$P$46,2,FALSE)</f>
        <v>16860</v>
      </c>
      <c r="D7" s="15" t="str">
        <f>VLOOKUP($B7,'County Data'!$B$10:$P$46,3,FALSE)</f>
        <v>Extra Small</v>
      </c>
      <c r="E7" s="14">
        <f>VLOOKUP(D7,$H$7:$J$11,3,FALSE)</f>
        <v>199999.99999999997</v>
      </c>
      <c r="F7" s="10">
        <f t="shared" ref="F7:F42" si="0">E7/C7</f>
        <v>11.862396204033214</v>
      </c>
      <c r="H7" t="s">
        <v>93</v>
      </c>
      <c r="I7" s="7">
        <f>Input!$C$8</f>
        <v>9.9999999999999985E-3</v>
      </c>
      <c r="J7" s="61">
        <f>$C$3*I7</f>
        <v>199999.99999999997</v>
      </c>
      <c r="O7" t="s">
        <v>93</v>
      </c>
      <c r="P7">
        <v>9</v>
      </c>
      <c r="Q7">
        <v>1</v>
      </c>
      <c r="R7">
        <f>P7*Q7</f>
        <v>9</v>
      </c>
    </row>
    <row r="8" spans="2:20" x14ac:dyDescent="0.25">
      <c r="B8" s="20" t="str">
        <f>+'County Data'!$B$11</f>
        <v>Benton</v>
      </c>
      <c r="C8" s="15">
        <f>VLOOKUP($B8,'County Data'!$B$10:$P$46,2,FALSE)</f>
        <v>93976</v>
      </c>
      <c r="D8" s="15" t="str">
        <f>VLOOKUP($B8,'County Data'!$B$10:$P$46,3,FALSE)</f>
        <v>Medium</v>
      </c>
      <c r="E8" s="14">
        <f t="shared" ref="E8:E42" si="1">VLOOKUP(D8,$H$7:$J$11,3,FALSE)</f>
        <v>199999.99999999997</v>
      </c>
      <c r="F8" s="10">
        <f t="shared" si="0"/>
        <v>2.1282029454328764</v>
      </c>
      <c r="H8" t="s">
        <v>94</v>
      </c>
      <c r="I8" s="7">
        <f>Input!$C$9</f>
        <v>9.9999999999999985E-3</v>
      </c>
      <c r="J8" s="61">
        <f t="shared" ref="J8:J11" si="2">$C$3*I8</f>
        <v>199999.99999999997</v>
      </c>
      <c r="O8" t="s">
        <v>94</v>
      </c>
      <c r="P8">
        <v>13</v>
      </c>
      <c r="Q8">
        <v>1</v>
      </c>
      <c r="R8">
        <f>P8*Q8</f>
        <v>13</v>
      </c>
    </row>
    <row r="9" spans="2:20" x14ac:dyDescent="0.25">
      <c r="B9" s="20" t="str">
        <f>+'County Data'!$B$12</f>
        <v>Clackamas</v>
      </c>
      <c r="C9" s="15">
        <f>VLOOKUP($B9,'County Data'!$B$10:$P$46,2,FALSE)</f>
        <v>425316</v>
      </c>
      <c r="D9" s="15" t="str">
        <f>VLOOKUP($B9,'County Data'!$B$10:$P$46,3,FALSE)</f>
        <v>Extra Large</v>
      </c>
      <c r="E9" s="14">
        <f t="shared" si="1"/>
        <v>199999.99999999997</v>
      </c>
      <c r="F9" s="10">
        <f t="shared" si="0"/>
        <v>0.47023859906516557</v>
      </c>
      <c r="H9" t="s">
        <v>95</v>
      </c>
      <c r="I9" s="7">
        <f>Input!$C$10</f>
        <v>9.9999999999999985E-3</v>
      </c>
      <c r="J9" s="61">
        <f t="shared" si="2"/>
        <v>199999.99999999997</v>
      </c>
      <c r="O9" t="s">
        <v>95</v>
      </c>
      <c r="P9">
        <v>7</v>
      </c>
      <c r="Q9">
        <v>1</v>
      </c>
      <c r="R9">
        <f>P9*Q9</f>
        <v>7</v>
      </c>
    </row>
    <row r="10" spans="2:20" x14ac:dyDescent="0.25">
      <c r="B10" s="20" t="str">
        <f>+'County Data'!$B$13</f>
        <v>Clatsop</v>
      </c>
      <c r="C10" s="15">
        <f>VLOOKUP($B10,'County Data'!$B$10:$P$46,2,FALSE)</f>
        <v>41428</v>
      </c>
      <c r="D10" s="15" t="str">
        <f>VLOOKUP($B10,'County Data'!$B$10:$P$46,3,FALSE)</f>
        <v>Small</v>
      </c>
      <c r="E10" s="14">
        <f t="shared" si="1"/>
        <v>199999.99999999997</v>
      </c>
      <c r="F10" s="10">
        <f t="shared" si="0"/>
        <v>4.8276527952109678</v>
      </c>
      <c r="H10" t="s">
        <v>96</v>
      </c>
      <c r="I10" s="7">
        <f>Input!$C$11</f>
        <v>9.9999999999999985E-3</v>
      </c>
      <c r="J10" s="61">
        <f t="shared" si="2"/>
        <v>199999.99999999997</v>
      </c>
      <c r="O10" t="s">
        <v>96</v>
      </c>
      <c r="P10">
        <v>3</v>
      </c>
      <c r="Q10">
        <v>1</v>
      </c>
      <c r="R10">
        <f>P10*Q10</f>
        <v>3</v>
      </c>
    </row>
    <row r="11" spans="2:20" x14ac:dyDescent="0.25">
      <c r="B11" s="20" t="str">
        <f>+'County Data'!$B$14</f>
        <v>Columbia</v>
      </c>
      <c r="C11" s="15">
        <f>VLOOKUP($B11,'County Data'!$B$10:$P$46,2,FALSE)</f>
        <v>53014</v>
      </c>
      <c r="D11" s="15" t="str">
        <f>VLOOKUP($B11,'County Data'!$B$10:$P$46,3,FALSE)</f>
        <v>Small</v>
      </c>
      <c r="E11" s="14">
        <f t="shared" si="1"/>
        <v>199999.99999999997</v>
      </c>
      <c r="F11" s="10">
        <f t="shared" si="0"/>
        <v>3.7725883728826344</v>
      </c>
      <c r="H11" t="s">
        <v>97</v>
      </c>
      <c r="I11" s="7">
        <f>Input!$C$12</f>
        <v>9.9999999999999985E-3</v>
      </c>
      <c r="J11" s="61">
        <f t="shared" si="2"/>
        <v>199999.99999999997</v>
      </c>
      <c r="O11" t="s">
        <v>97</v>
      </c>
      <c r="P11">
        <v>4</v>
      </c>
      <c r="Q11">
        <v>1</v>
      </c>
      <c r="R11">
        <f>P11*Q11</f>
        <v>4</v>
      </c>
    </row>
    <row r="12" spans="2:20" x14ac:dyDescent="0.25">
      <c r="B12" s="20" t="str">
        <f>+'County Data'!$B$15</f>
        <v>Coos</v>
      </c>
      <c r="C12" s="15">
        <f>VLOOKUP($B12,'County Data'!$B$10:$P$46,2,FALSE)</f>
        <v>65154</v>
      </c>
      <c r="D12" s="15" t="str">
        <f>VLOOKUP($B12,'County Data'!$B$10:$P$46,3,FALSE)</f>
        <v>Small</v>
      </c>
      <c r="E12" s="14">
        <f t="shared" si="1"/>
        <v>199999.99999999997</v>
      </c>
      <c r="F12" s="10">
        <f t="shared" si="0"/>
        <v>3.0696503668232182</v>
      </c>
      <c r="R12">
        <f>SUM(R7:R11)</f>
        <v>36</v>
      </c>
      <c r="S12" s="197">
        <f>1/R12</f>
        <v>2.7777777777777776E-2</v>
      </c>
      <c r="T12" s="71" t="s">
        <v>134</v>
      </c>
    </row>
    <row r="13" spans="2:20" x14ac:dyDescent="0.25">
      <c r="B13" s="20" t="str">
        <f>+'County Data'!$B$16</f>
        <v>Crook</v>
      </c>
      <c r="C13" s="15">
        <f>VLOOKUP($B13,'County Data'!$B$10:$P$46,2,FALSE)</f>
        <v>25482</v>
      </c>
      <c r="D13" s="15" t="str">
        <f>VLOOKUP($B13,'County Data'!$B$10:$P$46,3,FALSE)</f>
        <v>Small</v>
      </c>
      <c r="E13" s="14">
        <f t="shared" si="1"/>
        <v>199999.99999999997</v>
      </c>
      <c r="F13" s="10">
        <f t="shared" si="0"/>
        <v>7.8486774978416127</v>
      </c>
    </row>
    <row r="14" spans="2:20" x14ac:dyDescent="0.25">
      <c r="B14" s="20" t="str">
        <f>+'County Data'!$B$17</f>
        <v>Curry</v>
      </c>
      <c r="C14" s="15">
        <f>VLOOKUP($B14,'County Data'!$B$10:$P$46,2,FALSE)</f>
        <v>23662</v>
      </c>
      <c r="D14" s="15" t="str">
        <f>VLOOKUP($B14,'County Data'!$B$10:$P$46,3,FALSE)</f>
        <v>Small</v>
      </c>
      <c r="E14" s="14">
        <f t="shared" si="1"/>
        <v>199999.99999999997</v>
      </c>
      <c r="F14" s="10">
        <f t="shared" si="0"/>
        <v>8.4523708900346541</v>
      </c>
    </row>
    <row r="15" spans="2:20" x14ac:dyDescent="0.25">
      <c r="B15" s="20" t="str">
        <f>+'County Data'!$B$18</f>
        <v>Deschutes</v>
      </c>
      <c r="C15" s="15">
        <f>VLOOKUP($B15,'County Data'!$B$10:$P$46,2,FALSE)</f>
        <v>203390</v>
      </c>
      <c r="D15" s="15" t="str">
        <f>VLOOKUP($B15,'County Data'!$B$10:$P$46,3,FALSE)</f>
        <v>Large</v>
      </c>
      <c r="E15" s="14">
        <f t="shared" si="1"/>
        <v>199999.99999999997</v>
      </c>
      <c r="F15" s="10">
        <f t="shared" si="0"/>
        <v>0.98333251388957166</v>
      </c>
    </row>
    <row r="16" spans="2:20" x14ac:dyDescent="0.25">
      <c r="B16" s="20" t="str">
        <f>+'County Data'!$B$19</f>
        <v>Douglas</v>
      </c>
      <c r="C16" s="15">
        <f>VLOOKUP($B16,'County Data'!$B$10:$P$46,2,FALSE)</f>
        <v>111694</v>
      </c>
      <c r="D16" s="15" t="str">
        <f>VLOOKUP($B16,'County Data'!$B$10:$P$46,3,FALSE)</f>
        <v>Medium</v>
      </c>
      <c r="E16" s="14">
        <f t="shared" si="1"/>
        <v>199999.99999999997</v>
      </c>
      <c r="F16" s="10">
        <f t="shared" si="0"/>
        <v>1.7906064784142386</v>
      </c>
    </row>
    <row r="17" spans="2:6" x14ac:dyDescent="0.25">
      <c r="B17" s="193" t="str">
        <f>+'County Data'!$B$20</f>
        <v>Gilliam</v>
      </c>
      <c r="C17" s="194">
        <f>VLOOKUP($B17,'County Data'!$B$10:$P$46,2,FALSE)</f>
        <v>2039</v>
      </c>
      <c r="D17" s="194" t="str">
        <f>VLOOKUP($B17,'County Data'!$B$10:$P$46,3,FALSE)</f>
        <v>Extra Small</v>
      </c>
      <c r="E17" s="196">
        <f t="shared" si="1"/>
        <v>199999.99999999997</v>
      </c>
      <c r="F17" s="195">
        <f t="shared" si="0"/>
        <v>98.087297694948489</v>
      </c>
    </row>
    <row r="18" spans="2:6" x14ac:dyDescent="0.25">
      <c r="B18" s="20" t="str">
        <f>+'County Data'!$B$21</f>
        <v>Grant</v>
      </c>
      <c r="C18" s="15">
        <f>VLOOKUP($B18,'County Data'!$B$10:$P$46,2,FALSE)</f>
        <v>7226</v>
      </c>
      <c r="D18" s="15" t="str">
        <f>VLOOKUP($B18,'County Data'!$B$10:$P$46,3,FALSE)</f>
        <v>Extra Small</v>
      </c>
      <c r="E18" s="14">
        <f t="shared" si="1"/>
        <v>199999.99999999997</v>
      </c>
      <c r="F18" s="10">
        <f t="shared" si="0"/>
        <v>27.67783005812344</v>
      </c>
    </row>
    <row r="19" spans="2:6" x14ac:dyDescent="0.25">
      <c r="B19" s="20" t="str">
        <f>+'County Data'!$B$22</f>
        <v>Harney</v>
      </c>
      <c r="C19" s="15">
        <f>VLOOKUP($B19,'County Data'!$B$10:$P$46,2,FALSE)</f>
        <v>7537</v>
      </c>
      <c r="D19" s="15" t="str">
        <f>VLOOKUP($B19,'County Data'!$B$10:$P$46,3,FALSE)</f>
        <v>Extra Small</v>
      </c>
      <c r="E19" s="14">
        <f t="shared" si="1"/>
        <v>199999.99999999997</v>
      </c>
      <c r="F19" s="10">
        <f t="shared" si="0"/>
        <v>26.535756932466494</v>
      </c>
    </row>
    <row r="20" spans="2:6" x14ac:dyDescent="0.25">
      <c r="B20" s="20" t="str">
        <f>+'County Data'!$B$23</f>
        <v>Hood River</v>
      </c>
      <c r="C20" s="15">
        <f>VLOOKUP($B20,'County Data'!$B$10:$P$46,2,FALSE)</f>
        <v>23888</v>
      </c>
      <c r="D20" s="15" t="str">
        <f>VLOOKUP($B20,'County Data'!$B$10:$P$46,3,FALSE)</f>
        <v>Small</v>
      </c>
      <c r="E20" s="14">
        <f t="shared" si="1"/>
        <v>199999.99999999997</v>
      </c>
      <c r="F20" s="10">
        <f t="shared" si="0"/>
        <v>8.3724045545880763</v>
      </c>
    </row>
    <row r="21" spans="2:6" x14ac:dyDescent="0.25">
      <c r="B21" s="20" t="str">
        <f>+'County Data'!$B$24</f>
        <v>Jackson</v>
      </c>
      <c r="C21" s="15">
        <f>VLOOKUP($B21,'County Data'!$B$10:$P$46,2,FALSE)</f>
        <v>223827</v>
      </c>
      <c r="D21" s="15" t="str">
        <f>VLOOKUP($B21,'County Data'!$B$10:$P$46,3,FALSE)</f>
        <v>Large</v>
      </c>
      <c r="E21" s="14">
        <f t="shared" si="1"/>
        <v>199999.99999999997</v>
      </c>
      <c r="F21" s="10">
        <f t="shared" si="0"/>
        <v>0.89354724854463474</v>
      </c>
    </row>
    <row r="22" spans="2:6" x14ac:dyDescent="0.25">
      <c r="B22" s="20" t="str">
        <f>+'County Data'!$B$25</f>
        <v>Jefferson</v>
      </c>
      <c r="C22" s="15">
        <f>VLOOKUP($B22,'County Data'!$B$10:$P$46,2,FALSE)</f>
        <v>24889</v>
      </c>
      <c r="D22" s="15" t="str">
        <f>VLOOKUP($B22,'County Data'!$B$10:$P$46,3,FALSE)</f>
        <v>Small</v>
      </c>
      <c r="E22" s="14">
        <f t="shared" si="1"/>
        <v>199999.99999999997</v>
      </c>
      <c r="F22" s="10">
        <f t="shared" si="0"/>
        <v>8.0356784121499452</v>
      </c>
    </row>
    <row r="23" spans="2:6" x14ac:dyDescent="0.25">
      <c r="B23" s="20" t="str">
        <f>+'County Data'!$B$26</f>
        <v>Josephine</v>
      </c>
      <c r="C23" s="15">
        <f>VLOOKUP($B23,'County Data'!$B$10:$P$46,2,FALSE)</f>
        <v>88728</v>
      </c>
      <c r="D23" s="15" t="str">
        <f>VLOOKUP($B23,'County Data'!$B$10:$P$46,3,FALSE)</f>
        <v>Medium</v>
      </c>
      <c r="E23" s="14">
        <f t="shared" si="1"/>
        <v>199999.99999999997</v>
      </c>
      <c r="F23" s="10">
        <f t="shared" si="0"/>
        <v>2.2540798845911096</v>
      </c>
    </row>
    <row r="24" spans="2:6" x14ac:dyDescent="0.25">
      <c r="B24" s="20" t="str">
        <f>+'County Data'!$B$27</f>
        <v>Klamath</v>
      </c>
      <c r="C24" s="15">
        <f>VLOOKUP($B24,'County Data'!$B$10:$P$46,2,FALSE)</f>
        <v>69822</v>
      </c>
      <c r="D24" s="15" t="str">
        <f>VLOOKUP($B24,'County Data'!$B$10:$P$46,3,FALSE)</f>
        <v>Small</v>
      </c>
      <c r="E24" s="14">
        <f t="shared" si="1"/>
        <v>199999.99999999997</v>
      </c>
      <c r="F24" s="10">
        <f t="shared" si="0"/>
        <v>2.864426684998997</v>
      </c>
    </row>
    <row r="25" spans="2:6" x14ac:dyDescent="0.25">
      <c r="B25" s="20" t="str">
        <f>+'County Data'!$B$28</f>
        <v>Lake</v>
      </c>
      <c r="C25" s="15">
        <f>VLOOKUP($B25,'County Data'!$B$10:$P$46,2,FALSE)</f>
        <v>8177</v>
      </c>
      <c r="D25" s="15" t="str">
        <f>VLOOKUP($B25,'County Data'!$B$10:$P$46,3,FALSE)</f>
        <v>Extra Small</v>
      </c>
      <c r="E25" s="14">
        <f t="shared" si="1"/>
        <v>199999.99999999997</v>
      </c>
      <c r="F25" s="10">
        <f t="shared" si="0"/>
        <v>24.458847988259748</v>
      </c>
    </row>
    <row r="26" spans="2:6" x14ac:dyDescent="0.25">
      <c r="B26" s="20" t="str">
        <f>+'County Data'!$B$29</f>
        <v>Lane</v>
      </c>
      <c r="C26" s="15">
        <f>VLOOKUP($B26,'County Data'!$B$10:$P$46,2,FALSE)</f>
        <v>382647</v>
      </c>
      <c r="D26" s="15" t="str">
        <f>VLOOKUP($B26,'County Data'!$B$10:$P$46,3,FALSE)</f>
        <v>Extra Large</v>
      </c>
      <c r="E26" s="14">
        <f t="shared" si="1"/>
        <v>199999.99999999997</v>
      </c>
      <c r="F26" s="10">
        <f t="shared" si="0"/>
        <v>0.52267494583780871</v>
      </c>
    </row>
    <row r="27" spans="2:6" x14ac:dyDescent="0.25">
      <c r="B27" s="20" t="str">
        <f>+'County Data'!$B$30</f>
        <v>Lincoln</v>
      </c>
      <c r="C27" s="15">
        <f>VLOOKUP($B27,'County Data'!$B$10:$P$46,2,FALSE)</f>
        <v>50903</v>
      </c>
      <c r="D27" s="15" t="str">
        <f>VLOOKUP($B27,'County Data'!$B$10:$P$46,3,FALSE)</f>
        <v>Small</v>
      </c>
      <c r="E27" s="14">
        <f>VLOOKUP(D27,$H$7:$J$11,3,FALSE)</f>
        <v>199999.99999999997</v>
      </c>
      <c r="F27" s="10">
        <f t="shared" si="0"/>
        <v>3.9290415103235561</v>
      </c>
    </row>
    <row r="28" spans="2:6" x14ac:dyDescent="0.25">
      <c r="B28" s="20" t="str">
        <f>+'County Data'!$B$31</f>
        <v>Linn</v>
      </c>
      <c r="C28" s="15">
        <f>VLOOKUP($B28,'County Data'!$B$10:$P$46,2,FALSE)</f>
        <v>130440</v>
      </c>
      <c r="D28" s="15" t="str">
        <f>VLOOKUP($B28,'County Data'!$B$10:$P$46,3,FALSE)</f>
        <v>Medium</v>
      </c>
      <c r="E28" s="14">
        <f t="shared" si="1"/>
        <v>199999.99999999997</v>
      </c>
      <c r="F28" s="10">
        <f t="shared" si="0"/>
        <v>1.5332720024532349</v>
      </c>
    </row>
    <row r="29" spans="2:6" x14ac:dyDescent="0.25">
      <c r="B29" s="20" t="str">
        <f>+'County Data'!$B$32</f>
        <v>Malheur</v>
      </c>
      <c r="C29" s="15">
        <f>VLOOKUP($B29,'County Data'!$B$10:$P$46,2,FALSE)</f>
        <v>31995</v>
      </c>
      <c r="D29" s="15" t="str">
        <f>VLOOKUP($B29,'County Data'!$B$10:$P$46,3,FALSE)</f>
        <v>Small</v>
      </c>
      <c r="E29" s="14">
        <f t="shared" si="1"/>
        <v>199999.99999999997</v>
      </c>
      <c r="F29" s="10">
        <f t="shared" si="0"/>
        <v>6.2509767151117357</v>
      </c>
    </row>
    <row r="30" spans="2:6" x14ac:dyDescent="0.25">
      <c r="B30" s="20" t="str">
        <f>+'County Data'!$B$33</f>
        <v>Marion</v>
      </c>
      <c r="C30" s="15">
        <f>VLOOKUP($B30,'County Data'!$B$10:$P$46,2,FALSE)</f>
        <v>347182</v>
      </c>
      <c r="D30" s="15" t="str">
        <f>VLOOKUP($B30,'County Data'!$B$10:$P$46,3,FALSE)</f>
        <v>Large</v>
      </c>
      <c r="E30" s="14">
        <f t="shared" si="1"/>
        <v>199999.99999999997</v>
      </c>
      <c r="F30" s="10">
        <f t="shared" si="0"/>
        <v>0.57606673157018495</v>
      </c>
    </row>
    <row r="31" spans="2:6" x14ac:dyDescent="0.25">
      <c r="B31" s="20" t="str">
        <f>+'County Data'!$B$34</f>
        <v>Morrow</v>
      </c>
      <c r="C31" s="15">
        <f>VLOOKUP($B31,'County Data'!$B$10:$P$46,2,FALSE)</f>
        <v>12635</v>
      </c>
      <c r="D31" s="15" t="str">
        <f>VLOOKUP($B31,'County Data'!$B$10:$P$46,3,FALSE)</f>
        <v>Extra Small</v>
      </c>
      <c r="E31" s="14">
        <f t="shared" si="1"/>
        <v>199999.99999999997</v>
      </c>
      <c r="F31" s="10">
        <f t="shared" si="0"/>
        <v>15.829046299960424</v>
      </c>
    </row>
    <row r="32" spans="2:6" x14ac:dyDescent="0.25">
      <c r="B32" s="20" t="str">
        <f>+'County Data'!$B$35</f>
        <v>Multnomah</v>
      </c>
      <c r="C32" s="15">
        <f>VLOOKUP($B32,'County Data'!$B$10:$P$46,2,FALSE)</f>
        <v>820672</v>
      </c>
      <c r="D32" s="15" t="str">
        <f>VLOOKUP($B32,'County Data'!$B$10:$P$46,3,FALSE)</f>
        <v>Extra Large</v>
      </c>
      <c r="E32" s="14">
        <f t="shared" si="1"/>
        <v>199999.99999999997</v>
      </c>
      <c r="F32" s="10">
        <f t="shared" si="0"/>
        <v>0.24370272167199561</v>
      </c>
    </row>
    <row r="33" spans="2:6" x14ac:dyDescent="0.25">
      <c r="B33" s="20" t="str">
        <f>+'County Data'!$B$37</f>
        <v>Polk</v>
      </c>
      <c r="C33" s="15">
        <f>VLOOKUP($B33,'County Data'!$B$10:$P$46,2,FALSE)</f>
        <v>88916</v>
      </c>
      <c r="D33" s="15" t="str">
        <f>VLOOKUP($B33,'County Data'!$B$10:$P$46,3,FALSE)</f>
        <v>Medium</v>
      </c>
      <c r="E33" s="14">
        <f t="shared" si="1"/>
        <v>199999.99999999997</v>
      </c>
      <c r="F33" s="10">
        <f t="shared" si="0"/>
        <v>2.2493139592424307</v>
      </c>
    </row>
    <row r="34" spans="2:6" x14ac:dyDescent="0.25">
      <c r="B34" s="193" t="str">
        <f>+'County Data'!$B$38</f>
        <v>Sherman</v>
      </c>
      <c r="C34" s="194">
        <f>VLOOKUP($B34,'County Data'!$B$10:$P$46,2,FALSE)</f>
        <v>1908</v>
      </c>
      <c r="D34" s="194" t="str">
        <f>VLOOKUP($B34,'County Data'!$B$10:$P$46,3,FALSE)</f>
        <v>Extra Small</v>
      </c>
      <c r="E34" s="196">
        <f t="shared" si="1"/>
        <v>199999.99999999997</v>
      </c>
      <c r="F34" s="195">
        <f t="shared" si="0"/>
        <v>104.82180293501047</v>
      </c>
    </row>
    <row r="35" spans="2:6" x14ac:dyDescent="0.25">
      <c r="B35" s="20" t="str">
        <f>+'County Data'!$B$39</f>
        <v>Tillamook</v>
      </c>
      <c r="C35" s="15">
        <f>VLOOKUP($B35,'County Data'!$B$10:$P$46,2,FALSE)</f>
        <v>27628</v>
      </c>
      <c r="D35" s="15" t="str">
        <f>VLOOKUP($B35,'County Data'!$B$10:$P$46,3,FALSE)</f>
        <v>Small</v>
      </c>
      <c r="E35" s="14">
        <f t="shared" si="1"/>
        <v>199999.99999999997</v>
      </c>
      <c r="F35" s="10">
        <f t="shared" si="0"/>
        <v>7.2390328652092073</v>
      </c>
    </row>
    <row r="36" spans="2:6" x14ac:dyDescent="0.25">
      <c r="B36" s="20" t="str">
        <f>+'County Data'!$B$40</f>
        <v>Umatilla</v>
      </c>
      <c r="C36" s="15">
        <f>VLOOKUP($B36,'County Data'!$B$10:$P$46,2,FALSE)</f>
        <v>80463</v>
      </c>
      <c r="D36" s="15" t="str">
        <f>VLOOKUP($B36,'County Data'!$B$10:$P$46,3,FALSE)</f>
        <v>Medium</v>
      </c>
      <c r="E36" s="14">
        <f t="shared" si="1"/>
        <v>199999.99999999997</v>
      </c>
      <c r="F36" s="10">
        <f t="shared" si="0"/>
        <v>2.4856145060462569</v>
      </c>
    </row>
    <row r="37" spans="2:6" x14ac:dyDescent="0.25">
      <c r="B37" s="20" t="str">
        <f>+'County Data'!$B$41</f>
        <v>Union</v>
      </c>
      <c r="C37" s="15">
        <f>VLOOKUP($B37,'County Data'!$B$10:$P$46,2,FALSE)</f>
        <v>26295</v>
      </c>
      <c r="D37" s="15" t="str">
        <f>VLOOKUP($B37,'County Data'!$B$10:$P$46,3,FALSE)</f>
        <v>Small</v>
      </c>
      <c r="E37" s="14">
        <f t="shared" si="1"/>
        <v>199999.99999999997</v>
      </c>
      <c r="F37" s="10">
        <f t="shared" si="0"/>
        <v>7.6060087469100575</v>
      </c>
    </row>
    <row r="38" spans="2:6" x14ac:dyDescent="0.25">
      <c r="B38" s="20" t="str">
        <f>+'County Data'!$B$42</f>
        <v>Wallowa</v>
      </c>
      <c r="C38" s="15">
        <f>VLOOKUP($B38,'County Data'!$B$10:$P$46,2,FALSE)</f>
        <v>7433</v>
      </c>
      <c r="D38" s="15" t="str">
        <f>VLOOKUP($B38,'County Data'!$B$10:$P$46,3,FALSE)</f>
        <v>Extra Small</v>
      </c>
      <c r="E38" s="14">
        <f t="shared" si="1"/>
        <v>199999.99999999997</v>
      </c>
      <c r="F38" s="10">
        <f t="shared" si="0"/>
        <v>26.907036189963673</v>
      </c>
    </row>
    <row r="39" spans="2:6" x14ac:dyDescent="0.25">
      <c r="B39" s="193" t="str">
        <f>+'County Data'!$B$43</f>
        <v>Wasco</v>
      </c>
      <c r="C39" s="194">
        <f>VLOOKUP($B39,'County Data'!$B$10:$P$46,2,FALSE)</f>
        <v>26581</v>
      </c>
      <c r="D39" s="194" t="str">
        <f>VLOOKUP($B39,'County Data'!$B$10:$P$46,3,FALSE)</f>
        <v>Small</v>
      </c>
      <c r="E39" s="196">
        <f t="shared" si="1"/>
        <v>199999.99999999997</v>
      </c>
      <c r="F39" s="195">
        <f t="shared" si="0"/>
        <v>7.5241714006245051</v>
      </c>
    </row>
    <row r="40" spans="2:6" x14ac:dyDescent="0.25">
      <c r="B40" s="20" t="str">
        <f>+'County Data'!$B$44</f>
        <v>Washington</v>
      </c>
      <c r="C40" s="15">
        <f>VLOOKUP($B40,'County Data'!$B$10:$P$46,2,FALSE)</f>
        <v>605036</v>
      </c>
      <c r="D40" s="15" t="str">
        <f>VLOOKUP($B40,'County Data'!$B$10:$P$46,3,FALSE)</f>
        <v>Extra Large</v>
      </c>
      <c r="E40" s="14">
        <f t="shared" si="1"/>
        <v>199999.99999999997</v>
      </c>
      <c r="F40" s="10">
        <f t="shared" si="0"/>
        <v>0.33055884277960312</v>
      </c>
    </row>
    <row r="41" spans="2:6" x14ac:dyDescent="0.25">
      <c r="B41" s="20" t="str">
        <f>'County Data'!$B$45</f>
        <v>Wheeler</v>
      </c>
      <c r="C41" s="15">
        <f>VLOOKUP($B41,'County Data'!$B$10:$P$46,2,FALSE)</f>
        <v>1456</v>
      </c>
      <c r="D41" s="15" t="str">
        <f>VLOOKUP($B41,'County Data'!$B$10:$P$46,3,FALSE)</f>
        <v>Extra Small</v>
      </c>
      <c r="E41" s="14">
        <f t="shared" si="1"/>
        <v>199999.99999999997</v>
      </c>
      <c r="F41" s="10">
        <f t="shared" si="0"/>
        <v>137.36263736263734</v>
      </c>
    </row>
    <row r="42" spans="2:6" x14ac:dyDescent="0.25">
      <c r="B42" s="20" t="str">
        <f>+'County Data'!$B$46</f>
        <v>Yamhill</v>
      </c>
      <c r="C42" s="15">
        <f>VLOOKUP($B42,'County Data'!$B$10:$P$46,2,FALSE)</f>
        <v>108261</v>
      </c>
      <c r="D42" s="15" t="str">
        <f>VLOOKUP($B42,'County Data'!$B$10:$P$46,3,FALSE)</f>
        <v>Medium</v>
      </c>
      <c r="E42" s="14">
        <f t="shared" si="1"/>
        <v>199999.99999999997</v>
      </c>
      <c r="F42" s="10">
        <f t="shared" si="0"/>
        <v>1.8473873324650609</v>
      </c>
    </row>
    <row r="43" spans="2:6" x14ac:dyDescent="0.25">
      <c r="B43" s="4" t="s">
        <v>89</v>
      </c>
      <c r="C43" s="5">
        <f t="shared" ref="C43:D43" si="3">SUM(C7:C42)</f>
        <v>4266560</v>
      </c>
      <c r="D43" s="8">
        <f t="shared" si="3"/>
        <v>0</v>
      </c>
      <c r="E43" s="11">
        <f>SUM(E7:E42)</f>
        <v>7199999.9999999991</v>
      </c>
      <c r="F43" s="12">
        <f t="shared" ref="F43" si="4">E43/C43</f>
        <v>1.6875421885547137</v>
      </c>
    </row>
    <row r="44" spans="2:6" x14ac:dyDescent="0.25">
      <c r="E44" s="22">
        <f>E43-C4</f>
        <v>0</v>
      </c>
    </row>
    <row r="45" spans="2:6" x14ac:dyDescent="0.25">
      <c r="B45" s="59" t="s">
        <v>68</v>
      </c>
      <c r="C45" s="60">
        <f>SUM(C34,C39)</f>
        <v>28489</v>
      </c>
      <c r="D45" s="59"/>
      <c r="E45" s="60">
        <f>SUM(E34,E39)</f>
        <v>399999.99999999994</v>
      </c>
      <c r="F45" s="10">
        <f>E45/C45</f>
        <v>14.040506862297727</v>
      </c>
    </row>
    <row r="51" spans="13:19" x14ac:dyDescent="0.25">
      <c r="N51">
        <v>1.6299999999999999E-2</v>
      </c>
    </row>
    <row r="52" spans="13:19" x14ac:dyDescent="0.25">
      <c r="N52" t="s">
        <v>132</v>
      </c>
      <c r="Q52" t="s">
        <v>135</v>
      </c>
    </row>
    <row r="53" spans="13:19" x14ac:dyDescent="0.25">
      <c r="M53" t="s">
        <v>136</v>
      </c>
      <c r="N53">
        <v>9</v>
      </c>
      <c r="O53">
        <v>2</v>
      </c>
      <c r="Q53">
        <v>1</v>
      </c>
      <c r="S53">
        <f>Q53*N53</f>
        <v>9</v>
      </c>
    </row>
    <row r="54" spans="13:19" x14ac:dyDescent="0.25">
      <c r="M54" t="s">
        <v>137</v>
      </c>
      <c r="N54">
        <v>13</v>
      </c>
      <c r="O54">
        <v>1</v>
      </c>
      <c r="Q54">
        <v>1.5</v>
      </c>
      <c r="S54">
        <f>Q54*N54</f>
        <v>19.5</v>
      </c>
    </row>
    <row r="55" spans="13:19" x14ac:dyDescent="0.25">
      <c r="M55" t="s">
        <v>138</v>
      </c>
      <c r="N55">
        <v>7</v>
      </c>
      <c r="Q55">
        <v>2</v>
      </c>
      <c r="S55">
        <f>Q55*N55</f>
        <v>14</v>
      </c>
    </row>
    <row r="56" spans="13:19" x14ac:dyDescent="0.25">
      <c r="M56" t="s">
        <v>139</v>
      </c>
      <c r="N56">
        <v>3</v>
      </c>
      <c r="Q56">
        <v>2.5</v>
      </c>
      <c r="S56">
        <f>Q56*N56</f>
        <v>7.5</v>
      </c>
    </row>
    <row r="57" spans="13:19" x14ac:dyDescent="0.25">
      <c r="M57" t="s">
        <v>140</v>
      </c>
      <c r="N57">
        <v>4</v>
      </c>
      <c r="Q57">
        <v>3</v>
      </c>
      <c r="S57">
        <f>Q57*N57</f>
        <v>12</v>
      </c>
    </row>
    <row r="58" spans="13:19" x14ac:dyDescent="0.25">
      <c r="N58">
        <f>SUM(N53:N57)</f>
        <v>36</v>
      </c>
      <c r="S58">
        <f>SUM(S53:S57)</f>
        <v>62</v>
      </c>
    </row>
    <row r="59" spans="13:19" x14ac:dyDescent="0.25">
      <c r="S59">
        <f>1/62</f>
        <v>1.6129032258064516E-2</v>
      </c>
    </row>
  </sheetData>
  <autoFilter ref="B6:F45" xr:uid="{FB2F58AF-E268-42D2-8061-8AB05606CA26}"/>
  <sortState xmlns:xlrd2="http://schemas.microsoft.com/office/spreadsheetml/2017/richdata2" ref="B7:F42">
    <sortCondition ref="B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3:K42"/>
  <sheetViews>
    <sheetView zoomScaleNormal="100" workbookViewId="0">
      <selection activeCell="D7" sqref="D7"/>
    </sheetView>
  </sheetViews>
  <sheetFormatPr defaultRowHeight="15" x14ac:dyDescent="0.25"/>
  <cols>
    <col min="1" max="1" width="9.140625" customWidth="1"/>
    <col min="2" max="2" width="17.42578125" bestFit="1" customWidth="1"/>
    <col min="3" max="3" width="11.85546875" bestFit="1" customWidth="1"/>
    <col min="4" max="5" width="10.5703125" bestFit="1" customWidth="1"/>
    <col min="6" max="6" width="9.7109375" bestFit="1" customWidth="1"/>
    <col min="7" max="7" width="14.140625" customWidth="1"/>
    <col min="8" max="8" width="10" bestFit="1" customWidth="1"/>
    <col min="11" max="11" width="10.5703125" bestFit="1" customWidth="1"/>
  </cols>
  <sheetData>
    <row r="3" spans="2:11" x14ac:dyDescent="0.25">
      <c r="B3" t="s">
        <v>125</v>
      </c>
      <c r="C3" s="1">
        <f>'County Data'!C5</f>
        <v>20000000</v>
      </c>
    </row>
    <row r="4" spans="2:11" x14ac:dyDescent="0.25">
      <c r="B4" t="s">
        <v>126</v>
      </c>
      <c r="C4" s="14">
        <f>'County Data'!E9</f>
        <v>580000</v>
      </c>
      <c r="D4" s="9"/>
    </row>
    <row r="5" spans="2:11" x14ac:dyDescent="0.25">
      <c r="B5" s="26"/>
      <c r="C5" s="26"/>
      <c r="D5" s="26"/>
      <c r="E5" s="26"/>
      <c r="F5" s="26"/>
      <c r="G5" s="26"/>
      <c r="H5" s="26"/>
    </row>
    <row r="6" spans="2:11" s="2" customFormat="1" ht="30" x14ac:dyDescent="0.25">
      <c r="B6" s="3" t="s">
        <v>36</v>
      </c>
      <c r="C6" s="3" t="s">
        <v>107</v>
      </c>
      <c r="D6" s="3" t="s">
        <v>141</v>
      </c>
      <c r="E6" s="3" t="s">
        <v>142</v>
      </c>
      <c r="F6" s="3" t="s">
        <v>143</v>
      </c>
      <c r="G6" s="13" t="s">
        <v>128</v>
      </c>
      <c r="H6" s="3" t="s">
        <v>129</v>
      </c>
    </row>
    <row r="7" spans="2:11" x14ac:dyDescent="0.25">
      <c r="B7" s="20" t="str">
        <f>'County Data'!$B$11</f>
        <v>Benton</v>
      </c>
      <c r="C7" s="15">
        <f>VLOOKUP($B7,'County Data'!$B$10:$L$46,2,FALSE)</f>
        <v>93976</v>
      </c>
      <c r="D7" s="34">
        <f>VLOOKUP(B7,'County Data'!$B$10:$L$46,4,FALSE)</f>
        <v>4.0668929999999999E-2</v>
      </c>
      <c r="E7" s="31">
        <f t="shared" ref="E7:E41" si="0">C7*D7</f>
        <v>3821.9033656799998</v>
      </c>
      <c r="F7" s="6">
        <f t="shared" ref="F7:F41" si="1">E7/$E$42</f>
        <v>1.3851753251426862E-2</v>
      </c>
      <c r="G7" s="14">
        <f t="shared" ref="G7:G41" si="2">$C$4*F7</f>
        <v>8034.0168858275802</v>
      </c>
      <c r="H7" s="10">
        <f t="shared" ref="H7:H41" si="3">G7/C7</f>
        <v>8.5490092000378604E-2</v>
      </c>
      <c r="I7" s="22"/>
      <c r="K7" s="32"/>
    </row>
    <row r="8" spans="2:11" x14ac:dyDescent="0.25">
      <c r="B8" s="20" t="str">
        <f>'County Data'!$B$44</f>
        <v>Washington</v>
      </c>
      <c r="C8" s="15">
        <f>VLOOKUP($B8,'County Data'!$B$10:$L$46,2,FALSE)</f>
        <v>605036</v>
      </c>
      <c r="D8" s="34">
        <f>VLOOKUP(B8,'County Data'!$B$10:$L$46,4,FALSE)</f>
        <v>4.2650979999999998E-2</v>
      </c>
      <c r="E8" s="31">
        <f t="shared" si="0"/>
        <v>25805.378335279998</v>
      </c>
      <c r="F8" s="6">
        <f t="shared" si="1"/>
        <v>9.3526627719017943E-2</v>
      </c>
      <c r="G8" s="14">
        <f t="shared" si="2"/>
        <v>54245.444077030406</v>
      </c>
      <c r="H8" s="10">
        <f t="shared" si="3"/>
        <v>8.9656556100844262E-2</v>
      </c>
      <c r="I8" s="22"/>
    </row>
    <row r="9" spans="2:11" x14ac:dyDescent="0.25">
      <c r="B9" s="20" t="str">
        <f>'County Data'!B20</f>
        <v>Gilliam</v>
      </c>
      <c r="C9" s="15">
        <f>VLOOKUP($B9,'County Data'!$B$10:$L$46,2,FALSE)</f>
        <v>2039</v>
      </c>
      <c r="D9" s="34">
        <f>VLOOKUP(B9,'County Data'!$B$10:$L$46,4,FALSE)</f>
        <v>6.8052559999999998E-2</v>
      </c>
      <c r="E9" s="31">
        <f t="shared" ref="E9" si="4">C9*D9</f>
        <v>138.75916984</v>
      </c>
      <c r="F9" s="6">
        <f t="shared" ref="F9" si="5">E9/$E$42</f>
        <v>5.0290590789297369E-4</v>
      </c>
      <c r="G9" s="14">
        <f t="shared" ref="G9" si="6">$C$4*F9</f>
        <v>291.68542657792472</v>
      </c>
      <c r="H9" s="10">
        <f t="shared" ref="H9" si="7">G9/C9</f>
        <v>0.14305317635013473</v>
      </c>
      <c r="I9" s="22"/>
    </row>
    <row r="10" spans="2:11" x14ac:dyDescent="0.25">
      <c r="B10" s="20" t="str">
        <f>'County Data'!$B$23</f>
        <v>Hood River</v>
      </c>
      <c r="C10" s="15">
        <f>VLOOKUP($B10,'County Data'!$B$10:$L$46,2,FALSE)</f>
        <v>23888</v>
      </c>
      <c r="D10" s="34">
        <f>VLOOKUP(B10,'County Data'!$B$10:$L$46,4,FALSE)</f>
        <v>4.750973E-2</v>
      </c>
      <c r="E10" s="31">
        <f t="shared" si="0"/>
        <v>1134.91243024</v>
      </c>
      <c r="F10" s="6">
        <f t="shared" si="1"/>
        <v>4.1132716977695374E-3</v>
      </c>
      <c r="G10" s="14">
        <f t="shared" si="2"/>
        <v>2385.6975847063318</v>
      </c>
      <c r="H10" s="10">
        <f t="shared" si="3"/>
        <v>9.9870126620325336E-2</v>
      </c>
      <c r="I10" s="22"/>
    </row>
    <row r="11" spans="2:11" x14ac:dyDescent="0.25">
      <c r="B11" s="20" t="str">
        <f>'County Data'!$B$12</f>
        <v>Clackamas</v>
      </c>
      <c r="C11" s="15">
        <f>VLOOKUP($B11,'County Data'!$B$10:$L$46,2,FALSE)</f>
        <v>425316</v>
      </c>
      <c r="D11" s="34">
        <f>VLOOKUP(B11,'County Data'!$B$10:$L$46,4,FALSE)</f>
        <v>5.6630379999999994E-2</v>
      </c>
      <c r="E11" s="31">
        <f t="shared" si="0"/>
        <v>24085.806700079997</v>
      </c>
      <c r="F11" s="6">
        <f t="shared" si="1"/>
        <v>8.7294371246278701E-2</v>
      </c>
      <c r="G11" s="14">
        <f t="shared" si="2"/>
        <v>50630.735322841647</v>
      </c>
      <c r="H11" s="10">
        <f t="shared" si="3"/>
        <v>0.11904263023926127</v>
      </c>
      <c r="I11" s="22"/>
    </row>
    <row r="12" spans="2:11" x14ac:dyDescent="0.25">
      <c r="B12" s="20" t="str">
        <f>'County Data'!$B$37</f>
        <v>Polk</v>
      </c>
      <c r="C12" s="15">
        <f>VLOOKUP($B12,'County Data'!$B$10:$L$46,2,FALSE)</f>
        <v>88916</v>
      </c>
      <c r="D12" s="34">
        <f>VLOOKUP(B12,'County Data'!$B$10:$L$46,4,FALSE)</f>
        <v>6.0078370000000006E-2</v>
      </c>
      <c r="E12" s="31">
        <f t="shared" si="0"/>
        <v>5341.9283469200009</v>
      </c>
      <c r="F12" s="6">
        <f t="shared" si="1"/>
        <v>1.9360791278188978E-2</v>
      </c>
      <c r="G12" s="14">
        <f t="shared" si="2"/>
        <v>11229.258941349606</v>
      </c>
      <c r="H12" s="10">
        <f t="shared" si="3"/>
        <v>0.12629064444362775</v>
      </c>
      <c r="I12" s="22"/>
    </row>
    <row r="13" spans="2:11" x14ac:dyDescent="0.25">
      <c r="B13" s="20" t="str">
        <f>'County Data'!$B$18</f>
        <v>Deschutes</v>
      </c>
      <c r="C13" s="15">
        <f>VLOOKUP($B13,'County Data'!$B$10:$L$46,2,FALSE)</f>
        <v>203390</v>
      </c>
      <c r="D13" s="34">
        <f>VLOOKUP(B13,'County Data'!$B$10:$L$46,4,FALSE)</f>
        <v>5.375133E-2</v>
      </c>
      <c r="E13" s="31">
        <f t="shared" si="0"/>
        <v>10932.483008699999</v>
      </c>
      <c r="F13" s="6">
        <f t="shared" si="1"/>
        <v>3.9622680788263656E-2</v>
      </c>
      <c r="G13" s="14">
        <f t="shared" si="2"/>
        <v>22981.15485719292</v>
      </c>
      <c r="H13" s="10">
        <f t="shared" si="3"/>
        <v>0.11299058388904529</v>
      </c>
      <c r="I13" s="22"/>
    </row>
    <row r="14" spans="2:11" x14ac:dyDescent="0.25">
      <c r="B14" s="20" t="str">
        <f>'County Data'!$B$46</f>
        <v>Yamhill</v>
      </c>
      <c r="C14" s="15">
        <f>VLOOKUP($B14,'County Data'!$B$10:$L$46,2,FALSE)</f>
        <v>108261</v>
      </c>
      <c r="D14" s="34">
        <f>VLOOKUP(B14,'County Data'!$B$10:$L$46,4,FALSE)</f>
        <v>6.2846349999999995E-2</v>
      </c>
      <c r="E14" s="31">
        <f t="shared" si="0"/>
        <v>6803.8086973499994</v>
      </c>
      <c r="F14" s="6">
        <f t="shared" si="1"/>
        <v>2.4659095280091164E-2</v>
      </c>
      <c r="G14" s="14">
        <f t="shared" si="2"/>
        <v>14302.275262452875</v>
      </c>
      <c r="H14" s="10">
        <f t="shared" si="3"/>
        <v>0.13210921072641926</v>
      </c>
      <c r="I14" s="22"/>
    </row>
    <row r="15" spans="2:11" x14ac:dyDescent="0.25">
      <c r="B15" s="20" t="str">
        <f>'County Data'!$B$21</f>
        <v>Grant</v>
      </c>
      <c r="C15" s="15">
        <f>VLOOKUP($B15,'County Data'!$B$10:$L$46,2,FALSE)</f>
        <v>7226</v>
      </c>
      <c r="D15" s="34">
        <f>VLOOKUP(B15,'County Data'!$B$10:$L$46,4,FALSE)</f>
        <v>7.9334200000000007E-2</v>
      </c>
      <c r="E15" s="31">
        <f t="shared" si="0"/>
        <v>573.2689292</v>
      </c>
      <c r="F15" s="6">
        <f t="shared" si="1"/>
        <v>2.0777029124532192E-3</v>
      </c>
      <c r="G15" s="14">
        <f t="shared" si="2"/>
        <v>1205.0676892228671</v>
      </c>
      <c r="H15" s="10">
        <f t="shared" si="3"/>
        <v>0.16676829355423015</v>
      </c>
      <c r="I15" s="22"/>
    </row>
    <row r="16" spans="2:11" x14ac:dyDescent="0.25">
      <c r="B16" s="20" t="str">
        <f>'County Data'!$B$34</f>
        <v>Morrow</v>
      </c>
      <c r="C16" s="15">
        <f>VLOOKUP($B16,'County Data'!$B$10:$L$46,2,FALSE)</f>
        <v>12635</v>
      </c>
      <c r="D16" s="34">
        <f>VLOOKUP(B16,'County Data'!$B$10:$L$46,4,FALSE)</f>
        <v>6.6599549999999993E-2</v>
      </c>
      <c r="E16" s="31">
        <f t="shared" si="0"/>
        <v>841.48531424999987</v>
      </c>
      <c r="F16" s="6">
        <f t="shared" si="1"/>
        <v>3.0498015837761836E-3</v>
      </c>
      <c r="G16" s="14">
        <f t="shared" si="2"/>
        <v>1768.8849185901865</v>
      </c>
      <c r="H16" s="10">
        <f t="shared" si="3"/>
        <v>0.13999880637832898</v>
      </c>
      <c r="I16" s="22"/>
    </row>
    <row r="17" spans="2:9" x14ac:dyDescent="0.25">
      <c r="B17" s="20" t="str">
        <f>'County Data'!$B$45</f>
        <v>Wheeler</v>
      </c>
      <c r="C17" s="15">
        <f>VLOOKUP($B17,'County Data'!$B$10:$L$46,2,FALSE)</f>
        <v>1456</v>
      </c>
      <c r="D17" s="34">
        <f>VLOOKUP(B17,'County Data'!$B$10:$L$46,4,FALSE)</f>
        <v>6.5306119999999995E-2</v>
      </c>
      <c r="E17" s="31">
        <f t="shared" si="0"/>
        <v>95.085710719999994</v>
      </c>
      <c r="F17" s="6">
        <f t="shared" si="1"/>
        <v>3.4461985995181028E-4</v>
      </c>
      <c r="G17" s="14">
        <f t="shared" si="2"/>
        <v>199.87951877204998</v>
      </c>
      <c r="H17" s="10">
        <f t="shared" si="3"/>
        <v>0.13727988926651785</v>
      </c>
      <c r="I17" s="22"/>
    </row>
    <row r="18" spans="2:9" x14ac:dyDescent="0.25">
      <c r="B18" s="20" t="str">
        <f>'County Data'!$B$33</f>
        <v>Marion</v>
      </c>
      <c r="C18" s="15">
        <f>VLOOKUP($B18,'County Data'!$B$10:$L$46,2,FALSE)</f>
        <v>347182</v>
      </c>
      <c r="D18" s="34">
        <f>VLOOKUP(B18,'County Data'!$B$10:$L$46,4,FALSE)</f>
        <v>6.3607510000000006E-2</v>
      </c>
      <c r="E18" s="31">
        <f t="shared" si="0"/>
        <v>22083.382536820001</v>
      </c>
      <c r="F18" s="6">
        <f t="shared" si="1"/>
        <v>8.003697021849597E-2</v>
      </c>
      <c r="G18" s="14">
        <f t="shared" si="2"/>
        <v>46421.442726727662</v>
      </c>
      <c r="H18" s="10">
        <f t="shared" si="3"/>
        <v>0.13370924393179273</v>
      </c>
      <c r="I18" s="22"/>
    </row>
    <row r="19" spans="2:9" x14ac:dyDescent="0.25">
      <c r="B19" s="20" t="str">
        <f>'County Data'!$B$35</f>
        <v>Multnomah</v>
      </c>
      <c r="C19" s="15">
        <f>VLOOKUP($B19,'County Data'!$B$10:$L$46,2,FALSE)</f>
        <v>820672</v>
      </c>
      <c r="D19" s="34">
        <f>VLOOKUP(B19,'County Data'!$B$10:$L$46,4,FALSE)</f>
        <v>6.2221129999999999E-2</v>
      </c>
      <c r="E19" s="31">
        <f t="shared" si="0"/>
        <v>51063.139199359997</v>
      </c>
      <c r="F19" s="6">
        <f t="shared" si="1"/>
        <v>0.1850685212986673</v>
      </c>
      <c r="G19" s="14">
        <f t="shared" si="2"/>
        <v>107339.74235322703</v>
      </c>
      <c r="H19" s="10">
        <f t="shared" si="3"/>
        <v>0.13079493677526105</v>
      </c>
      <c r="I19" s="22"/>
    </row>
    <row r="20" spans="2:9" x14ac:dyDescent="0.25">
      <c r="B20" s="20" t="str">
        <f>'County Data'!$B$29</f>
        <v>Lane</v>
      </c>
      <c r="C20" s="15">
        <f>VLOOKUP($B20,'County Data'!$B$10:$L$46,2,FALSE)</f>
        <v>382647</v>
      </c>
      <c r="D20" s="34">
        <f>VLOOKUP(B20,'County Data'!$B$10:$L$46,4,FALSE)</f>
        <v>6.8141679999999996E-2</v>
      </c>
      <c r="E20" s="31">
        <f t="shared" si="0"/>
        <v>26074.209426959998</v>
      </c>
      <c r="F20" s="6">
        <f t="shared" si="1"/>
        <v>9.4500954276225527E-2</v>
      </c>
      <c r="G20" s="14">
        <f t="shared" si="2"/>
        <v>54810.553480210809</v>
      </c>
      <c r="H20" s="10">
        <f t="shared" si="3"/>
        <v>0.14324051535804752</v>
      </c>
      <c r="I20" s="22"/>
    </row>
    <row r="21" spans="2:9" x14ac:dyDescent="0.25">
      <c r="B21" s="20" t="str">
        <f>'County Data'!$B$41</f>
        <v>Union</v>
      </c>
      <c r="C21" s="15">
        <f>VLOOKUP($B21,'County Data'!$B$10:$L$46,2,FALSE)</f>
        <v>26295</v>
      </c>
      <c r="D21" s="34">
        <f>VLOOKUP(B21,'County Data'!$B$10:$L$46,4,FALSE)</f>
        <v>7.7874589999999994E-2</v>
      </c>
      <c r="E21" s="31">
        <f t="shared" si="0"/>
        <v>2047.7123440499997</v>
      </c>
      <c r="F21" s="6">
        <f t="shared" si="1"/>
        <v>7.4215393236754064E-3</v>
      </c>
      <c r="G21" s="14">
        <f t="shared" si="2"/>
        <v>4304.4928077317354</v>
      </c>
      <c r="H21" s="10">
        <f t="shared" si="3"/>
        <v>0.1637000497330951</v>
      </c>
      <c r="I21" s="22"/>
    </row>
    <row r="22" spans="2:9" x14ac:dyDescent="0.25">
      <c r="B22" s="20" t="str">
        <f>'County Data'!$B$32</f>
        <v>Malheur</v>
      </c>
      <c r="C22" s="15">
        <f>VLOOKUP($B22,'County Data'!$B$10:$L$46,2,FALSE)</f>
        <v>31995</v>
      </c>
      <c r="D22" s="34">
        <f>VLOOKUP(B22,'County Data'!$B$10:$L$46,4,FALSE)</f>
        <v>7.7298069999999997E-2</v>
      </c>
      <c r="E22" s="31">
        <f t="shared" si="0"/>
        <v>2473.1517496500001</v>
      </c>
      <c r="F22" s="6">
        <f t="shared" si="1"/>
        <v>8.9634625765560843E-3</v>
      </c>
      <c r="G22" s="14">
        <f t="shared" si="2"/>
        <v>5198.8082944025291</v>
      </c>
      <c r="H22" s="10">
        <f t="shared" si="3"/>
        <v>0.16248814797319985</v>
      </c>
      <c r="I22" s="22"/>
    </row>
    <row r="23" spans="2:9" x14ac:dyDescent="0.25">
      <c r="B23" s="20" t="str">
        <f>'County Data'!$B$31</f>
        <v>Linn</v>
      </c>
      <c r="C23" s="15">
        <f>VLOOKUP($B23,'County Data'!$B$10:$L$46,2,FALSE)</f>
        <v>130440</v>
      </c>
      <c r="D23" s="34">
        <f>VLOOKUP(B23,'County Data'!$B$10:$L$46,4,FALSE)</f>
        <v>7.4680110000000008E-2</v>
      </c>
      <c r="E23" s="31">
        <f t="shared" si="0"/>
        <v>9741.2735484000004</v>
      </c>
      <c r="F23" s="6">
        <f t="shared" si="1"/>
        <v>3.5305371338995264E-2</v>
      </c>
      <c r="G23" s="14">
        <f t="shared" si="2"/>
        <v>20477.115376617254</v>
      </c>
      <c r="H23" s="10">
        <f t="shared" si="3"/>
        <v>0.15698493848985934</v>
      </c>
      <c r="I23" s="22"/>
    </row>
    <row r="24" spans="2:9" x14ac:dyDescent="0.25">
      <c r="B24" s="20" t="str">
        <f>'County Data'!$B$40</f>
        <v>Umatilla</v>
      </c>
      <c r="C24" s="15">
        <f>VLOOKUP($B24,'County Data'!$B$10:$L$46,2,FALSE)</f>
        <v>80463</v>
      </c>
      <c r="D24" s="34">
        <f>VLOOKUP(B24,'County Data'!$B$10:$L$46,4,FALSE)</f>
        <v>7.0862040000000001E-2</v>
      </c>
      <c r="E24" s="31">
        <f t="shared" si="0"/>
        <v>5701.7723245200004</v>
      </c>
      <c r="F24" s="6">
        <f t="shared" si="1"/>
        <v>2.0664976525646254E-2</v>
      </c>
      <c r="G24" s="14">
        <f t="shared" si="2"/>
        <v>11985.686384874827</v>
      </c>
      <c r="H24" s="10">
        <f t="shared" si="3"/>
        <v>0.14895897971582997</v>
      </c>
      <c r="I24" s="22"/>
    </row>
    <row r="25" spans="2:9" x14ac:dyDescent="0.25">
      <c r="B25" s="20" t="str">
        <f>'County Data'!$B$24</f>
        <v>Jackson</v>
      </c>
      <c r="C25" s="15">
        <f>VLOOKUP($B25,'County Data'!$B$10:$L$46,2,FALSE)</f>
        <v>223827</v>
      </c>
      <c r="D25" s="34">
        <f>VLOOKUP(B25,'County Data'!$B$10:$L$46,4,FALSE)</f>
        <v>7.6263950000000011E-2</v>
      </c>
      <c r="E25" s="31">
        <f t="shared" si="0"/>
        <v>17069.931136650004</v>
      </c>
      <c r="F25" s="6">
        <f t="shared" si="1"/>
        <v>6.1866680420805197E-2</v>
      </c>
      <c r="G25" s="14">
        <f t="shared" si="2"/>
        <v>35882.67464406701</v>
      </c>
      <c r="H25" s="10">
        <f t="shared" si="3"/>
        <v>0.16031432599314208</v>
      </c>
      <c r="I25" s="22"/>
    </row>
    <row r="26" spans="2:9" x14ac:dyDescent="0.25">
      <c r="B26" s="20" t="str">
        <f>'County Data'!$B$16</f>
        <v>Crook</v>
      </c>
      <c r="C26" s="15">
        <f>VLOOKUP($B26,'County Data'!$B$10:$L$46,2,FALSE)</f>
        <v>25482</v>
      </c>
      <c r="D26" s="34">
        <f>VLOOKUP(B26,'County Data'!$B$10:$L$46,4,FALSE)</f>
        <v>8.3662790000000001E-2</v>
      </c>
      <c r="E26" s="31">
        <f t="shared" si="0"/>
        <v>2131.8952147800001</v>
      </c>
      <c r="F26" s="6">
        <f t="shared" si="1"/>
        <v>7.7266439382556494E-3</v>
      </c>
      <c r="G26" s="14">
        <f t="shared" si="2"/>
        <v>4481.4534841882769</v>
      </c>
      <c r="H26" s="10">
        <f t="shared" si="3"/>
        <v>0.17586741559486213</v>
      </c>
      <c r="I26" s="22"/>
    </row>
    <row r="27" spans="2:9" x14ac:dyDescent="0.25">
      <c r="B27" s="20" t="str">
        <f>'County Data'!$B$14</f>
        <v>Columbia</v>
      </c>
      <c r="C27" s="15">
        <f>VLOOKUP($B27,'County Data'!$B$10:$L$46,2,FALSE)</f>
        <v>53014</v>
      </c>
      <c r="D27" s="34">
        <f>VLOOKUP(B27,'County Data'!$B$10:$L$46,4,FALSE)</f>
        <v>7.1908329999999993E-2</v>
      </c>
      <c r="E27" s="31">
        <f t="shared" si="0"/>
        <v>3812.1482066199997</v>
      </c>
      <c r="F27" s="6">
        <f t="shared" si="1"/>
        <v>1.3816397554723237E-2</v>
      </c>
      <c r="G27" s="14">
        <f t="shared" si="2"/>
        <v>8013.5105817394779</v>
      </c>
      <c r="H27" s="10">
        <f t="shared" si="3"/>
        <v>0.15115838423321157</v>
      </c>
      <c r="I27" s="22"/>
    </row>
    <row r="28" spans="2:9" x14ac:dyDescent="0.25">
      <c r="B28" s="20" t="str">
        <f>'County Data'!$B$42</f>
        <v>Wallowa</v>
      </c>
      <c r="C28" s="15">
        <f>VLOOKUP($B28,'County Data'!$B$10:$L$46,2,FALSE)</f>
        <v>7433</v>
      </c>
      <c r="D28" s="34">
        <f>VLOOKUP(B28,'County Data'!$B$10:$L$46,4,FALSE)</f>
        <v>6.8052559999999998E-2</v>
      </c>
      <c r="E28" s="31">
        <f t="shared" si="0"/>
        <v>505.83467847999998</v>
      </c>
      <c r="F28" s="6">
        <f t="shared" si="1"/>
        <v>1.8333004479492267E-3</v>
      </c>
      <c r="G28" s="14">
        <f t="shared" si="2"/>
        <v>1063.3142598105514</v>
      </c>
      <c r="H28" s="10">
        <f t="shared" si="3"/>
        <v>0.14305317635013473</v>
      </c>
      <c r="I28" s="22"/>
    </row>
    <row r="29" spans="2:9" x14ac:dyDescent="0.25">
      <c r="B29" s="20" t="str">
        <f>'County Data'!$B$39</f>
        <v>Tillamook</v>
      </c>
      <c r="C29" s="15">
        <f>VLOOKUP($B29,'County Data'!$B$10:$L$46,2,FALSE)</f>
        <v>27628</v>
      </c>
      <c r="D29" s="34">
        <f>VLOOKUP(B29,'County Data'!$B$10:$L$46,4,FALSE)</f>
        <v>8.2220169999999995E-2</v>
      </c>
      <c r="E29" s="31">
        <f t="shared" si="0"/>
        <v>2271.5788567599998</v>
      </c>
      <c r="F29" s="6">
        <f t="shared" si="1"/>
        <v>8.2329004175121182E-3</v>
      </c>
      <c r="G29" s="14">
        <f t="shared" si="2"/>
        <v>4775.0822421570283</v>
      </c>
      <c r="H29" s="10">
        <f t="shared" si="3"/>
        <v>0.17283488642525802</v>
      </c>
      <c r="I29" s="22"/>
    </row>
    <row r="30" spans="2:9" x14ac:dyDescent="0.25">
      <c r="B30" s="20" t="str">
        <f>'County Data'!$B$28</f>
        <v>Lake</v>
      </c>
      <c r="C30" s="15">
        <f>VLOOKUP($B30,'County Data'!$B$10:$L$46,2,FALSE)</f>
        <v>8177</v>
      </c>
      <c r="D30" s="34">
        <f>VLOOKUP(B30,'County Data'!$B$10:$L$46,4,FALSE)</f>
        <v>9.3079839999999997E-2</v>
      </c>
      <c r="E30" s="31">
        <f t="shared" si="0"/>
        <v>761.11385167999993</v>
      </c>
      <c r="F30" s="6">
        <f t="shared" si="1"/>
        <v>2.758510684594108E-3</v>
      </c>
      <c r="G30" s="14">
        <f t="shared" si="2"/>
        <v>1599.9361970645828</v>
      </c>
      <c r="H30" s="10">
        <f t="shared" si="3"/>
        <v>0.19566298117458514</v>
      </c>
      <c r="I30" s="22"/>
    </row>
    <row r="31" spans="2:9" x14ac:dyDescent="0.25">
      <c r="B31" s="20" t="str">
        <f>'County Data'!$B$36</f>
        <v>Sherman, Wasco</v>
      </c>
      <c r="C31" s="15">
        <f>VLOOKUP($B31,'County Data'!$B$10:$L$46,2,FALSE)</f>
        <v>28489</v>
      </c>
      <c r="D31" s="34">
        <f>VLOOKUP(B31,'County Data'!$B$10:$L$46,4,FALSE)</f>
        <v>8.1669599999999995E-2</v>
      </c>
      <c r="E31" s="31">
        <f t="shared" si="0"/>
        <v>2326.6852343999999</v>
      </c>
      <c r="F31" s="6">
        <f t="shared" si="1"/>
        <v>8.4326228784470814E-3</v>
      </c>
      <c r="G31" s="14">
        <f t="shared" si="2"/>
        <v>4890.9212694993075</v>
      </c>
      <c r="H31" s="10">
        <f t="shared" si="3"/>
        <v>0.17167753411840736</v>
      </c>
      <c r="I31" s="22"/>
    </row>
    <row r="32" spans="2:9" x14ac:dyDescent="0.25">
      <c r="B32" s="20" t="str">
        <f>'County Data'!$B$10</f>
        <v>Baker</v>
      </c>
      <c r="C32" s="15">
        <f>VLOOKUP($B32,'County Data'!$B$10:$L$46,2,FALSE)</f>
        <v>16860</v>
      </c>
      <c r="D32" s="34">
        <f>VLOOKUP(B32,'County Data'!$B$10:$L$46,4,FALSE)</f>
        <v>8.6297479999999996E-2</v>
      </c>
      <c r="E32" s="31">
        <f t="shared" si="0"/>
        <v>1454.9755127999999</v>
      </c>
      <c r="F32" s="6">
        <f t="shared" si="1"/>
        <v>5.2732787466979918E-3</v>
      </c>
      <c r="G32" s="14">
        <f t="shared" si="2"/>
        <v>3058.5016730848351</v>
      </c>
      <c r="H32" s="10">
        <f t="shared" si="3"/>
        <v>0.18140579318415392</v>
      </c>
      <c r="I32" s="22"/>
    </row>
    <row r="33" spans="2:9" x14ac:dyDescent="0.25">
      <c r="B33" s="20" t="str">
        <f>'County Data'!$B$13</f>
        <v>Clatsop</v>
      </c>
      <c r="C33" s="15">
        <f>VLOOKUP($B33,'County Data'!$B$10:$L$46,2,FALSE)</f>
        <v>41428</v>
      </c>
      <c r="D33" s="34">
        <f>VLOOKUP(B33,'County Data'!$B$10:$L$46,4,FALSE)</f>
        <v>8.1797190000000006E-2</v>
      </c>
      <c r="E33" s="31">
        <f t="shared" si="0"/>
        <v>3388.6939873200004</v>
      </c>
      <c r="F33" s="6">
        <f t="shared" si="1"/>
        <v>1.2281669227552262E-2</v>
      </c>
      <c r="G33" s="14">
        <f t="shared" si="2"/>
        <v>7123.3681519803122</v>
      </c>
      <c r="H33" s="10">
        <f t="shared" si="3"/>
        <v>0.17194574085112271</v>
      </c>
      <c r="I33" s="22"/>
    </row>
    <row r="34" spans="2:9" x14ac:dyDescent="0.25">
      <c r="B34" s="20" t="str">
        <f>'County Data'!$B$26</f>
        <v>Josephine</v>
      </c>
      <c r="C34" s="15">
        <f>VLOOKUP($B34,'County Data'!$B$10:$L$46,2,FALSE)</f>
        <v>88728</v>
      </c>
      <c r="D34" s="34">
        <f>VLOOKUP(B34,'County Data'!$B$10:$L$46,4,FALSE)</f>
        <v>9.9210980000000004E-2</v>
      </c>
      <c r="E34" s="31">
        <f t="shared" si="0"/>
        <v>8802.7918334400001</v>
      </c>
      <c r="F34" s="6">
        <f t="shared" si="1"/>
        <v>3.1904024967096892E-2</v>
      </c>
      <c r="G34" s="14">
        <f t="shared" si="2"/>
        <v>18504.334480916197</v>
      </c>
      <c r="H34" s="10">
        <f t="shared" si="3"/>
        <v>0.20855124065589439</v>
      </c>
      <c r="I34" s="22"/>
    </row>
    <row r="35" spans="2:9" x14ac:dyDescent="0.25">
      <c r="B35" s="20" t="str">
        <f>'County Data'!$B$19</f>
        <v>Douglas</v>
      </c>
      <c r="C35" s="15">
        <f>VLOOKUP($B35,'County Data'!$B$10:$L$46,2,FALSE)</f>
        <v>111694</v>
      </c>
      <c r="D35" s="34">
        <f>VLOOKUP(B35,'County Data'!$B$10:$L$46,4,FALSE)</f>
        <v>0.10093575</v>
      </c>
      <c r="E35" s="31">
        <f t="shared" si="0"/>
        <v>11273.917660500001</v>
      </c>
      <c r="F35" s="6">
        <f t="shared" si="1"/>
        <v>4.0860144977099576E-2</v>
      </c>
      <c r="G35" s="14">
        <f t="shared" si="2"/>
        <v>23698.884086717753</v>
      </c>
      <c r="H35" s="10">
        <f t="shared" si="3"/>
        <v>0.2121768768843246</v>
      </c>
      <c r="I35" s="22"/>
    </row>
    <row r="36" spans="2:9" x14ac:dyDescent="0.25">
      <c r="B36" s="20" t="str">
        <f>'County Data'!$B$27</f>
        <v>Klamath</v>
      </c>
      <c r="C36" s="15">
        <f>VLOOKUP($B36,'County Data'!$B$10:$L$46,2,FALSE)</f>
        <v>69822</v>
      </c>
      <c r="D36" s="34">
        <f>VLOOKUP(B36,'County Data'!$B$10:$L$46,4,FALSE)</f>
        <v>9.6826550000000011E-2</v>
      </c>
      <c r="E36" s="31">
        <f t="shared" si="0"/>
        <v>6760.6233741000005</v>
      </c>
      <c r="F36" s="6">
        <f t="shared" si="1"/>
        <v>2.4502578386672625E-2</v>
      </c>
      <c r="G36" s="14">
        <f t="shared" si="2"/>
        <v>14211.495464270123</v>
      </c>
      <c r="H36" s="10">
        <f t="shared" si="3"/>
        <v>0.2035389342079878</v>
      </c>
      <c r="I36" s="22"/>
    </row>
    <row r="37" spans="2:9" x14ac:dyDescent="0.25">
      <c r="B37" s="20" t="str">
        <f>'County Data'!$B$15</f>
        <v>Coos</v>
      </c>
      <c r="C37" s="15">
        <f>VLOOKUP($B37,'County Data'!$B$10:$L$46,2,FALSE)</f>
        <v>65154</v>
      </c>
      <c r="D37" s="34">
        <f>VLOOKUP(B37,'County Data'!$B$10:$L$46,4,FALSE)</f>
        <v>9.8415849999999985E-2</v>
      </c>
      <c r="E37" s="31">
        <f t="shared" si="0"/>
        <v>6412.1862908999992</v>
      </c>
      <c r="F37" s="6">
        <f t="shared" si="1"/>
        <v>2.3239735232794354E-2</v>
      </c>
      <c r="G37" s="14">
        <f t="shared" si="2"/>
        <v>13479.046435020726</v>
      </c>
      <c r="H37" s="10">
        <f t="shared" si="3"/>
        <v>0.20687979916844285</v>
      </c>
      <c r="I37" s="22"/>
    </row>
    <row r="38" spans="2:9" x14ac:dyDescent="0.25">
      <c r="B38" s="20" t="str">
        <f>'County Data'!$B$30</f>
        <v>Lincoln</v>
      </c>
      <c r="C38" s="15">
        <f>VLOOKUP($B38,'County Data'!$B$10:$L$46,2,FALSE)</f>
        <v>50903</v>
      </c>
      <c r="D38" s="34">
        <f>VLOOKUP(B38,'County Data'!$B$10:$L$46,4,FALSE)</f>
        <v>9.7818940000000007E-2</v>
      </c>
      <c r="E38" s="31">
        <f t="shared" si="0"/>
        <v>4979.2775028200003</v>
      </c>
      <c r="F38" s="6">
        <f t="shared" si="1"/>
        <v>1.8046433083263473E-2</v>
      </c>
      <c r="G38" s="14">
        <f t="shared" si="2"/>
        <v>10466.931188292814</v>
      </c>
      <c r="H38" s="10">
        <f t="shared" si="3"/>
        <v>0.20562503562251369</v>
      </c>
      <c r="I38" s="22"/>
    </row>
    <row r="39" spans="2:9" x14ac:dyDescent="0.25">
      <c r="B39" s="20" t="str">
        <f>'County Data'!$B$25</f>
        <v>Jefferson</v>
      </c>
      <c r="C39" s="15">
        <f>VLOOKUP($B39,'County Data'!$B$10:$L$46,2,FALSE)</f>
        <v>24889</v>
      </c>
      <c r="D39" s="34">
        <f>VLOOKUP(B39,'County Data'!$B$10:$L$46,4,FALSE)</f>
        <v>8.5968059999999999E-2</v>
      </c>
      <c r="E39" s="31">
        <f t="shared" si="0"/>
        <v>2139.6590453399999</v>
      </c>
      <c r="F39" s="6">
        <f t="shared" si="1"/>
        <v>7.7547824480276957E-3</v>
      </c>
      <c r="G39" s="14">
        <f t="shared" si="2"/>
        <v>4497.7738198560637</v>
      </c>
      <c r="H39" s="10">
        <f t="shared" si="3"/>
        <v>0.18071331993475284</v>
      </c>
      <c r="I39" s="22"/>
    </row>
    <row r="40" spans="2:9" x14ac:dyDescent="0.25">
      <c r="B40" s="20" t="str">
        <f>'County Data'!$B$22</f>
        <v>Harney</v>
      </c>
      <c r="C40" s="15">
        <f>VLOOKUP($B40,'County Data'!$B$10:$L$46,2,FALSE)</f>
        <v>7537</v>
      </c>
      <c r="D40" s="34">
        <f>VLOOKUP(B40,'County Data'!$B$10:$L$46,4,FALSE)</f>
        <v>9.5802139999999994E-2</v>
      </c>
      <c r="E40" s="31">
        <f t="shared" si="0"/>
        <v>722.06072917999995</v>
      </c>
      <c r="F40" s="6">
        <f t="shared" si="1"/>
        <v>2.6169701575819867E-3</v>
      </c>
      <c r="G40" s="14">
        <f t="shared" si="2"/>
        <v>1517.8426913975522</v>
      </c>
      <c r="H40" s="10">
        <f t="shared" si="3"/>
        <v>0.20138552360323103</v>
      </c>
      <c r="I40" s="22"/>
    </row>
    <row r="41" spans="2:9" x14ac:dyDescent="0.25">
      <c r="B41" s="20" t="str">
        <f>'County Data'!$B$17</f>
        <v>Curry</v>
      </c>
      <c r="C41" s="15">
        <f>VLOOKUP($B41,'County Data'!$B$10:$L$46,2,FALSE)</f>
        <v>23662</v>
      </c>
      <c r="D41" s="34">
        <f>VLOOKUP(B41,'County Data'!$B$10:$L$46,4,FALSE)</f>
        <v>9.8974709999999994E-2</v>
      </c>
      <c r="E41" s="31">
        <f t="shared" si="0"/>
        <v>2341.93958802</v>
      </c>
      <c r="F41" s="6">
        <f t="shared" si="1"/>
        <v>8.4879093475534653E-3</v>
      </c>
      <c r="G41" s="14">
        <f t="shared" si="2"/>
        <v>4922.9874215810096</v>
      </c>
      <c r="H41" s="10">
        <f t="shared" si="3"/>
        <v>0.20805457787089043</v>
      </c>
      <c r="I41" s="22"/>
    </row>
    <row r="42" spans="2:9" x14ac:dyDescent="0.25">
      <c r="B42" s="4" t="s">
        <v>89</v>
      </c>
      <c r="C42" s="5">
        <f>SUM(C6:C41)</f>
        <v>4266560</v>
      </c>
      <c r="D42" s="5">
        <f>SUM(D6:D41)</f>
        <v>2.6370185199999989</v>
      </c>
      <c r="E42" s="5">
        <f>SUM(E6:E41)</f>
        <v>275914.77384181006</v>
      </c>
      <c r="F42" s="8">
        <f>SUM(F6:F41)</f>
        <v>0.99999999999999978</v>
      </c>
      <c r="G42" s="11">
        <f>SUM(G6:G41)</f>
        <v>580000</v>
      </c>
      <c r="H42" s="12">
        <f t="shared" ref="H42" si="8">G42/C42</f>
        <v>0.13594089852246305</v>
      </c>
    </row>
  </sheetData>
  <sortState xmlns:xlrd2="http://schemas.microsoft.com/office/spreadsheetml/2017/richdata2" ref="B7:H41">
    <sortCondition ref="D7:D41"/>
  </sortState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L42"/>
  <sheetViews>
    <sheetView topLeftCell="A4" workbookViewId="0">
      <selection activeCell="D41" sqref="D41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7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12" x14ac:dyDescent="0.25">
      <c r="B3" t="s">
        <v>125</v>
      </c>
      <c r="C3" s="1">
        <f>'County Data'!C5</f>
        <v>20000000</v>
      </c>
    </row>
    <row r="4" spans="2:12" x14ac:dyDescent="0.25">
      <c r="B4" t="s">
        <v>126</v>
      </c>
      <c r="C4" s="14">
        <f>'County Data'!F9</f>
        <v>580000</v>
      </c>
      <c r="D4" s="9"/>
    </row>
    <row r="6" spans="2:12" s="2" customFormat="1" ht="30" x14ac:dyDescent="0.25">
      <c r="B6" s="3" t="s">
        <v>36</v>
      </c>
      <c r="C6" s="3" t="s">
        <v>107</v>
      </c>
      <c r="D6" s="3" t="s">
        <v>141</v>
      </c>
      <c r="E6" s="3" t="s">
        <v>142</v>
      </c>
      <c r="F6" s="3" t="s">
        <v>143</v>
      </c>
      <c r="G6" s="13" t="s">
        <v>128</v>
      </c>
      <c r="H6" s="3" t="s">
        <v>129</v>
      </c>
    </row>
    <row r="7" spans="2:12" x14ac:dyDescent="0.25">
      <c r="B7" s="20" t="str">
        <f>+'County Data'!$B$18</f>
        <v>Deschutes</v>
      </c>
      <c r="C7" s="15">
        <f>VLOOKUP($B7,'County Data'!$B$10:$L$46,2,FALSE)</f>
        <v>203390</v>
      </c>
      <c r="D7" s="29">
        <f>VLOOKUP($B7,'County Data'!$B$10:$L$46,5,FALSE)</f>
        <v>0.13699999999999998</v>
      </c>
      <c r="E7" s="31">
        <f t="shared" ref="E7:E41" si="0">C7*D7</f>
        <v>27864.429999999997</v>
      </c>
      <c r="F7" s="6">
        <f t="shared" ref="F7:F41" si="1">E7/$E$42</f>
        <v>3.8788371535916313E-2</v>
      </c>
      <c r="G7" s="14">
        <f t="shared" ref="G7:G41" si="2">$C$4*F7</f>
        <v>22497.255490831463</v>
      </c>
      <c r="H7" s="10">
        <f t="shared" ref="H7:H41" si="3">G7/C7</f>
        <v>0.11061141398707637</v>
      </c>
      <c r="J7" s="178"/>
      <c r="K7" s="178"/>
      <c r="L7" s="22"/>
    </row>
    <row r="8" spans="2:12" x14ac:dyDescent="0.25">
      <c r="B8" s="20" t="str">
        <f>+'County Data'!$B$42</f>
        <v>Wallowa</v>
      </c>
      <c r="C8" s="15">
        <f>VLOOKUP($B8,'County Data'!$B$10:$L$46,2,FALSE)</f>
        <v>7433</v>
      </c>
      <c r="D8" s="29">
        <f>VLOOKUP($B8,'County Data'!$B$10:$L$46,5,FALSE)</f>
        <v>0.14899999999999999</v>
      </c>
      <c r="E8" s="31">
        <f t="shared" si="0"/>
        <v>1107.5170000000001</v>
      </c>
      <c r="F8" s="6">
        <f t="shared" si="1"/>
        <v>1.5417067881289314E-3</v>
      </c>
      <c r="G8" s="14">
        <f t="shared" si="2"/>
        <v>894.18993711478015</v>
      </c>
      <c r="H8" s="10">
        <f t="shared" si="3"/>
        <v>0.12030000499324367</v>
      </c>
      <c r="J8" s="178"/>
      <c r="K8" s="178"/>
      <c r="L8" s="22"/>
    </row>
    <row r="9" spans="2:12" x14ac:dyDescent="0.25">
      <c r="B9" s="20" t="str">
        <f>'County Data'!B20</f>
        <v>Gilliam</v>
      </c>
      <c r="C9" s="15">
        <f>VLOOKUP($B9,'County Data'!$B$10:$L$46,2,FALSE)</f>
        <v>2039</v>
      </c>
      <c r="D9" s="29">
        <f>VLOOKUP($B9,'County Data'!$B$10:$L$46,5,FALSE)</f>
        <v>0.14899999999999999</v>
      </c>
      <c r="E9" s="31">
        <f t="shared" ref="E9" si="4">C9*D9</f>
        <v>303.81099999999998</v>
      </c>
      <c r="F9" s="6">
        <f t="shared" ref="F9" si="5">E9/$E$42</f>
        <v>4.2291674169176515E-4</v>
      </c>
      <c r="G9" s="14">
        <f t="shared" ref="G9" si="6">$C$4*F9</f>
        <v>245.29171018122378</v>
      </c>
      <c r="H9" s="10">
        <f t="shared" ref="H9" si="7">G9/C9</f>
        <v>0.12030000499324364</v>
      </c>
      <c r="J9" s="178"/>
      <c r="K9" s="178"/>
      <c r="L9" s="22"/>
    </row>
    <row r="10" spans="2:12" x14ac:dyDescent="0.25">
      <c r="B10" s="20" t="str">
        <f>+'County Data'!$B$28</f>
        <v>Lake</v>
      </c>
      <c r="C10" s="15">
        <f>VLOOKUP($B10,'County Data'!$B$10:$L$46,2,FALSE)</f>
        <v>8177</v>
      </c>
      <c r="D10" s="29">
        <f>VLOOKUP($B10,'County Data'!$B$10:$L$46,5,FALSE)</f>
        <v>0.17899999999999999</v>
      </c>
      <c r="E10" s="31">
        <f t="shared" si="0"/>
        <v>1463.683</v>
      </c>
      <c r="F10" s="6">
        <f t="shared" si="1"/>
        <v>2.0375037284022894E-3</v>
      </c>
      <c r="G10" s="14">
        <f t="shared" si="2"/>
        <v>1181.7521624733279</v>
      </c>
      <c r="H10" s="10">
        <f t="shared" si="3"/>
        <v>0.14452148250866184</v>
      </c>
      <c r="J10" s="178"/>
      <c r="K10" s="178"/>
      <c r="L10" s="22"/>
    </row>
    <row r="11" spans="2:12" x14ac:dyDescent="0.25">
      <c r="B11" s="20" t="str">
        <f>+'County Data'!$B$44</f>
        <v>Washington</v>
      </c>
      <c r="C11" s="15">
        <f>VLOOKUP($B11,'County Data'!$B$10:$L$46,2,FALSE)</f>
        <v>605036</v>
      </c>
      <c r="D11" s="29">
        <f>VLOOKUP($B11,'County Data'!$B$10:$L$46,5,FALSE)</f>
        <v>0.151</v>
      </c>
      <c r="E11" s="31">
        <f t="shared" si="0"/>
        <v>91360.436000000002</v>
      </c>
      <c r="F11" s="6">
        <f t="shared" si="1"/>
        <v>0.12717728427429897</v>
      </c>
      <c r="G11" s="14">
        <f t="shared" si="2"/>
        <v>73762.824879093401</v>
      </c>
      <c r="H11" s="10">
        <f t="shared" si="3"/>
        <v>0.1219147701609382</v>
      </c>
      <c r="J11" s="178"/>
      <c r="K11" s="178"/>
      <c r="L11" s="22"/>
    </row>
    <row r="12" spans="2:12" x14ac:dyDescent="0.25">
      <c r="B12" s="20" t="str">
        <f>+'County Data'!$B$10</f>
        <v>Baker</v>
      </c>
      <c r="C12" s="15">
        <f>VLOOKUP($B12,'County Data'!$B$10:$L$46,2,FALSE)</f>
        <v>16860</v>
      </c>
      <c r="D12" s="29">
        <f>VLOOKUP($B12,'County Data'!$B$10:$L$46,5,FALSE)</f>
        <v>0.18899999999999997</v>
      </c>
      <c r="E12" s="31">
        <f t="shared" si="0"/>
        <v>3186.5399999999995</v>
      </c>
      <c r="F12" s="6">
        <f t="shared" si="1"/>
        <v>4.4357877564356694E-3</v>
      </c>
      <c r="G12" s="14">
        <f t="shared" si="2"/>
        <v>2572.7568987326881</v>
      </c>
      <c r="H12" s="10">
        <f t="shared" si="3"/>
        <v>0.15259530834713453</v>
      </c>
      <c r="J12" s="178"/>
      <c r="K12" s="178"/>
      <c r="L12" s="22"/>
    </row>
    <row r="13" spans="2:12" x14ac:dyDescent="0.25">
      <c r="B13" s="20" t="str">
        <f>+'County Data'!$B$11</f>
        <v>Benton</v>
      </c>
      <c r="C13" s="15">
        <f>VLOOKUP($B13,'County Data'!$B$10:$L$46,2,FALSE)</f>
        <v>93976</v>
      </c>
      <c r="D13" s="29">
        <f>VLOOKUP($B13,'County Data'!$B$10:$L$46,5,FALSE)</f>
        <v>0.113</v>
      </c>
      <c r="E13" s="31">
        <f t="shared" si="0"/>
        <v>10619.288</v>
      </c>
      <c r="F13" s="6">
        <f t="shared" si="1"/>
        <v>1.478246238630748E-2</v>
      </c>
      <c r="G13" s="14">
        <f t="shared" si="2"/>
        <v>8573.8281840583386</v>
      </c>
      <c r="H13" s="10">
        <f t="shared" si="3"/>
        <v>9.1234231974741828E-2</v>
      </c>
      <c r="J13" s="178"/>
      <c r="K13" s="178"/>
      <c r="L13" s="22"/>
    </row>
    <row r="14" spans="2:12" x14ac:dyDescent="0.25">
      <c r="B14" s="20" t="str">
        <f>+'County Data'!$B$41</f>
        <v>Union</v>
      </c>
      <c r="C14" s="15">
        <f>VLOOKUP($B14,'County Data'!$B$10:$L$46,2,FALSE)</f>
        <v>26295</v>
      </c>
      <c r="D14" s="29">
        <f>VLOOKUP($B14,'County Data'!$B$10:$L$46,5,FALSE)</f>
        <v>0.106</v>
      </c>
      <c r="E14" s="31">
        <f t="shared" si="0"/>
        <v>2787.27</v>
      </c>
      <c r="F14" s="6">
        <f t="shared" si="1"/>
        <v>3.8799883697930833E-3</v>
      </c>
      <c r="G14" s="14">
        <f t="shared" si="2"/>
        <v>2250.3932544799882</v>
      </c>
      <c r="H14" s="10">
        <f t="shared" si="3"/>
        <v>8.5582553887810928E-2</v>
      </c>
      <c r="J14" s="178"/>
      <c r="K14" s="178"/>
      <c r="L14" s="22"/>
    </row>
    <row r="15" spans="2:12" x14ac:dyDescent="0.25">
      <c r="B15" s="20" t="str">
        <f>+'County Data'!$B$37</f>
        <v>Polk</v>
      </c>
      <c r="C15" s="15">
        <f>VLOOKUP($B15,'County Data'!$B$10:$L$46,2,FALSE)</f>
        <v>88916</v>
      </c>
      <c r="D15" s="29">
        <f>VLOOKUP($B15,'County Data'!$B$10:$L$46,5,FALSE)</f>
        <v>0.183</v>
      </c>
      <c r="E15" s="31">
        <f t="shared" si="0"/>
        <v>16271.627999999999</v>
      </c>
      <c r="F15" s="6">
        <f t="shared" si="1"/>
        <v>2.2650739755244193E-2</v>
      </c>
      <c r="G15" s="14">
        <f t="shared" si="2"/>
        <v>13137.429058041633</v>
      </c>
      <c r="H15" s="10">
        <f t="shared" si="3"/>
        <v>0.14775101284405093</v>
      </c>
      <c r="J15" s="178"/>
      <c r="K15" s="178"/>
      <c r="L15" s="22"/>
    </row>
    <row r="16" spans="2:12" x14ac:dyDescent="0.25">
      <c r="B16" s="20" t="str">
        <f>+'County Data'!$B$12</f>
        <v>Clackamas</v>
      </c>
      <c r="C16" s="15">
        <f>VLOOKUP($B16,'County Data'!$B$10:$L$46,2,FALSE)</f>
        <v>425316</v>
      </c>
      <c r="D16" s="29">
        <f>VLOOKUP($B16,'County Data'!$B$10:$L$46,5,FALSE)</f>
        <v>0.14499999999999999</v>
      </c>
      <c r="E16" s="31">
        <f t="shared" si="0"/>
        <v>61670.819999999992</v>
      </c>
      <c r="F16" s="6">
        <f t="shared" si="1"/>
        <v>8.5848182757896671E-2</v>
      </c>
      <c r="G16" s="14">
        <f t="shared" si="2"/>
        <v>49791.945999580072</v>
      </c>
      <c r="H16" s="10">
        <f t="shared" si="3"/>
        <v>0.11707047465785457</v>
      </c>
      <c r="J16" s="178"/>
      <c r="K16" s="178"/>
      <c r="L16" s="22"/>
    </row>
    <row r="17" spans="2:12" x14ac:dyDescent="0.25">
      <c r="B17" s="20" t="str">
        <f>+'County Data'!$B$13</f>
        <v>Clatsop</v>
      </c>
      <c r="C17" s="15">
        <f>VLOOKUP($B17,'County Data'!$B$10:$L$46,2,FALSE)</f>
        <v>41428</v>
      </c>
      <c r="D17" s="29">
        <f>VLOOKUP($B17,'County Data'!$B$10:$L$46,5,FALSE)</f>
        <v>0.15</v>
      </c>
      <c r="E17" s="31">
        <f t="shared" si="0"/>
        <v>6214.2</v>
      </c>
      <c r="F17" s="6">
        <f t="shared" si="1"/>
        <v>8.6504083664546948E-3</v>
      </c>
      <c r="G17" s="14">
        <f t="shared" si="2"/>
        <v>5017.2368525437232</v>
      </c>
      <c r="H17" s="10">
        <f t="shared" si="3"/>
        <v>0.12110738757709093</v>
      </c>
      <c r="J17" s="178"/>
      <c r="K17" s="178"/>
      <c r="L17" s="22"/>
    </row>
    <row r="18" spans="2:12" x14ac:dyDescent="0.25">
      <c r="B18" s="20" t="str">
        <f>+'County Data'!$B$36</f>
        <v>Sherman, Wasco</v>
      </c>
      <c r="C18" s="15">
        <f>VLOOKUP($B18,'County Data'!$B$10:$L$46,2,FALSE)</f>
        <v>28489</v>
      </c>
      <c r="D18" s="29">
        <f>VLOOKUP($B18,'County Data'!$B$10:$L$46,5,FALSE)</f>
        <v>0.13800000000000001</v>
      </c>
      <c r="E18" s="31">
        <f t="shared" si="0"/>
        <v>3931.4820000000004</v>
      </c>
      <c r="F18" s="6">
        <f t="shared" si="1"/>
        <v>5.4727760267397315E-3</v>
      </c>
      <c r="G18" s="14">
        <f t="shared" si="2"/>
        <v>3174.2100955090441</v>
      </c>
      <c r="H18" s="10">
        <f t="shared" si="3"/>
        <v>0.11141879657092366</v>
      </c>
      <c r="J18" s="178"/>
      <c r="K18" s="178"/>
      <c r="L18" s="22"/>
    </row>
    <row r="19" spans="2:12" x14ac:dyDescent="0.25">
      <c r="B19" s="20" t="str">
        <f>+'County Data'!$B$29</f>
        <v>Lane</v>
      </c>
      <c r="C19" s="15">
        <f>VLOOKUP($B19,'County Data'!$B$10:$L$46,2,FALSE)</f>
        <v>382647</v>
      </c>
      <c r="D19" s="29">
        <f>VLOOKUP($B19,'County Data'!$B$10:$L$46,5,FALSE)</f>
        <v>0.16600000000000001</v>
      </c>
      <c r="E19" s="31">
        <f t="shared" si="0"/>
        <v>63519.402000000002</v>
      </c>
      <c r="F19" s="6">
        <f t="shared" si="1"/>
        <v>8.8421480881368336E-2</v>
      </c>
      <c r="G19" s="14">
        <f t="shared" si="2"/>
        <v>51284.458911193637</v>
      </c>
      <c r="H19" s="10">
        <f t="shared" si="3"/>
        <v>0.13402550891864731</v>
      </c>
      <c r="J19" s="178"/>
      <c r="K19" s="178"/>
      <c r="L19" s="22"/>
    </row>
    <row r="20" spans="2:12" x14ac:dyDescent="0.25">
      <c r="B20" s="20" t="str">
        <f>+'County Data'!$B$35</f>
        <v>Multnomah</v>
      </c>
      <c r="C20" s="15">
        <f>VLOOKUP($B20,'County Data'!$B$10:$L$46,2,FALSE)</f>
        <v>820672</v>
      </c>
      <c r="D20" s="29">
        <f>VLOOKUP($B20,'County Data'!$B$10:$L$46,5,FALSE)</f>
        <v>0.161</v>
      </c>
      <c r="E20" s="31">
        <f t="shared" si="0"/>
        <v>132128.19200000001</v>
      </c>
      <c r="F20" s="6">
        <f t="shared" si="1"/>
        <v>0.18392758802763548</v>
      </c>
      <c r="G20" s="14">
        <f t="shared" si="2"/>
        <v>106678.00105602857</v>
      </c>
      <c r="H20" s="10">
        <f t="shared" si="3"/>
        <v>0.12998859599941093</v>
      </c>
      <c r="J20" s="178"/>
      <c r="K20" s="178"/>
      <c r="L20" s="22"/>
    </row>
    <row r="21" spans="2:12" x14ac:dyDescent="0.25">
      <c r="B21" s="20" t="str">
        <f>+'County Data'!$B$21</f>
        <v>Grant</v>
      </c>
      <c r="C21" s="15">
        <f>VLOOKUP($B21,'County Data'!$B$10:$L$46,2,FALSE)</f>
        <v>7226</v>
      </c>
      <c r="D21" s="29">
        <f>VLOOKUP($B21,'County Data'!$B$10:$L$46,5,FALSE)</f>
        <v>0.155</v>
      </c>
      <c r="E21" s="31">
        <f t="shared" si="0"/>
        <v>1120.03</v>
      </c>
      <c r="F21" s="6">
        <f t="shared" si="1"/>
        <v>1.5591253713559672E-3</v>
      </c>
      <c r="G21" s="14">
        <f t="shared" si="2"/>
        <v>904.29271538646094</v>
      </c>
      <c r="H21" s="10">
        <f t="shared" si="3"/>
        <v>0.12514430049632727</v>
      </c>
      <c r="J21" s="178"/>
      <c r="K21" s="178"/>
      <c r="L21" s="22"/>
    </row>
    <row r="22" spans="2:12" x14ac:dyDescent="0.25">
      <c r="B22" s="20" t="str">
        <f>+'County Data'!$B$24</f>
        <v>Jackson</v>
      </c>
      <c r="C22" s="15">
        <f>VLOOKUP($B22,'County Data'!$B$10:$L$46,2,FALSE)</f>
        <v>223827</v>
      </c>
      <c r="D22" s="29">
        <f>VLOOKUP($B22,'County Data'!$B$10:$L$46,5,FALSE)</f>
        <v>0.184</v>
      </c>
      <c r="E22" s="31">
        <f t="shared" si="0"/>
        <v>41184.167999999998</v>
      </c>
      <c r="F22" s="6">
        <f t="shared" si="1"/>
        <v>5.7329965471448571E-2</v>
      </c>
      <c r="G22" s="14">
        <f t="shared" si="2"/>
        <v>33251.379973440169</v>
      </c>
      <c r="H22" s="10">
        <f t="shared" si="3"/>
        <v>0.1485583954278982</v>
      </c>
      <c r="J22" s="178"/>
      <c r="K22" s="178"/>
      <c r="L22" s="22"/>
    </row>
    <row r="23" spans="2:12" x14ac:dyDescent="0.25">
      <c r="B23" s="20" t="str">
        <f>+'County Data'!$B$31</f>
        <v>Linn</v>
      </c>
      <c r="C23" s="15">
        <f>VLOOKUP($B23,'County Data'!$B$10:$L$46,2,FALSE)</f>
        <v>130440</v>
      </c>
      <c r="D23" s="29">
        <f>VLOOKUP($B23,'County Data'!$B$10:$L$46,5,FALSE)</f>
        <v>0.18100000000000002</v>
      </c>
      <c r="E23" s="31">
        <f t="shared" si="0"/>
        <v>23609.640000000003</v>
      </c>
      <c r="F23" s="6">
        <f t="shared" si="1"/>
        <v>3.2865538184317117E-2</v>
      </c>
      <c r="G23" s="14">
        <f t="shared" si="2"/>
        <v>19062.01214690393</v>
      </c>
      <c r="H23" s="10">
        <f t="shared" si="3"/>
        <v>0.14613624767635641</v>
      </c>
      <c r="J23" s="178"/>
      <c r="K23" s="178"/>
      <c r="L23" s="22"/>
    </row>
    <row r="24" spans="2:12" x14ac:dyDescent="0.25">
      <c r="B24" s="20" t="str">
        <f>+'County Data'!$B$25</f>
        <v>Jefferson</v>
      </c>
      <c r="C24" s="15">
        <f>VLOOKUP($B24,'County Data'!$B$10:$L$46,2,FALSE)</f>
        <v>24889</v>
      </c>
      <c r="D24" s="29">
        <f>VLOOKUP($B24,'County Data'!$B$10:$L$46,5,FALSE)</f>
        <v>0.13699999999999998</v>
      </c>
      <c r="E24" s="31">
        <f t="shared" si="0"/>
        <v>3409.7929999999997</v>
      </c>
      <c r="F24" s="6">
        <f t="shared" si="1"/>
        <v>4.7465646253867996E-3</v>
      </c>
      <c r="G24" s="14">
        <f t="shared" si="2"/>
        <v>2753.0074827243438</v>
      </c>
      <c r="H24" s="10">
        <f t="shared" si="3"/>
        <v>0.11061141398707637</v>
      </c>
      <c r="J24" s="178"/>
      <c r="K24" s="178"/>
      <c r="L24" s="22"/>
    </row>
    <row r="25" spans="2:12" x14ac:dyDescent="0.25">
      <c r="B25" s="20" t="str">
        <f>+'County Data'!$B$46</f>
        <v>Yamhill</v>
      </c>
      <c r="C25" s="15">
        <f>VLOOKUP($B25,'County Data'!$B$10:$L$46,2,FALSE)</f>
        <v>108261</v>
      </c>
      <c r="D25" s="29">
        <f>VLOOKUP($B25,'County Data'!$B$10:$L$46,5,FALSE)</f>
        <v>0.184</v>
      </c>
      <c r="E25" s="31">
        <f t="shared" si="0"/>
        <v>19920.024000000001</v>
      </c>
      <c r="F25" s="6">
        <f t="shared" si="1"/>
        <v>2.7729449047275326E-2</v>
      </c>
      <c r="G25" s="14">
        <f t="shared" si="2"/>
        <v>16083.080447419688</v>
      </c>
      <c r="H25" s="10">
        <f t="shared" si="3"/>
        <v>0.14855839542789823</v>
      </c>
      <c r="J25" s="178"/>
      <c r="K25" s="178"/>
      <c r="L25" s="22"/>
    </row>
    <row r="26" spans="2:12" x14ac:dyDescent="0.25">
      <c r="B26" s="20" t="str">
        <f>+'County Data'!$B$26</f>
        <v>Josephine</v>
      </c>
      <c r="C26" s="15">
        <f>VLOOKUP($B26,'County Data'!$B$10:$L$46,2,FALSE)</f>
        <v>88728</v>
      </c>
      <c r="D26" s="29">
        <f>VLOOKUP($B26,'County Data'!$B$10:$L$46,5,FALSE)</f>
        <v>0.218</v>
      </c>
      <c r="E26" s="31">
        <f t="shared" si="0"/>
        <v>19342.704000000002</v>
      </c>
      <c r="F26" s="6">
        <f t="shared" si="1"/>
        <v>2.6925797127781002E-2</v>
      </c>
      <c r="G26" s="14">
        <f t="shared" si="2"/>
        <v>15616.962334112981</v>
      </c>
      <c r="H26" s="10">
        <f t="shared" si="3"/>
        <v>0.17600940327870548</v>
      </c>
      <c r="J26" s="178"/>
      <c r="K26" s="178"/>
      <c r="L26" s="22"/>
    </row>
    <row r="27" spans="2:12" x14ac:dyDescent="0.25">
      <c r="B27" s="20" t="str">
        <f>+'County Data'!$B$14</f>
        <v>Columbia</v>
      </c>
      <c r="C27" s="15">
        <f>VLOOKUP($B27,'County Data'!$B$10:$L$46,2,FALSE)</f>
        <v>53014</v>
      </c>
      <c r="D27" s="29">
        <f>VLOOKUP($B27,'County Data'!$B$10:$L$46,5,FALSE)</f>
        <v>0.20499999999999999</v>
      </c>
      <c r="E27" s="31">
        <f t="shared" si="0"/>
        <v>10867.869999999999</v>
      </c>
      <c r="F27" s="6">
        <f t="shared" si="1"/>
        <v>1.5128498209510795E-2</v>
      </c>
      <c r="G27" s="14">
        <f t="shared" si="2"/>
        <v>8774.5289615162601</v>
      </c>
      <c r="H27" s="10">
        <f t="shared" si="3"/>
        <v>0.16551342968869093</v>
      </c>
      <c r="J27" s="178"/>
      <c r="K27" s="178"/>
      <c r="L27" s="22"/>
    </row>
    <row r="28" spans="2:12" x14ac:dyDescent="0.25">
      <c r="B28" s="20" t="str">
        <f>+'County Data'!$B$39</f>
        <v>Tillamook</v>
      </c>
      <c r="C28" s="15">
        <f>VLOOKUP($B28,'County Data'!$B$10:$L$46,2,FALSE)</f>
        <v>27628</v>
      </c>
      <c r="D28" s="29">
        <f>VLOOKUP($B28,'County Data'!$B$10:$L$46,5,FALSE)</f>
        <v>0.16899999999999998</v>
      </c>
      <c r="E28" s="31">
        <f t="shared" si="0"/>
        <v>4669.1319999999996</v>
      </c>
      <c r="F28" s="6">
        <f t="shared" si="1"/>
        <v>6.4996135491103184E-3</v>
      </c>
      <c r="G28" s="14">
        <f t="shared" si="2"/>
        <v>3769.7758584839848</v>
      </c>
      <c r="H28" s="10">
        <f t="shared" si="3"/>
        <v>0.13644765667018913</v>
      </c>
      <c r="J28" s="178"/>
      <c r="K28" s="178"/>
      <c r="L28" s="22"/>
    </row>
    <row r="29" spans="2:12" x14ac:dyDescent="0.25">
      <c r="B29" s="20" t="str">
        <f>+'County Data'!$B$33</f>
        <v>Marion</v>
      </c>
      <c r="C29" s="15">
        <f>VLOOKUP($B29,'County Data'!$B$10:$L$46,2,FALSE)</f>
        <v>347182</v>
      </c>
      <c r="D29" s="29">
        <f>VLOOKUP($B29,'County Data'!$B$10:$L$46,5,FALSE)</f>
        <v>0.192</v>
      </c>
      <c r="E29" s="31">
        <f t="shared" si="0"/>
        <v>66658.944000000003</v>
      </c>
      <c r="F29" s="6">
        <f t="shared" si="1"/>
        <v>9.27918455918115E-2</v>
      </c>
      <c r="G29" s="14">
        <f t="shared" si="2"/>
        <v>53819.270443250673</v>
      </c>
      <c r="H29" s="10">
        <f t="shared" si="3"/>
        <v>0.1550174560986764</v>
      </c>
      <c r="J29" s="178"/>
      <c r="K29" s="178"/>
      <c r="L29" s="22"/>
    </row>
    <row r="30" spans="2:12" x14ac:dyDescent="0.25">
      <c r="B30" s="20" t="str">
        <f>+'County Data'!$B$23</f>
        <v>Hood River</v>
      </c>
      <c r="C30" s="15">
        <f>VLOOKUP($B30,'County Data'!$B$10:$L$46,2,FALSE)</f>
        <v>23888</v>
      </c>
      <c r="D30" s="29">
        <f>VLOOKUP($B30,'County Data'!$B$10:$L$46,5,FALSE)</f>
        <v>0.16399999999999998</v>
      </c>
      <c r="E30" s="31">
        <f t="shared" si="0"/>
        <v>3917.6319999999996</v>
      </c>
      <c r="F30" s="6">
        <f t="shared" si="1"/>
        <v>5.4534962874530322E-3</v>
      </c>
      <c r="G30" s="14">
        <f t="shared" si="2"/>
        <v>3163.0278467227586</v>
      </c>
      <c r="H30" s="10">
        <f t="shared" si="3"/>
        <v>0.13241074375095271</v>
      </c>
      <c r="J30" s="178"/>
      <c r="K30" s="178"/>
      <c r="L30" s="22"/>
    </row>
    <row r="31" spans="2:12" x14ac:dyDescent="0.25">
      <c r="B31" s="20" t="str">
        <f>+'County Data'!$B$30</f>
        <v>Lincoln</v>
      </c>
      <c r="C31" s="15">
        <f>VLOOKUP($B31,'County Data'!$B$10:$L$46,2,FALSE)</f>
        <v>50903</v>
      </c>
      <c r="D31" s="29">
        <f>VLOOKUP($B31,'County Data'!$B$10:$L$46,5,FALSE)</f>
        <v>0.21299999999999999</v>
      </c>
      <c r="E31" s="31">
        <f t="shared" si="0"/>
        <v>10842.339</v>
      </c>
      <c r="F31" s="6">
        <f t="shared" si="1"/>
        <v>1.50929580633932E-2</v>
      </c>
      <c r="G31" s="14">
        <f t="shared" si="2"/>
        <v>8753.9156767680561</v>
      </c>
      <c r="H31" s="10">
        <f t="shared" si="3"/>
        <v>0.1719724903594691</v>
      </c>
      <c r="J31" s="178"/>
      <c r="K31" s="178"/>
      <c r="L31" s="22"/>
    </row>
    <row r="32" spans="2:12" x14ac:dyDescent="0.25">
      <c r="B32" s="20" t="str">
        <f>+'County Data'!$B$27</f>
        <v>Klamath</v>
      </c>
      <c r="C32" s="15">
        <f>VLOOKUP($B32,'County Data'!$B$10:$L$46,2,FALSE)</f>
        <v>69822</v>
      </c>
      <c r="D32" s="29">
        <f>VLOOKUP($B32,'County Data'!$B$10:$L$46,5,FALSE)</f>
        <v>0.17399999999999999</v>
      </c>
      <c r="E32" s="31">
        <f t="shared" si="0"/>
        <v>12149.027999999998</v>
      </c>
      <c r="F32" s="6">
        <f t="shared" si="1"/>
        <v>1.6911920030815285E-2</v>
      </c>
      <c r="G32" s="14">
        <f t="shared" si="2"/>
        <v>9808.9136178728659</v>
      </c>
      <c r="H32" s="10">
        <f t="shared" si="3"/>
        <v>0.14048456958942548</v>
      </c>
      <c r="J32" s="178"/>
      <c r="K32" s="178"/>
      <c r="L32" s="22"/>
    </row>
    <row r="33" spans="2:12" x14ac:dyDescent="0.25">
      <c r="B33" s="20" t="str">
        <f>+'County Data'!$B$15</f>
        <v>Coos</v>
      </c>
      <c r="C33" s="15">
        <f>VLOOKUP($B33,'County Data'!$B$10:$L$46,2,FALSE)</f>
        <v>65154</v>
      </c>
      <c r="D33" s="29">
        <f>VLOOKUP($B33,'County Data'!$B$10:$L$46,5,FALSE)</f>
        <v>0.214</v>
      </c>
      <c r="E33" s="31">
        <f t="shared" si="0"/>
        <v>13942.956</v>
      </c>
      <c r="F33" s="6">
        <f t="shared" si="1"/>
        <v>1.940913765818765E-2</v>
      </c>
      <c r="G33" s="14">
        <f t="shared" si="2"/>
        <v>11257.299841748838</v>
      </c>
      <c r="H33" s="10">
        <f t="shared" si="3"/>
        <v>0.17277987294331643</v>
      </c>
      <c r="J33" s="178"/>
      <c r="K33" s="178"/>
      <c r="L33" s="22"/>
    </row>
    <row r="34" spans="2:12" x14ac:dyDescent="0.25">
      <c r="B34" s="20" t="str">
        <f>+'County Data'!$B$40</f>
        <v>Umatilla</v>
      </c>
      <c r="C34" s="15">
        <f>VLOOKUP($B34,'County Data'!$B$10:$L$46,2,FALSE)</f>
        <v>80463</v>
      </c>
      <c r="D34" s="29">
        <f>VLOOKUP($B34,'County Data'!$B$10:$L$46,5,FALSE)</f>
        <v>0.184</v>
      </c>
      <c r="E34" s="31">
        <f t="shared" si="0"/>
        <v>14805.191999999999</v>
      </c>
      <c r="F34" s="6">
        <f t="shared" si="1"/>
        <v>2.0609403743646504E-2</v>
      </c>
      <c r="G34" s="14">
        <f t="shared" si="2"/>
        <v>11953.454171314972</v>
      </c>
      <c r="H34" s="10">
        <f t="shared" si="3"/>
        <v>0.1485583954278982</v>
      </c>
      <c r="J34" s="178"/>
      <c r="K34" s="178"/>
      <c r="L34" s="22"/>
    </row>
    <row r="35" spans="2:12" x14ac:dyDescent="0.25">
      <c r="B35" s="20" t="str">
        <f>+'County Data'!$B$19</f>
        <v>Douglas</v>
      </c>
      <c r="C35" s="15">
        <f>VLOOKUP($B35,'County Data'!$B$10:$L$46,2,FALSE)</f>
        <v>111694</v>
      </c>
      <c r="D35" s="29">
        <f>VLOOKUP($B35,'County Data'!$B$10:$L$46,5,FALSE)</f>
        <v>0.222</v>
      </c>
      <c r="E35" s="31">
        <f t="shared" si="0"/>
        <v>24796.067999999999</v>
      </c>
      <c r="F35" s="6">
        <f t="shared" si="1"/>
        <v>3.4517092157056346E-2</v>
      </c>
      <c r="G35" s="14">
        <f t="shared" si="2"/>
        <v>20019.913451092681</v>
      </c>
      <c r="H35" s="10">
        <f t="shared" si="3"/>
        <v>0.1792389336140946</v>
      </c>
      <c r="J35" s="178"/>
      <c r="K35" s="178"/>
      <c r="L35" s="22"/>
    </row>
    <row r="36" spans="2:12" x14ac:dyDescent="0.25">
      <c r="B36" s="20" t="str">
        <f>+'County Data'!$B$17</f>
        <v>Curry</v>
      </c>
      <c r="C36" s="15">
        <f>VLOOKUP($B36,'County Data'!$B$10:$L$46,2,FALSE)</f>
        <v>23662</v>
      </c>
      <c r="D36" s="29">
        <f>VLOOKUP($B36,'County Data'!$B$10:$L$46,5,FALSE)</f>
        <v>0.20399999999999999</v>
      </c>
      <c r="E36" s="31">
        <f t="shared" si="0"/>
        <v>4827.0479999999998</v>
      </c>
      <c r="F36" s="6">
        <f t="shared" si="1"/>
        <v>6.719438769991053E-3</v>
      </c>
      <c r="G36" s="14">
        <f t="shared" si="2"/>
        <v>3897.2744865948107</v>
      </c>
      <c r="H36" s="10">
        <f t="shared" si="3"/>
        <v>0.16470604710484366</v>
      </c>
      <c r="J36" s="178"/>
      <c r="K36" s="178"/>
      <c r="L36" s="22"/>
    </row>
    <row r="37" spans="2:12" x14ac:dyDescent="0.25">
      <c r="B37" s="20" t="str">
        <f>+'County Data'!$B$16</f>
        <v>Crook</v>
      </c>
      <c r="C37" s="15">
        <f>VLOOKUP($B37,'County Data'!$B$10:$L$46,2,FALSE)</f>
        <v>25482</v>
      </c>
      <c r="D37" s="29">
        <f>VLOOKUP($B37,'County Data'!$B$10:$L$46,5,FALSE)</f>
        <v>0.23</v>
      </c>
      <c r="E37" s="31">
        <f t="shared" si="0"/>
        <v>5860.8600000000006</v>
      </c>
      <c r="F37" s="6">
        <f t="shared" si="1"/>
        <v>8.1585453282191859E-3</v>
      </c>
      <c r="G37" s="14">
        <f t="shared" si="2"/>
        <v>4731.9562903671276</v>
      </c>
      <c r="H37" s="10">
        <f t="shared" si="3"/>
        <v>0.18569799428487277</v>
      </c>
      <c r="J37" s="178"/>
      <c r="K37" s="178"/>
      <c r="L37" s="22"/>
    </row>
    <row r="38" spans="2:12" x14ac:dyDescent="0.25">
      <c r="B38" s="20" t="str">
        <f>+'County Data'!$B$34</f>
        <v>Morrow</v>
      </c>
      <c r="C38" s="15">
        <f>VLOOKUP($B38,'County Data'!$B$10:$L$46,2,FALSE)</f>
        <v>12635</v>
      </c>
      <c r="D38" s="29">
        <f>VLOOKUP($B38,'County Data'!$B$10:$L$46,5,FALSE)</f>
        <v>0.312</v>
      </c>
      <c r="E38" s="31">
        <f t="shared" si="0"/>
        <v>3942.12</v>
      </c>
      <c r="F38" s="6">
        <f t="shared" si="1"/>
        <v>5.4875845369586401E-3</v>
      </c>
      <c r="G38" s="14">
        <f t="shared" si="2"/>
        <v>3182.7990314360113</v>
      </c>
      <c r="H38" s="10">
        <f t="shared" si="3"/>
        <v>0.25190336616034914</v>
      </c>
      <c r="J38" s="178"/>
      <c r="K38" s="178"/>
      <c r="L38" s="22"/>
    </row>
    <row r="39" spans="2:12" x14ac:dyDescent="0.25">
      <c r="B39" s="20" t="str">
        <f>+'County Data'!$B$22</f>
        <v>Harney</v>
      </c>
      <c r="C39" s="15">
        <f>VLOOKUP($B39,'County Data'!$B$10:$L$46,2,FALSE)</f>
        <v>7537</v>
      </c>
      <c r="D39" s="29">
        <f>VLOOKUP($B39,'County Data'!$B$10:$L$46,5,FALSE)</f>
        <v>0.122</v>
      </c>
      <c r="E39" s="31">
        <f t="shared" si="0"/>
        <v>919.51400000000001</v>
      </c>
      <c r="F39" s="6">
        <f t="shared" si="1"/>
        <v>1.2799992917305885E-3</v>
      </c>
      <c r="G39" s="14">
        <f t="shared" si="2"/>
        <v>742.39958920374136</v>
      </c>
      <c r="H39" s="10">
        <f t="shared" si="3"/>
        <v>9.8500675229367299E-2</v>
      </c>
      <c r="J39" s="178"/>
      <c r="K39" s="178"/>
      <c r="L39" s="22"/>
    </row>
    <row r="40" spans="2:12" x14ac:dyDescent="0.25">
      <c r="B40" s="20" t="str">
        <f>+'County Data'!$B$32</f>
        <v>Malheur</v>
      </c>
      <c r="C40" s="15">
        <f>VLOOKUP($B40,'County Data'!$B$10:$L$46,2,FALSE)</f>
        <v>31995</v>
      </c>
      <c r="D40" s="29">
        <f>VLOOKUP($B40,'County Data'!$B$10:$L$46,5,FALSE)</f>
        <v>0.27100000000000002</v>
      </c>
      <c r="E40" s="31">
        <f t="shared" si="0"/>
        <v>8670.6450000000004</v>
      </c>
      <c r="F40" s="6">
        <f t="shared" si="1"/>
        <v>1.2069875454693858E-2</v>
      </c>
      <c r="G40" s="14">
        <f t="shared" si="2"/>
        <v>7000.5277637224381</v>
      </c>
      <c r="H40" s="10">
        <f t="shared" si="3"/>
        <v>0.21880068022261098</v>
      </c>
      <c r="J40" s="178"/>
      <c r="K40" s="178"/>
      <c r="L40" s="22"/>
    </row>
    <row r="41" spans="2:12" x14ac:dyDescent="0.25">
      <c r="B41" s="20" t="str">
        <f>'County Data'!$B$45</f>
        <v>Wheeler</v>
      </c>
      <c r="C41" s="15">
        <f>VLOOKUP($B41,'County Data'!$B$10:$L$46,2,FALSE)</f>
        <v>1456</v>
      </c>
      <c r="D41" s="29">
        <f>VLOOKUP($B41,'County Data'!$B$10:$L$46,5,FALSE)</f>
        <v>0.33399999999999996</v>
      </c>
      <c r="E41" s="31">
        <f t="shared" si="0"/>
        <v>486.30399999999997</v>
      </c>
      <c r="F41" s="6">
        <f t="shared" si="1"/>
        <v>6.7695410354355894E-4</v>
      </c>
      <c r="G41" s="14">
        <f t="shared" si="2"/>
        <v>392.63338005526418</v>
      </c>
      <c r="H41" s="10">
        <f t="shared" si="3"/>
        <v>0.26966578300498911</v>
      </c>
      <c r="J41" s="178"/>
      <c r="K41" s="178"/>
      <c r="L41" s="22"/>
    </row>
    <row r="42" spans="2:12" x14ac:dyDescent="0.25">
      <c r="B42" s="4" t="s">
        <v>89</v>
      </c>
      <c r="C42" s="5">
        <f>SUM(C6:C41)</f>
        <v>4266560</v>
      </c>
      <c r="D42" s="5">
        <f>SUM(D6:D41)</f>
        <v>6.3850000000000016</v>
      </c>
      <c r="E42" s="5">
        <f>SUM(E6:E41)</f>
        <v>718370.71000000008</v>
      </c>
      <c r="F42" s="8">
        <f>SUM(F6:F41)</f>
        <v>0.99999999999999989</v>
      </c>
      <c r="G42" s="11">
        <f>SUM(G6:G41)</f>
        <v>579999.99999999988</v>
      </c>
      <c r="H42" s="12">
        <f t="shared" ref="H42" si="8">G42/C42</f>
        <v>0.13594089852246302</v>
      </c>
    </row>
  </sheetData>
  <sortState xmlns:xlrd2="http://schemas.microsoft.com/office/spreadsheetml/2017/richdata2" ref="B7:H41">
    <sortCondition ref="D7:D41"/>
  </sortState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H42"/>
  <sheetViews>
    <sheetView workbookViewId="0">
      <selection activeCell="C4" sqref="C4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6.140625" bestFit="1" customWidth="1"/>
    <col min="5" max="5" width="10.57031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 x14ac:dyDescent="0.25">
      <c r="B3" t="s">
        <v>125</v>
      </c>
      <c r="C3" s="1">
        <f>'County Data'!C5</f>
        <v>20000000</v>
      </c>
    </row>
    <row r="4" spans="2:8" x14ac:dyDescent="0.25">
      <c r="B4" t="s">
        <v>126</v>
      </c>
      <c r="C4" s="14">
        <f>'County Data'!G9</f>
        <v>2087999.9999999998</v>
      </c>
      <c r="D4" s="9"/>
    </row>
    <row r="6" spans="2:8" s="2" customFormat="1" ht="30" x14ac:dyDescent="0.25">
      <c r="B6" s="3" t="s">
        <v>36</v>
      </c>
      <c r="C6" s="3" t="s">
        <v>107</v>
      </c>
      <c r="D6" s="3" t="s">
        <v>141</v>
      </c>
      <c r="E6" s="3" t="s">
        <v>142</v>
      </c>
      <c r="F6" s="3" t="s">
        <v>143</v>
      </c>
      <c r="G6" s="13" t="s">
        <v>128</v>
      </c>
      <c r="H6" s="3" t="s">
        <v>129</v>
      </c>
    </row>
    <row r="7" spans="2:8" x14ac:dyDescent="0.25">
      <c r="B7" s="20" t="str">
        <f>'County Data'!$B$45</f>
        <v>Wheeler</v>
      </c>
      <c r="C7" s="15">
        <f>VLOOKUP($B7,'County Data'!$B$10:$L$46,2,FALSE)</f>
        <v>1456</v>
      </c>
      <c r="D7" s="29">
        <f>VLOOKUP($B7,'County Data'!$B$10:$L$46,6,FALSE)</f>
        <v>6.1711079943899017E-2</v>
      </c>
      <c r="E7" s="31">
        <f t="shared" ref="E7:E41" si="0">C7*D7</f>
        <v>89.85133239831697</v>
      </c>
      <c r="F7" s="6">
        <f t="shared" ref="F7:F41" si="1">E7/$E$42</f>
        <v>1.3575879578944661E-4</v>
      </c>
      <c r="G7" s="14">
        <f t="shared" ref="G7:G41" si="2">$C$4*F7</f>
        <v>283.46436560836452</v>
      </c>
      <c r="H7" s="10">
        <f t="shared" ref="H7:H41" si="3">G7/C7</f>
        <v>0.19468706429145916</v>
      </c>
    </row>
    <row r="8" spans="2:8" x14ac:dyDescent="0.25">
      <c r="B8" s="20" t="str">
        <f>+'County Data'!$B$42</f>
        <v>Wallowa</v>
      </c>
      <c r="C8" s="15">
        <f>VLOOKUP($B8,'County Data'!$B$10:$L$46,2,FALSE)</f>
        <v>7433</v>
      </c>
      <c r="D8" s="29">
        <f>VLOOKUP($B8,'County Data'!$B$10:$L$46,6,FALSE)</f>
        <v>4.9393414211438474E-2</v>
      </c>
      <c r="E8" s="31">
        <f t="shared" si="0"/>
        <v>367.14124783362217</v>
      </c>
      <c r="F8" s="6">
        <f t="shared" si="1"/>
        <v>5.5472359018085007E-4</v>
      </c>
      <c r="G8" s="14">
        <f t="shared" si="2"/>
        <v>1158.2628562976149</v>
      </c>
      <c r="H8" s="10">
        <f t="shared" si="3"/>
        <v>0.1558271029594531</v>
      </c>
    </row>
    <row r="9" spans="2:8" x14ac:dyDescent="0.25">
      <c r="B9" s="20" t="str">
        <f>+'County Data'!$B$21</f>
        <v>Grant</v>
      </c>
      <c r="C9" s="15">
        <f>VLOOKUP($B9,'County Data'!$B$10:$L$46,2,FALSE)</f>
        <v>7226</v>
      </c>
      <c r="D9" s="29">
        <f>VLOOKUP($B9,'County Data'!$B$10:$L$46,6,FALSE)</f>
        <v>5.3181122093832661E-2</v>
      </c>
      <c r="E9" s="31">
        <f t="shared" si="0"/>
        <v>384.28678825003482</v>
      </c>
      <c r="F9" s="6">
        <f t="shared" si="1"/>
        <v>5.8062924853851143E-4</v>
      </c>
      <c r="G9" s="14">
        <f t="shared" si="2"/>
        <v>1212.3538709484117</v>
      </c>
      <c r="H9" s="10">
        <f t="shared" si="3"/>
        <v>0.16777662205209129</v>
      </c>
    </row>
    <row r="10" spans="2:8" x14ac:dyDescent="0.25">
      <c r="B10" s="20" t="str">
        <f>'County Data'!B20</f>
        <v>Gilliam</v>
      </c>
      <c r="C10" s="15">
        <f>VLOOKUP($B10,'County Data'!$B$10:$L$46,2,FALSE)</f>
        <v>2039</v>
      </c>
      <c r="D10" s="29">
        <f>VLOOKUP($B10,'County Data'!$B$10:$L$46,6,FALSE)</f>
        <v>7.0267435762978503E-2</v>
      </c>
      <c r="E10" s="31">
        <f t="shared" ref="E10" si="4">C10*D10</f>
        <v>143.27530152071316</v>
      </c>
      <c r="F10" s="6">
        <f t="shared" ref="F10" si="5">E10/$E$42</f>
        <v>2.1647850823841791E-4</v>
      </c>
      <c r="G10" s="14">
        <f t="shared" ref="G10" si="6">$C$4*F10</f>
        <v>452.00712520181656</v>
      </c>
      <c r="H10" s="10">
        <f t="shared" ref="H10" si="7">G10/C10</f>
        <v>0.22168078724954221</v>
      </c>
    </row>
    <row r="11" spans="2:8" x14ac:dyDescent="0.25">
      <c r="B11" s="20" t="str">
        <f>+'County Data'!$B$10</f>
        <v>Baker</v>
      </c>
      <c r="C11" s="15">
        <f>VLOOKUP($B11,'County Data'!$B$10:$L$46,2,FALSE)</f>
        <v>16860</v>
      </c>
      <c r="D11" s="29">
        <f>VLOOKUP($B11,'County Data'!$B$10:$L$46,6,FALSE)</f>
        <v>7.063313313313313E-2</v>
      </c>
      <c r="E11" s="31">
        <f t="shared" si="0"/>
        <v>1190.8746246246246</v>
      </c>
      <c r="F11" s="6">
        <f t="shared" si="1"/>
        <v>1.7993245137261494E-3</v>
      </c>
      <c r="G11" s="14">
        <f t="shared" si="2"/>
        <v>3756.9895846601994</v>
      </c>
      <c r="H11" s="10">
        <f t="shared" si="3"/>
        <v>0.22283449493832735</v>
      </c>
    </row>
    <row r="12" spans="2:8" x14ac:dyDescent="0.25">
      <c r="B12" s="20" t="str">
        <f>+'County Data'!$B$41</f>
        <v>Union</v>
      </c>
      <c r="C12" s="15">
        <f>VLOOKUP($B12,'County Data'!$B$10:$L$46,2,FALSE)</f>
        <v>26295</v>
      </c>
      <c r="D12" s="29">
        <f>VLOOKUP($B12,'County Data'!$B$10:$L$46,6,FALSE)</f>
        <v>7.9414476717381277E-2</v>
      </c>
      <c r="E12" s="31">
        <f t="shared" si="0"/>
        <v>2088.2036652835409</v>
      </c>
      <c r="F12" s="6">
        <f t="shared" si="1"/>
        <v>3.1551231060799752E-3</v>
      </c>
      <c r="G12" s="14">
        <f t="shared" si="2"/>
        <v>6587.8970454949877</v>
      </c>
      <c r="H12" s="10">
        <f t="shared" si="3"/>
        <v>0.25053801275888904</v>
      </c>
    </row>
    <row r="13" spans="2:8" x14ac:dyDescent="0.25">
      <c r="B13" s="20" t="str">
        <f>+'County Data'!$B$14</f>
        <v>Columbia</v>
      </c>
      <c r="C13" s="15">
        <f>VLOOKUP($B13,'County Data'!$B$10:$L$46,2,FALSE)</f>
        <v>53014</v>
      </c>
      <c r="D13" s="29">
        <f>VLOOKUP($B13,'County Data'!$B$10:$L$46,6,FALSE)</f>
        <v>7.1640675699592926E-2</v>
      </c>
      <c r="E13" s="31">
        <f t="shared" si="0"/>
        <v>3797.9587815382192</v>
      </c>
      <c r="F13" s="6">
        <f t="shared" si="1"/>
        <v>5.7384381163527471E-3</v>
      </c>
      <c r="G13" s="14">
        <f t="shared" si="2"/>
        <v>11981.858786944535</v>
      </c>
      <c r="H13" s="10">
        <f t="shared" si="3"/>
        <v>0.2260131057257429</v>
      </c>
    </row>
    <row r="14" spans="2:8" x14ac:dyDescent="0.25">
      <c r="B14" s="20" t="str">
        <f>+'County Data'!$B$19</f>
        <v>Douglas</v>
      </c>
      <c r="C14" s="15">
        <f>VLOOKUP($B14,'County Data'!$B$10:$L$46,2,FALSE)</f>
        <v>111694</v>
      </c>
      <c r="D14" s="29">
        <f>VLOOKUP($B14,'County Data'!$B$10:$L$46,6,FALSE)</f>
        <v>7.483175318261126E-2</v>
      </c>
      <c r="E14" s="31">
        <f t="shared" si="0"/>
        <v>8358.2578399785816</v>
      </c>
      <c r="F14" s="6">
        <f t="shared" si="1"/>
        <v>1.262871666969791E-2</v>
      </c>
      <c r="G14" s="14">
        <f t="shared" si="2"/>
        <v>26368.760406329235</v>
      </c>
      <c r="H14" s="10">
        <f t="shared" si="3"/>
        <v>0.23608036605663002</v>
      </c>
    </row>
    <row r="15" spans="2:8" x14ac:dyDescent="0.25">
      <c r="B15" s="20" t="str">
        <f>+'County Data'!$B$16</f>
        <v>Crook</v>
      </c>
      <c r="C15" s="15">
        <f>VLOOKUP($B15,'County Data'!$B$10:$L$46,2,FALSE)</f>
        <v>25482</v>
      </c>
      <c r="D15" s="29">
        <f>VLOOKUP($B15,'County Data'!$B$10:$L$46,6,FALSE)</f>
        <v>7.2167256122129209E-2</v>
      </c>
      <c r="E15" s="31">
        <f t="shared" si="0"/>
        <v>1838.9660205040966</v>
      </c>
      <c r="F15" s="6">
        <f t="shared" si="1"/>
        <v>2.7785432422371436E-3</v>
      </c>
      <c r="G15" s="14">
        <f t="shared" si="2"/>
        <v>5801.5982897911554</v>
      </c>
      <c r="H15" s="10">
        <f t="shared" si="3"/>
        <v>0.22767436974300115</v>
      </c>
    </row>
    <row r="16" spans="2:8" x14ac:dyDescent="0.25">
      <c r="B16" s="20" t="str">
        <f>+'County Data'!$B$18</f>
        <v>Deschutes</v>
      </c>
      <c r="C16" s="15">
        <f>VLOOKUP($B16,'County Data'!$B$10:$L$46,2,FALSE)</f>
        <v>203390</v>
      </c>
      <c r="D16" s="29">
        <f>VLOOKUP($B16,'County Data'!$B$10:$L$46,6,FALSE)</f>
        <v>6.5085252435783877E-2</v>
      </c>
      <c r="E16" s="31">
        <f t="shared" si="0"/>
        <v>13237.689492914084</v>
      </c>
      <c r="F16" s="6">
        <f t="shared" si="1"/>
        <v>2.0001181247105121E-2</v>
      </c>
      <c r="G16" s="14">
        <f t="shared" si="2"/>
        <v>41762.466443955491</v>
      </c>
      <c r="H16" s="10">
        <f t="shared" si="3"/>
        <v>0.20533195557281819</v>
      </c>
    </row>
    <row r="17" spans="2:8" x14ac:dyDescent="0.25">
      <c r="B17" s="20" t="str">
        <f>+'County Data'!$B$26</f>
        <v>Josephine</v>
      </c>
      <c r="C17" s="15">
        <f>VLOOKUP($B17,'County Data'!$B$10:$L$46,2,FALSE)</f>
        <v>88728</v>
      </c>
      <c r="D17" s="29">
        <f>VLOOKUP($B17,'County Data'!$B$10:$L$46,6,FALSE)</f>
        <v>7.9491348954738486E-2</v>
      </c>
      <c r="E17" s="31">
        <f t="shared" si="0"/>
        <v>7053.1084100560365</v>
      </c>
      <c r="F17" s="6">
        <f t="shared" si="1"/>
        <v>1.0656731277805309E-2</v>
      </c>
      <c r="G17" s="14">
        <f t="shared" si="2"/>
        <v>22251.254908057483</v>
      </c>
      <c r="H17" s="10">
        <f t="shared" si="3"/>
        <v>0.25078053047580789</v>
      </c>
    </row>
    <row r="18" spans="2:8" x14ac:dyDescent="0.25">
      <c r="B18" s="20" t="str">
        <f>+'County Data'!$B$17</f>
        <v>Curry</v>
      </c>
      <c r="C18" s="15">
        <f>VLOOKUP($B18,'County Data'!$B$10:$L$46,2,FALSE)</f>
        <v>23662</v>
      </c>
      <c r="D18" s="29">
        <f>VLOOKUP($B18,'County Data'!$B$10:$L$46,6,FALSE)</f>
        <v>9.2726707246634385E-2</v>
      </c>
      <c r="E18" s="31">
        <f t="shared" si="0"/>
        <v>2194.099346869863</v>
      </c>
      <c r="F18" s="6">
        <f t="shared" si="1"/>
        <v>3.3151237407698518E-3</v>
      </c>
      <c r="G18" s="14">
        <f t="shared" si="2"/>
        <v>6921.9783707274501</v>
      </c>
      <c r="H18" s="10">
        <f t="shared" si="3"/>
        <v>0.29253564241093105</v>
      </c>
    </row>
    <row r="19" spans="2:8" x14ac:dyDescent="0.25">
      <c r="B19" s="20" t="str">
        <f>+'County Data'!$B$22</f>
        <v>Harney</v>
      </c>
      <c r="C19" s="15">
        <f>VLOOKUP($B19,'County Data'!$B$10:$L$46,2,FALSE)</f>
        <v>7537</v>
      </c>
      <c r="D19" s="29">
        <f>VLOOKUP($B19,'County Data'!$B$10:$L$46,6,FALSE)</f>
        <v>9.0896513558384059E-2</v>
      </c>
      <c r="E19" s="31">
        <f t="shared" si="0"/>
        <v>685.08702268954062</v>
      </c>
      <c r="F19" s="6">
        <f t="shared" si="1"/>
        <v>1.0351164165157273E-3</v>
      </c>
      <c r="G19" s="14">
        <f t="shared" si="2"/>
        <v>2161.3230776848382</v>
      </c>
      <c r="H19" s="10">
        <f t="shared" si="3"/>
        <v>0.28676171920987636</v>
      </c>
    </row>
    <row r="20" spans="2:8" x14ac:dyDescent="0.25">
      <c r="B20" s="20" t="str">
        <f>+'County Data'!$B$13</f>
        <v>Clatsop</v>
      </c>
      <c r="C20" s="15">
        <f>VLOOKUP($B20,'County Data'!$B$10:$L$46,2,FALSE)</f>
        <v>41428</v>
      </c>
      <c r="D20" s="29">
        <f>VLOOKUP($B20,'County Data'!$B$10:$L$46,6,FALSE)</f>
        <v>8.7962242622270634E-2</v>
      </c>
      <c r="E20" s="31">
        <f t="shared" si="0"/>
        <v>3644.0997873554279</v>
      </c>
      <c r="F20" s="6">
        <f t="shared" si="1"/>
        <v>5.5059684220911797E-3</v>
      </c>
      <c r="G20" s="14">
        <f t="shared" si="2"/>
        <v>11496.462065326383</v>
      </c>
      <c r="H20" s="10">
        <f t="shared" si="3"/>
        <v>0.27750463612354886</v>
      </c>
    </row>
    <row r="21" spans="2:8" x14ac:dyDescent="0.25">
      <c r="B21" s="20" t="str">
        <f>+'County Data'!$B$31</f>
        <v>Linn</v>
      </c>
      <c r="C21" s="15">
        <f>VLOOKUP($B21,'County Data'!$B$10:$L$46,2,FALSE)</f>
        <v>130440</v>
      </c>
      <c r="D21" s="29">
        <f>VLOOKUP($B21,'County Data'!$B$10:$L$46,6,FALSE)</f>
        <v>9.5881826320501337E-2</v>
      </c>
      <c r="E21" s="31">
        <f t="shared" si="0"/>
        <v>12506.825425246194</v>
      </c>
      <c r="F21" s="6">
        <f t="shared" si="1"/>
        <v>1.8896899061588774E-2</v>
      </c>
      <c r="G21" s="14">
        <f t="shared" si="2"/>
        <v>39456.725240597356</v>
      </c>
      <c r="H21" s="10">
        <f t="shared" si="3"/>
        <v>0.30248946059948906</v>
      </c>
    </row>
    <row r="22" spans="2:8" x14ac:dyDescent="0.25">
      <c r="B22" s="20" t="str">
        <f>+'County Data'!$B$15</f>
        <v>Coos</v>
      </c>
      <c r="C22" s="15">
        <f>VLOOKUP($B22,'County Data'!$B$10:$L$46,2,FALSE)</f>
        <v>65154</v>
      </c>
      <c r="D22" s="29">
        <f>VLOOKUP($B22,'County Data'!$B$10:$L$46,6,FALSE)</f>
        <v>0.11684147343147785</v>
      </c>
      <c r="E22" s="31">
        <f t="shared" si="0"/>
        <v>7612.6893599545083</v>
      </c>
      <c r="F22" s="6">
        <f t="shared" si="1"/>
        <v>1.1502217191894594E-2</v>
      </c>
      <c r="G22" s="14">
        <f t="shared" si="2"/>
        <v>24016.629496675909</v>
      </c>
      <c r="H22" s="10">
        <f t="shared" si="3"/>
        <v>0.36861327772164271</v>
      </c>
    </row>
    <row r="23" spans="2:8" x14ac:dyDescent="0.25">
      <c r="B23" s="20" t="str">
        <f>+'County Data'!$B$28</f>
        <v>Lake</v>
      </c>
      <c r="C23" s="15">
        <f>VLOOKUP($B23,'County Data'!$B$10:$L$46,2,FALSE)</f>
        <v>8177</v>
      </c>
      <c r="D23" s="29">
        <f>VLOOKUP($B23,'County Data'!$B$10:$L$46,6,FALSE)</f>
        <v>8.9506566364911389E-2</v>
      </c>
      <c r="E23" s="31">
        <f t="shared" si="0"/>
        <v>731.89519316588041</v>
      </c>
      <c r="F23" s="6">
        <f t="shared" si="1"/>
        <v>1.1058401407762041E-3</v>
      </c>
      <c r="G23" s="14">
        <f t="shared" si="2"/>
        <v>2308.994213940714</v>
      </c>
      <c r="H23" s="10">
        <f t="shared" si="3"/>
        <v>0.28237669242273622</v>
      </c>
    </row>
    <row r="24" spans="2:8" x14ac:dyDescent="0.25">
      <c r="B24" s="20" t="str">
        <f>+'County Data'!$B$39</f>
        <v>Tillamook</v>
      </c>
      <c r="C24" s="15">
        <f>VLOOKUP($B24,'County Data'!$B$10:$L$46,2,FALSE)</f>
        <v>27628</v>
      </c>
      <c r="D24" s="29">
        <f>VLOOKUP($B24,'County Data'!$B$10:$L$46,6,FALSE)</f>
        <v>7.5088203712225798E-2</v>
      </c>
      <c r="E24" s="31">
        <f t="shared" si="0"/>
        <v>2074.5368921613745</v>
      </c>
      <c r="F24" s="6">
        <f t="shared" si="1"/>
        <v>3.1344736108318933E-3</v>
      </c>
      <c r="G24" s="14">
        <f t="shared" si="2"/>
        <v>6544.7808994169927</v>
      </c>
      <c r="H24" s="10">
        <f t="shared" si="3"/>
        <v>0.23688942013236544</v>
      </c>
    </row>
    <row r="25" spans="2:8" x14ac:dyDescent="0.25">
      <c r="B25" s="20" t="str">
        <f>+'County Data'!$B$12</f>
        <v>Clackamas</v>
      </c>
      <c r="C25" s="15">
        <f>VLOOKUP($B25,'County Data'!$B$10:$L$46,2,FALSE)</f>
        <v>425316</v>
      </c>
      <c r="D25" s="29">
        <f>VLOOKUP($B25,'County Data'!$B$10:$L$46,6,FALSE)</f>
        <v>0.11963882618510158</v>
      </c>
      <c r="E25" s="31">
        <f t="shared" si="0"/>
        <v>50884.306997742664</v>
      </c>
      <c r="F25" s="6">
        <f t="shared" si="1"/>
        <v>7.6882468609040355E-2</v>
      </c>
      <c r="G25" s="14">
        <f t="shared" si="2"/>
        <v>160530.59445567624</v>
      </c>
      <c r="H25" s="10">
        <f t="shared" si="3"/>
        <v>0.37743840921967725</v>
      </c>
    </row>
    <row r="26" spans="2:8" x14ac:dyDescent="0.25">
      <c r="B26" s="20" t="str">
        <f>+'County Data'!$B$29</f>
        <v>Lane</v>
      </c>
      <c r="C26" s="15">
        <f>VLOOKUP($B26,'County Data'!$B$10:$L$46,2,FALSE)</f>
        <v>382647</v>
      </c>
      <c r="D26" s="29">
        <f>VLOOKUP($B26,'County Data'!$B$10:$L$46,6,FALSE)</f>
        <v>0.1300198979619499</v>
      </c>
      <c r="E26" s="31">
        <f t="shared" si="0"/>
        <v>49751.723895446245</v>
      </c>
      <c r="F26" s="6">
        <f t="shared" si="1"/>
        <v>7.5171218324875208E-2</v>
      </c>
      <c r="G26" s="14">
        <f t="shared" si="2"/>
        <v>156957.50386233942</v>
      </c>
      <c r="H26" s="10">
        <f t="shared" si="3"/>
        <v>0.41018877415042954</v>
      </c>
    </row>
    <row r="27" spans="2:8" x14ac:dyDescent="0.25">
      <c r="B27" s="20" t="str">
        <f>+'County Data'!$B$30</f>
        <v>Lincoln</v>
      </c>
      <c r="C27" s="15">
        <f>VLOOKUP($B27,'County Data'!$B$10:$L$46,2,FALSE)</f>
        <v>50903</v>
      </c>
      <c r="D27" s="29">
        <f>VLOOKUP($B27,'County Data'!$B$10:$L$46,6,FALSE)</f>
        <v>0.11814707295169274</v>
      </c>
      <c r="E27" s="31">
        <f t="shared" si="0"/>
        <v>6014.040454460016</v>
      </c>
      <c r="F27" s="6">
        <f t="shared" si="1"/>
        <v>9.0867755450424609E-3</v>
      </c>
      <c r="G27" s="14">
        <f t="shared" si="2"/>
        <v>18973.187338048658</v>
      </c>
      <c r="H27" s="10">
        <f t="shared" si="3"/>
        <v>0.37273220317169237</v>
      </c>
    </row>
    <row r="28" spans="2:8" x14ac:dyDescent="0.25">
      <c r="B28" s="20" t="str">
        <f>+'County Data'!$B$24</f>
        <v>Jackson</v>
      </c>
      <c r="C28" s="15">
        <f>VLOOKUP($B28,'County Data'!$B$10:$L$46,2,FALSE)</f>
        <v>223827</v>
      </c>
      <c r="D28" s="29">
        <f>VLOOKUP($B28,'County Data'!$B$10:$L$46,6,FALSE)</f>
        <v>8.6331539621126913E-2</v>
      </c>
      <c r="E28" s="31">
        <f t="shared" si="0"/>
        <v>19323.329518777973</v>
      </c>
      <c r="F28" s="6">
        <f t="shared" si="1"/>
        <v>2.9196138511142462E-2</v>
      </c>
      <c r="G28" s="14">
        <f t="shared" si="2"/>
        <v>60961.537211265451</v>
      </c>
      <c r="H28" s="10">
        <f t="shared" si="3"/>
        <v>0.27236006921088812</v>
      </c>
    </row>
    <row r="29" spans="2:8" x14ac:dyDescent="0.25">
      <c r="B29" s="20" t="str">
        <f>+'County Data'!$B$11</f>
        <v>Benton</v>
      </c>
      <c r="C29" s="15">
        <f>VLOOKUP($B29,'County Data'!$B$10:$L$46,2,FALSE)</f>
        <v>93976</v>
      </c>
      <c r="D29" s="29">
        <f>VLOOKUP($B29,'County Data'!$B$10:$L$46,6,FALSE)</f>
        <v>0.14361773223435065</v>
      </c>
      <c r="E29" s="31">
        <f t="shared" si="0"/>
        <v>13496.620004455337</v>
      </c>
      <c r="F29" s="6">
        <f t="shared" si="1"/>
        <v>2.0392406324148547E-2</v>
      </c>
      <c r="G29" s="14">
        <f t="shared" si="2"/>
        <v>42579.344404822157</v>
      </c>
      <c r="H29" s="10">
        <f t="shared" si="3"/>
        <v>0.45308743088471692</v>
      </c>
    </row>
    <row r="30" spans="2:8" x14ac:dyDescent="0.25">
      <c r="B30" s="20" t="str">
        <f>+'County Data'!$B$27</f>
        <v>Klamath</v>
      </c>
      <c r="C30" s="15">
        <f>VLOOKUP($B30,'County Data'!$B$10:$L$46,2,FALSE)</f>
        <v>69822</v>
      </c>
      <c r="D30" s="29">
        <f>VLOOKUP($B30,'County Data'!$B$10:$L$46,6,FALSE)</f>
        <v>0.12005730659025787</v>
      </c>
      <c r="E30" s="31">
        <f t="shared" si="0"/>
        <v>8382.6412607449856</v>
      </c>
      <c r="F30" s="6">
        <f t="shared" si="1"/>
        <v>1.2665558236229163E-2</v>
      </c>
      <c r="G30" s="14">
        <f t="shared" si="2"/>
        <v>26445.685597246491</v>
      </c>
      <c r="H30" s="10">
        <f t="shared" si="3"/>
        <v>0.37875863763923251</v>
      </c>
    </row>
    <row r="31" spans="2:8" x14ac:dyDescent="0.25">
      <c r="B31" s="20" t="str">
        <f>+'County Data'!$B$37</f>
        <v>Polk</v>
      </c>
      <c r="C31" s="15">
        <f>VLOOKUP($B31,'County Data'!$B$10:$L$46,2,FALSE)</f>
        <v>88916</v>
      </c>
      <c r="D31" s="29">
        <f>VLOOKUP($B31,'County Data'!$B$10:$L$46,6,FALSE)</f>
        <v>0.12019354759477814</v>
      </c>
      <c r="E31" s="31">
        <f t="shared" si="0"/>
        <v>10687.129477937293</v>
      </c>
      <c r="F31" s="6">
        <f t="shared" si="1"/>
        <v>1.6147471491450481E-2</v>
      </c>
      <c r="G31" s="14">
        <f t="shared" si="2"/>
        <v>33715.920474148603</v>
      </c>
      <c r="H31" s="10">
        <f t="shared" si="3"/>
        <v>0.37918845285605068</v>
      </c>
    </row>
    <row r="32" spans="2:8" x14ac:dyDescent="0.25">
      <c r="B32" s="20" t="str">
        <f>+'County Data'!$B$46</f>
        <v>Yamhill</v>
      </c>
      <c r="C32" s="15">
        <f>VLOOKUP($B32,'County Data'!$B$10:$L$46,2,FALSE)</f>
        <v>108261</v>
      </c>
      <c r="D32" s="29">
        <f>VLOOKUP($B32,'County Data'!$B$10:$L$46,6,FALSE)</f>
        <v>0.11686572914659989</v>
      </c>
      <c r="E32" s="31">
        <f t="shared" si="0"/>
        <v>12652.000703140051</v>
      </c>
      <c r="F32" s="6">
        <f t="shared" si="1"/>
        <v>1.9116248295252863E-2</v>
      </c>
      <c r="G32" s="14">
        <f t="shared" si="2"/>
        <v>39914.726440487975</v>
      </c>
      <c r="H32" s="10">
        <f t="shared" si="3"/>
        <v>0.36868980002482865</v>
      </c>
    </row>
    <row r="33" spans="2:8" x14ac:dyDescent="0.25">
      <c r="B33" s="20" t="str">
        <f>+'County Data'!$B$36</f>
        <v>Sherman, Wasco</v>
      </c>
      <c r="C33" s="15">
        <f>VLOOKUP($B33,'County Data'!$B$10:$L$46,2,FALSE)</f>
        <v>28489</v>
      </c>
      <c r="D33" s="29">
        <f>VLOOKUP($B33,'County Data'!$B$10:$L$46,6,FALSE)</f>
        <v>0.11961331608686772</v>
      </c>
      <c r="E33" s="31">
        <f t="shared" si="0"/>
        <v>3407.6637619987746</v>
      </c>
      <c r="F33" s="6">
        <f t="shared" si="1"/>
        <v>5.1487308694929774E-3</v>
      </c>
      <c r="G33" s="14">
        <f t="shared" si="2"/>
        <v>10750.550055501335</v>
      </c>
      <c r="H33" s="10">
        <f t="shared" si="3"/>
        <v>0.37735792956935432</v>
      </c>
    </row>
    <row r="34" spans="2:8" x14ac:dyDescent="0.25">
      <c r="B34" s="20" t="str">
        <f>+'County Data'!$B$35</f>
        <v>Multnomah</v>
      </c>
      <c r="C34" s="15">
        <f>VLOOKUP($B34,'County Data'!$B$10:$L$46,2,FALSE)</f>
        <v>820672</v>
      </c>
      <c r="D34" s="29">
        <f>VLOOKUP($B34,'County Data'!$B$10:$L$46,6,FALSE)</f>
        <v>0.22188526345181289</v>
      </c>
      <c r="E34" s="31">
        <f t="shared" si="0"/>
        <v>182095.02292752618</v>
      </c>
      <c r="F34" s="6">
        <f t="shared" si="1"/>
        <v>0.27513226985107769</v>
      </c>
      <c r="G34" s="14">
        <f t="shared" si="2"/>
        <v>574476.17944905011</v>
      </c>
      <c r="H34" s="10">
        <f t="shared" si="3"/>
        <v>0.70000704233731637</v>
      </c>
    </row>
    <row r="35" spans="2:8" x14ac:dyDescent="0.25">
      <c r="B35" s="20" t="str">
        <f>+'County Data'!$B$44</f>
        <v>Washington</v>
      </c>
      <c r="C35" s="15">
        <f>VLOOKUP($B35,'County Data'!$B$10:$L$46,2,FALSE)</f>
        <v>605036</v>
      </c>
      <c r="D35" s="29">
        <f>VLOOKUP($B35,'County Data'!$B$10:$L$46,6,FALSE)</f>
        <v>0.2386094692353834</v>
      </c>
      <c r="E35" s="31">
        <f t="shared" si="0"/>
        <v>144367.31882829944</v>
      </c>
      <c r="F35" s="6">
        <f t="shared" si="1"/>
        <v>0.21812846657183407</v>
      </c>
      <c r="G35" s="14">
        <f t="shared" si="2"/>
        <v>455452.2382019895</v>
      </c>
      <c r="H35" s="10">
        <f t="shared" si="3"/>
        <v>0.75276882400714917</v>
      </c>
    </row>
    <row r="36" spans="2:8" x14ac:dyDescent="0.25">
      <c r="B36" s="20" t="str">
        <f>+'County Data'!$B$40</f>
        <v>Umatilla</v>
      </c>
      <c r="C36" s="15">
        <f>VLOOKUP($B36,'County Data'!$B$10:$L$46,2,FALSE)</f>
        <v>80463</v>
      </c>
      <c r="D36" s="29">
        <f>VLOOKUP($B36,'County Data'!$B$10:$L$46,6,FALSE)</f>
        <v>0.14515331998231423</v>
      </c>
      <c r="E36" s="31">
        <f t="shared" si="0"/>
        <v>11679.47158573695</v>
      </c>
      <c r="F36" s="6">
        <f t="shared" si="1"/>
        <v>1.764682788350512E-2</v>
      </c>
      <c r="G36" s="14">
        <f t="shared" si="2"/>
        <v>36846.576620758686</v>
      </c>
      <c r="H36" s="10">
        <f t="shared" si="3"/>
        <v>0.45793192673351335</v>
      </c>
    </row>
    <row r="37" spans="2:8" x14ac:dyDescent="0.25">
      <c r="B37" s="20" t="str">
        <f>+'County Data'!$B$33</f>
        <v>Marion</v>
      </c>
      <c r="C37" s="15">
        <f>VLOOKUP($B37,'County Data'!$B$10:$L$46,2,FALSE)</f>
        <v>347182</v>
      </c>
      <c r="D37" s="29">
        <f>VLOOKUP($B37,'County Data'!$B$10:$L$46,6,FALSE)</f>
        <v>0.18943058175608621</v>
      </c>
      <c r="E37" s="31">
        <f t="shared" si="0"/>
        <v>65766.888235241524</v>
      </c>
      <c r="F37" s="6">
        <f t="shared" si="1"/>
        <v>9.9368961052855281E-2</v>
      </c>
      <c r="G37" s="14">
        <f t="shared" si="2"/>
        <v>207482.39067836181</v>
      </c>
      <c r="H37" s="10">
        <f t="shared" si="3"/>
        <v>0.59761851328226068</v>
      </c>
    </row>
    <row r="38" spans="2:8" x14ac:dyDescent="0.25">
      <c r="B38" s="20" t="str">
        <f>+'County Data'!$B$23</f>
        <v>Hood River</v>
      </c>
      <c r="C38" s="15">
        <f>VLOOKUP($B38,'County Data'!$B$10:$L$46,2,FALSE)</f>
        <v>23888</v>
      </c>
      <c r="D38" s="29">
        <f>VLOOKUP($B38,'County Data'!$B$10:$L$46,6,FALSE)</f>
        <v>0.13401928148372313</v>
      </c>
      <c r="E38" s="31">
        <f t="shared" si="0"/>
        <v>3201.4525960831784</v>
      </c>
      <c r="F38" s="6">
        <f t="shared" si="1"/>
        <v>4.8371608702976899E-3</v>
      </c>
      <c r="G38" s="14">
        <f t="shared" si="2"/>
        <v>10099.991897181575</v>
      </c>
      <c r="H38" s="10">
        <f t="shared" si="3"/>
        <v>0.42280609080632847</v>
      </c>
    </row>
    <row r="39" spans="2:8" x14ac:dyDescent="0.25">
      <c r="B39" s="20" t="str">
        <f>+'County Data'!$B$32</f>
        <v>Malheur</v>
      </c>
      <c r="C39" s="15">
        <f>VLOOKUP($B39,'County Data'!$B$10:$L$46,2,FALSE)</f>
        <v>31995</v>
      </c>
      <c r="D39" s="29">
        <f>VLOOKUP($B39,'County Data'!$B$10:$L$46,6,FALSE)</f>
        <v>0.10926357990207354</v>
      </c>
      <c r="E39" s="31">
        <f t="shared" si="0"/>
        <v>3495.8882389668429</v>
      </c>
      <c r="F39" s="6">
        <f t="shared" si="1"/>
        <v>5.282031605638355E-3</v>
      </c>
      <c r="G39" s="14">
        <f t="shared" si="2"/>
        <v>11028.881992572884</v>
      </c>
      <c r="H39" s="10">
        <f t="shared" si="3"/>
        <v>0.34470642264644114</v>
      </c>
    </row>
    <row r="40" spans="2:8" x14ac:dyDescent="0.25">
      <c r="B40" s="20" t="str">
        <f>+'County Data'!$B$34</f>
        <v>Morrow</v>
      </c>
      <c r="C40" s="15">
        <f>VLOOKUP($B40,'County Data'!$B$10:$L$46,2,FALSE)</f>
        <v>12635</v>
      </c>
      <c r="D40" s="29">
        <f>VLOOKUP($B40,'County Data'!$B$10:$L$46,6,FALSE)</f>
        <v>0.11404369148461882</v>
      </c>
      <c r="E40" s="31">
        <f t="shared" si="0"/>
        <v>1440.9420419081589</v>
      </c>
      <c r="F40" s="6">
        <f t="shared" si="1"/>
        <v>2.1771581031724599E-3</v>
      </c>
      <c r="G40" s="14">
        <f t="shared" si="2"/>
        <v>4545.9061194240958</v>
      </c>
      <c r="H40" s="10">
        <f t="shared" si="3"/>
        <v>0.35978679219818727</v>
      </c>
    </row>
    <row r="41" spans="2:8" x14ac:dyDescent="0.25">
      <c r="B41" s="20" t="str">
        <f>+'County Data'!$B$25</f>
        <v>Jefferson</v>
      </c>
      <c r="C41" s="15">
        <f>VLOOKUP($B41,'County Data'!$B$10:$L$46,2,FALSE)</f>
        <v>24889</v>
      </c>
      <c r="D41" s="29">
        <f>VLOOKUP($B41,'County Data'!$B$10:$L$46,6,FALSE)</f>
        <v>0.28928833772631035</v>
      </c>
      <c r="E41" s="31">
        <f t="shared" si="0"/>
        <v>7200.0974376701388</v>
      </c>
      <c r="F41" s="6">
        <f t="shared" si="1"/>
        <v>1.0878820954725069E-2</v>
      </c>
      <c r="G41" s="14">
        <f t="shared" si="2"/>
        <v>22714.978153465941</v>
      </c>
      <c r="H41" s="10">
        <f t="shared" si="3"/>
        <v>0.91265129790131949</v>
      </c>
    </row>
    <row r="42" spans="2:8" x14ac:dyDescent="0.25">
      <c r="B42" s="4" t="s">
        <v>89</v>
      </c>
      <c r="C42" s="5">
        <f>SUM(C7:C41)</f>
        <v>4266560</v>
      </c>
      <c r="D42" s="5"/>
      <c r="E42" s="5">
        <f>SUM(E7:E41)</f>
        <v>661845.38449848036</v>
      </c>
      <c r="F42" s="8">
        <f>SUM(F7:F41)</f>
        <v>1</v>
      </c>
      <c r="G42" s="11">
        <f>SUM(G7:G41)</f>
        <v>2088000.0000000002</v>
      </c>
      <c r="H42" s="12">
        <f t="shared" ref="H42" si="8">G42/C42</f>
        <v>0.48938723468086709</v>
      </c>
    </row>
  </sheetData>
  <sortState xmlns:xlrd2="http://schemas.microsoft.com/office/spreadsheetml/2017/richdata2" ref="B7:H41">
    <sortCondition ref="D7:D41"/>
  </sortState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H42"/>
  <sheetViews>
    <sheetView workbookViewId="0">
      <selection activeCell="K8" sqref="K8"/>
    </sheetView>
  </sheetViews>
  <sheetFormatPr defaultRowHeight="15" x14ac:dyDescent="0.25"/>
  <cols>
    <col min="2" max="2" width="17.42578125" bestFit="1" customWidth="1"/>
    <col min="3" max="3" width="11.85546875" bestFit="1" customWidth="1"/>
    <col min="4" max="4" width="8" bestFit="1" customWidth="1"/>
    <col min="5" max="5" width="14.28515625" bestFit="1" customWidth="1"/>
    <col min="6" max="6" width="9.7109375" bestFit="1" customWidth="1"/>
    <col min="7" max="7" width="14.140625" customWidth="1"/>
    <col min="8" max="8" width="10" bestFit="1" customWidth="1"/>
  </cols>
  <sheetData>
    <row r="3" spans="2:8" x14ac:dyDescent="0.25">
      <c r="B3" t="s">
        <v>125</v>
      </c>
      <c r="C3" s="1">
        <f>'County Data'!C5</f>
        <v>20000000</v>
      </c>
    </row>
    <row r="4" spans="2:8" x14ac:dyDescent="0.25">
      <c r="B4" t="s">
        <v>126</v>
      </c>
      <c r="C4" s="14">
        <f>'County Data'!I9</f>
        <v>2087999.9999999998</v>
      </c>
      <c r="D4" s="9"/>
    </row>
    <row r="6" spans="2:8" s="2" customFormat="1" ht="30" x14ac:dyDescent="0.25">
      <c r="B6" s="3" t="s">
        <v>36</v>
      </c>
      <c r="C6" s="3" t="s">
        <v>107</v>
      </c>
      <c r="D6" s="3" t="s">
        <v>141</v>
      </c>
      <c r="E6" s="3" t="s">
        <v>142</v>
      </c>
      <c r="F6" s="3" t="s">
        <v>143</v>
      </c>
      <c r="G6" s="13" t="s">
        <v>128</v>
      </c>
      <c r="H6" s="3" t="s">
        <v>129</v>
      </c>
    </row>
    <row r="7" spans="2:8" x14ac:dyDescent="0.25">
      <c r="B7" s="20" t="str">
        <f>+'County Data'!$B$35</f>
        <v>Multnomah</v>
      </c>
      <c r="C7" s="15">
        <f>VLOOKUP($B7,'County Data'!$B$10:$L$46,2,FALSE)</f>
        <v>820672</v>
      </c>
      <c r="D7" s="29">
        <f>VLOOKUP($B7,'County Data'!$B$10:$L$46,8,FALSE)</f>
        <v>1.2999999999999999E-2</v>
      </c>
      <c r="E7" s="31">
        <f t="shared" ref="E7:E41" si="0">C7*D7</f>
        <v>10668.735999999999</v>
      </c>
      <c r="F7" s="6">
        <f t="shared" ref="F7:F41" si="1">IF(E7=0,0,E7/$E$42)</f>
        <v>1.3306901888556039E-2</v>
      </c>
      <c r="G7" s="14">
        <f t="shared" ref="G7:G41" si="2">$C$4*F7</f>
        <v>27784.811143305007</v>
      </c>
      <c r="H7" s="10">
        <f t="shared" ref="H7:H41" si="3">G7/C7</f>
        <v>3.3856170483829114E-2</v>
      </c>
    </row>
    <row r="8" spans="2:8" x14ac:dyDescent="0.25">
      <c r="B8" s="20" t="str">
        <f>+'County Data'!$B$44</f>
        <v>Washington</v>
      </c>
      <c r="C8" s="15">
        <f>VLOOKUP($B8,'County Data'!$B$10:$L$46,2,FALSE)</f>
        <v>605036</v>
      </c>
      <c r="D8" s="29">
        <f>VLOOKUP($B8,'County Data'!$B$10:$L$46,8,FALSE)</f>
        <v>5.6000000000000001E-2</v>
      </c>
      <c r="E8" s="31">
        <f t="shared" si="0"/>
        <v>33882.016000000003</v>
      </c>
      <c r="F8" s="6">
        <f t="shared" si="1"/>
        <v>4.2260363617441281E-2</v>
      </c>
      <c r="G8" s="14">
        <f t="shared" si="2"/>
        <v>88239.639233217385</v>
      </c>
      <c r="H8" s="10">
        <f t="shared" si="3"/>
        <v>0.14584196516111006</v>
      </c>
    </row>
    <row r="9" spans="2:8" x14ac:dyDescent="0.25">
      <c r="B9" s="20" t="str">
        <f>'County Data'!B20</f>
        <v>Gilliam</v>
      </c>
      <c r="C9" s="15">
        <f>VLOOKUP($B9,'County Data'!$B$10:$L$46,2,FALSE)</f>
        <v>2039</v>
      </c>
      <c r="D9" s="29">
        <f>VLOOKUP($B9,'County Data'!$B$10:$L$46,8,FALSE)</f>
        <v>1</v>
      </c>
      <c r="E9" s="31">
        <f t="shared" ref="E9" si="4">C9*D9</f>
        <v>2039</v>
      </c>
      <c r="F9" s="6">
        <f t="shared" ref="F9" si="5">IF(E9=0,0,E9/$E$42)</f>
        <v>2.5432040825422771E-3</v>
      </c>
      <c r="G9" s="14">
        <f t="shared" ref="G9" si="6">$C$4*F9</f>
        <v>5310.2101243482739</v>
      </c>
      <c r="H9" s="10">
        <f t="shared" ref="H9" si="7">G9/C9</f>
        <v>2.6043208064483934</v>
      </c>
    </row>
    <row r="10" spans="2:8" x14ac:dyDescent="0.25">
      <c r="B10" s="20" t="str">
        <f>+'County Data'!$B$33</f>
        <v>Marion</v>
      </c>
      <c r="C10" s="15">
        <f>VLOOKUP($B10,'County Data'!$B$10:$L$46,2,FALSE)</f>
        <v>347182</v>
      </c>
      <c r="D10" s="29">
        <f>VLOOKUP($B10,'County Data'!$B$10:$L$46,8,FALSE)</f>
        <v>0.13100000000000001</v>
      </c>
      <c r="E10" s="31">
        <f t="shared" si="0"/>
        <v>45480.842000000004</v>
      </c>
      <c r="F10" s="6">
        <f t="shared" si="1"/>
        <v>5.6727348235340987E-2</v>
      </c>
      <c r="G10" s="14">
        <f t="shared" si="2"/>
        <v>118446.70311539197</v>
      </c>
      <c r="H10" s="10">
        <f t="shared" si="3"/>
        <v>0.34116602564473958</v>
      </c>
    </row>
    <row r="11" spans="2:8" x14ac:dyDescent="0.25">
      <c r="B11" s="20" t="str">
        <f>+'County Data'!$B$29</f>
        <v>Lane</v>
      </c>
      <c r="C11" s="15">
        <f>VLOOKUP($B11,'County Data'!$B$10:$L$46,2,FALSE)</f>
        <v>382647</v>
      </c>
      <c r="D11" s="29">
        <f>VLOOKUP($B11,'County Data'!$B$10:$L$46,8,FALSE)</f>
        <v>0.17499999999999999</v>
      </c>
      <c r="E11" s="31">
        <f t="shared" si="0"/>
        <v>66963.224999999991</v>
      </c>
      <c r="F11" s="6">
        <f t="shared" si="1"/>
        <v>8.3521896616084876E-2</v>
      </c>
      <c r="G11" s="14">
        <f t="shared" si="2"/>
        <v>174393.72013438519</v>
      </c>
      <c r="H11" s="10">
        <f t="shared" si="3"/>
        <v>0.45575614112846879</v>
      </c>
    </row>
    <row r="12" spans="2:8" x14ac:dyDescent="0.25">
      <c r="B12" s="20" t="str">
        <f>+'County Data'!$B$12</f>
        <v>Clackamas</v>
      </c>
      <c r="C12" s="15">
        <f>VLOOKUP($B12,'County Data'!$B$10:$L$46,2,FALSE)</f>
        <v>425316</v>
      </c>
      <c r="D12" s="29">
        <f>VLOOKUP($B12,'County Data'!$B$10:$L$46,8,FALSE)</f>
        <v>0.18099999999999999</v>
      </c>
      <c r="E12" s="31">
        <f t="shared" si="0"/>
        <v>76982.195999999996</v>
      </c>
      <c r="F12" s="6">
        <f t="shared" si="1"/>
        <v>9.6018359563643824E-2</v>
      </c>
      <c r="G12" s="14">
        <f t="shared" si="2"/>
        <v>200486.33476888828</v>
      </c>
      <c r="H12" s="10">
        <f t="shared" si="3"/>
        <v>0.4713820659671592</v>
      </c>
    </row>
    <row r="13" spans="2:8" x14ac:dyDescent="0.25">
      <c r="B13" s="20" t="str">
        <f>+'County Data'!$B$11</f>
        <v>Benton</v>
      </c>
      <c r="C13" s="15">
        <f>VLOOKUP($B13,'County Data'!$B$10:$L$46,2,FALSE)</f>
        <v>93976</v>
      </c>
      <c r="D13" s="29">
        <f>VLOOKUP($B13,'County Data'!$B$10:$L$46,8,FALSE)</f>
        <v>0.188</v>
      </c>
      <c r="E13" s="31">
        <f t="shared" si="0"/>
        <v>17667.488000000001</v>
      </c>
      <c r="F13" s="6">
        <f t="shared" si="1"/>
        <v>2.2036305841033201E-2</v>
      </c>
      <c r="G13" s="14">
        <f t="shared" si="2"/>
        <v>46011.806596077316</v>
      </c>
      <c r="H13" s="10">
        <f t="shared" si="3"/>
        <v>0.48961231161229801</v>
      </c>
    </row>
    <row r="14" spans="2:8" x14ac:dyDescent="0.25">
      <c r="B14" s="20" t="str">
        <f>+'County Data'!$B$37</f>
        <v>Polk</v>
      </c>
      <c r="C14" s="15">
        <f>VLOOKUP($B14,'County Data'!$B$10:$L$46,2,FALSE)</f>
        <v>88916</v>
      </c>
      <c r="D14" s="29">
        <f>VLOOKUP($B14,'County Data'!$B$10:$L$46,8,FALSE)</f>
        <v>0.19900000000000001</v>
      </c>
      <c r="E14" s="31">
        <f t="shared" si="0"/>
        <v>17694.284</v>
      </c>
      <c r="F14" s="6">
        <f t="shared" si="1"/>
        <v>2.2069727958049287E-2</v>
      </c>
      <c r="G14" s="14">
        <f t="shared" si="2"/>
        <v>46081.591976406904</v>
      </c>
      <c r="H14" s="10">
        <f t="shared" si="3"/>
        <v>0.51825984048323026</v>
      </c>
    </row>
    <row r="15" spans="2:8" x14ac:dyDescent="0.25">
      <c r="B15" s="20" t="str">
        <f>+'County Data'!$B$24</f>
        <v>Jackson</v>
      </c>
      <c r="C15" s="15">
        <f>VLOOKUP($B15,'County Data'!$B$10:$L$46,2,FALSE)</f>
        <v>223827</v>
      </c>
      <c r="D15" s="29">
        <f>VLOOKUP($B15,'County Data'!$B$10:$L$46,8,FALSE)</f>
        <v>0.20100000000000001</v>
      </c>
      <c r="E15" s="31">
        <f t="shared" si="0"/>
        <v>44989.227000000006</v>
      </c>
      <c r="F15" s="6">
        <f t="shared" si="1"/>
        <v>5.6114166638951087E-2</v>
      </c>
      <c r="G15" s="14">
        <f t="shared" si="2"/>
        <v>117166.37994212986</v>
      </c>
      <c r="H15" s="10">
        <f t="shared" si="3"/>
        <v>0.52346848209612717</v>
      </c>
    </row>
    <row r="16" spans="2:8" x14ac:dyDescent="0.25">
      <c r="B16" s="20" t="str">
        <f>+'County Data'!$B$46</f>
        <v>Yamhill</v>
      </c>
      <c r="C16" s="15">
        <f>VLOOKUP($B16,'County Data'!$B$10:$L$46,2,FALSE)</f>
        <v>108261</v>
      </c>
      <c r="D16" s="29">
        <f>VLOOKUP($B16,'County Data'!$B$10:$L$46,8,FALSE)</f>
        <v>0.22600000000000001</v>
      </c>
      <c r="E16" s="31">
        <f t="shared" si="0"/>
        <v>24466.986000000001</v>
      </c>
      <c r="F16" s="6">
        <f t="shared" si="1"/>
        <v>3.0517184248506496E-2</v>
      </c>
      <c r="G16" s="14">
        <f t="shared" si="2"/>
        <v>63719.88071088156</v>
      </c>
      <c r="H16" s="10">
        <f t="shared" si="3"/>
        <v>0.58857650225733704</v>
      </c>
    </row>
    <row r="17" spans="2:8" x14ac:dyDescent="0.25">
      <c r="B17" s="20" t="str">
        <f>+'County Data'!$B$18</f>
        <v>Deschutes</v>
      </c>
      <c r="C17" s="15">
        <f>VLOOKUP($B17,'County Data'!$B$10:$L$46,2,FALSE)</f>
        <v>203390</v>
      </c>
      <c r="D17" s="29">
        <f>VLOOKUP($B17,'County Data'!$B$10:$L$46,8,FALSE)</f>
        <v>0.27600000000000002</v>
      </c>
      <c r="E17" s="31">
        <f t="shared" si="0"/>
        <v>56135.640000000007</v>
      </c>
      <c r="F17" s="6">
        <f t="shared" si="1"/>
        <v>7.0016865534145947E-2</v>
      </c>
      <c r="G17" s="14">
        <f t="shared" si="2"/>
        <v>146195.21523529672</v>
      </c>
      <c r="H17" s="10">
        <f t="shared" si="3"/>
        <v>0.71879254257975678</v>
      </c>
    </row>
    <row r="18" spans="2:8" x14ac:dyDescent="0.25">
      <c r="B18" s="20" t="str">
        <f>+'County Data'!$B$40</f>
        <v>Umatilla</v>
      </c>
      <c r="C18" s="15">
        <f>VLOOKUP($B18,'County Data'!$B$10:$L$46,2,FALSE)</f>
        <v>80463</v>
      </c>
      <c r="D18" s="29">
        <f>VLOOKUP($B18,'County Data'!$B$10:$L$46,8,FALSE)</f>
        <v>0.29099999999999998</v>
      </c>
      <c r="E18" s="31">
        <f t="shared" si="0"/>
        <v>23414.733</v>
      </c>
      <c r="F18" s="6">
        <f t="shared" si="1"/>
        <v>2.9204730042784396E-2</v>
      </c>
      <c r="G18" s="14">
        <f t="shared" si="2"/>
        <v>60979.476329333811</v>
      </c>
      <c r="H18" s="10">
        <f t="shared" si="3"/>
        <v>0.75785735467648252</v>
      </c>
    </row>
    <row r="19" spans="2:8" x14ac:dyDescent="0.25">
      <c r="B19" s="20" t="str">
        <f>+'County Data'!$B$31</f>
        <v>Linn</v>
      </c>
      <c r="C19" s="15">
        <f>VLOOKUP($B19,'County Data'!$B$10:$L$46,2,FALSE)</f>
        <v>130440</v>
      </c>
      <c r="D19" s="29">
        <f>VLOOKUP($B19,'County Data'!$B$10:$L$46,8,FALSE)</f>
        <v>0.316</v>
      </c>
      <c r="E19" s="31">
        <f t="shared" si="0"/>
        <v>41219.040000000001</v>
      </c>
      <c r="F19" s="6">
        <f t="shared" si="1"/>
        <v>5.1411687497044348E-2</v>
      </c>
      <c r="G19" s="14">
        <f t="shared" si="2"/>
        <v>107347.60349382859</v>
      </c>
      <c r="H19" s="10">
        <f t="shared" si="3"/>
        <v>0.82296537483769239</v>
      </c>
    </row>
    <row r="20" spans="2:8" x14ac:dyDescent="0.25">
      <c r="B20" s="20" t="str">
        <f>+'County Data'!$B$27</f>
        <v>Klamath</v>
      </c>
      <c r="C20" s="15">
        <f>VLOOKUP($B20,'County Data'!$B$10:$L$46,2,FALSE)</f>
        <v>69822</v>
      </c>
      <c r="D20" s="29">
        <f>VLOOKUP($B20,'County Data'!$B$10:$L$46,8,FALSE)</f>
        <v>0.376</v>
      </c>
      <c r="E20" s="31">
        <f t="shared" si="0"/>
        <v>26253.072</v>
      </c>
      <c r="F20" s="6">
        <f t="shared" si="1"/>
        <v>3.274493373696731E-2</v>
      </c>
      <c r="G20" s="14">
        <f t="shared" si="2"/>
        <v>68371.42164278774</v>
      </c>
      <c r="H20" s="10">
        <f t="shared" si="3"/>
        <v>0.97922462322459602</v>
      </c>
    </row>
    <row r="21" spans="2:8" x14ac:dyDescent="0.25">
      <c r="B21" s="20" t="str">
        <f>+'County Data'!$B$30</f>
        <v>Lincoln</v>
      </c>
      <c r="C21" s="15">
        <f>VLOOKUP($B21,'County Data'!$B$10:$L$46,2,FALSE)</f>
        <v>50903</v>
      </c>
      <c r="D21" s="29">
        <f>VLOOKUP($B21,'County Data'!$B$10:$L$46,8,FALSE)</f>
        <v>0.376</v>
      </c>
      <c r="E21" s="31">
        <f t="shared" si="0"/>
        <v>19139.527999999998</v>
      </c>
      <c r="F21" s="6">
        <f t="shared" si="1"/>
        <v>2.3872352009579316E-2</v>
      </c>
      <c r="G21" s="14">
        <f t="shared" si="2"/>
        <v>49845.470996001604</v>
      </c>
      <c r="H21" s="10">
        <f t="shared" si="3"/>
        <v>0.97922462322459591</v>
      </c>
    </row>
    <row r="22" spans="2:8" x14ac:dyDescent="0.25">
      <c r="B22" s="20" t="str">
        <f>+'County Data'!$B$15</f>
        <v>Coos</v>
      </c>
      <c r="C22" s="15">
        <f>VLOOKUP($B22,'County Data'!$B$10:$L$46,2,FALSE)</f>
        <v>65154</v>
      </c>
      <c r="D22" s="29">
        <f>VLOOKUP($B22,'County Data'!$B$10:$L$46,8,FALSE)</f>
        <v>0.38400000000000001</v>
      </c>
      <c r="E22" s="31">
        <f t="shared" si="0"/>
        <v>25019.136000000002</v>
      </c>
      <c r="F22" s="6">
        <f t="shared" si="1"/>
        <v>3.1205869944522052E-2</v>
      </c>
      <c r="G22" s="14">
        <f t="shared" si="2"/>
        <v>65157.856444162033</v>
      </c>
      <c r="H22" s="10">
        <f t="shared" si="3"/>
        <v>1.000059189676183</v>
      </c>
    </row>
    <row r="23" spans="2:8" x14ac:dyDescent="0.25">
      <c r="B23" s="20" t="str">
        <f>+'County Data'!$B$17</f>
        <v>Curry</v>
      </c>
      <c r="C23" s="15">
        <f>VLOOKUP($B23,'County Data'!$B$10:$L$46,2,FALSE)</f>
        <v>23662</v>
      </c>
      <c r="D23" s="29">
        <f>VLOOKUP($B23,'County Data'!$B$10:$L$46,8,FALSE)</f>
        <v>0.38700000000000001</v>
      </c>
      <c r="E23" s="31">
        <f t="shared" si="0"/>
        <v>9157.1939999999995</v>
      </c>
      <c r="F23" s="6">
        <f t="shared" si="1"/>
        <v>1.1421585662300953E-2</v>
      </c>
      <c r="G23" s="14">
        <f t="shared" si="2"/>
        <v>23848.270862884387</v>
      </c>
      <c r="H23" s="10">
        <f t="shared" si="3"/>
        <v>1.0078721520955281</v>
      </c>
    </row>
    <row r="24" spans="2:8" x14ac:dyDescent="0.25">
      <c r="B24" s="20" t="str">
        <f>+'County Data'!$B$13</f>
        <v>Clatsop</v>
      </c>
      <c r="C24" s="15">
        <f>VLOOKUP($B24,'County Data'!$B$10:$L$46,2,FALSE)</f>
        <v>41428</v>
      </c>
      <c r="D24" s="29">
        <f>VLOOKUP($B24,'County Data'!$B$10:$L$46,8,FALSE)</f>
        <v>0.39</v>
      </c>
      <c r="E24" s="31">
        <f t="shared" si="0"/>
        <v>16156.92</v>
      </c>
      <c r="F24" s="6">
        <f t="shared" si="1"/>
        <v>2.0152204465575758E-2</v>
      </c>
      <c r="G24" s="14">
        <f t="shared" si="2"/>
        <v>42077.802924122181</v>
      </c>
      <c r="H24" s="10">
        <f t="shared" si="3"/>
        <v>1.0156851145148735</v>
      </c>
    </row>
    <row r="25" spans="2:8" x14ac:dyDescent="0.25">
      <c r="B25" s="20" t="str">
        <f>+'County Data'!$B$10</f>
        <v>Baker</v>
      </c>
      <c r="C25" s="15">
        <f>VLOOKUP($B25,'County Data'!$B$10:$L$46,2,FALSE)</f>
        <v>16860</v>
      </c>
      <c r="D25" s="29">
        <f>VLOOKUP($B25,'County Data'!$B$10:$L$46,8,FALSE)</f>
        <v>0.41</v>
      </c>
      <c r="E25" s="31">
        <f t="shared" si="0"/>
        <v>6912.5999999999995</v>
      </c>
      <c r="F25" s="6">
        <f t="shared" si="1"/>
        <v>8.6219482790494094E-3</v>
      </c>
      <c r="G25" s="14">
        <f t="shared" si="2"/>
        <v>18002.628006655166</v>
      </c>
      <c r="H25" s="10">
        <f t="shared" si="3"/>
        <v>1.0677715306438413</v>
      </c>
    </row>
    <row r="26" spans="2:8" x14ac:dyDescent="0.25">
      <c r="B26" s="20" t="str">
        <f>+'County Data'!$B$19</f>
        <v>Douglas</v>
      </c>
      <c r="C26" s="15">
        <f>VLOOKUP($B26,'County Data'!$B$10:$L$46,2,FALSE)</f>
        <v>111694</v>
      </c>
      <c r="D26" s="29">
        <f>VLOOKUP($B26,'County Data'!$B$10:$L$46,8,FALSE)</f>
        <v>0.41199999999999998</v>
      </c>
      <c r="E26" s="31">
        <f t="shared" si="0"/>
        <v>46017.928</v>
      </c>
      <c r="F26" s="6">
        <f t="shared" si="1"/>
        <v>5.7397244904235686E-2</v>
      </c>
      <c r="G26" s="14">
        <f t="shared" si="2"/>
        <v>119845.4473600441</v>
      </c>
      <c r="H26" s="10">
        <f t="shared" si="3"/>
        <v>1.072980172256738</v>
      </c>
    </row>
    <row r="27" spans="2:8" x14ac:dyDescent="0.25">
      <c r="B27" s="20" t="str">
        <f>+'County Data'!$B$36</f>
        <v>Sherman, Wasco</v>
      </c>
      <c r="C27" s="15">
        <f>VLOOKUP($B27,'County Data'!$B$10:$L$46,2,FALSE)</f>
        <v>28489</v>
      </c>
      <c r="D27" s="29">
        <f>VLOOKUP($B27,'County Data'!$B$10:$L$46,8,FALSE)</f>
        <v>0.41499999999999998</v>
      </c>
      <c r="E27" s="31">
        <f t="shared" si="0"/>
        <v>11822.934999999999</v>
      </c>
      <c r="F27" s="6">
        <f t="shared" si="1"/>
        <v>1.4746511309284933E-2</v>
      </c>
      <c r="G27" s="14">
        <f t="shared" si="2"/>
        <v>30790.715613786935</v>
      </c>
      <c r="H27" s="10">
        <f t="shared" si="3"/>
        <v>1.0807931346760833</v>
      </c>
    </row>
    <row r="28" spans="2:8" x14ac:dyDescent="0.25">
      <c r="B28" s="20" t="str">
        <f>+'County Data'!$B$41</f>
        <v>Union</v>
      </c>
      <c r="C28" s="15">
        <f>VLOOKUP($B28,'County Data'!$B$10:$L$46,2,FALSE)</f>
        <v>26295</v>
      </c>
      <c r="D28" s="29">
        <f>VLOOKUP($B28,'County Data'!$B$10:$L$46,8,FALSE)</f>
        <v>0.42099999999999999</v>
      </c>
      <c r="E28" s="31">
        <f t="shared" si="0"/>
        <v>11070.195</v>
      </c>
      <c r="F28" s="6">
        <f t="shared" si="1"/>
        <v>1.3807633702079011E-2</v>
      </c>
      <c r="G28" s="14">
        <f t="shared" si="2"/>
        <v>28830.339169940973</v>
      </c>
      <c r="H28" s="10">
        <f t="shared" si="3"/>
        <v>1.0964190595147736</v>
      </c>
    </row>
    <row r="29" spans="2:8" x14ac:dyDescent="0.25">
      <c r="B29" s="20" t="str">
        <f>+'County Data'!$B$14</f>
        <v>Columbia</v>
      </c>
      <c r="C29" s="15">
        <f>VLOOKUP($B29,'County Data'!$B$10:$L$46,2,FALSE)</f>
        <v>53014</v>
      </c>
      <c r="D29" s="29">
        <f>VLOOKUP($B29,'County Data'!$B$10:$L$46,8,FALSE)</f>
        <v>0.436</v>
      </c>
      <c r="E29" s="31">
        <f t="shared" si="0"/>
        <v>23114.103999999999</v>
      </c>
      <c r="F29" s="6">
        <f t="shared" si="1"/>
        <v>2.8829761479699255E-2</v>
      </c>
      <c r="G29" s="14">
        <f t="shared" si="2"/>
        <v>60196.541969612037</v>
      </c>
      <c r="H29" s="10">
        <f t="shared" si="3"/>
        <v>1.1354838716114994</v>
      </c>
    </row>
    <row r="30" spans="2:8" x14ac:dyDescent="0.25">
      <c r="B30" s="20" t="str">
        <f>+'County Data'!$B$22</f>
        <v>Harney</v>
      </c>
      <c r="C30" s="15">
        <f>VLOOKUP($B30,'County Data'!$B$10:$L$46,2,FALSE)</f>
        <v>7537</v>
      </c>
      <c r="D30" s="29">
        <f>VLOOKUP($B30,'County Data'!$B$10:$L$46,8,FALSE)</f>
        <v>0.443</v>
      </c>
      <c r="E30" s="31">
        <f t="shared" si="0"/>
        <v>3338.8910000000001</v>
      </c>
      <c r="F30" s="6">
        <f t="shared" si="1"/>
        <v>4.1645322326452506E-3</v>
      </c>
      <c r="G30" s="14">
        <f t="shared" si="2"/>
        <v>8695.5433017632822</v>
      </c>
      <c r="H30" s="10">
        <f t="shared" si="3"/>
        <v>1.1537141172566383</v>
      </c>
    </row>
    <row r="31" spans="2:8" x14ac:dyDescent="0.25">
      <c r="B31" s="20" t="str">
        <f>+'County Data'!$B$26</f>
        <v>Josephine</v>
      </c>
      <c r="C31" s="15">
        <f>VLOOKUP($B31,'County Data'!$B$10:$L$46,2,FALSE)</f>
        <v>88728</v>
      </c>
      <c r="D31" s="29">
        <f>VLOOKUP($B31,'County Data'!$B$10:$L$46,8,FALSE)</f>
        <v>0.45</v>
      </c>
      <c r="E31" s="31">
        <f t="shared" si="0"/>
        <v>39927.599999999999</v>
      </c>
      <c r="F31" s="6">
        <f t="shared" si="1"/>
        <v>4.9800900110895059E-2</v>
      </c>
      <c r="G31" s="14">
        <f t="shared" si="2"/>
        <v>103984.27943154887</v>
      </c>
      <c r="H31" s="10">
        <f t="shared" si="3"/>
        <v>1.1719443629017769</v>
      </c>
    </row>
    <row r="32" spans="2:8" x14ac:dyDescent="0.25">
      <c r="B32" s="20" t="str">
        <f>+'County Data'!$B$34</f>
        <v>Morrow</v>
      </c>
      <c r="C32" s="15">
        <f>VLOOKUP($B32,'County Data'!$B$10:$L$46,2,FALSE)</f>
        <v>12635</v>
      </c>
      <c r="D32" s="29">
        <f>VLOOKUP($B32,'County Data'!$B$10:$L$46,8,FALSE)</f>
        <v>0.45900000000000002</v>
      </c>
      <c r="E32" s="31">
        <f t="shared" si="0"/>
        <v>5799.4650000000001</v>
      </c>
      <c r="F32" s="6">
        <f t="shared" si="1"/>
        <v>7.2335571675140008E-3</v>
      </c>
      <c r="G32" s="14">
        <f t="shared" si="2"/>
        <v>15103.667365769232</v>
      </c>
      <c r="H32" s="10">
        <f t="shared" si="3"/>
        <v>1.1953832501598125</v>
      </c>
    </row>
    <row r="33" spans="2:8" x14ac:dyDescent="0.25">
      <c r="B33" s="20" t="str">
        <f>+'County Data'!$B$16</f>
        <v>Crook</v>
      </c>
      <c r="C33" s="15">
        <f>VLOOKUP($B33,'County Data'!$B$10:$L$46,2,FALSE)</f>
        <v>25482</v>
      </c>
      <c r="D33" s="29">
        <f>VLOOKUP($B33,'County Data'!$B$10:$L$46,8,FALSE)</f>
        <v>0.48</v>
      </c>
      <c r="E33" s="31">
        <f t="shared" si="0"/>
        <v>12231.359999999999</v>
      </c>
      <c r="F33" s="6">
        <f t="shared" si="1"/>
        <v>1.525593167584321E-2</v>
      </c>
      <c r="G33" s="14">
        <f t="shared" si="2"/>
        <v>31854.385339160617</v>
      </c>
      <c r="H33" s="10">
        <f t="shared" si="3"/>
        <v>1.2500739870952287</v>
      </c>
    </row>
    <row r="34" spans="2:8" x14ac:dyDescent="0.25">
      <c r="B34" s="20" t="str">
        <f>+'County Data'!$B$32</f>
        <v>Malheur</v>
      </c>
      <c r="C34" s="15">
        <f>VLOOKUP($B34,'County Data'!$B$10:$L$46,2,FALSE)</f>
        <v>31995</v>
      </c>
      <c r="D34" s="29">
        <f>VLOOKUP($B34,'County Data'!$B$10:$L$46,8,FALSE)</f>
        <v>0.48399999999999999</v>
      </c>
      <c r="E34" s="31">
        <f t="shared" si="0"/>
        <v>15485.58</v>
      </c>
      <c r="F34" s="6">
        <f t="shared" si="1"/>
        <v>1.9314855456858772E-2</v>
      </c>
      <c r="G34" s="14">
        <f t="shared" si="2"/>
        <v>40329.418193921112</v>
      </c>
      <c r="H34" s="10">
        <f t="shared" si="3"/>
        <v>1.2604912703210225</v>
      </c>
    </row>
    <row r="35" spans="2:8" x14ac:dyDescent="0.25">
      <c r="B35" s="20" t="str">
        <f>+'County Data'!$B$23</f>
        <v>Hood River</v>
      </c>
      <c r="C35" s="15">
        <f>VLOOKUP($B35,'County Data'!$B$10:$L$46,2,FALSE)</f>
        <v>23888</v>
      </c>
      <c r="D35" s="29">
        <f>VLOOKUP($B35,'County Data'!$B$10:$L$46,8,FALSE)</f>
        <v>0.52200000000000002</v>
      </c>
      <c r="E35" s="31">
        <f t="shared" si="0"/>
        <v>12469.536</v>
      </c>
      <c r="F35" s="6">
        <f t="shared" si="1"/>
        <v>1.5553003856109807E-2</v>
      </c>
      <c r="G35" s="14">
        <f t="shared" si="2"/>
        <v>32474.672051557274</v>
      </c>
      <c r="H35" s="10">
        <f t="shared" si="3"/>
        <v>1.3594554609660614</v>
      </c>
    </row>
    <row r="36" spans="2:8" x14ac:dyDescent="0.25">
      <c r="B36" s="20" t="str">
        <f>+'County Data'!$B$25</f>
        <v>Jefferson</v>
      </c>
      <c r="C36" s="15">
        <f>VLOOKUP($B36,'County Data'!$B$10:$L$46,2,FALSE)</f>
        <v>24889</v>
      </c>
      <c r="D36" s="29">
        <f>VLOOKUP($B36,'County Data'!$B$10:$L$46,8,FALSE)</f>
        <v>0.63100000000000001</v>
      </c>
      <c r="E36" s="31">
        <f t="shared" si="0"/>
        <v>15704.959000000001</v>
      </c>
      <c r="F36" s="6">
        <f t="shared" si="1"/>
        <v>1.9588482513466936E-2</v>
      </c>
      <c r="G36" s="14">
        <f t="shared" si="2"/>
        <v>40900.751488118956</v>
      </c>
      <c r="H36" s="10">
        <f t="shared" si="3"/>
        <v>1.6433264288689364</v>
      </c>
    </row>
    <row r="37" spans="2:8" x14ac:dyDescent="0.25">
      <c r="B37" s="20" t="str">
        <f>+'County Data'!$B$28</f>
        <v>Lake</v>
      </c>
      <c r="C37" s="15">
        <f>VLOOKUP($B37,'County Data'!$B$10:$L$46,2,FALSE)</f>
        <v>8177</v>
      </c>
      <c r="D37" s="29">
        <f>VLOOKUP($B37,'County Data'!$B$10:$L$46,8,FALSE)</f>
        <v>0.63300000000000001</v>
      </c>
      <c r="E37" s="31">
        <f t="shared" si="0"/>
        <v>5176.0410000000002</v>
      </c>
      <c r="F37" s="6">
        <f t="shared" si="1"/>
        <v>6.45597283109672E-3</v>
      </c>
      <c r="G37" s="14">
        <f t="shared" si="2"/>
        <v>13480.071271329949</v>
      </c>
      <c r="H37" s="10">
        <f t="shared" si="3"/>
        <v>1.6485350704818331</v>
      </c>
    </row>
    <row r="38" spans="2:8" x14ac:dyDescent="0.25">
      <c r="B38" s="20" t="str">
        <f>+'County Data'!$B$39</f>
        <v>Tillamook</v>
      </c>
      <c r="C38" s="15">
        <f>VLOOKUP($B38,'County Data'!$B$10:$L$46,2,FALSE)</f>
        <v>27628</v>
      </c>
      <c r="D38" s="29">
        <f>VLOOKUP($B38,'County Data'!$B$10:$L$46,8,FALSE)</f>
        <v>0.69599999999999995</v>
      </c>
      <c r="E38" s="31">
        <f t="shared" si="0"/>
        <v>19229.088</v>
      </c>
      <c r="F38" s="6">
        <f t="shared" si="1"/>
        <v>2.3984058413518739E-2</v>
      </c>
      <c r="G38" s="14">
        <f t="shared" si="2"/>
        <v>50078.713967427124</v>
      </c>
      <c r="H38" s="10">
        <f t="shared" si="3"/>
        <v>1.8126072812880818</v>
      </c>
    </row>
    <row r="39" spans="2:8" x14ac:dyDescent="0.25">
      <c r="B39" s="20" t="str">
        <f>+'County Data'!$B$21</f>
        <v>Grant</v>
      </c>
      <c r="C39" s="15">
        <f>VLOOKUP($B39,'County Data'!$B$10:$L$46,2,FALSE)</f>
        <v>7226</v>
      </c>
      <c r="D39" s="29">
        <f>VLOOKUP($B39,'County Data'!$B$10:$L$46,8,FALSE)</f>
        <v>1</v>
      </c>
      <c r="E39" s="31">
        <f t="shared" si="0"/>
        <v>7226</v>
      </c>
      <c r="F39" s="6">
        <f t="shared" si="1"/>
        <v>9.0128458560326113E-3</v>
      </c>
      <c r="G39" s="14">
        <f t="shared" si="2"/>
        <v>18818.822147396091</v>
      </c>
      <c r="H39" s="10">
        <f t="shared" si="3"/>
        <v>2.6043208064483934</v>
      </c>
    </row>
    <row r="40" spans="2:8" x14ac:dyDescent="0.25">
      <c r="B40" s="20" t="str">
        <f>+'County Data'!$B$42</f>
        <v>Wallowa</v>
      </c>
      <c r="C40" s="15">
        <f>VLOOKUP($B40,'County Data'!$B$10:$L$46,2,FALSE)</f>
        <v>7433</v>
      </c>
      <c r="D40" s="29">
        <f>VLOOKUP($B40,'County Data'!$B$10:$L$46,8,FALSE)</f>
        <v>1</v>
      </c>
      <c r="E40" s="31">
        <f t="shared" si="0"/>
        <v>7433</v>
      </c>
      <c r="F40" s="6">
        <f t="shared" si="1"/>
        <v>9.2710328325339604E-3</v>
      </c>
      <c r="G40" s="14">
        <f t="shared" si="2"/>
        <v>19357.916554330906</v>
      </c>
      <c r="H40" s="10">
        <f t="shared" si="3"/>
        <v>2.6043208064483934</v>
      </c>
    </row>
    <row r="41" spans="2:8" x14ac:dyDescent="0.25">
      <c r="B41" s="20" t="str">
        <f>'County Data'!$B$45</f>
        <v>Wheeler</v>
      </c>
      <c r="C41" s="15">
        <f>VLOOKUP($B41,'County Data'!$B$10:$L$46,2,FALSE)</f>
        <v>1456</v>
      </c>
      <c r="D41" s="29">
        <f>VLOOKUP($B41,'County Data'!$B$10:$L$46,8,FALSE)</f>
        <v>1</v>
      </c>
      <c r="E41" s="31">
        <f t="shared" si="0"/>
        <v>1456</v>
      </c>
      <c r="F41" s="6">
        <f t="shared" si="1"/>
        <v>1.8160397960674624E-3</v>
      </c>
      <c r="G41" s="14">
        <f t="shared" si="2"/>
        <v>3791.8910941888612</v>
      </c>
      <c r="H41" s="10">
        <f t="shared" si="3"/>
        <v>2.6043208064483938</v>
      </c>
    </row>
    <row r="42" spans="2:8" x14ac:dyDescent="0.25">
      <c r="B42" s="4" t="s">
        <v>89</v>
      </c>
      <c r="C42" s="5">
        <f>SUM(C7:C41)</f>
        <v>4266560</v>
      </c>
      <c r="D42" s="5">
        <f>SUM(D7:D41)</f>
        <v>15.057999999999998</v>
      </c>
      <c r="E42" s="5">
        <f>SUM(E7:E41)</f>
        <v>801744.54499999981</v>
      </c>
      <c r="F42" s="8">
        <f>SUM(F7:F41)</f>
        <v>1</v>
      </c>
      <c r="G42" s="11">
        <f>SUM(G7:G41)</f>
        <v>2088000.0000000002</v>
      </c>
      <c r="H42" s="12">
        <f t="shared" ref="H42" si="8">G42/C42</f>
        <v>0.48938723468086709</v>
      </c>
    </row>
  </sheetData>
  <sortState xmlns:xlrd2="http://schemas.microsoft.com/office/spreadsheetml/2017/richdata2" ref="B7:H41">
    <sortCondition ref="D7:D41"/>
  </sortState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D486D267E8DA43B3919DA3386E8073" ma:contentTypeVersion="9" ma:contentTypeDescription="Create a new document." ma:contentTypeScope="" ma:versionID="13ae81e57ae235e05afe22cd74042181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8e5a6155-81d0-4b93-93b6-2738d35fba9d" targetNamespace="http://schemas.microsoft.com/office/2006/metadata/properties" ma:root="true" ma:fieldsID="7e64635d5d0209d77261f4c54f7261c6" ns1:_="" ns2:_="" ns3:_="">
    <xsd:import namespace="http://schemas.microsoft.com/sharepoint/v3"/>
    <xsd:import namespace="59da1016-2a1b-4f8a-9768-d7a4932f6f16"/>
    <xsd:import namespace="8e5a6155-81d0-4b93-93b6-2738d35fba9d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Meeting" minOccurs="0"/>
                <xsd:element ref="ns3:Categor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hidden="true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hidden="true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5a6155-81d0-4b93-93b6-2738d35fba9d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hidden="true" ma:internalName="Meta_x0020_Keywords" ma:readOnly="false">
      <xsd:simpleType>
        <xsd:restriction base="dms:Text"/>
      </xsd:simpleType>
    </xsd:element>
    <xsd:element name="Meeting" ma:index="15" nillable="true" ma:displayName="Meeting" ma:list="{b9f15d52-99b1-4580-8354-7a744ce580d8}" ma:internalName="Meeting" ma:showField="Meeting_x0020_Lookup_x0020_Refer">
      <xsd:simpleType>
        <xsd:restriction base="dms:Lookup"/>
      </xsd:simpleType>
    </xsd:element>
    <xsd:element name="Category" ma:index="16" nillable="true" ma:displayName="Category" ma:format="Dropdown" ma:internalName="Category">
      <xsd:simpleType>
        <xsd:restriction base="dms:Choice">
          <xsd:enumeration value="Public Health System Workforce Workgroup"/>
          <xsd:enumeration value="Public Health Equity Framework Workgroup"/>
          <xsd:enumeration value="Advisory Board"/>
          <xsd:enumeration value="Strategic Data Plan Subcommittee"/>
          <xsd:enumeration value="Accountability Metrics Subcommittee"/>
          <xsd:enumeration value="Public Health Modernization Funding Workgroup"/>
          <xsd:enumeration value="Incentives and Funding Subcommittee"/>
          <xsd:enumeration value="Charter and Bylaws Workgroup"/>
          <xsd:enumeration value="PHAB Prioritization Workgroup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 xsi:nil="true"/>
      <Description xsi:nil="true"/>
    </URL>
    <Meta_x0020_Description xmlns="8e5a6155-81d0-4b93-93b6-2738d35fba9d">SUB PHM Funding Formula June 16 22</Meta_x0020_Description>
    <Meta_x0020_Keywords xmlns="8e5a6155-81d0-4b93-93b6-2738d35fba9d" xsi:nil="true"/>
    <Category xmlns="8e5a6155-81d0-4b93-93b6-2738d35fba9d">Advisory Board</Category>
    <Meeting xmlns="8e5a6155-81d0-4b93-93b6-2738d35fba9d" xsi:nil="true"/>
  </documentManagement>
</p:properties>
</file>

<file path=customXml/itemProps1.xml><?xml version="1.0" encoding="utf-8"?>
<ds:datastoreItem xmlns:ds="http://schemas.openxmlformats.org/officeDocument/2006/customXml" ds:itemID="{1C2C29AE-01A5-4C85-A7F1-F7446BA2E962}"/>
</file>

<file path=customXml/itemProps2.xml><?xml version="1.0" encoding="utf-8"?>
<ds:datastoreItem xmlns:ds="http://schemas.openxmlformats.org/officeDocument/2006/customXml" ds:itemID="{2C860E76-3616-4EC0-87BB-533FE005FF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08300A-DBBE-466F-959F-1760DBC18956}">
  <ds:schemaRefs>
    <ds:schemaRef ds:uri="http://schemas.microsoft.com/office/2006/metadata/properties"/>
    <ds:schemaRef ds:uri="http://schemas.microsoft.com/office/infopath/2007/PartnerControls"/>
    <ds:schemaRef ds:uri="59da1016-2a1b-4f8a-9768-d7a4932f6f16"/>
    <ds:schemaRef ds:uri="09207eb7-70e0-4957-a658-5743f843bbb6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Input</vt:lpstr>
      <vt:lpstr>Summary</vt:lpstr>
      <vt:lpstr>County Data</vt:lpstr>
      <vt:lpstr>Population</vt:lpstr>
      <vt:lpstr>Floor</vt:lpstr>
      <vt:lpstr>Burden</vt:lpstr>
      <vt:lpstr>Health Status</vt:lpstr>
      <vt:lpstr>Ethnicity</vt:lpstr>
      <vt:lpstr>Rurality</vt:lpstr>
      <vt:lpstr>Poverty</vt:lpstr>
      <vt:lpstr>Education</vt:lpstr>
      <vt:lpstr>Language</vt:lpstr>
      <vt:lpstr>Matching</vt:lpstr>
      <vt:lpstr>Incentives</vt:lpstr>
      <vt:lpstr>'County Data'!Print_Area</vt:lpstr>
    </vt:vector>
  </TitlesOfParts>
  <Manager/>
  <Company>Oregon DHS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2022-06-16 Advisory Board Funding Formula</dc:title>
  <dc:subject/>
  <dc:creator>Curtis Christopher J</dc:creator>
  <cp:keywords/>
  <dc:description/>
  <cp:lastModifiedBy>Ceglie Adriane</cp:lastModifiedBy>
  <cp:revision/>
  <dcterms:created xsi:type="dcterms:W3CDTF">2016-05-10T19:52:04Z</dcterms:created>
  <dcterms:modified xsi:type="dcterms:W3CDTF">2024-06-17T21:48:14Z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0x010100E5D486D267E8DA43B3919DA3386E8073</vt:lpwstr>
  </property>
  <property fmtid="{D5CDD505-2E9C-101B-9397-08002B2CF9AE}" pid="3" name="MSIP_Label_ebdd6eeb-0dd0-4927-947e-a759f08fcf55_Enabled">
    <vt:lpwstr>true</vt:lpwstr>
  </property>
  <property fmtid="{D5CDD505-2E9C-101B-9397-08002B2CF9AE}" pid="4" name="MSIP_Label_ebdd6eeb-0dd0-4927-947e-a759f08fcf55_SetDate">
    <vt:lpwstr>2024-06-17T21:48:14Z</vt:lpwstr>
  </property>
  <property fmtid="{D5CDD505-2E9C-101B-9397-08002B2CF9AE}" pid="5" name="MSIP_Label_ebdd6eeb-0dd0-4927-947e-a759f08fcf55_Method">
    <vt:lpwstr>Privileged</vt:lpwstr>
  </property>
  <property fmtid="{D5CDD505-2E9C-101B-9397-08002B2CF9AE}" pid="6" name="MSIP_Label_ebdd6eeb-0dd0-4927-947e-a759f08fcf55_Name">
    <vt:lpwstr>Level 1 - Published (Items)</vt:lpwstr>
  </property>
  <property fmtid="{D5CDD505-2E9C-101B-9397-08002B2CF9AE}" pid="7" name="MSIP_Label_ebdd6eeb-0dd0-4927-947e-a759f08fcf55_SiteId">
    <vt:lpwstr>658e63e8-8d39-499c-8f48-13adc9452f4c</vt:lpwstr>
  </property>
  <property fmtid="{D5CDD505-2E9C-101B-9397-08002B2CF9AE}" pid="8" name="MSIP_Label_ebdd6eeb-0dd0-4927-947e-a759f08fcf55_ActionId">
    <vt:lpwstr>4c8b83b6-e083-46c9-af01-ce00626ef4aa</vt:lpwstr>
  </property>
  <property fmtid="{D5CDD505-2E9C-101B-9397-08002B2CF9AE}" pid="9" name="MSIP_Label_ebdd6eeb-0dd0-4927-947e-a759f08fcf55_ContentBits">
    <vt:lpwstr>0</vt:lpwstr>
  </property>
</Properties>
</file>