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S:\Offices\Portland (800 NE Oregon St)\INFORMATICS\THEO App Support\"/>
    </mc:Choice>
  </mc:AlternateContent>
  <xr:revisionPtr revIDLastSave="0" documentId="8_{60AD9733-86EB-41B3-9A09-AE74E9DE6B72}" xr6:coauthVersionLast="47" xr6:coauthVersionMax="47" xr10:uidLastSave="{00000000-0000-0000-0000-000000000000}"/>
  <bookViews>
    <workbookView xWindow="-120" yWindow="-120" windowWidth="25440" windowHeight="15390" tabRatio="760" xr2:uid="{00000000-000D-0000-FFFF-FFFF00000000}"/>
  </bookViews>
  <sheets>
    <sheet name="Perinatal Enrollment" sheetId="2" r:id="rId1"/>
    <sheet name="Caregiver Enrollment" sheetId="5" r:id="rId2"/>
    <sheet name="Child Enrollment" sheetId="4" r:id="rId3"/>
    <sheet name="Day Counts" sheetId="3" state="hidden" r:id="rId4"/>
  </sheets>
  <definedNames>
    <definedName name="_xlnm.Print_Area" localSheetId="0">'Perinatal Enrollment'!$A$1:$S$52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D46" i="2"/>
  <c r="B46" i="2"/>
  <c r="B38" i="2"/>
  <c r="B75" i="4"/>
  <c r="B71" i="4"/>
  <c r="B32" i="4"/>
  <c r="D63" i="4"/>
  <c r="D67" i="4"/>
  <c r="D71" i="4"/>
  <c r="D75" i="4"/>
  <c r="D79" i="4"/>
  <c r="B79" i="4"/>
  <c r="B67" i="4"/>
  <c r="B63" i="4"/>
  <c r="B59" i="4"/>
  <c r="B54" i="4"/>
  <c r="B49" i="4"/>
  <c r="D59" i="4"/>
  <c r="D54" i="4"/>
  <c r="D49" i="4"/>
  <c r="D38" i="4"/>
  <c r="D42" i="4"/>
  <c r="B42" i="4"/>
  <c r="B38" i="4"/>
  <c r="B37" i="4"/>
  <c r="B31" i="4"/>
  <c r="B26" i="4"/>
  <c r="B22" i="4"/>
  <c r="D37" i="4"/>
  <c r="D32" i="4"/>
  <c r="D31" i="4"/>
  <c r="D26" i="4"/>
  <c r="D22" i="4"/>
  <c r="D17" i="4"/>
  <c r="B27" i="5" l="1"/>
  <c r="G11" i="4"/>
  <c r="G10" i="4"/>
  <c r="G8" i="4"/>
  <c r="G9" i="4"/>
  <c r="I8" i="4"/>
  <c r="I11" i="4"/>
  <c r="I10" i="4"/>
  <c r="I9" i="4"/>
  <c r="I7" i="4"/>
  <c r="G7" i="4"/>
  <c r="D104" i="5"/>
  <c r="B104" i="5"/>
  <c r="D36" i="5"/>
  <c r="B36" i="5"/>
  <c r="B20" i="2"/>
  <c r="D20" i="2"/>
  <c r="D29" i="2"/>
  <c r="B29" i="2"/>
  <c r="D95" i="5"/>
  <c r="B95" i="5"/>
  <c r="D87" i="5"/>
  <c r="B87" i="5"/>
  <c r="D70" i="5"/>
  <c r="D78" i="5"/>
  <c r="B78" i="5"/>
  <c r="B70" i="5"/>
  <c r="D61" i="5"/>
  <c r="B61" i="5"/>
  <c r="D53" i="5"/>
  <c r="B53" i="5"/>
  <c r="D44" i="5"/>
  <c r="B44" i="5"/>
  <c r="D27" i="5"/>
  <c r="D19" i="5"/>
  <c r="B19" i="5"/>
  <c r="B27" i="2"/>
  <c r="D94" i="5"/>
  <c r="B94" i="5"/>
  <c r="D77" i="5"/>
  <c r="B77" i="5"/>
  <c r="D60" i="5"/>
  <c r="D103" i="5" s="1"/>
  <c r="B60" i="5"/>
  <c r="D43" i="5"/>
  <c r="B43" i="5"/>
  <c r="B9" i="5"/>
  <c r="D9" i="5"/>
  <c r="B17" i="4"/>
  <c r="D7" i="4"/>
  <c r="B7" i="4"/>
  <c r="B103" i="5" l="1"/>
  <c r="D8" i="2"/>
  <c r="B8" i="2"/>
  <c r="G25" i="3" l="1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24" i="3"/>
  <c r="D23" i="3"/>
  <c r="G23" i="3"/>
  <c r="D24" i="3" l="1"/>
  <c r="D35" i="3" l="1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27" i="3"/>
  <c r="D28" i="3"/>
  <c r="D29" i="3"/>
  <c r="D30" i="3"/>
  <c r="D31" i="3"/>
  <c r="D32" i="3"/>
  <c r="D33" i="3"/>
  <c r="D34" i="3"/>
  <c r="D25" i="3"/>
  <c r="D26" i="3"/>
  <c r="Q3" i="3"/>
  <c r="R7" i="3"/>
  <c r="R11" i="3"/>
  <c r="R15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P15" i="3"/>
  <c r="O15" i="3"/>
  <c r="N15" i="3"/>
  <c r="M15" i="3"/>
  <c r="L15" i="3"/>
  <c r="K15" i="3"/>
  <c r="J15" i="3"/>
  <c r="I15" i="3"/>
  <c r="H15" i="3"/>
  <c r="G15" i="3"/>
  <c r="F15" i="3"/>
  <c r="P11" i="3"/>
  <c r="O11" i="3"/>
  <c r="N11" i="3"/>
  <c r="M11" i="3"/>
  <c r="L11" i="3"/>
  <c r="K11" i="3"/>
  <c r="J11" i="3"/>
  <c r="I11" i="3"/>
  <c r="H11" i="3"/>
  <c r="G11" i="3"/>
  <c r="F11" i="3"/>
  <c r="P7" i="3"/>
  <c r="O7" i="3"/>
  <c r="N7" i="3"/>
  <c r="M7" i="3"/>
  <c r="L7" i="3"/>
  <c r="K7" i="3"/>
  <c r="J7" i="3"/>
  <c r="I7" i="3"/>
  <c r="H7" i="3"/>
  <c r="G7" i="3"/>
  <c r="F7" i="3"/>
  <c r="P3" i="3"/>
  <c r="O3" i="3"/>
  <c r="N3" i="3"/>
  <c r="M3" i="3"/>
  <c r="L3" i="3"/>
  <c r="K3" i="3"/>
  <c r="J3" i="3"/>
  <c r="F3" i="3"/>
  <c r="I3" i="3"/>
  <c r="H3" i="3"/>
  <c r="G3" i="3"/>
  <c r="Q15" i="3"/>
  <c r="Q11" i="3"/>
  <c r="Q7" i="3"/>
  <c r="B2" i="3" l="1"/>
</calcChain>
</file>

<file path=xl/sharedStrings.xml><?xml version="1.0" encoding="utf-8"?>
<sst xmlns="http://schemas.openxmlformats.org/spreadsheetml/2006/main" count="370" uniqueCount="138">
  <si>
    <t>Child's DOB:</t>
  </si>
  <si>
    <t>Expected Due Date:</t>
  </si>
  <si>
    <t>to</t>
  </si>
  <si>
    <t xml:space="preserve">Parent Name:  </t>
  </si>
  <si>
    <t>Prenatal History and Physical Assessment</t>
  </si>
  <si>
    <t>Social Determinants of Health</t>
  </si>
  <si>
    <t>Environmental Exposure</t>
  </si>
  <si>
    <t>Intimate Partner Violence</t>
  </si>
  <si>
    <t>Perinatal Mood Disorder</t>
  </si>
  <si>
    <t>Reproductive Life Plan</t>
  </si>
  <si>
    <t>Perinatal Substance Use</t>
  </si>
  <si>
    <t>Parent-child Interaction</t>
  </si>
  <si>
    <t>Development</t>
  </si>
  <si>
    <t>Physical Assessment and measurements</t>
  </si>
  <si>
    <t>Intimate Partner Violence (complete within 3 months of enrollment)</t>
  </si>
  <si>
    <t xml:space="preserve">Child Name:  </t>
  </si>
  <si>
    <t xml:space="preserve">one year = </t>
  </si>
  <si>
    <t xml:space="preserve">one month = </t>
  </si>
  <si>
    <t xml:space="preserve"> days</t>
  </si>
  <si>
    <t>Number of months:</t>
  </si>
  <si>
    <t>Number of days:</t>
  </si>
  <si>
    <t>5 years 6 months</t>
  </si>
  <si>
    <t>4 years 6 months</t>
  </si>
  <si>
    <t>5 years</t>
  </si>
  <si>
    <t>6 years</t>
  </si>
  <si>
    <t>6 years 6 months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</si>
  <si>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</si>
  <si>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</si>
  <si>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</si>
  <si>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</si>
  <si>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</si>
  <si>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</si>
  <si>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</si>
  <si>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</si>
  <si>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</si>
  <si>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</si>
  <si>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</si>
  <si>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</si>
  <si>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</si>
  <si>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</si>
  <si>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</si>
  <si>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STOP</t>
  </si>
  <si>
    <t>7 years 6 months</t>
  </si>
  <si>
    <t>8 years 6 months</t>
  </si>
  <si>
    <t>9 years 6 months</t>
  </si>
  <si>
    <t>10 years 6 months</t>
  </si>
  <si>
    <t>11 years 6 months</t>
  </si>
  <si>
    <t>12 years 6 months</t>
  </si>
  <si>
    <t>13 years 6 months</t>
  </si>
  <si>
    <t>14 years 6 months</t>
  </si>
  <si>
    <t>15 years 6 months</t>
  </si>
  <si>
    <t>16 years 6 months</t>
  </si>
  <si>
    <t>17 years 6 months</t>
  </si>
  <si>
    <t>18 years 6 months</t>
  </si>
  <si>
    <t>19 years 6 months</t>
  </si>
  <si>
    <t>20 years 6 months</t>
  </si>
  <si>
    <t>Y</t>
  </si>
  <si>
    <t>M</t>
  </si>
  <si>
    <t>D</t>
  </si>
  <si>
    <t>D (M-1)</t>
  </si>
  <si>
    <t>ROUND(F21*30.4375,0)-1</t>
  </si>
  <si>
    <t>From</t>
  </si>
  <si>
    <t>To</t>
  </si>
  <si>
    <t xml:space="preserve">ID# Child:  </t>
  </si>
  <si>
    <t>Parent-Child Interaction</t>
  </si>
  <si>
    <t>Physical Assessment and Measurements</t>
  </si>
  <si>
    <t>Mother's Enrollment Date:</t>
  </si>
  <si>
    <t>Child's Enrollment Date:</t>
  </si>
  <si>
    <t xml:space="preserve">ID# Parent:  </t>
  </si>
  <si>
    <t>Gestational Diabetes Mellitus Assessment</t>
  </si>
  <si>
    <t>Date Range for Assessment Completion</t>
  </si>
  <si>
    <t>(THEO) Babies First! - Caregiver Survey</t>
  </si>
  <si>
    <t>(THEO) Babies First! and CaCoon - Client Enrollment Survey</t>
  </si>
  <si>
    <t>(THEO) Babies First! and CaCoon - Caregiver Survey</t>
  </si>
  <si>
    <t>Breastfeeding promotion</t>
  </si>
  <si>
    <t>Postpartum History and Physical Assessment</t>
  </si>
  <si>
    <t>Intimate partner violence</t>
  </si>
  <si>
    <t>Breastfeeding promotion and support</t>
  </si>
  <si>
    <t>Newborn, Infant, Toddler History and Physical Assessment</t>
  </si>
  <si>
    <t>ASQ-3</t>
  </si>
  <si>
    <t>Oral Health Screening Guide</t>
  </si>
  <si>
    <t>ASQ-SE</t>
  </si>
  <si>
    <t>ASQ-3 and ASQ- SE</t>
  </si>
  <si>
    <t>Substance Use</t>
  </si>
  <si>
    <t>Mood Disorder</t>
  </si>
  <si>
    <t xml:space="preserve">(THEO) Babies First! and CaCoon - Client Enrollment Survey </t>
  </si>
  <si>
    <t>Caregiver's Enrollment Date:</t>
  </si>
  <si>
    <t>Parent's Enrollment Date:</t>
  </si>
  <si>
    <t>TCM Assessment and Plan</t>
  </si>
  <si>
    <t>Oral health (see Newborn, Infant, Toddler History and Physical Assessment)</t>
  </si>
  <si>
    <t>Child Enrollment (within 30 days of enrollment)</t>
  </si>
  <si>
    <t>Birth - Baby 2 Months Old (+/- 30 days)</t>
  </si>
  <si>
    <t>Baby 2 - 3 Months Old (+/- 30 days)</t>
  </si>
  <si>
    <t>Baby 4 - 5 Months Old (+/- 30 days)</t>
  </si>
  <si>
    <t>Baby 6 - 7 Months Old (+/- 30 days)</t>
  </si>
  <si>
    <t>Baby 8 - 10 Months Old (+/- 30 days)</t>
  </si>
  <si>
    <t>Child 12 Months Old (+/- 30 days)</t>
  </si>
  <si>
    <t>Child 18 Months Old (+/- 30 days)</t>
  </si>
  <si>
    <t>Child 24 Months Old (+/- 30 days)</t>
  </si>
  <si>
    <t>Child 30 Months Old (+/- 30 days)</t>
  </si>
  <si>
    <t>Child 36 Months Old (+/- 30 days)</t>
  </si>
  <si>
    <t>Child 42 Months Old (+/- 30 days)</t>
  </si>
  <si>
    <t>Child 48 Months Old (+/- 30 days)</t>
  </si>
  <si>
    <t>Child 54 Months Old (+/- 30 days)</t>
  </si>
  <si>
    <t>Babies First! Assessment &amp; THEO Data Collection Schedule</t>
  </si>
  <si>
    <t>Third Trimester (36 weeks prenatal +/- 30 days)</t>
  </si>
  <si>
    <t>Caregiver 6 Months Postpartum (+/- 30 days)</t>
  </si>
  <si>
    <t>Caregiver 12 Months Postpartum (+/- 30 days)</t>
  </si>
  <si>
    <t>Postpartum caregiver becomes a Caregiver after 12 months - see Caregiver Enrollment tab</t>
  </si>
  <si>
    <t>Caregiver 1 to 8 Weeks Postpartum</t>
  </si>
  <si>
    <t>Birth</t>
  </si>
  <si>
    <t>Second Trimester (25 weeks prenatal +/- 30 days)</t>
  </si>
  <si>
    <t>TCM Assessment and Plan at enrollment</t>
  </si>
  <si>
    <t>TCM Assessment and Plan Collection Times (+/- 30 days)</t>
  </si>
  <si>
    <t>TCM Assessment and Plan at 24 months of enrollment</t>
  </si>
  <si>
    <t>TCM Assessment and Plan at 36 months of enrollment</t>
  </si>
  <si>
    <t>TCM Assessment and Plan at 48 months of enrollment</t>
  </si>
  <si>
    <r>
      <t>TCM Assessment and Plan at 12 months of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enrollment</t>
    </r>
  </si>
  <si>
    <t>6th Month of Enrollment (+/- 30 days)</t>
  </si>
  <si>
    <t>12th Month of Enrollment (+/- 30 days)</t>
  </si>
  <si>
    <t>18th Month of Enrollment (+/- 30 days)</t>
  </si>
  <si>
    <t>24th Month of Enrollment (+/- 30 days)</t>
  </si>
  <si>
    <t>30th Month of Enrollment (+/- 30 days)</t>
  </si>
  <si>
    <t>36th Month of Enrollment (+/- 30 days)</t>
  </si>
  <si>
    <t>42nd Month of Enrollment (+/- 30 days)</t>
  </si>
  <si>
    <t>48th Month of Enrollment (+/- 30 days)</t>
  </si>
  <si>
    <t>54th Month of Enrollment (+/- 30 days)</t>
  </si>
  <si>
    <t>60th Month of Enrollment (+/- 30 days)</t>
  </si>
  <si>
    <t>66th Month of Enrollment (for clients enrolled prenatally) (+/- 30 days)</t>
  </si>
  <si>
    <t xml:space="preserve"> 
(THEO) Babies First! and CaCoon - Client Enrollment Survey</t>
  </si>
  <si>
    <t>(THEO) Babies First! and CaCoon - Infant and Child Survey</t>
  </si>
  <si>
    <t>Prenatal Enrollment (within 30 days of enrollment)</t>
  </si>
  <si>
    <t>(THEO) Babies First! and CaCoon - Client Disenrollment Survey</t>
  </si>
  <si>
    <t>Client Disenrollment</t>
  </si>
  <si>
    <t>Whenever client disenrolls</t>
  </si>
  <si>
    <t>Caregiver Enrollment (+ 30 days)</t>
  </si>
  <si>
    <t>Child 60 Months Old (- 30 days)</t>
  </si>
  <si>
    <t>Updated 2/21/2024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</si>
</sst>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0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sz val="10"/>
      <name val="Arial"/>
      <family val="2"/>
    </font>
    <font>
      <sz val="20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auto="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0" tint="-0.34998626667073579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 tint="-0.34998626667073579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34998626667073579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2" fillId="5" borderId="0" applyNumberFormat="0" applyBorder="0" applyAlignment="0" applyProtection="0"/>
    <xf numFmtId="0" fontId="3" fillId="6" borderId="0" applyNumberFormat="0" applyBorder="0" applyAlignment="0" applyProtection="0"/>
  </cellStyleXfs>
  <cellXfs count="24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8" borderId="0" xfId="0" applyFont="1" applyFill="1" applyAlignment="1">
      <alignment horizontal="right"/>
    </xf>
    <xf numFmtId="0" fontId="5" fillId="8" borderId="5" xfId="0" applyFont="1" applyFill="1" applyBorder="1" applyAlignment="1">
      <alignment horizontal="right"/>
    </xf>
    <xf numFmtId="0" fontId="5" fillId="8" borderId="6" xfId="0" applyFont="1" applyFill="1" applyBorder="1"/>
    <xf numFmtId="0" fontId="5" fillId="8" borderId="7" xfId="0" applyFont="1" applyFill="1" applyBorder="1" applyAlignment="1">
      <alignment horizontal="left"/>
    </xf>
    <xf numFmtId="0" fontId="5" fillId="8" borderId="8" xfId="0" applyFont="1" applyFill="1" applyBorder="1" applyAlignment="1">
      <alignment horizontal="right"/>
    </xf>
    <xf numFmtId="0" fontId="5" fillId="8" borderId="9" xfId="0" applyFont="1" applyFill="1" applyBorder="1"/>
    <xf numFmtId="0" fontId="5" fillId="8" borderId="10" xfId="0" applyFont="1" applyFill="1" applyBorder="1" applyAlignment="1">
      <alignment horizontal="left"/>
    </xf>
    <xf numFmtId="0" fontId="7" fillId="0" borderId="0" xfId="0" applyFont="1"/>
    <xf numFmtId="0" fontId="7" fillId="8" borderId="0" xfId="0" applyFont="1" applyFill="1"/>
    <xf numFmtId="0" fontId="7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14" fontId="9" fillId="0" borderId="0" xfId="0" applyNumberFormat="1" applyFont="1" applyAlignment="1"/>
    <xf numFmtId="0" fontId="7" fillId="0" borderId="0" xfId="0" applyFont="1" applyBorder="1" applyAlignment="1">
      <alignment horizontal="right"/>
    </xf>
    <xf numFmtId="14" fontId="10" fillId="0" borderId="0" xfId="0" applyNumberFormat="1" applyFont="1" applyFill="1" applyBorder="1" applyAlignment="1">
      <alignment horizontal="left"/>
    </xf>
    <xf numFmtId="14" fontId="8" fillId="0" borderId="0" xfId="0" applyNumberFormat="1" applyFont="1"/>
    <xf numFmtId="0" fontId="8" fillId="0" borderId="0" xfId="0" applyFont="1" applyBorder="1"/>
    <xf numFmtId="0" fontId="7" fillId="0" borderId="0" xfId="0" applyFont="1" applyBorder="1" applyAlignment="1"/>
    <xf numFmtId="0" fontId="9" fillId="7" borderId="0" xfId="0" applyFont="1" applyFill="1" applyAlignment="1"/>
    <xf numFmtId="0" fontId="8" fillId="0" borderId="0" xfId="0" applyFont="1" applyAlignment="1"/>
    <xf numFmtId="0" fontId="8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4" borderId="0" xfId="0" applyFont="1" applyFill="1"/>
    <xf numFmtId="0" fontId="11" fillId="0" borderId="0" xfId="0" applyFont="1"/>
    <xf numFmtId="0" fontId="11" fillId="4" borderId="0" xfId="0" applyFont="1" applyFill="1" applyAlignment="1">
      <alignment horizontal="right"/>
    </xf>
    <xf numFmtId="0" fontId="11" fillId="4" borderId="0" xfId="0" applyFont="1" applyFill="1"/>
    <xf numFmtId="0" fontId="7" fillId="0" borderId="0" xfId="0" applyFont="1" applyFill="1"/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8" borderId="0" xfId="0" applyFont="1" applyFill="1"/>
    <xf numFmtId="0" fontId="6" fillId="4" borderId="0" xfId="0" applyFont="1" applyFill="1"/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 applyAlignment="1">
      <alignment horizontal="left"/>
    </xf>
    <xf numFmtId="0" fontId="6" fillId="9" borderId="0" xfId="0" applyFont="1" applyFill="1"/>
    <xf numFmtId="0" fontId="6" fillId="9" borderId="0" xfId="0" applyFont="1" applyFill="1" applyAlignment="1">
      <alignment horizontal="right"/>
    </xf>
    <xf numFmtId="0" fontId="4" fillId="0" borderId="18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4" fillId="7" borderId="18" xfId="0" applyFont="1" applyFill="1" applyBorder="1" applyAlignment="1"/>
    <xf numFmtId="0" fontId="4" fillId="7" borderId="16" xfId="0" applyFont="1" applyFill="1" applyBorder="1" applyAlignment="1">
      <alignment horizontal="left"/>
    </xf>
    <xf numFmtId="0" fontId="4" fillId="7" borderId="18" xfId="0" applyFont="1" applyFill="1" applyBorder="1" applyAlignment="1">
      <alignment horizontal="left"/>
    </xf>
    <xf numFmtId="0" fontId="4" fillId="0" borderId="4" xfId="2" applyFont="1" applyFill="1" applyBorder="1" applyAlignment="1">
      <alignment horizontal="left"/>
    </xf>
    <xf numFmtId="14" fontId="13" fillId="3" borderId="1" xfId="0" quotePrefix="1" applyNumberFormat="1" applyFont="1" applyFill="1" applyBorder="1" applyAlignment="1">
      <alignment horizontal="center"/>
    </xf>
    <xf numFmtId="14" fontId="13" fillId="3" borderId="1" xfId="0" applyNumberFormat="1" applyFont="1" applyFill="1" applyBorder="1" applyAlignment="1">
      <alignment horizontal="center"/>
    </xf>
    <xf numFmtId="0" fontId="4" fillId="0" borderId="18" xfId="1" applyFont="1" applyFill="1" applyBorder="1" applyAlignment="1">
      <alignment horizontal="left"/>
    </xf>
    <xf numFmtId="0" fontId="7" fillId="2" borderId="13" xfId="0" applyFont="1" applyFill="1" applyBorder="1" applyAlignment="1">
      <alignment horizontal="left" vertical="center"/>
    </xf>
    <xf numFmtId="14" fontId="13" fillId="11" borderId="2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/>
    <xf numFmtId="0" fontId="15" fillId="0" borderId="0" xfId="0" applyFont="1" applyBorder="1" applyAlignment="1"/>
    <xf numFmtId="0" fontId="15" fillId="0" borderId="0" xfId="0" applyFont="1" applyAlignment="1"/>
    <xf numFmtId="0" fontId="4" fillId="0" borderId="21" xfId="2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Border="1" applyAlignment="1"/>
    <xf numFmtId="0" fontId="15" fillId="0" borderId="0" xfId="0" applyFont="1"/>
    <xf numFmtId="14" fontId="6" fillId="0" borderId="0" xfId="0" applyNumberFormat="1" applyFont="1"/>
    <xf numFmtId="0" fontId="15" fillId="0" borderId="0" xfId="0" applyFont="1" applyBorder="1"/>
    <xf numFmtId="0" fontId="18" fillId="7" borderId="0" xfId="0" applyFont="1" applyFill="1" applyAlignment="1"/>
    <xf numFmtId="14" fontId="15" fillId="4" borderId="19" xfId="2" applyNumberFormat="1" applyFont="1" applyFill="1" applyBorder="1" applyAlignment="1">
      <alignment horizontal="center" vertical="center"/>
    </xf>
    <xf numFmtId="14" fontId="15" fillId="0" borderId="0" xfId="0" applyNumberFormat="1" applyFont="1"/>
    <xf numFmtId="0" fontId="7" fillId="0" borderId="0" xfId="0" applyFont="1" applyFill="1" applyBorder="1" applyAlignment="1">
      <alignment horizontal="left" vertical="center"/>
    </xf>
    <xf numFmtId="0" fontId="4" fillId="0" borderId="18" xfId="1" applyFont="1" applyFill="1" applyBorder="1" applyAlignment="1">
      <alignment horizontal="left" wrapText="1"/>
    </xf>
    <xf numFmtId="0" fontId="7" fillId="11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15" fillId="4" borderId="19" xfId="2" applyFont="1" applyFill="1" applyBorder="1" applyAlignment="1">
      <alignment horizontal="center" vertical="center"/>
    </xf>
    <xf numFmtId="14" fontId="15" fillId="4" borderId="20" xfId="2" applyNumberFormat="1" applyFont="1" applyFill="1" applyBorder="1" applyAlignment="1">
      <alignment horizontal="center" vertical="center"/>
    </xf>
    <xf numFmtId="14" fontId="8" fillId="0" borderId="0" xfId="0" applyNumberFormat="1" applyFont="1" applyAlignment="1"/>
    <xf numFmtId="0" fontId="4" fillId="0" borderId="4" xfId="2" applyFont="1" applyFill="1" applyBorder="1" applyAlignment="1">
      <alignment horizontal="left" wrapText="1"/>
    </xf>
    <xf numFmtId="164" fontId="8" fillId="0" borderId="0" xfId="0" applyNumberFormat="1" applyFont="1" applyAlignment="1"/>
    <xf numFmtId="14" fontId="15" fillId="0" borderId="0" xfId="0" applyNumberFormat="1" applyFont="1" applyFill="1" applyBorder="1" applyAlignment="1"/>
    <xf numFmtId="0" fontId="7" fillId="4" borderId="18" xfId="2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4" fillId="0" borderId="23" xfId="2" applyFont="1" applyFill="1" applyBorder="1" applyAlignment="1">
      <alignment horizontal="left"/>
    </xf>
    <xf numFmtId="0" fontId="4" fillId="0" borderId="24" xfId="2" applyFont="1" applyFill="1" applyBorder="1" applyAlignment="1">
      <alignment horizontal="left"/>
    </xf>
    <xf numFmtId="0" fontId="4" fillId="0" borderId="25" xfId="2" applyFont="1" applyFill="1" applyBorder="1" applyAlignment="1">
      <alignment horizontal="left"/>
    </xf>
    <xf numFmtId="0" fontId="4" fillId="0" borderId="23" xfId="1" applyFont="1" applyFill="1" applyBorder="1" applyAlignment="1">
      <alignment horizontal="left"/>
    </xf>
    <xf numFmtId="0" fontId="4" fillId="0" borderId="24" xfId="1" applyFont="1" applyFill="1" applyBorder="1" applyAlignment="1">
      <alignment horizontal="left"/>
    </xf>
    <xf numFmtId="0" fontId="4" fillId="0" borderId="22" xfId="2" applyFont="1" applyFill="1" applyBorder="1" applyAlignment="1">
      <alignment horizontal="left"/>
    </xf>
    <xf numFmtId="0" fontId="4" fillId="0" borderId="25" xfId="1" applyFont="1" applyFill="1" applyBorder="1" applyAlignment="1">
      <alignment horizontal="left"/>
    </xf>
    <xf numFmtId="0" fontId="7" fillId="10" borderId="21" xfId="0" applyFont="1" applyFill="1" applyBorder="1" applyAlignment="1">
      <alignment horizontal="left" vertical="center" wrapText="1"/>
    </xf>
    <xf numFmtId="164" fontId="8" fillId="0" borderId="40" xfId="1" applyNumberFormat="1" applyFont="1" applyFill="1" applyBorder="1" applyAlignment="1">
      <alignment horizontal="center" vertical="center"/>
    </xf>
    <xf numFmtId="164" fontId="8" fillId="0" borderId="41" xfId="1" applyNumberFormat="1" applyFont="1" applyFill="1" applyBorder="1" applyAlignment="1">
      <alignment horizontal="center" vertical="center"/>
    </xf>
    <xf numFmtId="164" fontId="8" fillId="0" borderId="42" xfId="1" applyNumberFormat="1" applyFont="1" applyFill="1" applyBorder="1" applyAlignment="1">
      <alignment horizontal="center" vertical="center"/>
    </xf>
    <xf numFmtId="14" fontId="8" fillId="0" borderId="54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14" fontId="8" fillId="0" borderId="42" xfId="0" applyNumberFormat="1" applyFont="1" applyBorder="1" applyAlignment="1">
      <alignment horizontal="center"/>
    </xf>
    <xf numFmtId="164" fontId="8" fillId="0" borderId="54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4" fontId="8" fillId="0" borderId="54" xfId="1" applyNumberFormat="1" applyFont="1" applyFill="1" applyBorder="1" applyAlignment="1">
      <alignment horizontal="center" vertical="center"/>
    </xf>
    <xf numFmtId="14" fontId="8" fillId="0" borderId="41" xfId="1" applyNumberFormat="1" applyFont="1" applyFill="1" applyBorder="1" applyAlignment="1">
      <alignment horizontal="center" vertical="center"/>
    </xf>
    <xf numFmtId="14" fontId="8" fillId="0" borderId="42" xfId="1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/>
    <xf numFmtId="14" fontId="8" fillId="0" borderId="18" xfId="1" applyNumberFormat="1" applyFont="1" applyFill="1" applyBorder="1" applyAlignment="1">
      <alignment horizontal="center" vertical="center"/>
    </xf>
    <xf numFmtId="14" fontId="8" fillId="7" borderId="19" xfId="2" applyNumberFormat="1" applyFont="1" applyFill="1" applyBorder="1" applyAlignment="1">
      <alignment horizontal="center" vertical="center"/>
    </xf>
    <xf numFmtId="14" fontId="8" fillId="0" borderId="20" xfId="1" applyNumberFormat="1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14" fontId="8" fillId="0" borderId="43" xfId="2" applyNumberFormat="1" applyFont="1" applyFill="1" applyBorder="1" applyAlignment="1">
      <alignment horizontal="center" vertical="center"/>
    </xf>
    <xf numFmtId="14" fontId="8" fillId="0" borderId="45" xfId="2" applyNumberFormat="1" applyFont="1" applyFill="1" applyBorder="1" applyAlignment="1">
      <alignment horizontal="center" vertical="center"/>
    </xf>
    <xf numFmtId="14" fontId="8" fillId="0" borderId="47" xfId="2" applyNumberFormat="1" applyFont="1" applyFill="1" applyBorder="1" applyAlignment="1">
      <alignment horizontal="center" vertical="center"/>
    </xf>
    <xf numFmtId="14" fontId="8" fillId="0" borderId="31" xfId="2" applyNumberFormat="1" applyFont="1" applyFill="1" applyBorder="1" applyAlignment="1">
      <alignment horizontal="center" vertical="center"/>
    </xf>
    <xf numFmtId="14" fontId="8" fillId="0" borderId="34" xfId="2" applyNumberFormat="1" applyFont="1" applyFill="1" applyBorder="1" applyAlignment="1">
      <alignment horizontal="center" vertical="center"/>
    </xf>
    <xf numFmtId="14" fontId="8" fillId="0" borderId="37" xfId="2" applyNumberFormat="1" applyFont="1" applyFill="1" applyBorder="1" applyAlignment="1">
      <alignment horizontal="center" vertical="center"/>
    </xf>
    <xf numFmtId="14" fontId="8" fillId="0" borderId="32" xfId="2" applyNumberFormat="1" applyFont="1" applyFill="1" applyBorder="1" applyAlignment="1">
      <alignment horizontal="center" vertical="center"/>
    </xf>
    <xf numFmtId="14" fontId="8" fillId="0" borderId="35" xfId="2" applyNumberFormat="1" applyFont="1" applyFill="1" applyBorder="1" applyAlignment="1">
      <alignment horizontal="center" vertical="center"/>
    </xf>
    <xf numFmtId="14" fontId="8" fillId="0" borderId="38" xfId="2" applyNumberFormat="1" applyFont="1" applyFill="1" applyBorder="1" applyAlignment="1">
      <alignment horizontal="center" vertical="center"/>
    </xf>
    <xf numFmtId="14" fontId="8" fillId="0" borderId="33" xfId="2" applyNumberFormat="1" applyFont="1" applyFill="1" applyBorder="1" applyAlignment="1">
      <alignment horizontal="center" vertical="center"/>
    </xf>
    <xf numFmtId="14" fontId="8" fillId="0" borderId="36" xfId="2" applyNumberFormat="1" applyFont="1" applyFill="1" applyBorder="1" applyAlignment="1">
      <alignment horizontal="center" vertical="center"/>
    </xf>
    <xf numFmtId="14" fontId="8" fillId="0" borderId="39" xfId="2" applyNumberFormat="1" applyFont="1" applyFill="1" applyBorder="1" applyAlignment="1">
      <alignment horizontal="center" vertical="center"/>
    </xf>
    <xf numFmtId="164" fontId="8" fillId="0" borderId="31" xfId="1" applyNumberFormat="1" applyFont="1" applyFill="1" applyBorder="1" applyAlignment="1">
      <alignment horizontal="center" vertical="center"/>
    </xf>
    <xf numFmtId="164" fontId="8" fillId="0" borderId="34" xfId="1" applyNumberFormat="1" applyFont="1" applyFill="1" applyBorder="1" applyAlignment="1">
      <alignment horizontal="center" vertical="center"/>
    </xf>
    <xf numFmtId="164" fontId="8" fillId="0" borderId="37" xfId="1" applyNumberFormat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164" fontId="8" fillId="0" borderId="33" xfId="1" applyNumberFormat="1" applyFont="1" applyFill="1" applyBorder="1" applyAlignment="1">
      <alignment horizontal="center" vertical="center"/>
    </xf>
    <xf numFmtId="164" fontId="8" fillId="0" borderId="36" xfId="1" applyNumberFormat="1" applyFont="1" applyFill="1" applyBorder="1" applyAlignment="1">
      <alignment horizontal="center" vertical="center"/>
    </xf>
    <xf numFmtId="164" fontId="8" fillId="0" borderId="39" xfId="1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5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164" fontId="8" fillId="0" borderId="43" xfId="0" applyNumberFormat="1" applyFon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4" fontId="8" fillId="0" borderId="44" xfId="2" applyNumberFormat="1" applyFont="1" applyFill="1" applyBorder="1" applyAlignment="1">
      <alignment horizontal="center" vertical="center"/>
    </xf>
    <xf numFmtId="14" fontId="8" fillId="0" borderId="46" xfId="2" applyNumberFormat="1" applyFont="1" applyFill="1" applyBorder="1" applyAlignment="1">
      <alignment horizontal="center" vertical="center"/>
    </xf>
    <xf numFmtId="14" fontId="8" fillId="0" borderId="48" xfId="2" applyNumberFormat="1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14" fontId="8" fillId="0" borderId="49" xfId="2" applyNumberFormat="1" applyFont="1" applyFill="1" applyBorder="1" applyAlignment="1">
      <alignment horizontal="center" vertical="center"/>
    </xf>
    <xf numFmtId="14" fontId="8" fillId="0" borderId="50" xfId="2" applyNumberFormat="1" applyFont="1" applyFill="1" applyBorder="1" applyAlignment="1">
      <alignment horizontal="center" vertical="center"/>
    </xf>
    <xf numFmtId="14" fontId="8" fillId="0" borderId="51" xfId="2" applyNumberFormat="1" applyFont="1" applyFill="1" applyBorder="1" applyAlignment="1">
      <alignment horizontal="center" vertical="center"/>
    </xf>
    <xf numFmtId="14" fontId="8" fillId="0" borderId="52" xfId="2" applyNumberFormat="1" applyFont="1" applyFill="1" applyBorder="1" applyAlignment="1">
      <alignment horizontal="center" vertical="center"/>
    </xf>
    <xf numFmtId="14" fontId="8" fillId="0" borderId="53" xfId="2" applyNumberFormat="1" applyFont="1" applyFill="1" applyBorder="1" applyAlignment="1">
      <alignment horizontal="center" vertical="center"/>
    </xf>
    <xf numFmtId="14" fontId="8" fillId="0" borderId="55" xfId="2" applyNumberFormat="1" applyFont="1" applyFill="1" applyBorder="1" applyAlignment="1">
      <alignment horizontal="center" vertical="center"/>
    </xf>
    <xf numFmtId="14" fontId="8" fillId="0" borderId="28" xfId="2" applyNumberFormat="1" applyFont="1" applyFill="1" applyBorder="1" applyAlignment="1">
      <alignment horizontal="center" vertical="center"/>
    </xf>
    <xf numFmtId="14" fontId="8" fillId="0" borderId="29" xfId="2" applyNumberFormat="1" applyFont="1" applyFill="1" applyBorder="1" applyAlignment="1">
      <alignment horizontal="center" vertical="center"/>
    </xf>
    <xf numFmtId="14" fontId="8" fillId="0" borderId="30" xfId="2" applyNumberFormat="1" applyFont="1" applyFill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14" fontId="8" fillId="0" borderId="28" xfId="2" applyNumberFormat="1" applyFont="1" applyFill="1" applyBorder="1" applyAlignment="1">
      <alignment horizontal="center" vertical="center" wrapText="1"/>
    </xf>
    <xf numFmtId="14" fontId="8" fillId="0" borderId="29" xfId="2" applyNumberFormat="1" applyFont="1" applyFill="1" applyBorder="1" applyAlignment="1">
      <alignment horizontal="center" vertical="center" wrapText="1"/>
    </xf>
    <xf numFmtId="14" fontId="8" fillId="0" borderId="30" xfId="2" applyNumberFormat="1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14" fontId="8" fillId="0" borderId="49" xfId="2" applyNumberFormat="1" applyFont="1" applyFill="1" applyBorder="1" applyAlignment="1">
      <alignment horizontal="center" vertical="center" wrapText="1"/>
    </xf>
    <xf numFmtId="14" fontId="8" fillId="0" borderId="50" xfId="2" applyNumberFormat="1" applyFont="1" applyFill="1" applyBorder="1" applyAlignment="1">
      <alignment horizontal="center" vertical="center" wrapText="1"/>
    </xf>
    <xf numFmtId="14" fontId="8" fillId="0" borderId="51" xfId="2" applyNumberFormat="1" applyFont="1" applyFill="1" applyBorder="1" applyAlignment="1">
      <alignment horizontal="center" vertical="center" wrapText="1"/>
    </xf>
    <xf numFmtId="14" fontId="8" fillId="7" borderId="13" xfId="1" applyNumberFormat="1" applyFont="1" applyFill="1" applyBorder="1" applyAlignment="1">
      <alignment horizontal="center" vertical="center"/>
    </xf>
    <xf numFmtId="14" fontId="8" fillId="7" borderId="3" xfId="1" applyNumberFormat="1" applyFont="1" applyFill="1" applyBorder="1" applyAlignment="1">
      <alignment horizontal="center" vertical="center"/>
    </xf>
    <xf numFmtId="14" fontId="8" fillId="7" borderId="16" xfId="1" applyNumberFormat="1" applyFont="1" applyFill="1" applyBorder="1" applyAlignment="1">
      <alignment horizontal="center" vertical="center"/>
    </xf>
    <xf numFmtId="14" fontId="8" fillId="7" borderId="11" xfId="1" applyNumberFormat="1" applyFont="1" applyFill="1" applyBorder="1" applyAlignment="1">
      <alignment horizontal="center" vertical="center"/>
    </xf>
    <xf numFmtId="14" fontId="8" fillId="7" borderId="0" xfId="1" applyNumberFormat="1" applyFont="1" applyFill="1" applyBorder="1" applyAlignment="1">
      <alignment horizontal="center" vertical="center"/>
    </xf>
    <xf numFmtId="14" fontId="8" fillId="7" borderId="12" xfId="1" applyNumberFormat="1" applyFont="1" applyFill="1" applyBorder="1" applyAlignment="1">
      <alignment horizontal="center" vertical="center"/>
    </xf>
    <xf numFmtId="14" fontId="8" fillId="7" borderId="14" xfId="1" applyNumberFormat="1" applyFont="1" applyFill="1" applyBorder="1" applyAlignment="1">
      <alignment horizontal="center" vertical="center"/>
    </xf>
    <xf numFmtId="14" fontId="8" fillId="7" borderId="15" xfId="1" applyNumberFormat="1" applyFont="1" applyFill="1" applyBorder="1" applyAlignment="1">
      <alignment horizontal="center" vertical="center"/>
    </xf>
    <xf numFmtId="14" fontId="8" fillId="7" borderId="17" xfId="1" applyNumberFormat="1" applyFont="1" applyFill="1" applyBorder="1" applyAlignment="1">
      <alignment horizontal="center" vertical="center"/>
    </xf>
    <xf numFmtId="14" fontId="8" fillId="0" borderId="28" xfId="1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14" fontId="8" fillId="0" borderId="52" xfId="1" applyNumberFormat="1" applyFont="1" applyFill="1" applyBorder="1" applyAlignment="1">
      <alignment horizontal="center" vertical="center"/>
    </xf>
    <xf numFmtId="14" fontId="8" fillId="0" borderId="53" xfId="1" applyNumberFormat="1" applyFont="1" applyFill="1" applyBorder="1" applyAlignment="1">
      <alignment horizontal="center" vertical="center"/>
    </xf>
    <xf numFmtId="14" fontId="8" fillId="0" borderId="49" xfId="1" applyNumberFormat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14" fontId="8" fillId="7" borderId="11" xfId="2" applyNumberFormat="1" applyFont="1" applyFill="1" applyBorder="1" applyAlignment="1">
      <alignment horizontal="center" vertical="center"/>
    </xf>
    <xf numFmtId="14" fontId="8" fillId="7" borderId="0" xfId="2" applyNumberFormat="1" applyFont="1" applyFill="1" applyBorder="1" applyAlignment="1">
      <alignment horizontal="center" vertical="center"/>
    </xf>
    <xf numFmtId="14" fontId="8" fillId="7" borderId="13" xfId="2" applyNumberFormat="1" applyFont="1" applyFill="1" applyBorder="1" applyAlignment="1">
      <alignment horizontal="center" vertical="center"/>
    </xf>
    <xf numFmtId="14" fontId="8" fillId="7" borderId="3" xfId="2" applyNumberFormat="1" applyFont="1" applyFill="1" applyBorder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4" fontId="8" fillId="7" borderId="14" xfId="2" applyNumberFormat="1" applyFont="1" applyFill="1" applyBorder="1" applyAlignment="1">
      <alignment horizontal="center" vertical="center"/>
    </xf>
    <xf numFmtId="14" fontId="8" fillId="7" borderId="15" xfId="2" applyNumberFormat="1" applyFont="1" applyFill="1" applyBorder="1" applyAlignment="1">
      <alignment horizontal="center" vertical="center"/>
    </xf>
    <xf numFmtId="14" fontId="8" fillId="7" borderId="17" xfId="2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4" fontId="8" fillId="0" borderId="51" xfId="1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164" fontId="8" fillId="0" borderId="52" xfId="1" applyNumberFormat="1" applyFont="1" applyFill="1" applyBorder="1" applyAlignment="1">
      <alignment horizontal="center" vertical="center"/>
    </xf>
    <xf numFmtId="164" fontId="8" fillId="0" borderId="53" xfId="1" applyNumberFormat="1" applyFont="1" applyFill="1" applyBorder="1" applyAlignment="1">
      <alignment horizontal="center" vertical="center"/>
    </xf>
    <xf numFmtId="164" fontId="8" fillId="0" borderId="55" xfId="1" applyNumberFormat="1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4" fontId="8" fillId="0" borderId="55" xfId="1" applyNumberFormat="1" applyFont="1" applyFill="1" applyBorder="1" applyAlignment="1">
      <alignment horizontal="center" vertical="center"/>
    </xf>
    <xf numFmtId="14" fontId="8" fillId="7" borderId="12" xfId="2" applyNumberFormat="1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vertical="center"/>
    </xf>
    <xf numFmtId="0" fontId="0" fillId="10" borderId="19" xfId="0" applyFill="1" applyBorder="1" applyAlignment="1"/>
    <xf numFmtId="0" fontId="0" fillId="10" borderId="20" xfId="0" applyFill="1" applyBorder="1" applyAlignment="1"/>
    <xf numFmtId="0" fontId="7" fillId="9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1F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41008</xdr:colOff>
      <xdr:row>27</xdr:row>
      <xdr:rowOff>16795</xdr:rowOff>
    </xdr:from>
    <xdr:to>
      <xdr:col>23</xdr:col>
      <xdr:colOff>28574</xdr:colOff>
      <xdr:row>53</xdr:row>
      <xdr:rowOff>11906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D5F8E1-21B2-44CE-B219-DA5B72F5701E}"/>
            </a:ext>
          </a:extLst>
        </xdr:cNvPr>
        <xdr:cNvSpPr txBox="1"/>
      </xdr:nvSpPr>
      <xdr:spPr>
        <a:xfrm>
          <a:off x="9575533" y="6179470"/>
          <a:ext cx="4873891" cy="5681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/>
            <a:t>POSTNATAL</a:t>
          </a:r>
        </a:p>
        <a:p>
          <a:r>
            <a:rPr lang="en-US" sz="1300"/>
            <a:t>Blood Pressure every visit to 6 weeks or until hypertension resolved</a:t>
          </a:r>
        </a:p>
        <a:p>
          <a:r>
            <a:rPr lang="en-US" sz="1300"/>
            <a:t>Breastfeeding/latch at every visit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 TCM plan at every visit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TCM visit form at every visit at which a TCM service is provided</a:t>
          </a:r>
        </a:p>
        <a:p>
          <a:pPr eaLnBrk="1" fontAlgn="auto" latinLnBrk="0" hangingPunct="1"/>
          <a:r>
            <a:rPr lang="en-US" sz="13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(THEO) Babies First! and CaCoon - Every Visit Survey at every visit</a:t>
          </a:r>
          <a:endParaRPr lang="en-US" sz="1300">
            <a:effectLst/>
          </a:endParaRPr>
        </a:p>
      </xdr:txBody>
    </xdr:sp>
    <xdr:clientData/>
  </xdr:twoCellAnchor>
  <xdr:twoCellAnchor>
    <xdr:from>
      <xdr:col>4</xdr:col>
      <xdr:colOff>48683</xdr:colOff>
      <xdr:row>7</xdr:row>
      <xdr:rowOff>0</xdr:rowOff>
    </xdr:from>
    <xdr:to>
      <xdr:col>23</xdr:col>
      <xdr:colOff>19050</xdr:colOff>
      <xdr:row>27</xdr:row>
      <xdr:rowOff>475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43C7975-0E8B-4FD7-B21A-92916C669350}"/>
            </a:ext>
          </a:extLst>
        </xdr:cNvPr>
        <xdr:cNvSpPr txBox="1"/>
      </xdr:nvSpPr>
      <xdr:spPr>
        <a:xfrm>
          <a:off x="9583208" y="2090260"/>
          <a:ext cx="4856692" cy="407289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 b="1">
              <a:solidFill>
                <a:sysClr val="windowText" lastClr="000000"/>
              </a:solidFill>
            </a:rPr>
            <a:t>PRENATAL</a:t>
          </a:r>
        </a:p>
        <a:p>
          <a:r>
            <a:rPr lang="en-US" sz="1300">
              <a:solidFill>
                <a:sysClr val="windowText" lastClr="000000"/>
              </a:solidFill>
            </a:rPr>
            <a:t>Blood Pressure every visit, per guideline</a:t>
          </a:r>
        </a:p>
        <a:p>
          <a:r>
            <a:rPr lang="en-US" sz="1300">
              <a:solidFill>
                <a:sysClr val="windowText" lastClr="000000"/>
              </a:solidFill>
            </a:rPr>
            <a:t>Breastfeeding info/intent every visit, per guideline</a:t>
          </a:r>
        </a:p>
        <a:p>
          <a:r>
            <a:rPr lang="en-US" sz="1300">
              <a:solidFill>
                <a:sysClr val="windowText" lastClr="000000"/>
              </a:solidFill>
            </a:rPr>
            <a:t>Height/Weight/BMI</a:t>
          </a:r>
          <a:r>
            <a:rPr lang="en-US" sz="1300" baseline="0">
              <a:solidFill>
                <a:sysClr val="windowText" lastClr="000000"/>
              </a:solidFill>
            </a:rPr>
            <a:t> every visit, per guideline</a:t>
          </a:r>
          <a:endParaRPr lang="en-US" sz="1300">
            <a:solidFill>
              <a:sysClr val="windowText" lastClr="000000"/>
            </a:solidFill>
          </a:endParaRPr>
        </a:p>
        <a:p>
          <a:r>
            <a:rPr lang="en-US" sz="1300">
              <a:solidFill>
                <a:sysClr val="windowText" lastClr="000000"/>
              </a:solidFill>
            </a:rPr>
            <a:t>Review TCM plan at every visit</a:t>
          </a:r>
        </a:p>
        <a:p>
          <a:r>
            <a:rPr lang="en-US" sz="1300">
              <a:solidFill>
                <a:sysClr val="windowText" lastClr="000000"/>
              </a:solidFill>
            </a:rPr>
            <a:t>Environment</a:t>
          </a:r>
          <a:r>
            <a:rPr lang="en-US" sz="1300" baseline="0">
              <a:solidFill>
                <a:sysClr val="windowText" lastClr="000000"/>
              </a:solidFill>
            </a:rPr>
            <a:t> and Environmental Exposure every visit, per guideline</a:t>
          </a:r>
          <a:endParaRPr lang="en-US" sz="1300">
            <a:solidFill>
              <a:sysClr val="windowText" lastClr="000000"/>
            </a:solidFill>
          </a:endParaRPr>
        </a:p>
        <a:p>
          <a:r>
            <a:rPr lang="en-US" sz="1300">
              <a:solidFill>
                <a:sysClr val="windowText" lastClr="000000"/>
              </a:solidFill>
            </a:rPr>
            <a:t>TCM visit form at every visit at which a TCM service is provided.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(THEO) Babies First! and CaCoon - Every Visit Survey at every visit</a:t>
          </a:r>
        </a:p>
      </xdr:txBody>
    </xdr:sp>
    <xdr:clientData/>
  </xdr:twoCellAnchor>
  <xdr:twoCellAnchor>
    <xdr:from>
      <xdr:col>5</xdr:col>
      <xdr:colOff>243920</xdr:colOff>
      <xdr:row>1</xdr:row>
      <xdr:rowOff>143435</xdr:rowOff>
    </xdr:from>
    <xdr:to>
      <xdr:col>19</xdr:col>
      <xdr:colOff>132789</xdr:colOff>
      <xdr:row>3</xdr:row>
      <xdr:rowOff>107576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2EB98E2-7269-4B15-8656-D8A2341F571D}"/>
            </a:ext>
          </a:extLst>
        </xdr:cNvPr>
        <xdr:cNvSpPr txBox="1"/>
      </xdr:nvSpPr>
      <xdr:spPr>
        <a:xfrm>
          <a:off x="10051308" y="376517"/>
          <a:ext cx="3528540" cy="44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>
              <a:solidFill>
                <a:sysClr val="windowText" lastClr="000000"/>
              </a:solidFill>
            </a:rPr>
            <a:t>Please</a:t>
          </a:r>
          <a:r>
            <a:rPr lang="en-US" sz="1600" baseline="0">
              <a:solidFill>
                <a:sysClr val="windowText" lastClr="000000"/>
              </a:solidFill>
            </a:rPr>
            <a:t> enter these dates, as applicable</a:t>
          </a:r>
        </a:p>
        <a:p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63765</xdr:colOff>
      <xdr:row>4</xdr:row>
      <xdr:rowOff>239184</xdr:rowOff>
    </xdr:from>
    <xdr:to>
      <xdr:col>23</xdr:col>
      <xdr:colOff>9525</xdr:colOff>
      <xdr:row>6</xdr:row>
      <xdr:rowOff>228600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5BDDF11-22C1-4376-9807-C9C8E84FA5BB}"/>
            </a:ext>
          </a:extLst>
        </xdr:cNvPr>
        <xdr:cNvSpPr txBox="1"/>
      </xdr:nvSpPr>
      <xdr:spPr>
        <a:xfrm>
          <a:off x="9598290" y="1305984"/>
          <a:ext cx="4832085" cy="59901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ysClr val="windowText" lastClr="000000"/>
              </a:solidFill>
            </a:rPr>
            <a:t>TCM assessment and plan at every enrollment;</a:t>
          </a:r>
          <a:r>
            <a:rPr lang="en-US" sz="1600" baseline="0">
              <a:solidFill>
                <a:sysClr val="windowText" lastClr="000000"/>
              </a:solidFill>
            </a:rPr>
            <a:t> </a:t>
          </a:r>
        </a:p>
        <a:p>
          <a:r>
            <a:rPr lang="en-US" sz="1600" baseline="0">
              <a:solidFill>
                <a:sysClr val="windowText" lastClr="000000"/>
              </a:solidFill>
            </a:rPr>
            <a:t>Updated 1x/yr</a:t>
          </a:r>
        </a:p>
        <a:p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106016</xdr:colOff>
      <xdr:row>1</xdr:row>
      <xdr:rowOff>11907</xdr:rowOff>
    </xdr:from>
    <xdr:to>
      <xdr:col>5</xdr:col>
      <xdr:colOff>236465</xdr:colOff>
      <xdr:row>3</xdr:row>
      <xdr:rowOff>238541</xdr:rowOff>
    </xdr:to>
    <xdr:sp macro="" textlink="">
      <xdr:nvSpPr>
        <xdr:cNvPr id="11" name="Left Brace 10">
          <a:extLst>
            <a:ext uri="{FF2B5EF4-FFF2-40B4-BE49-F238E27FC236}">
              <a16:creationId xmlns:a16="http://schemas.microsoft.com/office/drawing/2014/main" id="{FE57DDDA-6FA9-4DEA-BC17-727131D8BCA8}"/>
            </a:ext>
          </a:extLst>
        </xdr:cNvPr>
        <xdr:cNvSpPr/>
      </xdr:nvSpPr>
      <xdr:spPr bwMode="auto">
        <a:xfrm flipH="1">
          <a:off x="9654207" y="243820"/>
          <a:ext cx="388867" cy="716964"/>
        </a:xfrm>
        <a:prstGeom prst="leftBrace">
          <a:avLst>
            <a:gd name="adj1" fmla="val 8333"/>
            <a:gd name="adj2" fmla="val 50000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120656</xdr:colOff>
      <xdr:row>1</xdr:row>
      <xdr:rowOff>148431</xdr:rowOff>
    </xdr:from>
    <xdr:to>
      <xdr:col>7</xdr:col>
      <xdr:colOff>228600</xdr:colOff>
      <xdr:row>4</xdr:row>
      <xdr:rowOff>115357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8E3A55A-6EAD-4D94-87BF-659FF2897775}"/>
            </a:ext>
          </a:extLst>
        </xdr:cNvPr>
        <xdr:cNvSpPr txBox="1"/>
      </xdr:nvSpPr>
      <xdr:spPr>
        <a:xfrm>
          <a:off x="9140831" y="415131"/>
          <a:ext cx="3908419" cy="709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>
              <a:solidFill>
                <a:sysClr val="windowText" lastClr="000000"/>
              </a:solidFill>
            </a:rPr>
            <a:t>Please</a:t>
          </a:r>
          <a:r>
            <a:rPr lang="en-US" sz="1600" baseline="0">
              <a:solidFill>
                <a:sysClr val="windowText" lastClr="000000"/>
              </a:solidFill>
            </a:rPr>
            <a:t> enter these dates, as applicable</a:t>
          </a:r>
        </a:p>
      </xdr:txBody>
    </xdr:sp>
    <xdr:clientData/>
  </xdr:twoCellAnchor>
  <xdr:twoCellAnchor>
    <xdr:from>
      <xdr:col>4</xdr:col>
      <xdr:colOff>244740</xdr:colOff>
      <xdr:row>6</xdr:row>
      <xdr:rowOff>182039</xdr:rowOff>
    </xdr:from>
    <xdr:to>
      <xdr:col>8</xdr:col>
      <xdr:colOff>19050</xdr:colOff>
      <xdr:row>9</xdr:row>
      <xdr:rowOff>81808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0EF2594-B0A7-43DD-8AE4-9C49C0649ACF}"/>
            </a:ext>
          </a:extLst>
        </xdr:cNvPr>
        <xdr:cNvSpPr txBox="1"/>
      </xdr:nvSpPr>
      <xdr:spPr>
        <a:xfrm>
          <a:off x="9007740" y="1601264"/>
          <a:ext cx="4089135" cy="59509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solidFill>
                <a:sysClr val="windowText" lastClr="000000"/>
              </a:solidFill>
            </a:rPr>
            <a:t>TCM assessment and plan at every enrollment;</a:t>
          </a:r>
          <a:r>
            <a:rPr lang="en-US" sz="1400" b="0" baseline="0">
              <a:solidFill>
                <a:sysClr val="windowText" lastClr="000000"/>
              </a:solidFill>
            </a:rPr>
            <a:t> </a:t>
          </a:r>
        </a:p>
        <a:p>
          <a:r>
            <a:rPr lang="en-US" sz="1400" b="0" baseline="0">
              <a:solidFill>
                <a:sysClr val="windowText" lastClr="000000"/>
              </a:solidFill>
            </a:rPr>
            <a:t>updated 1x/yr</a:t>
          </a:r>
        </a:p>
        <a:p>
          <a:endParaRPr lang="en-US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38100</xdr:colOff>
      <xdr:row>1</xdr:row>
      <xdr:rowOff>11906</xdr:rowOff>
    </xdr:from>
    <xdr:to>
      <xdr:col>5</xdr:col>
      <xdr:colOff>104775</xdr:colOff>
      <xdr:row>5</xdr:row>
      <xdr:rowOff>10584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E05FEBEC-C916-4655-AC93-F04A8BB153F5}"/>
            </a:ext>
          </a:extLst>
        </xdr:cNvPr>
        <xdr:cNvSpPr/>
      </xdr:nvSpPr>
      <xdr:spPr bwMode="auto">
        <a:xfrm flipH="1">
          <a:off x="8801100" y="278606"/>
          <a:ext cx="323850" cy="989278"/>
        </a:xfrm>
        <a:prstGeom prst="leftBrace">
          <a:avLst>
            <a:gd name="adj1" fmla="val 8333"/>
            <a:gd name="adj2" fmla="val 50000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253065</xdr:colOff>
      <xdr:row>11</xdr:row>
      <xdr:rowOff>60884</xdr:rowOff>
    </xdr:from>
    <xdr:to>
      <xdr:col>8</xdr:col>
      <xdr:colOff>1619249</xdr:colOff>
      <xdr:row>16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D27D25-B2BF-4EC6-B173-AF67751DA19E}"/>
            </a:ext>
          </a:extLst>
        </xdr:cNvPr>
        <xdr:cNvSpPr txBox="1"/>
      </xdr:nvSpPr>
      <xdr:spPr>
        <a:xfrm>
          <a:off x="9787590" y="3270809"/>
          <a:ext cx="6957359" cy="13202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Weights and measures for child charted on growth grid</a:t>
          </a:r>
          <a:r>
            <a:rPr lang="en-US" sz="1400" baseline="0"/>
            <a:t> for every visit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Review TCM plan at every visit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TCM visit form at every visit at which a TCM service is provided.</a:t>
          </a:r>
        </a:p>
        <a:p>
          <a:pPr eaLnBrk="1" fontAlgn="auto" latinLnBrk="0" hangingPunct="1"/>
          <a:r>
            <a:rPr 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(THEO) Babies First! and CaCoon - Every Visit Survey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Re-assess Environment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Exposure any time a client moves</a:t>
          </a:r>
          <a:endParaRPr lang="en-US" sz="1400">
            <a:effectLst/>
          </a:endParaRPr>
        </a:p>
      </xdr:txBody>
    </xdr:sp>
    <xdr:clientData/>
  </xdr:twoCellAnchor>
  <xdr:twoCellAnchor>
    <xdr:from>
      <xdr:col>5</xdr:col>
      <xdr:colOff>194734</xdr:colOff>
      <xdr:row>1</xdr:row>
      <xdr:rowOff>224631</xdr:rowOff>
    </xdr:from>
    <xdr:to>
      <xdr:col>6</xdr:col>
      <xdr:colOff>1343025</xdr:colOff>
      <xdr:row>3</xdr:row>
      <xdr:rowOff>104775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636F3D2-F5DB-4CAA-B520-7AA27F973865}"/>
            </a:ext>
          </a:extLst>
        </xdr:cNvPr>
        <xdr:cNvSpPr txBox="1"/>
      </xdr:nvSpPr>
      <xdr:spPr>
        <a:xfrm>
          <a:off x="9986434" y="519906"/>
          <a:ext cx="5405966" cy="508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ysClr val="windowText" lastClr="000000"/>
              </a:solidFill>
            </a:rPr>
            <a:t>Please</a:t>
          </a:r>
          <a:r>
            <a:rPr lang="en-US" sz="1400" baseline="0">
              <a:solidFill>
                <a:sysClr val="windowText" lastClr="000000"/>
              </a:solidFill>
            </a:rPr>
            <a:t> enter these dates, as applicable</a:t>
          </a:r>
        </a:p>
        <a:p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76193</xdr:colOff>
      <xdr:row>1</xdr:row>
      <xdr:rowOff>11906</xdr:rowOff>
    </xdr:from>
    <xdr:to>
      <xdr:col>5</xdr:col>
      <xdr:colOff>118526</xdr:colOff>
      <xdr:row>4</xdr:row>
      <xdr:rowOff>10584</xdr:rowOff>
    </xdr:to>
    <xdr:sp macro="" textlink="">
      <xdr:nvSpPr>
        <xdr:cNvPr id="10" name="Left Brace 9">
          <a:extLst>
            <a:ext uri="{FF2B5EF4-FFF2-40B4-BE49-F238E27FC236}">
              <a16:creationId xmlns:a16="http://schemas.microsoft.com/office/drawing/2014/main" id="{13E2492A-FF6F-4E47-92F0-F798B1EBC2FC}"/>
            </a:ext>
          </a:extLst>
        </xdr:cNvPr>
        <xdr:cNvSpPr/>
      </xdr:nvSpPr>
      <xdr:spPr bwMode="auto">
        <a:xfrm flipH="1">
          <a:off x="9626593" y="240506"/>
          <a:ext cx="304800" cy="980811"/>
        </a:xfrm>
        <a:prstGeom prst="leftBrace">
          <a:avLst>
            <a:gd name="adj1" fmla="val 8333"/>
            <a:gd name="adj2" fmla="val 49136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56"/>
  <sheetViews>
    <sheetView tabSelected="1" zoomScale="80" zoomScaleNormal="80" workbookViewId="0">
      <selection activeCell="D1" sqref="D1"/>
    </sheetView>
  </sheetViews>
  <sheetFormatPr defaultColWidth="3.7109375" defaultRowHeight="18.75" x14ac:dyDescent="0.3"/>
  <cols>
    <col min="1" max="1" width="77.7109375" style="67" customWidth="1"/>
    <col min="2" max="2" width="27.7109375" style="67" customWidth="1"/>
    <col min="3" max="3" width="4.7109375" style="65" customWidth="1"/>
    <col min="4" max="4" width="24.7109375" style="67" customWidth="1"/>
    <col min="5" max="5" width="3.7109375" style="24"/>
    <col min="6" max="16384" width="3.7109375" style="15"/>
  </cols>
  <sheetData>
    <row r="1" spans="1:8" ht="23.45" customHeight="1" x14ac:dyDescent="0.3">
      <c r="A1" s="14" t="s">
        <v>104</v>
      </c>
      <c r="B1" s="15"/>
      <c r="C1" s="16"/>
      <c r="D1" s="77" t="s">
        <v>137</v>
      </c>
      <c r="E1" s="17"/>
    </row>
    <row r="2" spans="1:8" ht="19.5" customHeight="1" thickBot="1" x14ac:dyDescent="0.4">
      <c r="A2" s="75" t="s">
        <v>68</v>
      </c>
      <c r="B2" s="15"/>
      <c r="C2" s="18" t="s">
        <v>66</v>
      </c>
      <c r="D2" s="57">
        <v>44562</v>
      </c>
      <c r="E2" s="19"/>
    </row>
    <row r="3" spans="1:8" ht="19.5" customHeight="1" thickBot="1" x14ac:dyDescent="0.4">
      <c r="A3" s="75" t="s">
        <v>3</v>
      </c>
      <c r="B3" s="15"/>
      <c r="C3" s="18" t="s">
        <v>1</v>
      </c>
      <c r="D3" s="53">
        <v>44713</v>
      </c>
      <c r="E3" s="20"/>
    </row>
    <row r="4" spans="1:8" ht="19.5" customHeight="1" thickBot="1" x14ac:dyDescent="0.4">
      <c r="A4" s="21"/>
      <c r="B4" s="15"/>
      <c r="C4" s="18" t="s">
        <v>0</v>
      </c>
      <c r="D4" s="54">
        <v>44722</v>
      </c>
      <c r="E4" s="20"/>
    </row>
    <row r="5" spans="1:8" ht="19.5" customHeight="1" x14ac:dyDescent="0.3">
      <c r="A5" s="21"/>
      <c r="B5" s="15"/>
      <c r="C5" s="18"/>
      <c r="D5" s="21"/>
      <c r="E5" s="20"/>
    </row>
    <row r="6" spans="1:8" s="24" customFormat="1" ht="24.95" customHeight="1" x14ac:dyDescent="0.3">
      <c r="A6" s="23"/>
      <c r="B6" s="21"/>
      <c r="C6" s="21"/>
      <c r="D6" s="21"/>
    </row>
    <row r="7" spans="1:8" s="24" customFormat="1" ht="24.6" customHeight="1" x14ac:dyDescent="0.3">
      <c r="A7" s="110" t="s">
        <v>131</v>
      </c>
      <c r="B7" s="111"/>
      <c r="C7" s="111"/>
      <c r="D7" s="112"/>
      <c r="F7" s="25"/>
      <c r="G7" s="26"/>
      <c r="H7" s="26"/>
    </row>
    <row r="8" spans="1:8" s="24" customFormat="1" x14ac:dyDescent="0.3">
      <c r="A8" s="90" t="s">
        <v>4</v>
      </c>
      <c r="B8" s="116">
        <f>D2</f>
        <v>44562</v>
      </c>
      <c r="C8" s="119" t="s">
        <v>2</v>
      </c>
      <c r="D8" s="122">
        <f>D2+30</f>
        <v>44592</v>
      </c>
      <c r="E8" s="27"/>
      <c r="F8" s="25"/>
      <c r="G8" s="26"/>
      <c r="H8" s="26"/>
    </row>
    <row r="9" spans="1:8" s="24" customFormat="1" x14ac:dyDescent="0.3">
      <c r="A9" s="91" t="s">
        <v>5</v>
      </c>
      <c r="B9" s="117"/>
      <c r="C9" s="120"/>
      <c r="D9" s="123"/>
      <c r="E9" s="27"/>
      <c r="F9" s="25"/>
      <c r="G9" s="26"/>
      <c r="H9" s="26"/>
    </row>
    <row r="10" spans="1:8" s="24" customFormat="1" x14ac:dyDescent="0.3">
      <c r="A10" s="91" t="s">
        <v>69</v>
      </c>
      <c r="B10" s="117"/>
      <c r="C10" s="120"/>
      <c r="D10" s="123"/>
      <c r="E10" s="27"/>
      <c r="F10" s="25"/>
      <c r="G10" s="26"/>
      <c r="H10" s="26"/>
    </row>
    <row r="11" spans="1:8" s="24" customFormat="1" x14ac:dyDescent="0.3">
      <c r="A11" s="91" t="s">
        <v>6</v>
      </c>
      <c r="B11" s="117"/>
      <c r="C11" s="120"/>
      <c r="D11" s="123"/>
      <c r="E11" s="27"/>
      <c r="F11" s="25"/>
      <c r="G11" s="26"/>
      <c r="H11" s="26"/>
    </row>
    <row r="12" spans="1:8" s="24" customFormat="1" x14ac:dyDescent="0.3">
      <c r="A12" s="91" t="s">
        <v>10</v>
      </c>
      <c r="B12" s="117"/>
      <c r="C12" s="120"/>
      <c r="D12" s="123"/>
      <c r="E12" s="27"/>
      <c r="F12" s="25"/>
      <c r="G12" s="26"/>
      <c r="H12" s="26"/>
    </row>
    <row r="13" spans="1:8" s="24" customFormat="1" x14ac:dyDescent="0.3">
      <c r="A13" s="91" t="s">
        <v>14</v>
      </c>
      <c r="B13" s="117"/>
      <c r="C13" s="120"/>
      <c r="D13" s="123"/>
      <c r="E13" s="27"/>
      <c r="F13" s="25"/>
      <c r="G13" s="26"/>
      <c r="H13" s="26"/>
    </row>
    <row r="14" spans="1:8" s="24" customFormat="1" x14ac:dyDescent="0.3">
      <c r="A14" s="91" t="s">
        <v>8</v>
      </c>
      <c r="B14" s="117"/>
      <c r="C14" s="120"/>
      <c r="D14" s="123"/>
      <c r="E14" s="27"/>
      <c r="F14" s="25"/>
      <c r="G14" s="26"/>
      <c r="H14" s="26"/>
    </row>
    <row r="15" spans="1:8" s="24" customFormat="1" x14ac:dyDescent="0.3">
      <c r="A15" s="91" t="s">
        <v>74</v>
      </c>
      <c r="B15" s="117"/>
      <c r="C15" s="120"/>
      <c r="D15" s="123"/>
      <c r="E15" s="27"/>
      <c r="F15" s="25"/>
      <c r="G15" s="26"/>
      <c r="H15" s="26"/>
    </row>
    <row r="16" spans="1:8" s="24" customFormat="1" x14ac:dyDescent="0.3">
      <c r="A16" s="91" t="s">
        <v>88</v>
      </c>
      <c r="B16" s="117"/>
      <c r="C16" s="120"/>
      <c r="D16" s="123"/>
      <c r="E16" s="27"/>
      <c r="F16" s="25"/>
      <c r="G16" s="26"/>
      <c r="H16" s="26"/>
    </row>
    <row r="17" spans="1:8" s="24" customFormat="1" x14ac:dyDescent="0.3">
      <c r="A17" s="91" t="s">
        <v>72</v>
      </c>
      <c r="B17" s="117"/>
      <c r="C17" s="120"/>
      <c r="D17" s="123"/>
      <c r="E17" s="27"/>
      <c r="F17" s="25"/>
      <c r="G17" s="26"/>
      <c r="H17" s="26"/>
    </row>
    <row r="18" spans="1:8" s="24" customFormat="1" x14ac:dyDescent="0.3">
      <c r="A18" s="93" t="s">
        <v>71</v>
      </c>
      <c r="B18" s="118"/>
      <c r="C18" s="121"/>
      <c r="D18" s="124"/>
      <c r="E18" s="27"/>
      <c r="F18" s="25"/>
      <c r="G18" s="26"/>
      <c r="H18" s="26"/>
    </row>
    <row r="19" spans="1:8" s="24" customFormat="1" ht="26.45" customHeight="1" x14ac:dyDescent="0.3">
      <c r="A19" s="56" t="s">
        <v>111</v>
      </c>
      <c r="B19" s="139"/>
      <c r="C19" s="140"/>
      <c r="D19" s="141"/>
      <c r="E19" s="27"/>
      <c r="F19" s="25"/>
      <c r="G19" s="26"/>
      <c r="H19" s="26"/>
    </row>
    <row r="20" spans="1:8" s="24" customFormat="1" x14ac:dyDescent="0.3">
      <c r="A20" s="90" t="s">
        <v>6</v>
      </c>
      <c r="B20" s="125">
        <f>ROUND(D3-(7*15)-30,0)</f>
        <v>44578</v>
      </c>
      <c r="C20" s="128" t="s">
        <v>2</v>
      </c>
      <c r="D20" s="131">
        <f>ROUND(D3-(7*15)+30,0)</f>
        <v>44638</v>
      </c>
      <c r="E20" s="27"/>
      <c r="F20" s="25"/>
      <c r="G20" s="26"/>
      <c r="H20" s="26"/>
    </row>
    <row r="21" spans="1:8" s="24" customFormat="1" x14ac:dyDescent="0.3">
      <c r="A21" s="91" t="s">
        <v>10</v>
      </c>
      <c r="B21" s="126"/>
      <c r="C21" s="129"/>
      <c r="D21" s="132"/>
      <c r="E21" s="27"/>
      <c r="F21" s="25"/>
      <c r="G21" s="26"/>
      <c r="H21" s="26"/>
    </row>
    <row r="22" spans="1:8" s="24" customFormat="1" x14ac:dyDescent="0.3">
      <c r="A22" s="91" t="s">
        <v>7</v>
      </c>
      <c r="B22" s="126"/>
      <c r="C22" s="129"/>
      <c r="D22" s="132"/>
      <c r="E22" s="27"/>
      <c r="F22" s="25"/>
      <c r="G22" s="26"/>
      <c r="H22" s="26"/>
    </row>
    <row r="23" spans="1:8" s="24" customFormat="1" x14ac:dyDescent="0.3">
      <c r="A23" s="91" t="s">
        <v>8</v>
      </c>
      <c r="B23" s="126"/>
      <c r="C23" s="129"/>
      <c r="D23" s="132"/>
      <c r="E23" s="27"/>
      <c r="F23" s="25"/>
      <c r="G23" s="26"/>
      <c r="H23" s="26"/>
    </row>
    <row r="24" spans="1:8" s="24" customFormat="1" x14ac:dyDescent="0.3">
      <c r="A24" s="91" t="s">
        <v>74</v>
      </c>
      <c r="B24" s="126"/>
      <c r="C24" s="129"/>
      <c r="D24" s="132"/>
      <c r="E24" s="27"/>
      <c r="F24" s="25"/>
      <c r="G24" s="26"/>
      <c r="H24" s="26"/>
    </row>
    <row r="25" spans="1:8" s="24" customFormat="1" x14ac:dyDescent="0.3">
      <c r="A25" s="93" t="s">
        <v>9</v>
      </c>
      <c r="B25" s="127"/>
      <c r="C25" s="130"/>
      <c r="D25" s="133"/>
      <c r="E25" s="27"/>
      <c r="F25" s="25"/>
      <c r="G25" s="26"/>
      <c r="H25" s="26"/>
    </row>
    <row r="26" spans="1:8" s="24" customFormat="1" ht="26.45" customHeight="1" x14ac:dyDescent="0.3">
      <c r="A26" s="145" t="s">
        <v>105</v>
      </c>
      <c r="B26" s="146"/>
      <c r="C26" s="146"/>
      <c r="D26" s="147"/>
      <c r="E26" s="27"/>
      <c r="F26" s="25"/>
      <c r="G26" s="26"/>
      <c r="H26" s="26"/>
    </row>
    <row r="27" spans="1:8" s="24" customFormat="1" x14ac:dyDescent="0.3">
      <c r="A27" s="92" t="s">
        <v>73</v>
      </c>
      <c r="B27" s="95">
        <f>D3-(4*7)-30</f>
        <v>44655</v>
      </c>
      <c r="C27" s="96" t="s">
        <v>2</v>
      </c>
      <c r="D27" s="97" t="s">
        <v>110</v>
      </c>
      <c r="E27" s="26"/>
      <c r="F27" s="25"/>
      <c r="G27" s="26"/>
      <c r="H27" s="26"/>
    </row>
    <row r="28" spans="1:8" s="24" customFormat="1" ht="24" customHeight="1" x14ac:dyDescent="0.3">
      <c r="A28" s="145" t="s">
        <v>109</v>
      </c>
      <c r="B28" s="146"/>
      <c r="C28" s="146"/>
      <c r="D28" s="147"/>
      <c r="E28" s="27"/>
      <c r="F28" s="25"/>
      <c r="G28" s="26"/>
      <c r="H28" s="26"/>
    </row>
    <row r="29" spans="1:8" s="24" customFormat="1" ht="18.600000000000001" customHeight="1" x14ac:dyDescent="0.3">
      <c r="A29" s="90" t="s">
        <v>75</v>
      </c>
      <c r="B29" s="116">
        <f>D4+7</f>
        <v>44729</v>
      </c>
      <c r="C29" s="134" t="s">
        <v>2</v>
      </c>
      <c r="D29" s="122">
        <f>D4+(8*7)</f>
        <v>44778</v>
      </c>
      <c r="E29" s="27"/>
      <c r="F29" s="25"/>
      <c r="G29" s="26"/>
      <c r="H29" s="26"/>
    </row>
    <row r="30" spans="1:8" s="24" customFormat="1" x14ac:dyDescent="0.3">
      <c r="A30" s="91" t="s">
        <v>69</v>
      </c>
      <c r="B30" s="117"/>
      <c r="C30" s="135"/>
      <c r="D30" s="123"/>
      <c r="E30" s="27"/>
      <c r="F30" s="25"/>
      <c r="G30" s="26"/>
      <c r="H30" s="26"/>
    </row>
    <row r="31" spans="1:8" s="24" customFormat="1" x14ac:dyDescent="0.3">
      <c r="A31" s="91" t="s">
        <v>5</v>
      </c>
      <c r="B31" s="117"/>
      <c r="C31" s="135"/>
      <c r="D31" s="123"/>
      <c r="E31" s="27"/>
      <c r="F31" s="25"/>
      <c r="G31" s="26"/>
      <c r="H31" s="26"/>
    </row>
    <row r="32" spans="1:8" s="24" customFormat="1" x14ac:dyDescent="0.3">
      <c r="A32" s="91" t="s">
        <v>10</v>
      </c>
      <c r="B32" s="117"/>
      <c r="C32" s="135"/>
      <c r="D32" s="123"/>
      <c r="E32" s="27"/>
      <c r="F32" s="25"/>
      <c r="G32" s="26"/>
      <c r="H32" s="26"/>
    </row>
    <row r="33" spans="1:24" s="24" customFormat="1" x14ac:dyDescent="0.3">
      <c r="A33" s="91" t="s">
        <v>76</v>
      </c>
      <c r="B33" s="117"/>
      <c r="C33" s="135"/>
      <c r="D33" s="123"/>
      <c r="E33" s="27"/>
      <c r="F33" s="25"/>
      <c r="G33" s="26"/>
      <c r="H33" s="26"/>
    </row>
    <row r="34" spans="1:24" s="24" customFormat="1" x14ac:dyDescent="0.3">
      <c r="A34" s="91" t="s">
        <v>8</v>
      </c>
      <c r="B34" s="117"/>
      <c r="C34" s="135"/>
      <c r="D34" s="123"/>
      <c r="E34" s="27"/>
      <c r="F34" s="25"/>
      <c r="G34" s="26"/>
      <c r="H34" s="26"/>
    </row>
    <row r="35" spans="1:24" s="24" customFormat="1" x14ac:dyDescent="0.3">
      <c r="A35" s="91" t="s">
        <v>9</v>
      </c>
      <c r="B35" s="117"/>
      <c r="C35" s="135"/>
      <c r="D35" s="123"/>
      <c r="E35" s="27"/>
      <c r="F35" s="25"/>
      <c r="G35" s="26"/>
      <c r="H35" s="26"/>
    </row>
    <row r="36" spans="1:24" s="24" customFormat="1" x14ac:dyDescent="0.3">
      <c r="A36" s="89" t="s">
        <v>73</v>
      </c>
      <c r="B36" s="118"/>
      <c r="C36" s="136"/>
      <c r="D36" s="124"/>
      <c r="E36" s="27"/>
      <c r="F36" s="25"/>
      <c r="G36" s="26"/>
      <c r="H36" s="26"/>
    </row>
    <row r="37" spans="1:24" s="24" customFormat="1" ht="24.6" customHeight="1" x14ac:dyDescent="0.3">
      <c r="A37" s="145" t="s">
        <v>106</v>
      </c>
      <c r="B37" s="146"/>
      <c r="C37" s="146"/>
      <c r="D37" s="147"/>
      <c r="V37" s="15"/>
      <c r="W37" s="15"/>
      <c r="X37" s="15"/>
    </row>
    <row r="38" spans="1:24" s="24" customFormat="1" x14ac:dyDescent="0.3">
      <c r="A38" s="87" t="s">
        <v>5</v>
      </c>
      <c r="B38" s="148">
        <f>ROUND(D4+((6*30.4375)-30),0)</f>
        <v>44875</v>
      </c>
      <c r="C38" s="142" t="s">
        <v>2</v>
      </c>
      <c r="D38" s="151">
        <f>ROUND(D4+((6*30.4375)+30),0)</f>
        <v>44935</v>
      </c>
      <c r="E38" s="27"/>
      <c r="F38" s="25"/>
      <c r="G38" s="26"/>
      <c r="H38" s="26"/>
    </row>
    <row r="39" spans="1:24" s="24" customFormat="1" x14ac:dyDescent="0.3">
      <c r="A39" s="88" t="s">
        <v>6</v>
      </c>
      <c r="B39" s="149"/>
      <c r="C39" s="143"/>
      <c r="D39" s="152"/>
      <c r="E39" s="27"/>
      <c r="F39" s="25"/>
      <c r="G39" s="26"/>
      <c r="H39" s="26"/>
    </row>
    <row r="40" spans="1:24" s="24" customFormat="1" x14ac:dyDescent="0.3">
      <c r="A40" s="88" t="s">
        <v>10</v>
      </c>
      <c r="B40" s="149"/>
      <c r="C40" s="143"/>
      <c r="D40" s="152"/>
      <c r="E40" s="27"/>
      <c r="F40" s="25"/>
      <c r="G40" s="26"/>
      <c r="H40" s="26"/>
    </row>
    <row r="41" spans="1:24" s="24" customFormat="1" x14ac:dyDescent="0.3">
      <c r="A41" s="88" t="s">
        <v>7</v>
      </c>
      <c r="B41" s="149"/>
      <c r="C41" s="143"/>
      <c r="D41" s="152"/>
      <c r="E41" s="27"/>
      <c r="F41" s="25"/>
      <c r="G41" s="26"/>
      <c r="H41" s="26"/>
    </row>
    <row r="42" spans="1:24" s="24" customFormat="1" x14ac:dyDescent="0.3">
      <c r="A42" s="88" t="s">
        <v>8</v>
      </c>
      <c r="B42" s="149"/>
      <c r="C42" s="143"/>
      <c r="D42" s="152"/>
      <c r="E42" s="27"/>
      <c r="F42" s="25"/>
      <c r="G42" s="26"/>
      <c r="H42" s="26"/>
    </row>
    <row r="43" spans="1:24" s="24" customFormat="1" x14ac:dyDescent="0.3">
      <c r="A43" s="88" t="s">
        <v>9</v>
      </c>
      <c r="B43" s="149"/>
      <c r="C43" s="143"/>
      <c r="D43" s="152"/>
      <c r="E43" s="27"/>
      <c r="F43" s="25"/>
      <c r="G43" s="26"/>
      <c r="H43" s="26"/>
    </row>
    <row r="44" spans="1:24" s="24" customFormat="1" x14ac:dyDescent="0.3">
      <c r="A44" s="89" t="s">
        <v>71</v>
      </c>
      <c r="B44" s="150"/>
      <c r="C44" s="144"/>
      <c r="D44" s="153"/>
      <c r="E44" s="27"/>
      <c r="F44" s="25"/>
      <c r="G44" s="26"/>
      <c r="H44" s="26"/>
    </row>
    <row r="45" spans="1:24" s="24" customFormat="1" ht="24.6" customHeight="1" x14ac:dyDescent="0.3">
      <c r="A45" s="145" t="s">
        <v>107</v>
      </c>
      <c r="B45" s="146"/>
      <c r="C45" s="146"/>
      <c r="D45" s="147"/>
    </row>
    <row r="46" spans="1:24" x14ac:dyDescent="0.3">
      <c r="A46" s="87" t="s">
        <v>5</v>
      </c>
      <c r="B46" s="113">
        <f>ROUND(D4+((12*30.4375)-30),0)</f>
        <v>45057</v>
      </c>
      <c r="C46" s="154" t="s">
        <v>2</v>
      </c>
      <c r="D46" s="157">
        <f>ROUND(D4+((12*30.4375)+30),0)</f>
        <v>45117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x14ac:dyDescent="0.3">
      <c r="A47" s="88" t="s">
        <v>6</v>
      </c>
      <c r="B47" s="114"/>
      <c r="C47" s="155"/>
      <c r="D47" s="158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x14ac:dyDescent="0.3">
      <c r="A48" s="88" t="s">
        <v>10</v>
      </c>
      <c r="B48" s="114"/>
      <c r="C48" s="155"/>
      <c r="D48" s="158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x14ac:dyDescent="0.3">
      <c r="A49" s="88" t="s">
        <v>7</v>
      </c>
      <c r="B49" s="114"/>
      <c r="C49" s="155"/>
      <c r="D49" s="15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x14ac:dyDescent="0.3">
      <c r="A50" s="88" t="s">
        <v>8</v>
      </c>
      <c r="B50" s="114"/>
      <c r="C50" s="155"/>
      <c r="D50" s="158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x14ac:dyDescent="0.3">
      <c r="A51" s="88" t="s">
        <v>9</v>
      </c>
      <c r="B51" s="114"/>
      <c r="C51" s="155"/>
      <c r="D51" s="158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x14ac:dyDescent="0.3">
      <c r="A52" s="89" t="s">
        <v>71</v>
      </c>
      <c r="B52" s="115"/>
      <c r="C52" s="156"/>
      <c r="D52" s="159"/>
      <c r="E52" s="27"/>
      <c r="F52" s="25"/>
      <c r="G52" s="26"/>
      <c r="H52" s="26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25.15" customHeight="1" x14ac:dyDescent="0.3">
      <c r="A53" s="84" t="s">
        <v>108</v>
      </c>
      <c r="B53" s="71"/>
      <c r="C53" s="78"/>
      <c r="D53" s="79"/>
      <c r="E53" s="27"/>
      <c r="F53" s="25"/>
      <c r="G53" s="26"/>
      <c r="H53" s="26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s="24" customFormat="1" ht="24.6" customHeight="1" x14ac:dyDescent="0.3">
      <c r="A54" s="145" t="s">
        <v>133</v>
      </c>
      <c r="B54" s="146"/>
      <c r="C54" s="146"/>
      <c r="D54" s="147"/>
      <c r="E54" s="28"/>
      <c r="F54" s="26"/>
      <c r="G54" s="26"/>
      <c r="H54" s="26"/>
    </row>
    <row r="55" spans="1:24" x14ac:dyDescent="0.3">
      <c r="A55" s="92" t="s">
        <v>132</v>
      </c>
      <c r="B55" s="137" t="s">
        <v>134</v>
      </c>
      <c r="C55" s="137"/>
      <c r="D55" s="138"/>
    </row>
    <row r="56" spans="1:24" x14ac:dyDescent="0.3">
      <c r="B56" s="72"/>
    </row>
  </sheetData>
  <mergeCells count="23">
    <mergeCell ref="B55:D55"/>
    <mergeCell ref="B19:D19"/>
    <mergeCell ref="C38:C44"/>
    <mergeCell ref="A26:D26"/>
    <mergeCell ref="B38:B44"/>
    <mergeCell ref="A28:D28"/>
    <mergeCell ref="D38:D44"/>
    <mergeCell ref="C46:C52"/>
    <mergeCell ref="D46:D52"/>
    <mergeCell ref="A54:D54"/>
    <mergeCell ref="A37:D37"/>
    <mergeCell ref="A45:D45"/>
    <mergeCell ref="A7:D7"/>
    <mergeCell ref="B46:B52"/>
    <mergeCell ref="B8:B18"/>
    <mergeCell ref="C8:C18"/>
    <mergeCell ref="D8:D18"/>
    <mergeCell ref="B20:B25"/>
    <mergeCell ref="C20:C25"/>
    <mergeCell ref="D20:D25"/>
    <mergeCell ref="B29:B36"/>
    <mergeCell ref="D29:D36"/>
    <mergeCell ref="C29:C36"/>
  </mergeCells>
  <phoneticPr fontId="1" type="noConversion"/>
  <printOptions horizontalCentered="1"/>
  <pageMargins left="0.25" right="0.25" top="0.5" bottom="0.25" header="0" footer="0"/>
  <pageSetup paperSize="5" scale="5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CE2D1-495B-428C-AAF6-7E0901AD58F9}">
  <sheetPr>
    <tabColor rgb="FF92D050"/>
  </sheetPr>
  <dimension ref="A1:T112"/>
  <sheetViews>
    <sheetView zoomScale="80" zoomScaleNormal="80" workbookViewId="0">
      <selection activeCell="D1" sqref="D1"/>
    </sheetView>
  </sheetViews>
  <sheetFormatPr defaultColWidth="3.7109375" defaultRowHeight="18.75" x14ac:dyDescent="0.3"/>
  <cols>
    <col min="1" max="1" width="77.7109375" style="67" customWidth="1"/>
    <col min="2" max="2" width="27.7109375" style="67" customWidth="1"/>
    <col min="3" max="3" width="4.7109375" style="65" customWidth="1"/>
    <col min="4" max="4" width="24.7109375" style="67" customWidth="1"/>
    <col min="5" max="5" width="3.7109375" style="24"/>
    <col min="6" max="6" width="51.7109375" style="15" customWidth="1"/>
    <col min="7" max="16384" width="3.7109375" style="15"/>
  </cols>
  <sheetData>
    <row r="1" spans="1:8" ht="23.45" customHeight="1" x14ac:dyDescent="0.3">
      <c r="A1" s="14" t="s">
        <v>104</v>
      </c>
      <c r="B1" s="15"/>
      <c r="C1" s="16"/>
      <c r="D1" s="77" t="s">
        <v>137</v>
      </c>
      <c r="E1" s="17"/>
    </row>
    <row r="2" spans="1:8" ht="19.5" customHeight="1" thickBot="1" x14ac:dyDescent="0.4">
      <c r="A2" s="75" t="s">
        <v>68</v>
      </c>
      <c r="B2" s="15"/>
      <c r="C2" s="18" t="s">
        <v>86</v>
      </c>
      <c r="D2" s="57">
        <v>44562</v>
      </c>
      <c r="E2" s="19"/>
    </row>
    <row r="3" spans="1:8" ht="19.5" customHeight="1" thickBot="1" x14ac:dyDescent="0.35">
      <c r="A3" s="75" t="s">
        <v>3</v>
      </c>
      <c r="B3" s="21"/>
      <c r="C3" s="21"/>
      <c r="D3" s="21"/>
      <c r="E3" s="20"/>
    </row>
    <row r="4" spans="1:8" ht="19.5" customHeight="1" thickBot="1" x14ac:dyDescent="0.4">
      <c r="A4" s="76" t="s">
        <v>63</v>
      </c>
      <c r="B4" s="15"/>
      <c r="C4" s="18" t="s">
        <v>0</v>
      </c>
      <c r="D4" s="54">
        <v>44733</v>
      </c>
      <c r="E4" s="20"/>
    </row>
    <row r="5" spans="1:8" ht="19.5" customHeight="1" thickBot="1" x14ac:dyDescent="0.4">
      <c r="A5" s="76" t="s">
        <v>15</v>
      </c>
      <c r="B5" s="15"/>
      <c r="C5" s="18" t="s">
        <v>67</v>
      </c>
      <c r="D5" s="54">
        <v>44737</v>
      </c>
      <c r="E5" s="20"/>
    </row>
    <row r="6" spans="1:8" ht="12.75" customHeight="1" x14ac:dyDescent="0.3">
      <c r="B6" s="69"/>
      <c r="C6" s="64"/>
      <c r="D6" s="69"/>
      <c r="E6" s="22"/>
    </row>
    <row r="7" spans="1:8" s="24" customFormat="1" ht="24.95" customHeight="1" x14ac:dyDescent="0.3">
      <c r="A7" s="70"/>
      <c r="B7" s="69"/>
      <c r="C7" s="69"/>
      <c r="D7" s="69"/>
    </row>
    <row r="8" spans="1:8" s="24" customFormat="1" ht="23.1" customHeight="1" x14ac:dyDescent="0.3">
      <c r="A8" s="94" t="s">
        <v>135</v>
      </c>
      <c r="B8" s="178" t="s">
        <v>70</v>
      </c>
      <c r="C8" s="179"/>
      <c r="D8" s="180"/>
      <c r="F8" s="25"/>
      <c r="G8" s="26"/>
      <c r="H8" s="26"/>
    </row>
    <row r="9" spans="1:8" s="24" customFormat="1" ht="16.149999999999999" customHeight="1" x14ac:dyDescent="0.3">
      <c r="A9" s="52" t="s">
        <v>5</v>
      </c>
      <c r="B9" s="160">
        <f>D2</f>
        <v>44562</v>
      </c>
      <c r="C9" s="163" t="s">
        <v>2</v>
      </c>
      <c r="D9" s="157">
        <f>D2+30</f>
        <v>44592</v>
      </c>
      <c r="E9" s="27"/>
      <c r="F9" s="25"/>
      <c r="G9" s="26"/>
      <c r="H9" s="26"/>
    </row>
    <row r="10" spans="1:8" s="24" customFormat="1" ht="16.149999999999999" customHeight="1" x14ac:dyDescent="0.3">
      <c r="A10" s="52" t="s">
        <v>6</v>
      </c>
      <c r="B10" s="161"/>
      <c r="C10" s="164"/>
      <c r="D10" s="158"/>
      <c r="E10" s="27"/>
      <c r="F10" s="25"/>
      <c r="G10" s="26"/>
      <c r="H10" s="26"/>
    </row>
    <row r="11" spans="1:8" s="24" customFormat="1" ht="16.149999999999999" customHeight="1" x14ac:dyDescent="0.3">
      <c r="A11" s="52" t="s">
        <v>83</v>
      </c>
      <c r="B11" s="161"/>
      <c r="C11" s="164"/>
      <c r="D11" s="158"/>
      <c r="E11" s="27"/>
      <c r="F11" s="25"/>
      <c r="G11" s="26"/>
      <c r="H11" s="26"/>
    </row>
    <row r="12" spans="1:8" s="24" customFormat="1" ht="16.149999999999999" customHeight="1" x14ac:dyDescent="0.3">
      <c r="A12" s="52" t="s">
        <v>14</v>
      </c>
      <c r="B12" s="161"/>
      <c r="C12" s="164"/>
      <c r="D12" s="158"/>
      <c r="E12" s="27"/>
      <c r="F12" s="25"/>
      <c r="G12" s="26"/>
      <c r="H12" s="26"/>
    </row>
    <row r="13" spans="1:8" s="24" customFormat="1" ht="16.149999999999999" customHeight="1" x14ac:dyDescent="0.3">
      <c r="A13" s="52" t="s">
        <v>84</v>
      </c>
      <c r="B13" s="161"/>
      <c r="C13" s="164"/>
      <c r="D13" s="158"/>
      <c r="E13" s="27"/>
      <c r="F13" s="25"/>
      <c r="G13" s="26"/>
      <c r="H13" s="26"/>
    </row>
    <row r="14" spans="1:8" s="24" customFormat="1" ht="16.149999999999999" customHeight="1" x14ac:dyDescent="0.3">
      <c r="A14" s="52" t="s">
        <v>9</v>
      </c>
      <c r="B14" s="161"/>
      <c r="C14" s="164"/>
      <c r="D14" s="158"/>
      <c r="E14" s="27"/>
      <c r="F14" s="25"/>
      <c r="G14" s="26"/>
      <c r="H14" s="26"/>
    </row>
    <row r="15" spans="1:8" s="24" customFormat="1" ht="16.149999999999999" customHeight="1" x14ac:dyDescent="0.3">
      <c r="A15" s="52" t="s">
        <v>88</v>
      </c>
      <c r="B15" s="161"/>
      <c r="C15" s="164"/>
      <c r="D15" s="158"/>
      <c r="E15" s="27"/>
      <c r="F15" s="25"/>
      <c r="G15" s="26"/>
      <c r="H15" s="26"/>
    </row>
    <row r="16" spans="1:8" s="24" customFormat="1" ht="16.149999999999999" customHeight="1" x14ac:dyDescent="0.3">
      <c r="A16" s="81" t="s">
        <v>85</v>
      </c>
      <c r="B16" s="161"/>
      <c r="C16" s="164"/>
      <c r="D16" s="158"/>
      <c r="E16" s="27"/>
      <c r="F16" s="25"/>
      <c r="G16" s="26"/>
      <c r="H16" s="26"/>
    </row>
    <row r="17" spans="1:8" s="24" customFormat="1" ht="16.149999999999999" customHeight="1" x14ac:dyDescent="0.3">
      <c r="A17" s="63" t="s">
        <v>71</v>
      </c>
      <c r="B17" s="162"/>
      <c r="C17" s="165"/>
      <c r="D17" s="159"/>
      <c r="E17" s="27"/>
      <c r="F17" s="25"/>
      <c r="G17" s="26"/>
      <c r="H17" s="26"/>
    </row>
    <row r="18" spans="1:8" s="24" customFormat="1" ht="22.9" customHeight="1" x14ac:dyDescent="0.3">
      <c r="A18" s="145" t="s">
        <v>118</v>
      </c>
      <c r="B18" s="146"/>
      <c r="C18" s="146"/>
      <c r="D18" s="147"/>
      <c r="E18" s="28"/>
      <c r="F18" s="26"/>
      <c r="G18" s="26"/>
      <c r="H18" s="26"/>
    </row>
    <row r="19" spans="1:8" s="24" customFormat="1" ht="16.149999999999999" customHeight="1" x14ac:dyDescent="0.3">
      <c r="A19" s="52" t="s">
        <v>5</v>
      </c>
      <c r="B19" s="160">
        <f>ROUND(D2+(6*30.4375)-30,0)</f>
        <v>44715</v>
      </c>
      <c r="C19" s="163" t="s">
        <v>2</v>
      </c>
      <c r="D19" s="181">
        <f>ROUND(D2+(6*30.4375)+30,0)</f>
        <v>44775</v>
      </c>
      <c r="E19" s="27"/>
      <c r="F19" s="25"/>
      <c r="G19" s="26"/>
      <c r="H19" s="26"/>
    </row>
    <row r="20" spans="1:8" s="24" customFormat="1" ht="16.149999999999999" customHeight="1" x14ac:dyDescent="0.3">
      <c r="A20" s="52" t="s">
        <v>6</v>
      </c>
      <c r="B20" s="166"/>
      <c r="C20" s="164"/>
      <c r="D20" s="182"/>
      <c r="E20" s="27"/>
      <c r="F20" s="25"/>
      <c r="G20" s="26"/>
      <c r="H20" s="26"/>
    </row>
    <row r="21" spans="1:8" s="24" customFormat="1" ht="16.149999999999999" customHeight="1" x14ac:dyDescent="0.3">
      <c r="A21" s="52" t="s">
        <v>83</v>
      </c>
      <c r="B21" s="166"/>
      <c r="C21" s="164"/>
      <c r="D21" s="182"/>
      <c r="E21" s="27"/>
      <c r="F21" s="25"/>
      <c r="G21" s="26"/>
      <c r="H21" s="26"/>
    </row>
    <row r="22" spans="1:8" s="24" customFormat="1" ht="16.149999999999999" customHeight="1" x14ac:dyDescent="0.3">
      <c r="A22" s="52" t="s">
        <v>7</v>
      </c>
      <c r="B22" s="166"/>
      <c r="C22" s="164"/>
      <c r="D22" s="182"/>
      <c r="E22" s="27"/>
      <c r="F22" s="25"/>
      <c r="G22" s="26"/>
      <c r="H22" s="26"/>
    </row>
    <row r="23" spans="1:8" s="24" customFormat="1" ht="16.149999999999999" customHeight="1" x14ac:dyDescent="0.3">
      <c r="A23" s="52" t="s">
        <v>84</v>
      </c>
      <c r="B23" s="166"/>
      <c r="C23" s="164"/>
      <c r="D23" s="182"/>
      <c r="E23" s="27"/>
      <c r="F23" s="25"/>
      <c r="G23" s="26"/>
      <c r="H23" s="26"/>
    </row>
    <row r="24" spans="1:8" s="24" customFormat="1" ht="16.149999999999999" customHeight="1" x14ac:dyDescent="0.3">
      <c r="A24" s="52" t="s">
        <v>9</v>
      </c>
      <c r="B24" s="166"/>
      <c r="C24" s="164"/>
      <c r="D24" s="182"/>
      <c r="E24" s="27"/>
      <c r="F24" s="25"/>
      <c r="G24" s="26"/>
      <c r="H24" s="26"/>
    </row>
    <row r="25" spans="1:8" s="24" customFormat="1" ht="16.149999999999999" customHeight="1" x14ac:dyDescent="0.3">
      <c r="A25" s="63" t="s">
        <v>71</v>
      </c>
      <c r="B25" s="167"/>
      <c r="C25" s="165"/>
      <c r="D25" s="183"/>
      <c r="E25" s="27"/>
      <c r="F25" s="25"/>
      <c r="G25" s="26"/>
      <c r="H25" s="26"/>
    </row>
    <row r="26" spans="1:8" s="24" customFormat="1" ht="22.9" customHeight="1" x14ac:dyDescent="0.3">
      <c r="A26" s="145" t="s">
        <v>119</v>
      </c>
      <c r="B26" s="146"/>
      <c r="C26" s="146"/>
      <c r="D26" s="147"/>
      <c r="E26" s="28"/>
      <c r="F26" s="26"/>
      <c r="G26" s="26"/>
      <c r="H26" s="26"/>
    </row>
    <row r="27" spans="1:8" s="24" customFormat="1" ht="16.149999999999999" customHeight="1" x14ac:dyDescent="0.3">
      <c r="A27" s="52" t="s">
        <v>5</v>
      </c>
      <c r="B27" s="160">
        <f>ROUND(D2+(12*30.4375)-30,0)</f>
        <v>44897</v>
      </c>
      <c r="C27" s="163" t="s">
        <v>2</v>
      </c>
      <c r="D27" s="157">
        <f>ROUND(D2+(12*30.4375)+30,0)</f>
        <v>44957</v>
      </c>
      <c r="E27" s="27"/>
      <c r="F27" s="25"/>
      <c r="G27" s="26"/>
      <c r="H27" s="26"/>
    </row>
    <row r="28" spans="1:8" s="24" customFormat="1" ht="16.149999999999999" customHeight="1" x14ac:dyDescent="0.3">
      <c r="A28" s="52" t="s">
        <v>6</v>
      </c>
      <c r="B28" s="166"/>
      <c r="C28" s="173"/>
      <c r="D28" s="171"/>
      <c r="E28" s="27"/>
      <c r="F28" s="25"/>
      <c r="G28" s="26"/>
      <c r="H28" s="26"/>
    </row>
    <row r="29" spans="1:8" s="24" customFormat="1" ht="16.149999999999999" customHeight="1" x14ac:dyDescent="0.3">
      <c r="A29" s="52" t="s">
        <v>83</v>
      </c>
      <c r="B29" s="166"/>
      <c r="C29" s="173"/>
      <c r="D29" s="171"/>
      <c r="E29" s="27"/>
      <c r="F29" s="25"/>
      <c r="G29" s="26"/>
      <c r="H29" s="26"/>
    </row>
    <row r="30" spans="1:8" s="24" customFormat="1" ht="16.149999999999999" customHeight="1" x14ac:dyDescent="0.3">
      <c r="A30" s="52" t="s">
        <v>7</v>
      </c>
      <c r="B30" s="166"/>
      <c r="C30" s="173"/>
      <c r="D30" s="171"/>
      <c r="E30" s="27"/>
      <c r="F30" s="25"/>
      <c r="G30" s="26"/>
      <c r="H30" s="26"/>
    </row>
    <row r="31" spans="1:8" s="24" customFormat="1" ht="16.149999999999999" customHeight="1" x14ac:dyDescent="0.3">
      <c r="A31" s="52" t="s">
        <v>84</v>
      </c>
      <c r="B31" s="166"/>
      <c r="C31" s="173"/>
      <c r="D31" s="171"/>
      <c r="E31" s="27"/>
      <c r="F31" s="25"/>
      <c r="G31" s="26"/>
      <c r="H31" s="26"/>
    </row>
    <row r="32" spans="1:8" s="24" customFormat="1" ht="16.149999999999999" customHeight="1" x14ac:dyDescent="0.3">
      <c r="A32" s="52" t="s">
        <v>9</v>
      </c>
      <c r="B32" s="166"/>
      <c r="C32" s="173"/>
      <c r="D32" s="171"/>
      <c r="E32" s="27"/>
      <c r="F32" s="25"/>
      <c r="G32" s="26"/>
      <c r="H32" s="26"/>
    </row>
    <row r="33" spans="1:8" s="24" customFormat="1" ht="16.149999999999999" customHeight="1" x14ac:dyDescent="0.3">
      <c r="A33" s="52" t="s">
        <v>88</v>
      </c>
      <c r="B33" s="166"/>
      <c r="C33" s="173"/>
      <c r="D33" s="171"/>
      <c r="E33" s="27"/>
      <c r="F33" s="25"/>
      <c r="G33" s="26"/>
      <c r="H33" s="26"/>
    </row>
    <row r="34" spans="1:8" s="24" customFormat="1" ht="16.149999999999999" customHeight="1" x14ac:dyDescent="0.3">
      <c r="A34" s="63" t="s">
        <v>71</v>
      </c>
      <c r="B34" s="167"/>
      <c r="C34" s="174"/>
      <c r="D34" s="172"/>
      <c r="E34" s="27"/>
      <c r="F34" s="25"/>
      <c r="G34" s="26"/>
      <c r="H34" s="26"/>
    </row>
    <row r="35" spans="1:8" s="24" customFormat="1" ht="22.9" customHeight="1" x14ac:dyDescent="0.3">
      <c r="A35" s="145" t="s">
        <v>120</v>
      </c>
      <c r="B35" s="146"/>
      <c r="C35" s="146"/>
      <c r="D35" s="147"/>
      <c r="E35" s="28"/>
      <c r="F35" s="26"/>
      <c r="G35" s="26"/>
      <c r="H35" s="26"/>
    </row>
    <row r="36" spans="1:8" s="24" customFormat="1" ht="16.149999999999999" customHeight="1" x14ac:dyDescent="0.3">
      <c r="A36" s="52" t="s">
        <v>5</v>
      </c>
      <c r="B36" s="160">
        <f>ROUND(D2+(18*30.4375)-30,0)</f>
        <v>45080</v>
      </c>
      <c r="C36" s="168" t="s">
        <v>2</v>
      </c>
      <c r="D36" s="157">
        <f>ROUND(D2+(18*30.4375)+30,0)</f>
        <v>45140</v>
      </c>
      <c r="E36" s="27"/>
      <c r="H36" s="26"/>
    </row>
    <row r="37" spans="1:8" s="24" customFormat="1" ht="16.149999999999999" customHeight="1" x14ac:dyDescent="0.3">
      <c r="A37" s="52" t="s">
        <v>6</v>
      </c>
      <c r="B37" s="166"/>
      <c r="C37" s="169"/>
      <c r="D37" s="171"/>
      <c r="E37" s="27"/>
      <c r="H37" s="26"/>
    </row>
    <row r="38" spans="1:8" s="24" customFormat="1" ht="16.149999999999999" customHeight="1" x14ac:dyDescent="0.3">
      <c r="A38" s="52" t="s">
        <v>83</v>
      </c>
      <c r="B38" s="166"/>
      <c r="C38" s="169"/>
      <c r="D38" s="171"/>
      <c r="E38" s="27"/>
      <c r="H38" s="26"/>
    </row>
    <row r="39" spans="1:8" s="58" customFormat="1" ht="16.149999999999999" customHeight="1" x14ac:dyDescent="0.3">
      <c r="A39" s="52" t="s">
        <v>7</v>
      </c>
      <c r="B39" s="166"/>
      <c r="C39" s="169"/>
      <c r="D39" s="171"/>
      <c r="E39" s="27"/>
      <c r="F39" s="24"/>
      <c r="G39" s="24"/>
      <c r="H39" s="25"/>
    </row>
    <row r="40" spans="1:8" s="24" customFormat="1" ht="16.149999999999999" customHeight="1" x14ac:dyDescent="0.3">
      <c r="A40" s="52" t="s">
        <v>84</v>
      </c>
      <c r="B40" s="166"/>
      <c r="C40" s="169"/>
      <c r="D40" s="171"/>
      <c r="E40" s="27"/>
      <c r="H40" s="26"/>
    </row>
    <row r="41" spans="1:8" s="24" customFormat="1" ht="16.149999999999999" customHeight="1" x14ac:dyDescent="0.3">
      <c r="A41" s="52" t="s">
        <v>9</v>
      </c>
      <c r="B41" s="166"/>
      <c r="C41" s="169"/>
      <c r="D41" s="171"/>
      <c r="E41" s="27"/>
      <c r="H41" s="26"/>
    </row>
    <row r="42" spans="1:8" s="24" customFormat="1" ht="15.6" customHeight="1" x14ac:dyDescent="0.3">
      <c r="A42" s="63" t="s">
        <v>71</v>
      </c>
      <c r="B42" s="167"/>
      <c r="C42" s="170"/>
      <c r="D42" s="172"/>
      <c r="E42" s="27"/>
      <c r="H42" s="26"/>
    </row>
    <row r="43" spans="1:8" s="24" customFormat="1" ht="25.15" customHeight="1" x14ac:dyDescent="0.3">
      <c r="A43" s="145" t="s">
        <v>121</v>
      </c>
      <c r="B43" s="146">
        <f>D2+731-30</f>
        <v>45263</v>
      </c>
      <c r="C43" s="146" t="s">
        <v>2</v>
      </c>
      <c r="D43" s="147">
        <f>D2+731+30</f>
        <v>45323</v>
      </c>
      <c r="E43" s="28"/>
      <c r="H43" s="26"/>
    </row>
    <row r="44" spans="1:8" s="24" customFormat="1" ht="16.149999999999999" customHeight="1" x14ac:dyDescent="0.3">
      <c r="A44" s="52" t="s">
        <v>5</v>
      </c>
      <c r="B44" s="160">
        <f>ROUND(D2+(24*30.4375)-30,0)</f>
        <v>45263</v>
      </c>
      <c r="C44" s="163" t="s">
        <v>2</v>
      </c>
      <c r="D44" s="157">
        <f>ROUND(D2+(24*30.4375)+30,0)</f>
        <v>45323</v>
      </c>
      <c r="E44" s="27"/>
      <c r="F44" s="82"/>
      <c r="H44" s="26"/>
    </row>
    <row r="45" spans="1:8" s="24" customFormat="1" ht="16.149999999999999" customHeight="1" x14ac:dyDescent="0.3">
      <c r="A45" s="52" t="s">
        <v>6</v>
      </c>
      <c r="B45" s="166"/>
      <c r="C45" s="173"/>
      <c r="D45" s="171"/>
      <c r="E45" s="27"/>
      <c r="F45" s="80"/>
      <c r="H45" s="26"/>
    </row>
    <row r="46" spans="1:8" s="24" customFormat="1" ht="16.149999999999999" customHeight="1" x14ac:dyDescent="0.3">
      <c r="A46" s="52" t="s">
        <v>83</v>
      </c>
      <c r="B46" s="166"/>
      <c r="C46" s="173"/>
      <c r="D46" s="171"/>
      <c r="E46" s="27"/>
      <c r="H46" s="26"/>
    </row>
    <row r="47" spans="1:8" s="24" customFormat="1" ht="16.149999999999999" customHeight="1" x14ac:dyDescent="0.3">
      <c r="A47" s="52" t="s">
        <v>7</v>
      </c>
      <c r="B47" s="166"/>
      <c r="C47" s="173"/>
      <c r="D47" s="171"/>
      <c r="E47" s="27"/>
      <c r="F47" s="25"/>
      <c r="G47" s="26"/>
      <c r="H47" s="26"/>
    </row>
    <row r="48" spans="1:8" s="24" customFormat="1" ht="16.149999999999999" customHeight="1" x14ac:dyDescent="0.3">
      <c r="A48" s="52" t="s">
        <v>84</v>
      </c>
      <c r="B48" s="166"/>
      <c r="C48" s="173"/>
      <c r="D48" s="171"/>
      <c r="E48" s="27"/>
      <c r="F48" s="25"/>
      <c r="G48" s="26"/>
      <c r="H48" s="26"/>
    </row>
    <row r="49" spans="1:8" s="24" customFormat="1" ht="16.149999999999999" customHeight="1" x14ac:dyDescent="0.3">
      <c r="A49" s="52" t="s">
        <v>9</v>
      </c>
      <c r="B49" s="166"/>
      <c r="C49" s="173"/>
      <c r="D49" s="171"/>
      <c r="E49" s="27"/>
      <c r="F49" s="25"/>
      <c r="G49" s="26"/>
      <c r="H49" s="26"/>
    </row>
    <row r="50" spans="1:8" s="24" customFormat="1" ht="16.149999999999999" customHeight="1" x14ac:dyDescent="0.3">
      <c r="A50" s="52" t="s">
        <v>88</v>
      </c>
      <c r="B50" s="166"/>
      <c r="C50" s="173"/>
      <c r="D50" s="171"/>
      <c r="E50" s="27"/>
      <c r="F50" s="25"/>
      <c r="G50" s="26"/>
      <c r="H50" s="26"/>
    </row>
    <row r="51" spans="1:8" s="24" customFormat="1" ht="16.149999999999999" customHeight="1" x14ac:dyDescent="0.3">
      <c r="A51" s="63" t="s">
        <v>71</v>
      </c>
      <c r="B51" s="167"/>
      <c r="C51" s="174"/>
      <c r="D51" s="172"/>
      <c r="E51" s="27"/>
      <c r="F51" s="25"/>
      <c r="G51" s="26"/>
      <c r="H51" s="26"/>
    </row>
    <row r="52" spans="1:8" s="24" customFormat="1" ht="24.6" customHeight="1" x14ac:dyDescent="0.3">
      <c r="A52" s="145" t="s">
        <v>122</v>
      </c>
      <c r="B52" s="146"/>
      <c r="C52" s="146"/>
      <c r="D52" s="147"/>
      <c r="E52" s="27"/>
      <c r="F52" s="25"/>
      <c r="G52" s="26"/>
      <c r="H52" s="26"/>
    </row>
    <row r="53" spans="1:8" s="24" customFormat="1" ht="16.149999999999999" customHeight="1" x14ac:dyDescent="0.3">
      <c r="A53" s="52" t="s">
        <v>5</v>
      </c>
      <c r="B53" s="160">
        <f>ROUND(D2+(30*30.4375)-30,0)</f>
        <v>45445</v>
      </c>
      <c r="C53" s="168" t="s">
        <v>2</v>
      </c>
      <c r="D53" s="157">
        <f>ROUND(D2+(30*30.4375)+30,0)</f>
        <v>45505</v>
      </c>
      <c r="E53" s="27"/>
      <c r="F53" s="25"/>
      <c r="G53" s="26"/>
      <c r="H53" s="26"/>
    </row>
    <row r="54" spans="1:8" s="24" customFormat="1" ht="16.149999999999999" customHeight="1" x14ac:dyDescent="0.3">
      <c r="A54" s="52" t="s">
        <v>6</v>
      </c>
      <c r="B54" s="166"/>
      <c r="C54" s="169"/>
      <c r="D54" s="171"/>
      <c r="E54" s="27"/>
      <c r="F54" s="25"/>
      <c r="G54" s="26"/>
      <c r="H54" s="26"/>
    </row>
    <row r="55" spans="1:8" s="24" customFormat="1" ht="16.149999999999999" customHeight="1" x14ac:dyDescent="0.3">
      <c r="A55" s="52" t="s">
        <v>83</v>
      </c>
      <c r="B55" s="166"/>
      <c r="C55" s="169"/>
      <c r="D55" s="171"/>
      <c r="E55" s="27"/>
      <c r="F55" s="25"/>
      <c r="G55" s="26"/>
      <c r="H55" s="26"/>
    </row>
    <row r="56" spans="1:8" s="24" customFormat="1" ht="16.149999999999999" customHeight="1" x14ac:dyDescent="0.3">
      <c r="A56" s="52" t="s">
        <v>7</v>
      </c>
      <c r="B56" s="166"/>
      <c r="C56" s="169"/>
      <c r="D56" s="171"/>
      <c r="E56" s="27"/>
      <c r="F56" s="25"/>
      <c r="G56" s="26"/>
      <c r="H56" s="26"/>
    </row>
    <row r="57" spans="1:8" s="24" customFormat="1" ht="16.149999999999999" customHeight="1" x14ac:dyDescent="0.3">
      <c r="A57" s="52" t="s">
        <v>84</v>
      </c>
      <c r="B57" s="166"/>
      <c r="C57" s="169"/>
      <c r="D57" s="171"/>
      <c r="E57" s="27"/>
      <c r="F57" s="25"/>
      <c r="G57" s="26"/>
      <c r="H57" s="26"/>
    </row>
    <row r="58" spans="1:8" s="24" customFormat="1" ht="16.149999999999999" customHeight="1" x14ac:dyDescent="0.3">
      <c r="A58" s="52" t="s">
        <v>9</v>
      </c>
      <c r="B58" s="166"/>
      <c r="C58" s="169"/>
      <c r="D58" s="171"/>
      <c r="E58" s="27"/>
      <c r="F58" s="25"/>
      <c r="G58" s="26"/>
      <c r="H58" s="26"/>
    </row>
    <row r="59" spans="1:8" s="24" customFormat="1" ht="16.149999999999999" customHeight="1" x14ac:dyDescent="0.3">
      <c r="A59" s="63" t="s">
        <v>71</v>
      </c>
      <c r="B59" s="167"/>
      <c r="C59" s="170"/>
      <c r="D59" s="172"/>
      <c r="E59" s="27"/>
      <c r="F59" s="25"/>
      <c r="G59" s="26"/>
      <c r="H59" s="26"/>
    </row>
    <row r="60" spans="1:8" s="24" customFormat="1" ht="24.6" customHeight="1" x14ac:dyDescent="0.3">
      <c r="A60" s="145" t="s">
        <v>123</v>
      </c>
      <c r="B60" s="146">
        <f>D18+731-30</f>
        <v>701</v>
      </c>
      <c r="C60" s="146" t="s">
        <v>2</v>
      </c>
      <c r="D60" s="147">
        <f>D18+731+30</f>
        <v>761</v>
      </c>
      <c r="E60" s="27"/>
      <c r="F60" s="25"/>
      <c r="G60" s="26"/>
      <c r="H60" s="26"/>
    </row>
    <row r="61" spans="1:8" s="24" customFormat="1" ht="16.149999999999999" customHeight="1" x14ac:dyDescent="0.3">
      <c r="A61" s="52" t="s">
        <v>5</v>
      </c>
      <c r="B61" s="160">
        <f>ROUND(D2+(36*30.4375)-30,0)</f>
        <v>45628</v>
      </c>
      <c r="C61" s="163" t="s">
        <v>2</v>
      </c>
      <c r="D61" s="157">
        <f>ROUND(D2+(36*30.4375)+30,0)</f>
        <v>45688</v>
      </c>
      <c r="E61" s="27"/>
      <c r="F61" s="25"/>
      <c r="G61" s="26"/>
      <c r="H61" s="26"/>
    </row>
    <row r="62" spans="1:8" s="24" customFormat="1" ht="16.149999999999999" customHeight="1" x14ac:dyDescent="0.3">
      <c r="A62" s="52" t="s">
        <v>6</v>
      </c>
      <c r="B62" s="166"/>
      <c r="C62" s="164"/>
      <c r="D62" s="171"/>
      <c r="E62" s="27"/>
      <c r="F62" s="25"/>
      <c r="G62" s="26"/>
      <c r="H62" s="26"/>
    </row>
    <row r="63" spans="1:8" s="24" customFormat="1" ht="16.149999999999999" customHeight="1" x14ac:dyDescent="0.3">
      <c r="A63" s="52" t="s">
        <v>83</v>
      </c>
      <c r="B63" s="166"/>
      <c r="C63" s="164"/>
      <c r="D63" s="171"/>
      <c r="E63" s="27"/>
      <c r="F63" s="25"/>
      <c r="G63" s="26"/>
      <c r="H63" s="26"/>
    </row>
    <row r="64" spans="1:8" s="24" customFormat="1" ht="16.149999999999999" customHeight="1" x14ac:dyDescent="0.3">
      <c r="A64" s="52" t="s">
        <v>7</v>
      </c>
      <c r="B64" s="166"/>
      <c r="C64" s="164"/>
      <c r="D64" s="171"/>
      <c r="E64" s="27"/>
      <c r="F64" s="25"/>
      <c r="G64" s="26"/>
      <c r="H64" s="26"/>
    </row>
    <row r="65" spans="1:8" s="24" customFormat="1" ht="16.149999999999999" customHeight="1" x14ac:dyDescent="0.3">
      <c r="A65" s="52" t="s">
        <v>84</v>
      </c>
      <c r="B65" s="166"/>
      <c r="C65" s="164"/>
      <c r="D65" s="171"/>
      <c r="E65" s="27"/>
      <c r="F65" s="25"/>
      <c r="G65" s="26"/>
      <c r="H65" s="26"/>
    </row>
    <row r="66" spans="1:8" s="24" customFormat="1" ht="16.149999999999999" customHeight="1" x14ac:dyDescent="0.3">
      <c r="A66" s="52" t="s">
        <v>9</v>
      </c>
      <c r="B66" s="166"/>
      <c r="C66" s="164"/>
      <c r="D66" s="171"/>
      <c r="E66" s="27"/>
      <c r="F66" s="25"/>
      <c r="G66" s="26"/>
      <c r="H66" s="26"/>
    </row>
    <row r="67" spans="1:8" s="24" customFormat="1" ht="16.149999999999999" customHeight="1" x14ac:dyDescent="0.3">
      <c r="A67" s="52" t="s">
        <v>88</v>
      </c>
      <c r="B67" s="166"/>
      <c r="C67" s="164"/>
      <c r="D67" s="171"/>
      <c r="E67" s="27"/>
      <c r="F67" s="25"/>
      <c r="G67" s="26"/>
      <c r="H67" s="26"/>
    </row>
    <row r="68" spans="1:8" s="24" customFormat="1" ht="16.149999999999999" customHeight="1" x14ac:dyDescent="0.3">
      <c r="A68" s="63" t="s">
        <v>71</v>
      </c>
      <c r="B68" s="167"/>
      <c r="C68" s="165"/>
      <c r="D68" s="172"/>
      <c r="E68" s="27"/>
      <c r="F68" s="25"/>
      <c r="G68" s="26"/>
      <c r="H68" s="26"/>
    </row>
    <row r="69" spans="1:8" s="24" customFormat="1" ht="24.6" customHeight="1" x14ac:dyDescent="0.3">
      <c r="A69" s="145" t="s">
        <v>124</v>
      </c>
      <c r="B69" s="146"/>
      <c r="C69" s="146"/>
      <c r="D69" s="147"/>
      <c r="E69" s="27"/>
      <c r="F69" s="25"/>
      <c r="G69" s="26"/>
      <c r="H69" s="26"/>
    </row>
    <row r="70" spans="1:8" s="24" customFormat="1" ht="16.149999999999999" customHeight="1" x14ac:dyDescent="0.3">
      <c r="A70" s="52" t="s">
        <v>5</v>
      </c>
      <c r="B70" s="160">
        <f>ROUND(D2+(42*30.4375)-30,0)</f>
        <v>45810</v>
      </c>
      <c r="C70" s="168" t="s">
        <v>2</v>
      </c>
      <c r="D70" s="157">
        <f>ROUND(D2+(42*30.4375)+30,0)</f>
        <v>45870</v>
      </c>
      <c r="E70" s="27"/>
      <c r="F70" s="25"/>
      <c r="G70" s="26"/>
      <c r="H70" s="26"/>
    </row>
    <row r="71" spans="1:8" s="24" customFormat="1" ht="16.149999999999999" customHeight="1" x14ac:dyDescent="0.3">
      <c r="A71" s="52" t="s">
        <v>6</v>
      </c>
      <c r="B71" s="166"/>
      <c r="C71" s="169"/>
      <c r="D71" s="171"/>
      <c r="E71" s="27"/>
      <c r="F71" s="25"/>
      <c r="G71" s="26"/>
      <c r="H71" s="26"/>
    </row>
    <row r="72" spans="1:8" s="24" customFormat="1" ht="16.149999999999999" customHeight="1" x14ac:dyDescent="0.3">
      <c r="A72" s="52" t="s">
        <v>83</v>
      </c>
      <c r="B72" s="166"/>
      <c r="C72" s="169"/>
      <c r="D72" s="171"/>
      <c r="E72" s="27"/>
      <c r="F72" s="25"/>
      <c r="G72" s="26"/>
      <c r="H72" s="26"/>
    </row>
    <row r="73" spans="1:8" s="24" customFormat="1" ht="16.149999999999999" customHeight="1" x14ac:dyDescent="0.3">
      <c r="A73" s="52" t="s">
        <v>7</v>
      </c>
      <c r="B73" s="166"/>
      <c r="C73" s="169"/>
      <c r="D73" s="171"/>
      <c r="E73" s="27"/>
      <c r="F73" s="25"/>
      <c r="G73" s="26"/>
      <c r="H73" s="26"/>
    </row>
    <row r="74" spans="1:8" s="24" customFormat="1" ht="16.149999999999999" customHeight="1" x14ac:dyDescent="0.3">
      <c r="A74" s="52" t="s">
        <v>84</v>
      </c>
      <c r="B74" s="166"/>
      <c r="C74" s="169"/>
      <c r="D74" s="171"/>
      <c r="E74" s="27"/>
      <c r="F74" s="25"/>
      <c r="G74" s="26"/>
      <c r="H74" s="26"/>
    </row>
    <row r="75" spans="1:8" s="24" customFormat="1" ht="16.149999999999999" customHeight="1" x14ac:dyDescent="0.3">
      <c r="A75" s="52" t="s">
        <v>9</v>
      </c>
      <c r="B75" s="166"/>
      <c r="C75" s="169"/>
      <c r="D75" s="171"/>
      <c r="E75" s="27"/>
      <c r="F75" s="25"/>
      <c r="G75" s="26"/>
      <c r="H75" s="26"/>
    </row>
    <row r="76" spans="1:8" s="24" customFormat="1" ht="16.149999999999999" customHeight="1" x14ac:dyDescent="0.3">
      <c r="A76" s="63" t="s">
        <v>71</v>
      </c>
      <c r="B76" s="167"/>
      <c r="C76" s="170"/>
      <c r="D76" s="172"/>
      <c r="E76" s="27"/>
      <c r="F76" s="25"/>
      <c r="G76" s="26"/>
      <c r="H76" s="26"/>
    </row>
    <row r="77" spans="1:8" s="24" customFormat="1" ht="24.6" customHeight="1" x14ac:dyDescent="0.3">
      <c r="A77" s="145" t="s">
        <v>125</v>
      </c>
      <c r="B77" s="146">
        <f>D35+731-30</f>
        <v>701</v>
      </c>
      <c r="C77" s="146" t="s">
        <v>2</v>
      </c>
      <c r="D77" s="147">
        <f>D35+731+30</f>
        <v>761</v>
      </c>
      <c r="E77" s="27"/>
      <c r="F77" s="25"/>
      <c r="G77" s="26"/>
      <c r="H77" s="26"/>
    </row>
    <row r="78" spans="1:8" s="24" customFormat="1" ht="16.149999999999999" customHeight="1" x14ac:dyDescent="0.3">
      <c r="A78" s="52" t="s">
        <v>5</v>
      </c>
      <c r="B78" s="160">
        <f>ROUND(D2+(48*30.4375)-30,0)</f>
        <v>45993</v>
      </c>
      <c r="C78" s="163" t="s">
        <v>2</v>
      </c>
      <c r="D78" s="157">
        <f>ROUND(D2+(48*30.4375)+30,0)</f>
        <v>46053</v>
      </c>
      <c r="E78" s="27"/>
      <c r="F78" s="25"/>
      <c r="G78" s="26"/>
      <c r="H78" s="26"/>
    </row>
    <row r="79" spans="1:8" s="24" customFormat="1" ht="16.149999999999999" customHeight="1" x14ac:dyDescent="0.3">
      <c r="A79" s="52" t="s">
        <v>6</v>
      </c>
      <c r="B79" s="161"/>
      <c r="C79" s="164"/>
      <c r="D79" s="171"/>
      <c r="E79" s="27"/>
      <c r="F79" s="25"/>
      <c r="G79" s="26"/>
      <c r="H79" s="26"/>
    </row>
    <row r="80" spans="1:8" s="24" customFormat="1" ht="16.149999999999999" customHeight="1" x14ac:dyDescent="0.3">
      <c r="A80" s="52" t="s">
        <v>83</v>
      </c>
      <c r="B80" s="161"/>
      <c r="C80" s="164"/>
      <c r="D80" s="171"/>
      <c r="E80" s="27"/>
      <c r="F80" s="25"/>
      <c r="G80" s="26"/>
      <c r="H80" s="26"/>
    </row>
    <row r="81" spans="1:20" s="24" customFormat="1" ht="16.149999999999999" customHeight="1" x14ac:dyDescent="0.3">
      <c r="A81" s="52" t="s">
        <v>7</v>
      </c>
      <c r="B81" s="161"/>
      <c r="C81" s="164"/>
      <c r="D81" s="171"/>
      <c r="E81" s="27"/>
      <c r="F81" s="25"/>
      <c r="G81" s="26"/>
      <c r="H81" s="26"/>
    </row>
    <row r="82" spans="1:20" s="24" customFormat="1" ht="16.149999999999999" customHeight="1" x14ac:dyDescent="0.3">
      <c r="A82" s="52" t="s">
        <v>84</v>
      </c>
      <c r="B82" s="161"/>
      <c r="C82" s="164"/>
      <c r="D82" s="171"/>
      <c r="E82" s="27"/>
      <c r="F82" s="25"/>
      <c r="G82" s="26"/>
      <c r="H82" s="26"/>
    </row>
    <row r="83" spans="1:20" s="24" customFormat="1" ht="16.149999999999999" customHeight="1" x14ac:dyDescent="0.3">
      <c r="A83" s="52" t="s">
        <v>9</v>
      </c>
      <c r="B83" s="161"/>
      <c r="C83" s="164"/>
      <c r="D83" s="171"/>
      <c r="E83" s="27"/>
      <c r="F83" s="25"/>
      <c r="G83" s="26"/>
      <c r="H83" s="26"/>
    </row>
    <row r="84" spans="1:20" s="24" customFormat="1" ht="16.149999999999999" customHeight="1" x14ac:dyDescent="0.3">
      <c r="A84" s="52" t="s">
        <v>88</v>
      </c>
      <c r="B84" s="161"/>
      <c r="C84" s="164"/>
      <c r="D84" s="171"/>
      <c r="E84" s="27"/>
      <c r="F84" s="25"/>
      <c r="G84" s="26"/>
      <c r="H84" s="26"/>
    </row>
    <row r="85" spans="1:20" s="24" customFormat="1" ht="16.149999999999999" customHeight="1" x14ac:dyDescent="0.3">
      <c r="A85" s="63" t="s">
        <v>71</v>
      </c>
      <c r="B85" s="162"/>
      <c r="C85" s="165"/>
      <c r="D85" s="172"/>
      <c r="E85" s="27"/>
      <c r="F85" s="25"/>
      <c r="G85" s="26"/>
      <c r="H85" s="26"/>
    </row>
    <row r="86" spans="1:20" s="62" customFormat="1" ht="24.6" customHeight="1" x14ac:dyDescent="0.3">
      <c r="A86" s="145" t="s">
        <v>126</v>
      </c>
      <c r="B86" s="146"/>
      <c r="C86" s="146"/>
      <c r="D86" s="147"/>
      <c r="E86" s="59"/>
      <c r="F86" s="60"/>
      <c r="G86" s="61"/>
      <c r="H86" s="61"/>
    </row>
    <row r="87" spans="1:20" s="62" customFormat="1" ht="16.149999999999999" customHeight="1" x14ac:dyDescent="0.3">
      <c r="A87" s="52" t="s">
        <v>5</v>
      </c>
      <c r="B87" s="160">
        <f>ROUND(D2+(54*30.4375)-30,0)</f>
        <v>46176</v>
      </c>
      <c r="C87" s="168" t="s">
        <v>2</v>
      </c>
      <c r="D87" s="157">
        <f>ROUND(D2+(54*30.4375)+30,0)</f>
        <v>46236</v>
      </c>
      <c r="E87" s="59"/>
      <c r="F87" s="60"/>
      <c r="G87" s="61"/>
      <c r="H87" s="61"/>
    </row>
    <row r="88" spans="1:20" s="62" customFormat="1" ht="16.149999999999999" customHeight="1" x14ac:dyDescent="0.3">
      <c r="A88" s="52" t="s">
        <v>6</v>
      </c>
      <c r="B88" s="166"/>
      <c r="C88" s="169"/>
      <c r="D88" s="171"/>
      <c r="E88" s="59"/>
      <c r="F88" s="60"/>
      <c r="G88" s="61"/>
      <c r="H88" s="61"/>
    </row>
    <row r="89" spans="1:20" s="62" customFormat="1" ht="16.149999999999999" customHeight="1" x14ac:dyDescent="0.3">
      <c r="A89" s="52" t="s">
        <v>83</v>
      </c>
      <c r="B89" s="166"/>
      <c r="C89" s="169"/>
      <c r="D89" s="171"/>
      <c r="E89" s="59"/>
      <c r="F89" s="60"/>
      <c r="G89" s="61"/>
      <c r="H89" s="61"/>
    </row>
    <row r="90" spans="1:20" s="62" customFormat="1" ht="16.149999999999999" customHeight="1" x14ac:dyDescent="0.3">
      <c r="A90" s="52" t="s">
        <v>7</v>
      </c>
      <c r="B90" s="166"/>
      <c r="C90" s="169"/>
      <c r="D90" s="171"/>
      <c r="E90" s="59"/>
      <c r="F90" s="60"/>
      <c r="G90" s="61"/>
      <c r="H90" s="61"/>
    </row>
    <row r="91" spans="1:20" s="62" customFormat="1" ht="16.149999999999999" customHeight="1" x14ac:dyDescent="0.3">
      <c r="A91" s="52" t="s">
        <v>84</v>
      </c>
      <c r="B91" s="166"/>
      <c r="C91" s="169"/>
      <c r="D91" s="171"/>
      <c r="E91" s="59"/>
      <c r="F91" s="60"/>
      <c r="G91" s="61"/>
      <c r="H91" s="61"/>
    </row>
    <row r="92" spans="1:20" s="62" customFormat="1" ht="16.149999999999999" customHeight="1" x14ac:dyDescent="0.3">
      <c r="A92" s="52" t="s">
        <v>9</v>
      </c>
      <c r="B92" s="166"/>
      <c r="C92" s="169"/>
      <c r="D92" s="171"/>
      <c r="E92" s="59"/>
      <c r="F92" s="60"/>
      <c r="G92" s="61"/>
      <c r="H92" s="61"/>
    </row>
    <row r="93" spans="1:20" s="62" customFormat="1" ht="16.149999999999999" customHeight="1" x14ac:dyDescent="0.3">
      <c r="A93" s="63" t="s">
        <v>71</v>
      </c>
      <c r="B93" s="167"/>
      <c r="C93" s="170"/>
      <c r="D93" s="172"/>
      <c r="E93" s="59"/>
      <c r="F93" s="83"/>
      <c r="G93" s="61"/>
      <c r="H93" s="61"/>
    </row>
    <row r="94" spans="1:20" s="62" customFormat="1" ht="24.6" customHeight="1" x14ac:dyDescent="0.3">
      <c r="A94" s="145" t="s">
        <v>127</v>
      </c>
      <c r="B94" s="146">
        <f>D52+731-30</f>
        <v>701</v>
      </c>
      <c r="C94" s="146" t="s">
        <v>2</v>
      </c>
      <c r="D94" s="147">
        <f>D52+731+30</f>
        <v>761</v>
      </c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s="62" customFormat="1" ht="16.149999999999999" customHeight="1" x14ac:dyDescent="0.3">
      <c r="A95" s="52" t="s">
        <v>5</v>
      </c>
      <c r="B95" s="160">
        <f>ROUND(D2+(60*30.4375)-30,0)</f>
        <v>46358</v>
      </c>
      <c r="C95" s="163" t="s">
        <v>2</v>
      </c>
      <c r="D95" s="157">
        <f>ROUND(D2+(60*30.4375)+30,0)</f>
        <v>46418</v>
      </c>
      <c r="E95" s="59"/>
      <c r="F95" s="60"/>
      <c r="G95" s="61"/>
      <c r="H95" s="61"/>
    </row>
    <row r="96" spans="1:20" s="62" customFormat="1" ht="16.149999999999999" customHeight="1" x14ac:dyDescent="0.3">
      <c r="A96" s="52" t="s">
        <v>6</v>
      </c>
      <c r="B96" s="161"/>
      <c r="C96" s="164"/>
      <c r="D96" s="158"/>
      <c r="E96" s="59"/>
      <c r="F96" s="60"/>
      <c r="G96" s="61"/>
      <c r="H96" s="61"/>
    </row>
    <row r="97" spans="1:20" s="62" customFormat="1" ht="16.149999999999999" customHeight="1" x14ac:dyDescent="0.3">
      <c r="A97" s="52" t="s">
        <v>83</v>
      </c>
      <c r="B97" s="161"/>
      <c r="C97" s="164"/>
      <c r="D97" s="158"/>
      <c r="E97" s="59"/>
      <c r="F97" s="60"/>
      <c r="G97" s="61"/>
      <c r="H97" s="61"/>
    </row>
    <row r="98" spans="1:20" s="62" customFormat="1" ht="16.149999999999999" customHeight="1" x14ac:dyDescent="0.3">
      <c r="A98" s="52" t="s">
        <v>7</v>
      </c>
      <c r="B98" s="161"/>
      <c r="C98" s="164"/>
      <c r="D98" s="158"/>
      <c r="E98" s="59"/>
      <c r="F98" s="60"/>
      <c r="G98" s="61"/>
      <c r="H98" s="61"/>
    </row>
    <row r="99" spans="1:20" s="62" customFormat="1" ht="16.149999999999999" customHeight="1" x14ac:dyDescent="0.3">
      <c r="A99" s="52" t="s">
        <v>84</v>
      </c>
      <c r="B99" s="161"/>
      <c r="C99" s="164"/>
      <c r="D99" s="158"/>
      <c r="E99" s="59"/>
      <c r="F99" s="60"/>
      <c r="G99" s="61"/>
      <c r="H99" s="61"/>
    </row>
    <row r="100" spans="1:20" s="62" customFormat="1" ht="16.149999999999999" customHeight="1" x14ac:dyDescent="0.3">
      <c r="A100" s="52" t="s">
        <v>9</v>
      </c>
      <c r="B100" s="161"/>
      <c r="C100" s="164"/>
      <c r="D100" s="158"/>
      <c r="E100" s="59"/>
      <c r="F100" s="60"/>
      <c r="G100" s="61"/>
      <c r="H100" s="61"/>
    </row>
    <row r="101" spans="1:20" s="62" customFormat="1" ht="16.149999999999999" customHeight="1" x14ac:dyDescent="0.3">
      <c r="A101" s="52" t="s">
        <v>88</v>
      </c>
      <c r="B101" s="161"/>
      <c r="C101" s="164"/>
      <c r="D101" s="158"/>
      <c r="E101" s="59"/>
      <c r="F101" s="60"/>
      <c r="G101" s="61"/>
      <c r="H101" s="61"/>
    </row>
    <row r="102" spans="1:20" s="62" customFormat="1" ht="16.149999999999999" customHeight="1" x14ac:dyDescent="0.3">
      <c r="A102" s="63" t="s">
        <v>71</v>
      </c>
      <c r="B102" s="162"/>
      <c r="C102" s="165"/>
      <c r="D102" s="159"/>
      <c r="F102" s="60"/>
      <c r="G102" s="61"/>
      <c r="H102" s="61"/>
    </row>
    <row r="103" spans="1:20" s="62" customFormat="1" ht="24.6" customHeight="1" x14ac:dyDescent="0.3">
      <c r="A103" s="145" t="s">
        <v>128</v>
      </c>
      <c r="B103" s="146">
        <f>D60+731-30</f>
        <v>1462</v>
      </c>
      <c r="C103" s="146" t="s">
        <v>2</v>
      </c>
      <c r="D103" s="147">
        <f>D60+731+30</f>
        <v>1522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0" s="62" customFormat="1" ht="16.149999999999999" customHeight="1" x14ac:dyDescent="0.3">
      <c r="A104" s="52" t="s">
        <v>5</v>
      </c>
      <c r="B104" s="160">
        <f>ROUND(D2+(66*30.4375)-30,0)</f>
        <v>46541</v>
      </c>
      <c r="C104" s="163" t="s">
        <v>2</v>
      </c>
      <c r="D104" s="157">
        <f>ROUND(D2+(66*30.4375)+30,0)</f>
        <v>46601</v>
      </c>
      <c r="E104" s="59"/>
      <c r="F104" s="60"/>
      <c r="G104" s="61"/>
      <c r="H104" s="61"/>
    </row>
    <row r="105" spans="1:20" s="62" customFormat="1" ht="16.149999999999999" customHeight="1" x14ac:dyDescent="0.3">
      <c r="A105" s="52" t="s">
        <v>6</v>
      </c>
      <c r="B105" s="161"/>
      <c r="C105" s="164"/>
      <c r="D105" s="158"/>
      <c r="E105" s="59"/>
      <c r="F105" s="60"/>
      <c r="G105" s="61"/>
      <c r="H105" s="61"/>
    </row>
    <row r="106" spans="1:20" s="62" customFormat="1" ht="16.149999999999999" customHeight="1" x14ac:dyDescent="0.3">
      <c r="A106" s="52" t="s">
        <v>83</v>
      </c>
      <c r="B106" s="161"/>
      <c r="C106" s="164"/>
      <c r="D106" s="158"/>
      <c r="E106" s="59"/>
      <c r="F106" s="60"/>
      <c r="G106" s="61"/>
      <c r="H106" s="61"/>
    </row>
    <row r="107" spans="1:20" s="62" customFormat="1" ht="16.149999999999999" customHeight="1" x14ac:dyDescent="0.3">
      <c r="A107" s="52" t="s">
        <v>7</v>
      </c>
      <c r="B107" s="161"/>
      <c r="C107" s="164"/>
      <c r="D107" s="158"/>
      <c r="E107" s="59"/>
      <c r="F107" s="60"/>
      <c r="G107" s="61"/>
      <c r="H107" s="61"/>
    </row>
    <row r="108" spans="1:20" s="62" customFormat="1" ht="16.149999999999999" customHeight="1" x14ac:dyDescent="0.3">
      <c r="A108" s="52" t="s">
        <v>84</v>
      </c>
      <c r="B108" s="161"/>
      <c r="C108" s="164"/>
      <c r="D108" s="158"/>
      <c r="E108" s="59"/>
      <c r="F108" s="60"/>
      <c r="G108" s="61"/>
      <c r="H108" s="61"/>
    </row>
    <row r="109" spans="1:20" s="62" customFormat="1" ht="16.149999999999999" customHeight="1" x14ac:dyDescent="0.3">
      <c r="A109" s="52" t="s">
        <v>9</v>
      </c>
      <c r="B109" s="161"/>
      <c r="C109" s="164"/>
      <c r="D109" s="158"/>
      <c r="E109" s="59"/>
      <c r="F109" s="60"/>
      <c r="G109" s="61"/>
      <c r="H109" s="61"/>
    </row>
    <row r="110" spans="1:20" s="62" customFormat="1" ht="16.149999999999999" customHeight="1" x14ac:dyDescent="0.3">
      <c r="A110" s="63" t="s">
        <v>71</v>
      </c>
      <c r="B110" s="162"/>
      <c r="C110" s="165"/>
      <c r="D110" s="159"/>
      <c r="F110" s="60"/>
      <c r="G110" s="61"/>
      <c r="H110" s="61"/>
    </row>
    <row r="111" spans="1:20" s="24" customFormat="1" ht="25.15" customHeight="1" x14ac:dyDescent="0.3">
      <c r="A111" s="145" t="s">
        <v>133</v>
      </c>
      <c r="B111" s="146"/>
      <c r="C111" s="146"/>
      <c r="D111" s="147"/>
      <c r="E111" s="28"/>
      <c r="F111" s="26"/>
      <c r="G111" s="26"/>
      <c r="H111" s="26"/>
    </row>
    <row r="112" spans="1:20" ht="22.5" customHeight="1" x14ac:dyDescent="0.3">
      <c r="A112" s="47" t="s">
        <v>132</v>
      </c>
      <c r="B112" s="175" t="s">
        <v>134</v>
      </c>
      <c r="C112" s="176"/>
      <c r="D112" s="177"/>
    </row>
  </sheetData>
  <mergeCells count="50">
    <mergeCell ref="B112:D112"/>
    <mergeCell ref="A111:D111"/>
    <mergeCell ref="B8:D8"/>
    <mergeCell ref="B9:B17"/>
    <mergeCell ref="D9:D17"/>
    <mergeCell ref="C9:C17"/>
    <mergeCell ref="B19:B25"/>
    <mergeCell ref="C19:C25"/>
    <mergeCell ref="D19:D25"/>
    <mergeCell ref="B27:B34"/>
    <mergeCell ref="D27:D34"/>
    <mergeCell ref="C27:C34"/>
    <mergeCell ref="A103:D103"/>
    <mergeCell ref="B104:B110"/>
    <mergeCell ref="C104:C110"/>
    <mergeCell ref="D104:D110"/>
    <mergeCell ref="C53:C59"/>
    <mergeCell ref="D53:D59"/>
    <mergeCell ref="B44:B51"/>
    <mergeCell ref="C44:C51"/>
    <mergeCell ref="D44:D51"/>
    <mergeCell ref="A26:D26"/>
    <mergeCell ref="A18:D18"/>
    <mergeCell ref="B36:B42"/>
    <mergeCell ref="D36:D42"/>
    <mergeCell ref="C36:C42"/>
    <mergeCell ref="A43:D43"/>
    <mergeCell ref="A35:D35"/>
    <mergeCell ref="A77:D77"/>
    <mergeCell ref="B78:B85"/>
    <mergeCell ref="C78:C85"/>
    <mergeCell ref="D78:D85"/>
    <mergeCell ref="A60:D60"/>
    <mergeCell ref="A69:D69"/>
    <mergeCell ref="B70:B76"/>
    <mergeCell ref="C70:C76"/>
    <mergeCell ref="D70:D76"/>
    <mergeCell ref="C61:C68"/>
    <mergeCell ref="B61:B68"/>
    <mergeCell ref="D61:D68"/>
    <mergeCell ref="A52:D52"/>
    <mergeCell ref="B53:B59"/>
    <mergeCell ref="B95:B102"/>
    <mergeCell ref="C95:C102"/>
    <mergeCell ref="D95:D102"/>
    <mergeCell ref="A86:D86"/>
    <mergeCell ref="B87:B93"/>
    <mergeCell ref="C87:C93"/>
    <mergeCell ref="D87:D93"/>
    <mergeCell ref="A94:D94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7FF7-B4AA-4EE3-AD71-ABD5DD241A14}">
  <sheetPr>
    <tabColor rgb="FFFFFF00"/>
  </sheetPr>
  <dimension ref="A1:I83"/>
  <sheetViews>
    <sheetView zoomScale="80" zoomScaleNormal="80" workbookViewId="0">
      <selection activeCell="D1" sqref="D1"/>
    </sheetView>
  </sheetViews>
  <sheetFormatPr defaultColWidth="3.7109375" defaultRowHeight="18.75" x14ac:dyDescent="0.3"/>
  <cols>
    <col min="1" max="1" width="77.7109375" style="67" bestFit="1" customWidth="1"/>
    <col min="2" max="2" width="27.7109375" style="67" customWidth="1"/>
    <col min="3" max="3" width="4.7109375" style="65" customWidth="1"/>
    <col min="4" max="4" width="24.7109375" style="67" customWidth="1"/>
    <col min="5" max="5" width="2.5703125" style="24" customWidth="1"/>
    <col min="6" max="6" width="58.85546875" style="15" customWidth="1"/>
    <col min="7" max="7" width="16.7109375" style="15" customWidth="1"/>
    <col min="8" max="8" width="5" style="15" customWidth="1"/>
    <col min="9" max="9" width="15" style="15" customWidth="1"/>
    <col min="10" max="16384" width="3.7109375" style="15"/>
  </cols>
  <sheetData>
    <row r="1" spans="1:9" ht="23.45" customHeight="1" x14ac:dyDescent="0.3">
      <c r="A1" s="14" t="s">
        <v>104</v>
      </c>
      <c r="B1" s="15"/>
      <c r="C1" s="16"/>
      <c r="D1" s="77" t="s">
        <v>137</v>
      </c>
      <c r="E1" s="17"/>
    </row>
    <row r="2" spans="1:9" ht="19.5" customHeight="1" thickBot="1" x14ac:dyDescent="0.4">
      <c r="A2" s="75" t="s">
        <v>3</v>
      </c>
      <c r="B2" s="15"/>
      <c r="C2" s="18" t="s">
        <v>87</v>
      </c>
      <c r="D2" s="57">
        <v>44562</v>
      </c>
      <c r="E2" s="19"/>
    </row>
    <row r="3" spans="1:9" ht="19.5" customHeight="1" thickBot="1" x14ac:dyDescent="0.4">
      <c r="A3" s="76" t="s">
        <v>63</v>
      </c>
      <c r="B3" s="15"/>
      <c r="C3" s="18" t="s">
        <v>0</v>
      </c>
      <c r="D3" s="54">
        <v>44717</v>
      </c>
      <c r="E3" s="20"/>
    </row>
    <row r="4" spans="1:9" ht="19.5" customHeight="1" thickBot="1" x14ac:dyDescent="0.4">
      <c r="A4" s="76" t="s">
        <v>15</v>
      </c>
      <c r="B4" s="15"/>
      <c r="C4" s="18" t="s">
        <v>67</v>
      </c>
      <c r="D4" s="54">
        <v>44722</v>
      </c>
      <c r="E4" s="20"/>
    </row>
    <row r="5" spans="1:9" ht="25.15" customHeight="1" x14ac:dyDescent="0.4">
      <c r="A5" s="66"/>
      <c r="B5" s="85"/>
      <c r="C5" s="64"/>
      <c r="D5" s="69"/>
      <c r="E5" s="22"/>
    </row>
    <row r="6" spans="1:9" s="24" customFormat="1" ht="24.6" customHeight="1" x14ac:dyDescent="0.3">
      <c r="A6" s="145" t="s">
        <v>90</v>
      </c>
      <c r="B6" s="220"/>
      <c r="C6" s="220"/>
      <c r="D6" s="221"/>
      <c r="E6" s="27"/>
      <c r="F6" s="241" t="s">
        <v>113</v>
      </c>
      <c r="G6" s="242"/>
      <c r="H6" s="242"/>
      <c r="I6" s="243"/>
    </row>
    <row r="7" spans="1:9" s="24" customFormat="1" ht="19.149999999999999" customHeight="1" x14ac:dyDescent="0.3">
      <c r="A7" s="55" t="s">
        <v>5</v>
      </c>
      <c r="B7" s="231">
        <f>D4</f>
        <v>44722</v>
      </c>
      <c r="C7" s="228" t="s">
        <v>2</v>
      </c>
      <c r="D7" s="207">
        <f>D4+30</f>
        <v>44752</v>
      </c>
      <c r="E7" s="28"/>
      <c r="F7" s="86" t="s">
        <v>112</v>
      </c>
      <c r="G7" s="98">
        <f>D4</f>
        <v>44722</v>
      </c>
      <c r="H7" s="99" t="s">
        <v>2</v>
      </c>
      <c r="I7" s="100">
        <f>D4+30</f>
        <v>44752</v>
      </c>
    </row>
    <row r="8" spans="1:9" s="24" customFormat="1" ht="19.149999999999999" customHeight="1" x14ac:dyDescent="0.3">
      <c r="A8" s="55" t="s">
        <v>11</v>
      </c>
      <c r="B8" s="232"/>
      <c r="C8" s="229"/>
      <c r="D8" s="208"/>
      <c r="E8" s="29"/>
      <c r="F8" s="86" t="s">
        <v>117</v>
      </c>
      <c r="G8" s="101">
        <f>ROUND(D4+(12*30.4375)-30, 0)</f>
        <v>45057</v>
      </c>
      <c r="H8" s="99" t="s">
        <v>2</v>
      </c>
      <c r="I8" s="102">
        <f>ROUND(D4+(12*30.4375)+30, 0)</f>
        <v>45117</v>
      </c>
    </row>
    <row r="9" spans="1:9" s="24" customFormat="1" ht="19.149999999999999" customHeight="1" x14ac:dyDescent="0.3">
      <c r="A9" s="55" t="s">
        <v>78</v>
      </c>
      <c r="B9" s="232"/>
      <c r="C9" s="229"/>
      <c r="D9" s="208"/>
      <c r="E9" s="29"/>
      <c r="F9" s="86" t="s">
        <v>114</v>
      </c>
      <c r="G9" s="101">
        <f>ROUND(D4+(24*30.4375)-30, 0)</f>
        <v>45423</v>
      </c>
      <c r="H9" s="99" t="s">
        <v>2</v>
      </c>
      <c r="I9" s="102">
        <f>ROUND(D4+(24*30.4375)+30, 0)</f>
        <v>45483</v>
      </c>
    </row>
    <row r="10" spans="1:9" s="24" customFormat="1" ht="19.149999999999999" customHeight="1" x14ac:dyDescent="0.3">
      <c r="A10" s="55" t="s">
        <v>89</v>
      </c>
      <c r="B10" s="232"/>
      <c r="C10" s="229"/>
      <c r="D10" s="208"/>
      <c r="E10" s="29"/>
      <c r="F10" s="86" t="s">
        <v>115</v>
      </c>
      <c r="G10" s="101">
        <f>ROUND(D4+(36*30.4375)-30, 0)</f>
        <v>45788</v>
      </c>
      <c r="H10" s="99" t="s">
        <v>2</v>
      </c>
      <c r="I10" s="102">
        <f>ROUND(D4+(36*30.4375)+30, 0)</f>
        <v>45848</v>
      </c>
    </row>
    <row r="11" spans="1:9" s="24" customFormat="1" ht="19.149999999999999" customHeight="1" x14ac:dyDescent="0.3">
      <c r="A11" s="55" t="s">
        <v>12</v>
      </c>
      <c r="B11" s="232"/>
      <c r="C11" s="229"/>
      <c r="D11" s="208"/>
      <c r="E11" s="29"/>
      <c r="F11" s="86" t="s">
        <v>116</v>
      </c>
      <c r="G11" s="101">
        <f>ROUND(D4+(48*30.4375)-30, 0)</f>
        <v>46153</v>
      </c>
      <c r="H11" s="99" t="s">
        <v>2</v>
      </c>
      <c r="I11" s="102">
        <f>ROUND(D4+(48*30.4375)+30, 0)</f>
        <v>46213</v>
      </c>
    </row>
    <row r="12" spans="1:9" s="24" customFormat="1" ht="19.149999999999999" customHeight="1" x14ac:dyDescent="0.3">
      <c r="A12" s="55" t="s">
        <v>6</v>
      </c>
      <c r="B12" s="232"/>
      <c r="C12" s="229"/>
      <c r="D12" s="208"/>
      <c r="E12" s="29"/>
    </row>
    <row r="13" spans="1:9" s="24" customFormat="1" ht="19.149999999999999" customHeight="1" x14ac:dyDescent="0.3">
      <c r="A13" s="55" t="s">
        <v>77</v>
      </c>
      <c r="B13" s="232"/>
      <c r="C13" s="229"/>
      <c r="D13" s="208"/>
      <c r="E13" s="29"/>
      <c r="F13" s="26"/>
      <c r="G13" s="26"/>
      <c r="H13" s="26"/>
    </row>
    <row r="14" spans="1:9" s="24" customFormat="1" ht="19.149999999999999" customHeight="1" x14ac:dyDescent="0.3">
      <c r="A14" s="74" t="s">
        <v>129</v>
      </c>
      <c r="B14" s="232"/>
      <c r="C14" s="234"/>
      <c r="D14" s="226"/>
      <c r="E14" s="29"/>
      <c r="F14" s="26"/>
      <c r="G14" s="26"/>
      <c r="H14" s="26"/>
    </row>
    <row r="15" spans="1:9" s="24" customFormat="1" ht="19.149999999999999" customHeight="1" x14ac:dyDescent="0.3">
      <c r="A15" s="74" t="s">
        <v>130</v>
      </c>
      <c r="B15" s="233"/>
      <c r="C15" s="235"/>
      <c r="D15" s="227"/>
      <c r="E15" s="29"/>
      <c r="G15" s="26"/>
      <c r="H15" s="26"/>
    </row>
    <row r="16" spans="1:9" s="24" customFormat="1" ht="24.6" customHeight="1" x14ac:dyDescent="0.3">
      <c r="A16" s="145" t="s">
        <v>91</v>
      </c>
      <c r="B16" s="146"/>
      <c r="C16" s="146"/>
      <c r="D16" s="147"/>
    </row>
    <row r="17" spans="1:9" s="24" customFormat="1" x14ac:dyDescent="0.3">
      <c r="A17" s="55" t="s">
        <v>11</v>
      </c>
      <c r="B17" s="160">
        <f>D3</f>
        <v>44717</v>
      </c>
      <c r="C17" s="163" t="s">
        <v>2</v>
      </c>
      <c r="D17" s="157">
        <f>ROUND(D3+(2*30.4375)+30,0)</f>
        <v>44808</v>
      </c>
      <c r="E17" s="29"/>
    </row>
    <row r="18" spans="1:9" s="24" customFormat="1" x14ac:dyDescent="0.3">
      <c r="A18" s="55" t="s">
        <v>77</v>
      </c>
      <c r="B18" s="161"/>
      <c r="C18" s="164"/>
      <c r="D18" s="158"/>
      <c r="E18" s="29"/>
    </row>
    <row r="19" spans="1:9" s="24" customFormat="1" x14ac:dyDescent="0.3">
      <c r="A19" s="55" t="s">
        <v>89</v>
      </c>
      <c r="B19" s="161"/>
      <c r="C19" s="164"/>
      <c r="D19" s="158"/>
      <c r="E19" s="29"/>
    </row>
    <row r="20" spans="1:9" s="24" customFormat="1" ht="18.75" customHeight="1" x14ac:dyDescent="0.3">
      <c r="A20" s="74" t="s">
        <v>130</v>
      </c>
      <c r="B20" s="162"/>
      <c r="C20" s="165"/>
      <c r="D20" s="159"/>
      <c r="E20" s="29"/>
    </row>
    <row r="21" spans="1:9" s="48" customFormat="1" ht="24.6" customHeight="1" x14ac:dyDescent="0.3">
      <c r="A21" s="223" t="s">
        <v>92</v>
      </c>
      <c r="B21" s="224"/>
      <c r="C21" s="224"/>
      <c r="D21" s="225"/>
      <c r="E21" s="73"/>
      <c r="F21" s="24"/>
      <c r="G21" s="24"/>
      <c r="H21" s="24"/>
      <c r="I21" s="24"/>
    </row>
    <row r="22" spans="1:9" s="24" customFormat="1" ht="16.149999999999999" customHeight="1" x14ac:dyDescent="0.3">
      <c r="A22" s="47" t="s">
        <v>11</v>
      </c>
      <c r="B22" s="205">
        <f>ROUND(D3+(2*30.4375)-30,0)</f>
        <v>44748</v>
      </c>
      <c r="C22" s="228" t="s">
        <v>2</v>
      </c>
      <c r="D22" s="207">
        <f>ROUND(D3+(3*30.4375)+30,0)</f>
        <v>44838</v>
      </c>
      <c r="E22" s="28"/>
    </row>
    <row r="23" spans="1:9" s="24" customFormat="1" ht="16.149999999999999" customHeight="1" x14ac:dyDescent="0.3">
      <c r="A23" s="55" t="s">
        <v>89</v>
      </c>
      <c r="B23" s="206"/>
      <c r="C23" s="229"/>
      <c r="D23" s="208"/>
      <c r="E23" s="28"/>
      <c r="F23" s="26"/>
      <c r="G23" s="26"/>
    </row>
    <row r="24" spans="1:9" s="24" customFormat="1" ht="16.149999999999999" customHeight="1" x14ac:dyDescent="0.3">
      <c r="A24" s="55" t="s">
        <v>77</v>
      </c>
      <c r="B24" s="239"/>
      <c r="C24" s="230"/>
      <c r="D24" s="222"/>
    </row>
    <row r="25" spans="1:9" s="24" customFormat="1" ht="31.5" customHeight="1" x14ac:dyDescent="0.3">
      <c r="A25" s="223" t="s">
        <v>93</v>
      </c>
      <c r="B25" s="224"/>
      <c r="C25" s="224"/>
      <c r="D25" s="225"/>
      <c r="E25" s="28"/>
      <c r="F25" s="26"/>
      <c r="G25" s="26"/>
    </row>
    <row r="26" spans="1:9" s="24" customFormat="1" ht="16.149999999999999" customHeight="1" x14ac:dyDescent="0.3">
      <c r="A26" s="55" t="s">
        <v>79</v>
      </c>
      <c r="B26" s="205">
        <f>ROUND(D3+(4*30.4375)-30,0)</f>
        <v>44809</v>
      </c>
      <c r="C26" s="228" t="s">
        <v>2</v>
      </c>
      <c r="D26" s="207">
        <f>ROUND(D3+(5*30.4375)+30,0)</f>
        <v>44899</v>
      </c>
      <c r="E26" s="28"/>
      <c r="F26" s="26"/>
      <c r="G26" s="26"/>
    </row>
    <row r="27" spans="1:9" s="24" customFormat="1" ht="16.149999999999999" customHeight="1" x14ac:dyDescent="0.3">
      <c r="A27" s="55" t="s">
        <v>13</v>
      </c>
      <c r="B27" s="206"/>
      <c r="C27" s="229"/>
      <c r="D27" s="208"/>
      <c r="E27" s="28"/>
      <c r="F27" s="26"/>
      <c r="G27" s="26"/>
    </row>
    <row r="28" spans="1:9" s="24" customFormat="1" ht="16.149999999999999" customHeight="1" x14ac:dyDescent="0.3">
      <c r="A28" s="55" t="s">
        <v>77</v>
      </c>
      <c r="B28" s="206"/>
      <c r="C28" s="229"/>
      <c r="D28" s="208"/>
      <c r="E28" s="28"/>
      <c r="F28" s="26"/>
      <c r="G28" s="26"/>
    </row>
    <row r="29" spans="1:9" s="24" customFormat="1" ht="16.149999999999999" customHeight="1" x14ac:dyDescent="0.3">
      <c r="A29" s="55" t="s">
        <v>80</v>
      </c>
      <c r="B29" s="239"/>
      <c r="C29" s="230"/>
      <c r="D29" s="222"/>
      <c r="E29" s="28"/>
      <c r="F29" s="26"/>
      <c r="G29" s="26"/>
    </row>
    <row r="30" spans="1:9" s="24" customFormat="1" ht="24.6" customHeight="1" x14ac:dyDescent="0.3">
      <c r="A30" s="145" t="s">
        <v>94</v>
      </c>
      <c r="B30" s="203"/>
      <c r="C30" s="203"/>
      <c r="D30" s="204"/>
      <c r="E30" s="28"/>
      <c r="F30" s="26"/>
      <c r="G30" s="26"/>
      <c r="H30" s="26"/>
    </row>
    <row r="31" spans="1:9" s="24" customFormat="1" ht="19.899999999999999" customHeight="1" x14ac:dyDescent="0.3">
      <c r="A31" s="74" t="s">
        <v>130</v>
      </c>
      <c r="B31" s="103">
        <f>ROUND(D3+((6*30.4375)-30),0)</f>
        <v>44870</v>
      </c>
      <c r="C31" s="104" t="s">
        <v>2</v>
      </c>
      <c r="D31" s="105">
        <f>ROUND(D3+((6*30.4375)+30),0)</f>
        <v>44930</v>
      </c>
      <c r="E31" s="28"/>
      <c r="F31" s="26"/>
      <c r="G31" s="26"/>
      <c r="H31" s="26"/>
    </row>
    <row r="32" spans="1:9" s="24" customFormat="1" ht="19.899999999999999" customHeight="1" x14ac:dyDescent="0.3">
      <c r="A32" s="49" t="s">
        <v>13</v>
      </c>
      <c r="B32" s="205">
        <f>ROUND(D3+((6*30.4375)-30),0)</f>
        <v>44870</v>
      </c>
      <c r="C32" s="193" t="s">
        <v>2</v>
      </c>
      <c r="D32" s="207">
        <f>ROUND(D3+(7*30.4375)+30,0)</f>
        <v>44960</v>
      </c>
      <c r="E32" s="28"/>
      <c r="F32" s="26"/>
      <c r="G32" s="26"/>
      <c r="H32" s="26"/>
    </row>
    <row r="33" spans="1:8" s="24" customFormat="1" ht="19.899999999999999" customHeight="1" x14ac:dyDescent="0.3">
      <c r="A33" s="51" t="s">
        <v>11</v>
      </c>
      <c r="B33" s="206"/>
      <c r="C33" s="194"/>
      <c r="D33" s="208"/>
      <c r="E33" s="28"/>
      <c r="F33" s="26"/>
      <c r="G33" s="26"/>
      <c r="H33" s="26"/>
    </row>
    <row r="34" spans="1:8" s="24" customFormat="1" ht="19.899999999999999" customHeight="1" x14ac:dyDescent="0.3">
      <c r="A34" s="55" t="s">
        <v>77</v>
      </c>
      <c r="B34" s="206"/>
      <c r="C34" s="194"/>
      <c r="D34" s="208"/>
      <c r="E34" s="28"/>
      <c r="G34" s="26"/>
      <c r="H34" s="26"/>
    </row>
    <row r="35" spans="1:8" s="24" customFormat="1" ht="19.899999999999999" customHeight="1" x14ac:dyDescent="0.3">
      <c r="A35" s="51" t="s">
        <v>81</v>
      </c>
      <c r="B35" s="206"/>
      <c r="C35" s="194"/>
      <c r="D35" s="208"/>
      <c r="E35" s="28"/>
      <c r="F35" s="26"/>
      <c r="G35" s="26"/>
      <c r="H35" s="26"/>
    </row>
    <row r="36" spans="1:8" s="24" customFormat="1" ht="24.6" customHeight="1" x14ac:dyDescent="0.3">
      <c r="A36" s="209" t="s">
        <v>95</v>
      </c>
      <c r="B36" s="210"/>
      <c r="C36" s="210"/>
      <c r="D36" s="211"/>
      <c r="E36" s="28"/>
      <c r="F36" s="26"/>
      <c r="G36" s="26"/>
      <c r="H36" s="26"/>
    </row>
    <row r="37" spans="1:8" s="24" customFormat="1" ht="19.149999999999999" customHeight="1" x14ac:dyDescent="0.3">
      <c r="A37" s="74" t="s">
        <v>130</v>
      </c>
      <c r="B37" s="107">
        <f>ROUND(D3+((8*30.4375)-30),0)</f>
        <v>44931</v>
      </c>
      <c r="C37" s="108" t="s">
        <v>2</v>
      </c>
      <c r="D37" s="109">
        <f>ROUND(D3+((8*30.4375)+30),0)</f>
        <v>44991</v>
      </c>
      <c r="E37" s="27"/>
      <c r="F37" s="26"/>
      <c r="G37" s="26"/>
      <c r="H37" s="26"/>
    </row>
    <row r="38" spans="1:8" s="24" customFormat="1" ht="16.149999999999999" customHeight="1" x14ac:dyDescent="0.3">
      <c r="A38" s="49" t="s">
        <v>11</v>
      </c>
      <c r="B38" s="214">
        <f>ROUND(D3+((8*30.4375)-30),0)</f>
        <v>44931</v>
      </c>
      <c r="C38" s="212" t="s">
        <v>2</v>
      </c>
      <c r="D38" s="217">
        <f>ROUND(D3+((10*30.4375)+30),0)</f>
        <v>45051</v>
      </c>
      <c r="E38" s="28"/>
      <c r="F38" s="26"/>
      <c r="G38" s="26"/>
    </row>
    <row r="39" spans="1:8" s="24" customFormat="1" ht="16.149999999999999" customHeight="1" x14ac:dyDescent="0.3">
      <c r="A39" s="49" t="s">
        <v>13</v>
      </c>
      <c r="B39" s="215"/>
      <c r="C39" s="213"/>
      <c r="D39" s="218"/>
      <c r="E39" s="27"/>
      <c r="G39" s="26"/>
      <c r="H39" s="26"/>
    </row>
    <row r="40" spans="1:8" s="24" customFormat="1" ht="16.149999999999999" customHeight="1" x14ac:dyDescent="0.3">
      <c r="A40" s="106" t="s">
        <v>79</v>
      </c>
      <c r="B40" s="216"/>
      <c r="C40" s="213"/>
      <c r="D40" s="219"/>
      <c r="E40" s="27"/>
      <c r="F40" s="26"/>
      <c r="G40" s="26"/>
      <c r="H40" s="26"/>
    </row>
    <row r="41" spans="1:8" s="24" customFormat="1" ht="24.6" customHeight="1" x14ac:dyDescent="0.3">
      <c r="A41" s="145" t="s">
        <v>96</v>
      </c>
      <c r="B41" s="146"/>
      <c r="C41" s="146"/>
      <c r="D41" s="147"/>
      <c r="E41" s="28"/>
      <c r="F41" s="26"/>
      <c r="G41" s="26"/>
      <c r="H41" s="26"/>
    </row>
    <row r="42" spans="1:8" s="24" customFormat="1" ht="16.149999999999999" customHeight="1" x14ac:dyDescent="0.3">
      <c r="A42" s="50" t="s">
        <v>64</v>
      </c>
      <c r="B42" s="195">
        <f>ROUND(D3+(12*30.4375)-30,0)</f>
        <v>45052</v>
      </c>
      <c r="C42" s="142" t="s">
        <v>2</v>
      </c>
      <c r="D42" s="200">
        <f>ROUND(D3+(12*30.4375)+30,0)</f>
        <v>45112</v>
      </c>
      <c r="E42" s="28"/>
      <c r="G42" s="26"/>
      <c r="H42" s="26"/>
    </row>
    <row r="43" spans="1:8" s="24" customFormat="1" ht="16.149999999999999" customHeight="1" x14ac:dyDescent="0.3">
      <c r="A43" s="51" t="s">
        <v>65</v>
      </c>
      <c r="B43" s="196"/>
      <c r="C43" s="198"/>
      <c r="D43" s="201"/>
      <c r="E43" s="28"/>
      <c r="F43" s="26"/>
      <c r="G43" s="26"/>
      <c r="H43" s="26"/>
    </row>
    <row r="44" spans="1:8" s="24" customFormat="1" ht="16.149999999999999" customHeight="1" x14ac:dyDescent="0.3">
      <c r="A44" s="51" t="s">
        <v>77</v>
      </c>
      <c r="B44" s="196"/>
      <c r="C44" s="198"/>
      <c r="D44" s="201"/>
      <c r="E44" s="28"/>
      <c r="F44" s="26"/>
      <c r="G44" s="26"/>
      <c r="H44" s="26"/>
    </row>
    <row r="45" spans="1:8" s="24" customFormat="1" ht="16.149999999999999" customHeight="1" x14ac:dyDescent="0.3">
      <c r="A45" s="51" t="s">
        <v>79</v>
      </c>
      <c r="B45" s="196"/>
      <c r="C45" s="198"/>
      <c r="D45" s="201"/>
      <c r="E45" s="28"/>
      <c r="F45" s="26"/>
      <c r="G45" s="26"/>
      <c r="H45" s="26"/>
    </row>
    <row r="46" spans="1:8" s="24" customFormat="1" ht="16.149999999999999" customHeight="1" x14ac:dyDescent="0.3">
      <c r="A46" s="51" t="s">
        <v>80</v>
      </c>
      <c r="B46" s="196"/>
      <c r="C46" s="198"/>
      <c r="D46" s="201"/>
      <c r="E46" s="28"/>
      <c r="F46" s="26"/>
      <c r="G46" s="26"/>
      <c r="H46" s="26"/>
    </row>
    <row r="47" spans="1:8" s="24" customFormat="1" ht="16.149999999999999" customHeight="1" x14ac:dyDescent="0.3">
      <c r="A47" s="74" t="s">
        <v>130</v>
      </c>
      <c r="B47" s="197"/>
      <c r="C47" s="199"/>
      <c r="D47" s="202"/>
      <c r="E47" s="28"/>
      <c r="F47" s="26"/>
      <c r="G47" s="26"/>
      <c r="H47" s="26"/>
    </row>
    <row r="48" spans="1:8" s="24" customFormat="1" ht="24.6" customHeight="1" x14ac:dyDescent="0.3">
      <c r="A48" s="209" t="s">
        <v>97</v>
      </c>
      <c r="B48" s="210"/>
      <c r="C48" s="210"/>
      <c r="D48" s="211"/>
      <c r="E48" s="28"/>
      <c r="F48" s="26"/>
      <c r="G48" s="26"/>
      <c r="H48" s="26"/>
    </row>
    <row r="49" spans="1:8" s="24" customFormat="1" ht="15.75" customHeight="1" x14ac:dyDescent="0.3">
      <c r="A49" s="49" t="s">
        <v>13</v>
      </c>
      <c r="B49" s="214">
        <f>ROUND(D3+(18*30.4375)-30,0)</f>
        <v>45235</v>
      </c>
      <c r="C49" s="212" t="s">
        <v>2</v>
      </c>
      <c r="D49" s="217">
        <f>ROUND(D3+(18*30.4375)+30,0)</f>
        <v>45295</v>
      </c>
      <c r="E49" s="28"/>
      <c r="F49" s="26"/>
      <c r="G49" s="26"/>
      <c r="H49" s="26"/>
    </row>
    <row r="50" spans="1:8" s="24" customFormat="1" ht="15.75" customHeight="1" x14ac:dyDescent="0.3">
      <c r="A50" s="49" t="s">
        <v>82</v>
      </c>
      <c r="B50" s="215"/>
      <c r="C50" s="213"/>
      <c r="D50" s="218"/>
      <c r="E50" s="28"/>
      <c r="F50" s="26"/>
      <c r="G50" s="26"/>
      <c r="H50" s="26"/>
    </row>
    <row r="51" spans="1:8" s="24" customFormat="1" ht="15.75" customHeight="1" x14ac:dyDescent="0.3">
      <c r="A51" s="49" t="s">
        <v>80</v>
      </c>
      <c r="B51" s="215"/>
      <c r="C51" s="213"/>
      <c r="D51" s="218"/>
      <c r="E51" s="28"/>
      <c r="F51" s="26"/>
      <c r="G51" s="26"/>
      <c r="H51" s="26"/>
    </row>
    <row r="52" spans="1:8" s="24" customFormat="1" ht="15.75" customHeight="1" x14ac:dyDescent="0.3">
      <c r="A52" s="74" t="s">
        <v>130</v>
      </c>
      <c r="B52" s="216"/>
      <c r="C52" s="240"/>
      <c r="D52" s="219"/>
      <c r="E52" s="28"/>
      <c r="F52" s="26"/>
      <c r="G52" s="26"/>
      <c r="H52" s="26"/>
    </row>
    <row r="53" spans="1:8" s="24" customFormat="1" ht="24.6" customHeight="1" x14ac:dyDescent="0.3">
      <c r="A53" s="145" t="s">
        <v>98</v>
      </c>
      <c r="B53" s="146"/>
      <c r="C53" s="146"/>
      <c r="D53" s="147"/>
      <c r="E53" s="28"/>
      <c r="F53" s="26"/>
      <c r="G53" s="26"/>
      <c r="H53" s="26"/>
    </row>
    <row r="54" spans="1:8" x14ac:dyDescent="0.3">
      <c r="A54" s="47" t="s">
        <v>13</v>
      </c>
      <c r="B54" s="184">
        <f>ROUND(D3+(24*30.4375)-30,0)</f>
        <v>45418</v>
      </c>
      <c r="C54" s="187" t="s">
        <v>2</v>
      </c>
      <c r="D54" s="190">
        <f>ROUND(D3+(24*30.4375)+30,0)</f>
        <v>45478</v>
      </c>
    </row>
    <row r="55" spans="1:8" x14ac:dyDescent="0.3">
      <c r="A55" s="47" t="s">
        <v>82</v>
      </c>
      <c r="B55" s="185"/>
      <c r="C55" s="188"/>
      <c r="D55" s="191"/>
    </row>
    <row r="56" spans="1:8" x14ac:dyDescent="0.3">
      <c r="A56" s="47" t="s">
        <v>80</v>
      </c>
      <c r="B56" s="185"/>
      <c r="C56" s="188"/>
      <c r="D56" s="191"/>
    </row>
    <row r="57" spans="1:8" x14ac:dyDescent="0.3">
      <c r="A57" s="74" t="s">
        <v>130</v>
      </c>
      <c r="B57" s="186"/>
      <c r="C57" s="189"/>
      <c r="D57" s="192"/>
    </row>
    <row r="58" spans="1:8" s="24" customFormat="1" ht="24.6" customHeight="1" x14ac:dyDescent="0.3">
      <c r="A58" s="145" t="s">
        <v>99</v>
      </c>
      <c r="B58" s="146"/>
      <c r="C58" s="146"/>
      <c r="D58" s="147"/>
      <c r="E58" s="28"/>
      <c r="F58" s="26"/>
      <c r="G58" s="26"/>
      <c r="H58" s="26"/>
    </row>
    <row r="59" spans="1:8" x14ac:dyDescent="0.3">
      <c r="A59" s="47" t="s">
        <v>13</v>
      </c>
      <c r="B59" s="184">
        <f>ROUND(D3+(30*30.4375)-30,0)</f>
        <v>45600</v>
      </c>
      <c r="C59" s="187" t="s">
        <v>2</v>
      </c>
      <c r="D59" s="190">
        <f>ROUND(D3+(30*30.4375)+30,0)</f>
        <v>45660</v>
      </c>
    </row>
    <row r="60" spans="1:8" x14ac:dyDescent="0.3">
      <c r="A60" s="47" t="s">
        <v>80</v>
      </c>
      <c r="B60" s="185"/>
      <c r="C60" s="188"/>
      <c r="D60" s="191"/>
    </row>
    <row r="61" spans="1:8" x14ac:dyDescent="0.3">
      <c r="A61" s="74" t="s">
        <v>130</v>
      </c>
      <c r="B61" s="186"/>
      <c r="C61" s="189"/>
      <c r="D61" s="192"/>
    </row>
    <row r="62" spans="1:8" s="24" customFormat="1" ht="31.5" customHeight="1" x14ac:dyDescent="0.3">
      <c r="A62" s="145" t="s">
        <v>100</v>
      </c>
      <c r="B62" s="146"/>
      <c r="C62" s="146"/>
      <c r="D62" s="147"/>
      <c r="E62" s="28"/>
      <c r="F62" s="26"/>
      <c r="G62" s="26"/>
      <c r="H62" s="26"/>
    </row>
    <row r="63" spans="1:8" x14ac:dyDescent="0.3">
      <c r="A63" s="47" t="s">
        <v>13</v>
      </c>
      <c r="B63" s="184">
        <f>ROUND(D3+(36*30.4375)-30,0)</f>
        <v>45783</v>
      </c>
      <c r="C63" s="187" t="s">
        <v>2</v>
      </c>
      <c r="D63" s="190">
        <f>ROUND(D3+(36*30.4375)+30,0)</f>
        <v>45843</v>
      </c>
    </row>
    <row r="64" spans="1:8" x14ac:dyDescent="0.3">
      <c r="A64" s="47" t="s">
        <v>80</v>
      </c>
      <c r="B64" s="185"/>
      <c r="C64" s="188"/>
      <c r="D64" s="191"/>
    </row>
    <row r="65" spans="1:8" x14ac:dyDescent="0.3">
      <c r="A65" s="74" t="s">
        <v>130</v>
      </c>
      <c r="B65" s="186"/>
      <c r="C65" s="189"/>
      <c r="D65" s="192"/>
    </row>
    <row r="66" spans="1:8" s="24" customFormat="1" ht="24.6" customHeight="1" x14ac:dyDescent="0.3">
      <c r="A66" s="145" t="s">
        <v>101</v>
      </c>
      <c r="B66" s="146"/>
      <c r="C66" s="146"/>
      <c r="D66" s="147"/>
      <c r="E66" s="28"/>
      <c r="F66" s="26"/>
      <c r="G66" s="26"/>
      <c r="H66" s="26"/>
    </row>
    <row r="67" spans="1:8" x14ac:dyDescent="0.3">
      <c r="A67" s="47" t="s">
        <v>13</v>
      </c>
      <c r="B67" s="184">
        <f>ROUND(D3+(42*30.4375)-30,0)</f>
        <v>45965</v>
      </c>
      <c r="C67" s="187" t="s">
        <v>2</v>
      </c>
      <c r="D67" s="190">
        <f>ROUND(D3+(42*30.4375)+30,0)</f>
        <v>46025</v>
      </c>
    </row>
    <row r="68" spans="1:8" x14ac:dyDescent="0.3">
      <c r="A68" s="47" t="s">
        <v>80</v>
      </c>
      <c r="B68" s="185"/>
      <c r="C68" s="188"/>
      <c r="D68" s="191"/>
    </row>
    <row r="69" spans="1:8" x14ac:dyDescent="0.3">
      <c r="A69" s="74" t="s">
        <v>130</v>
      </c>
      <c r="B69" s="186"/>
      <c r="C69" s="189"/>
      <c r="D69" s="192"/>
    </row>
    <row r="70" spans="1:8" ht="24.6" customHeight="1" x14ac:dyDescent="0.3">
      <c r="A70" s="145" t="s">
        <v>102</v>
      </c>
      <c r="B70" s="146"/>
      <c r="C70" s="146"/>
      <c r="D70" s="147"/>
    </row>
    <row r="71" spans="1:8" x14ac:dyDescent="0.3">
      <c r="A71" s="47" t="s">
        <v>13</v>
      </c>
      <c r="B71" s="184">
        <f>ROUND(D3+(48*30.4375)-30,0)</f>
        <v>46148</v>
      </c>
      <c r="C71" s="187" t="s">
        <v>2</v>
      </c>
      <c r="D71" s="190">
        <f>ROUND(D3+(48*30.4375)+30,0)</f>
        <v>46208</v>
      </c>
    </row>
    <row r="72" spans="1:8" x14ac:dyDescent="0.3">
      <c r="A72" s="47" t="s">
        <v>80</v>
      </c>
      <c r="B72" s="185"/>
      <c r="C72" s="188"/>
      <c r="D72" s="191"/>
    </row>
    <row r="73" spans="1:8" x14ac:dyDescent="0.3">
      <c r="A73" s="74" t="s">
        <v>130</v>
      </c>
      <c r="B73" s="186"/>
      <c r="C73" s="189"/>
      <c r="D73" s="192"/>
    </row>
    <row r="74" spans="1:8" ht="24.6" customHeight="1" x14ac:dyDescent="0.3">
      <c r="A74" s="145" t="s">
        <v>103</v>
      </c>
      <c r="B74" s="146"/>
      <c r="C74" s="146"/>
      <c r="D74" s="147"/>
    </row>
    <row r="75" spans="1:8" s="24" customFormat="1" ht="18.600000000000001" customHeight="1" x14ac:dyDescent="0.3">
      <c r="A75" s="47" t="s">
        <v>13</v>
      </c>
      <c r="B75" s="184">
        <f>ROUND(D3+(54*30.4375)-30,0)</f>
        <v>46331</v>
      </c>
      <c r="C75" s="187" t="s">
        <v>2</v>
      </c>
      <c r="D75" s="190">
        <f>ROUND(D3+(54*30.4375)+30,0)</f>
        <v>46391</v>
      </c>
      <c r="E75" s="28"/>
      <c r="F75" s="26"/>
      <c r="G75" s="26"/>
      <c r="H75" s="26"/>
    </row>
    <row r="76" spans="1:8" x14ac:dyDescent="0.3">
      <c r="A76" s="47" t="s">
        <v>80</v>
      </c>
      <c r="B76" s="185"/>
      <c r="C76" s="188"/>
      <c r="D76" s="191"/>
    </row>
    <row r="77" spans="1:8" x14ac:dyDescent="0.3">
      <c r="A77" s="74" t="s">
        <v>130</v>
      </c>
      <c r="B77" s="186"/>
      <c r="C77" s="189"/>
      <c r="D77" s="192"/>
    </row>
    <row r="78" spans="1:8" ht="24.6" customHeight="1" x14ac:dyDescent="0.3">
      <c r="A78" s="145" t="s">
        <v>136</v>
      </c>
      <c r="B78" s="146"/>
      <c r="C78" s="146"/>
      <c r="D78" s="147"/>
    </row>
    <row r="79" spans="1:8" s="62" customFormat="1" ht="20.45" customHeight="1" x14ac:dyDescent="0.3">
      <c r="A79" s="47" t="s">
        <v>13</v>
      </c>
      <c r="B79" s="184">
        <f>ROUND(D3+(60*30.4375)-30,0)</f>
        <v>46513</v>
      </c>
      <c r="C79" s="187" t="s">
        <v>2</v>
      </c>
      <c r="D79" s="190">
        <f>ROUND(D3+(60*30.4375),0)</f>
        <v>46543</v>
      </c>
      <c r="E79" s="28"/>
      <c r="F79" s="26"/>
      <c r="G79" s="61"/>
      <c r="H79" s="61"/>
    </row>
    <row r="80" spans="1:8" s="67" customFormat="1" ht="20.45" customHeight="1" x14ac:dyDescent="0.3">
      <c r="A80" s="47" t="s">
        <v>80</v>
      </c>
      <c r="B80" s="185"/>
      <c r="C80" s="188"/>
      <c r="D80" s="191"/>
      <c r="E80" s="24"/>
      <c r="F80" s="15"/>
    </row>
    <row r="81" spans="1:8" s="67" customFormat="1" ht="20.45" customHeight="1" x14ac:dyDescent="0.3">
      <c r="A81" s="74" t="s">
        <v>130</v>
      </c>
      <c r="B81" s="186"/>
      <c r="C81" s="189"/>
      <c r="D81" s="192"/>
      <c r="E81" s="24"/>
      <c r="F81" s="15"/>
    </row>
    <row r="82" spans="1:8" s="24" customFormat="1" ht="24.6" customHeight="1" x14ac:dyDescent="0.3">
      <c r="A82" s="145" t="s">
        <v>133</v>
      </c>
      <c r="B82" s="146"/>
      <c r="C82" s="146"/>
      <c r="D82" s="147"/>
      <c r="E82" s="28"/>
      <c r="F82" s="26"/>
      <c r="G82" s="26"/>
      <c r="H82" s="26"/>
    </row>
    <row r="83" spans="1:8" ht="21.6" customHeight="1" x14ac:dyDescent="0.3">
      <c r="A83" s="74" t="s">
        <v>132</v>
      </c>
      <c r="B83" s="236" t="s">
        <v>134</v>
      </c>
      <c r="C83" s="237"/>
      <c r="D83" s="238"/>
    </row>
  </sheetData>
  <mergeCells count="63">
    <mergeCell ref="F6:I6"/>
    <mergeCell ref="B75:B77"/>
    <mergeCell ref="C75:C77"/>
    <mergeCell ref="D75:D77"/>
    <mergeCell ref="A58:D58"/>
    <mergeCell ref="B59:B61"/>
    <mergeCell ref="C59:C61"/>
    <mergeCell ref="D59:D61"/>
    <mergeCell ref="A62:D62"/>
    <mergeCell ref="B63:B65"/>
    <mergeCell ref="C63:C65"/>
    <mergeCell ref="D63:D65"/>
    <mergeCell ref="A48:D48"/>
    <mergeCell ref="A53:D53"/>
    <mergeCell ref="B54:B57"/>
    <mergeCell ref="C54:C57"/>
    <mergeCell ref="A82:D82"/>
    <mergeCell ref="B83:D83"/>
    <mergeCell ref="B22:B24"/>
    <mergeCell ref="D22:D24"/>
    <mergeCell ref="C26:C29"/>
    <mergeCell ref="B26:B29"/>
    <mergeCell ref="A66:D66"/>
    <mergeCell ref="B67:B69"/>
    <mergeCell ref="C67:C69"/>
    <mergeCell ref="D67:D69"/>
    <mergeCell ref="A70:D70"/>
    <mergeCell ref="B71:B73"/>
    <mergeCell ref="C71:C73"/>
    <mergeCell ref="D71:D73"/>
    <mergeCell ref="C49:C52"/>
    <mergeCell ref="A74:D74"/>
    <mergeCell ref="D54:D57"/>
    <mergeCell ref="B49:B52"/>
    <mergeCell ref="D49:D52"/>
    <mergeCell ref="A6:D6"/>
    <mergeCell ref="D26:D29"/>
    <mergeCell ref="A25:D25"/>
    <mergeCell ref="D7:D15"/>
    <mergeCell ref="A16:D16"/>
    <mergeCell ref="A21:D21"/>
    <mergeCell ref="C22:C24"/>
    <mergeCell ref="B38:B40"/>
    <mergeCell ref="D38:D40"/>
    <mergeCell ref="A41:D41"/>
    <mergeCell ref="B7:B15"/>
    <mergeCell ref="C7:C15"/>
    <mergeCell ref="A78:D78"/>
    <mergeCell ref="B79:B81"/>
    <mergeCell ref="C79:C81"/>
    <mergeCell ref="D79:D81"/>
    <mergeCell ref="B17:B20"/>
    <mergeCell ref="C17:C20"/>
    <mergeCell ref="D17:D20"/>
    <mergeCell ref="C32:C35"/>
    <mergeCell ref="B42:B47"/>
    <mergeCell ref="C42:C47"/>
    <mergeCell ref="D42:D47"/>
    <mergeCell ref="A30:D30"/>
    <mergeCell ref="B32:B35"/>
    <mergeCell ref="D32:D35"/>
    <mergeCell ref="A36:D36"/>
    <mergeCell ref="C38:C4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F02D-62DC-43DF-94A4-DC72FB06EE3B}">
  <sheetPr>
    <tabColor theme="5" tint="0.79998168889431442"/>
  </sheetPr>
  <dimension ref="A1:R70"/>
  <sheetViews>
    <sheetView topLeftCell="A16" zoomScale="85" zoomScaleNormal="85" workbookViewId="0">
      <selection activeCell="R7" sqref="R7"/>
    </sheetView>
  </sheetViews>
  <sheetFormatPr defaultColWidth="9.28515625" defaultRowHeight="15.75" x14ac:dyDescent="0.25"/>
  <cols>
    <col min="1" max="1" width="15.42578125" style="2" customWidth="1"/>
    <col min="2" max="2" width="9.7109375" style="2" customWidth="1"/>
    <col min="3" max="3" width="7" style="2" customWidth="1"/>
    <col min="4" max="4" width="8" style="2" customWidth="1"/>
    <col min="5" max="5" width="23.28515625" style="2" customWidth="1"/>
    <col min="6" max="16" width="9.28515625" style="2"/>
    <col min="17" max="17" width="12.42578125" style="2" bestFit="1" customWidth="1"/>
    <col min="18" max="18" width="12.28515625" style="2" customWidth="1"/>
    <col min="19" max="16384" width="9.28515625" style="2"/>
  </cols>
  <sheetData>
    <row r="1" spans="1:18" x14ac:dyDescent="0.25">
      <c r="A1" s="6" t="s">
        <v>16</v>
      </c>
      <c r="B1" s="7">
        <v>365.25</v>
      </c>
      <c r="C1" s="8" t="s">
        <v>18</v>
      </c>
      <c r="E1" s="1"/>
    </row>
    <row r="2" spans="1:18" ht="19.5" thickBot="1" x14ac:dyDescent="0.35">
      <c r="A2" s="9" t="s">
        <v>17</v>
      </c>
      <c r="B2" s="10">
        <f>(B1/12)</f>
        <v>30.4375</v>
      </c>
      <c r="C2" s="11" t="s">
        <v>18</v>
      </c>
      <c r="E2" s="5" t="s">
        <v>19</v>
      </c>
      <c r="F2" s="13">
        <v>1</v>
      </c>
      <c r="G2" s="13">
        <v>2</v>
      </c>
      <c r="H2" s="13">
        <v>3</v>
      </c>
      <c r="I2" s="13">
        <v>4</v>
      </c>
      <c r="J2" s="13">
        <v>5</v>
      </c>
      <c r="K2" s="13">
        <v>6</v>
      </c>
      <c r="L2" s="13">
        <v>7</v>
      </c>
      <c r="M2" s="13">
        <v>8</v>
      </c>
      <c r="N2" s="13">
        <v>9</v>
      </c>
      <c r="O2" s="13">
        <v>10</v>
      </c>
      <c r="P2" s="13">
        <v>11</v>
      </c>
      <c r="Q2" s="13">
        <v>12</v>
      </c>
      <c r="R2" s="12"/>
    </row>
    <row r="3" spans="1:18" ht="18.75" x14ac:dyDescent="0.3">
      <c r="E3" s="4" t="s">
        <v>20</v>
      </c>
      <c r="F3" s="34">
        <f t="shared" ref="F3:P3" si="0">ROUND(30.4375 * F2,0)</f>
        <v>30</v>
      </c>
      <c r="G3" s="34">
        <f t="shared" si="0"/>
        <v>61</v>
      </c>
      <c r="H3" s="34">
        <f t="shared" si="0"/>
        <v>91</v>
      </c>
      <c r="I3" s="34">
        <f t="shared" si="0"/>
        <v>122</v>
      </c>
      <c r="J3" s="12">
        <f t="shared" si="0"/>
        <v>152</v>
      </c>
      <c r="K3" s="12">
        <f t="shared" si="0"/>
        <v>183</v>
      </c>
      <c r="L3" s="12">
        <f t="shared" si="0"/>
        <v>213</v>
      </c>
      <c r="M3" s="12">
        <f t="shared" si="0"/>
        <v>244</v>
      </c>
      <c r="N3" s="12">
        <f t="shared" si="0"/>
        <v>274</v>
      </c>
      <c r="O3" s="12">
        <f t="shared" si="0"/>
        <v>304</v>
      </c>
      <c r="P3" s="12">
        <f t="shared" si="0"/>
        <v>335</v>
      </c>
      <c r="Q3" s="12">
        <f>ROUND(30.4375*12,0)</f>
        <v>365</v>
      </c>
      <c r="R3" s="12"/>
    </row>
    <row r="4" spans="1:18" ht="18.75" x14ac:dyDescent="0.3">
      <c r="F4" s="31"/>
      <c r="G4" s="12"/>
      <c r="H4" s="12"/>
      <c r="I4" s="12"/>
      <c r="J4" s="31"/>
      <c r="K4" s="12"/>
      <c r="L4" s="12"/>
      <c r="M4" s="12"/>
      <c r="N4" s="12"/>
      <c r="O4" s="12"/>
      <c r="P4" s="12"/>
      <c r="Q4" s="12"/>
      <c r="R4" s="12"/>
    </row>
    <row r="5" spans="1:18" ht="18.75" x14ac:dyDescent="0.3"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8.75" x14ac:dyDescent="0.3">
      <c r="E6" s="5" t="s">
        <v>19</v>
      </c>
      <c r="F6" s="13">
        <v>13</v>
      </c>
      <c r="G6" s="13">
        <v>14</v>
      </c>
      <c r="H6" s="13">
        <v>15</v>
      </c>
      <c r="I6" s="13">
        <v>16</v>
      </c>
      <c r="J6" s="13">
        <v>17</v>
      </c>
      <c r="K6" s="13">
        <v>18</v>
      </c>
      <c r="L6" s="13">
        <v>19</v>
      </c>
      <c r="M6" s="13">
        <v>20</v>
      </c>
      <c r="N6" s="13">
        <v>21</v>
      </c>
      <c r="O6" s="13">
        <v>22</v>
      </c>
      <c r="P6" s="13">
        <v>23</v>
      </c>
      <c r="Q6" s="13">
        <v>24</v>
      </c>
      <c r="R6" s="33">
        <v>365.25</v>
      </c>
    </row>
    <row r="7" spans="1:18" ht="18.75" x14ac:dyDescent="0.3">
      <c r="E7" s="4" t="s">
        <v>20</v>
      </c>
      <c r="F7" s="12">
        <f t="shared" ref="F7:P7" si="1">ROUND(30.4375 * F6,0)</f>
        <v>396</v>
      </c>
      <c r="G7" s="12">
        <f t="shared" si="1"/>
        <v>426</v>
      </c>
      <c r="H7" s="12">
        <f t="shared" si="1"/>
        <v>457</v>
      </c>
      <c r="I7" s="12">
        <f t="shared" si="1"/>
        <v>487</v>
      </c>
      <c r="J7" s="12">
        <f t="shared" si="1"/>
        <v>517</v>
      </c>
      <c r="K7" s="12">
        <f t="shared" si="1"/>
        <v>548</v>
      </c>
      <c r="L7" s="12">
        <f t="shared" si="1"/>
        <v>578</v>
      </c>
      <c r="M7" s="12">
        <f t="shared" si="1"/>
        <v>609</v>
      </c>
      <c r="N7" s="12">
        <f t="shared" si="1"/>
        <v>639</v>
      </c>
      <c r="O7" s="12">
        <f t="shared" si="1"/>
        <v>670</v>
      </c>
      <c r="P7" s="12">
        <f t="shared" si="1"/>
        <v>700</v>
      </c>
      <c r="Q7" s="12">
        <f>ROUND(365.25*2,0)</f>
        <v>731</v>
      </c>
      <c r="R7" s="33">
        <f>2*R6</f>
        <v>730.5</v>
      </c>
    </row>
    <row r="8" spans="1:18" ht="18.75" x14ac:dyDescent="0.3">
      <c r="E8" s="3"/>
      <c r="F8" s="3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8.75" x14ac:dyDescent="0.3">
      <c r="E9" s="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x14ac:dyDescent="0.3">
      <c r="E10" s="5" t="s">
        <v>19</v>
      </c>
      <c r="F10" s="13">
        <v>25</v>
      </c>
      <c r="G10" s="13">
        <v>26</v>
      </c>
      <c r="H10" s="13">
        <v>27</v>
      </c>
      <c r="I10" s="13">
        <v>28</v>
      </c>
      <c r="J10" s="13">
        <v>29</v>
      </c>
      <c r="K10" s="13">
        <v>30</v>
      </c>
      <c r="L10" s="13">
        <v>31</v>
      </c>
      <c r="M10" s="13">
        <v>32</v>
      </c>
      <c r="N10" s="13">
        <v>33</v>
      </c>
      <c r="O10" s="13">
        <v>34</v>
      </c>
      <c r="P10" s="13">
        <v>35</v>
      </c>
      <c r="Q10" s="13">
        <v>36</v>
      </c>
      <c r="R10" s="33">
        <v>365.25</v>
      </c>
    </row>
    <row r="11" spans="1:18" ht="18.75" x14ac:dyDescent="0.3">
      <c r="E11" s="4" t="s">
        <v>20</v>
      </c>
      <c r="F11" s="12">
        <f t="shared" ref="F11:P11" si="2">ROUND(30.4375 * F10,0)</f>
        <v>761</v>
      </c>
      <c r="G11" s="12">
        <f t="shared" si="2"/>
        <v>791</v>
      </c>
      <c r="H11" s="12">
        <f t="shared" si="2"/>
        <v>822</v>
      </c>
      <c r="I11" s="12">
        <f t="shared" si="2"/>
        <v>852</v>
      </c>
      <c r="J11" s="12">
        <f t="shared" si="2"/>
        <v>883</v>
      </c>
      <c r="K11" s="12">
        <f t="shared" si="2"/>
        <v>913</v>
      </c>
      <c r="L11" s="12">
        <f t="shared" si="2"/>
        <v>944</v>
      </c>
      <c r="M11" s="12">
        <f t="shared" si="2"/>
        <v>974</v>
      </c>
      <c r="N11" s="12">
        <f t="shared" si="2"/>
        <v>1004</v>
      </c>
      <c r="O11" s="12">
        <f t="shared" si="2"/>
        <v>1035</v>
      </c>
      <c r="P11" s="12">
        <f t="shared" si="2"/>
        <v>1065</v>
      </c>
      <c r="Q11" s="12">
        <f>ROUND(365.25*3,0)</f>
        <v>1096</v>
      </c>
      <c r="R11" s="33">
        <f>3*R10</f>
        <v>1095.75</v>
      </c>
    </row>
    <row r="12" spans="1:18" ht="18.75" x14ac:dyDescent="0.3">
      <c r="F12" s="31"/>
      <c r="G12" s="3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31"/>
    </row>
    <row r="13" spans="1:18" ht="18.75" x14ac:dyDescent="0.3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1"/>
    </row>
    <row r="14" spans="1:18" ht="18.75" x14ac:dyDescent="0.3">
      <c r="E14" s="5" t="s">
        <v>19</v>
      </c>
      <c r="F14" s="13">
        <v>37</v>
      </c>
      <c r="G14" s="13">
        <v>38</v>
      </c>
      <c r="H14" s="13">
        <v>39</v>
      </c>
      <c r="I14" s="13">
        <v>40</v>
      </c>
      <c r="J14" s="13">
        <v>41</v>
      </c>
      <c r="K14" s="13">
        <v>42</v>
      </c>
      <c r="L14" s="13">
        <v>43</v>
      </c>
      <c r="M14" s="13">
        <v>44</v>
      </c>
      <c r="N14" s="13">
        <v>45</v>
      </c>
      <c r="O14" s="13">
        <v>46</v>
      </c>
      <c r="P14" s="13">
        <v>47</v>
      </c>
      <c r="Q14" s="13">
        <v>48</v>
      </c>
      <c r="R14" s="33">
        <v>365.25</v>
      </c>
    </row>
    <row r="15" spans="1:18" ht="18.75" x14ac:dyDescent="0.3">
      <c r="E15" s="4" t="s">
        <v>20</v>
      </c>
      <c r="F15" s="12">
        <f t="shared" ref="F15:P15" si="3">ROUND(30.4375 * F14,0)</f>
        <v>1126</v>
      </c>
      <c r="G15" s="12">
        <f t="shared" si="3"/>
        <v>1157</v>
      </c>
      <c r="H15" s="12">
        <f t="shared" si="3"/>
        <v>1187</v>
      </c>
      <c r="I15" s="12">
        <f t="shared" si="3"/>
        <v>1218</v>
      </c>
      <c r="J15" s="12">
        <f t="shared" si="3"/>
        <v>1248</v>
      </c>
      <c r="K15" s="12">
        <f t="shared" si="3"/>
        <v>1278</v>
      </c>
      <c r="L15" s="12">
        <f t="shared" si="3"/>
        <v>1309</v>
      </c>
      <c r="M15" s="12">
        <f t="shared" si="3"/>
        <v>1339</v>
      </c>
      <c r="N15" s="12">
        <f t="shared" si="3"/>
        <v>1370</v>
      </c>
      <c r="O15" s="12">
        <f t="shared" si="3"/>
        <v>1400</v>
      </c>
      <c r="P15" s="12">
        <f t="shared" si="3"/>
        <v>1431</v>
      </c>
      <c r="Q15" s="12">
        <f>ROUND(365.25*4,0)</f>
        <v>1461</v>
      </c>
      <c r="R15" s="33">
        <f>365.25*4</f>
        <v>1461</v>
      </c>
    </row>
    <row r="16" spans="1:18" ht="18.75" x14ac:dyDescent="0.3">
      <c r="F16" s="3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18.75" x14ac:dyDescent="0.3"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8.75" x14ac:dyDescent="0.3">
      <c r="E18" s="5" t="s">
        <v>19</v>
      </c>
      <c r="F18" s="13">
        <v>49</v>
      </c>
      <c r="G18" s="13">
        <v>50</v>
      </c>
      <c r="H18" s="13">
        <v>51</v>
      </c>
      <c r="I18" s="13">
        <v>52</v>
      </c>
      <c r="J18" s="13">
        <v>53</v>
      </c>
      <c r="K18" s="13">
        <v>54</v>
      </c>
      <c r="L18" s="13">
        <v>55</v>
      </c>
      <c r="M18" s="13">
        <v>56</v>
      </c>
      <c r="N18" s="13">
        <v>57</v>
      </c>
      <c r="O18" s="13">
        <v>58</v>
      </c>
      <c r="P18" s="13">
        <v>59</v>
      </c>
      <c r="Q18" s="32">
        <v>60</v>
      </c>
      <c r="R18" s="33">
        <v>365.25</v>
      </c>
    </row>
    <row r="19" spans="1:18" ht="18.75" x14ac:dyDescent="0.3">
      <c r="E19" s="4" t="s">
        <v>20</v>
      </c>
      <c r="F19" s="12">
        <f t="shared" ref="F19:Q19" si="4">ROUND(30.4375 * F18,0)</f>
        <v>1491</v>
      </c>
      <c r="G19" s="12">
        <f t="shared" si="4"/>
        <v>1522</v>
      </c>
      <c r="H19" s="12">
        <f t="shared" si="4"/>
        <v>1552</v>
      </c>
      <c r="I19" s="12">
        <f t="shared" si="4"/>
        <v>1583</v>
      </c>
      <c r="J19" s="12">
        <f t="shared" si="4"/>
        <v>1613</v>
      </c>
      <c r="K19" s="12">
        <f t="shared" si="4"/>
        <v>1644</v>
      </c>
      <c r="L19" s="12">
        <f t="shared" si="4"/>
        <v>1674</v>
      </c>
      <c r="M19" s="12">
        <f t="shared" si="4"/>
        <v>1705</v>
      </c>
      <c r="N19" s="12">
        <f t="shared" si="4"/>
        <v>1735</v>
      </c>
      <c r="O19" s="12">
        <f t="shared" si="4"/>
        <v>1765</v>
      </c>
      <c r="P19" s="12">
        <f t="shared" si="4"/>
        <v>1796</v>
      </c>
      <c r="Q19" s="33">
        <f t="shared" si="4"/>
        <v>1826</v>
      </c>
      <c r="R19" s="30">
        <f>5*R18</f>
        <v>1826.25</v>
      </c>
    </row>
    <row r="20" spans="1:18" ht="18.75" x14ac:dyDescent="0.3">
      <c r="E20" s="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33"/>
      <c r="R20" s="30"/>
    </row>
    <row r="21" spans="1:18" ht="18.75" x14ac:dyDescent="0.3">
      <c r="B21" s="244" t="s">
        <v>61</v>
      </c>
      <c r="C21" s="244"/>
      <c r="D21" s="244"/>
      <c r="E21" s="244"/>
      <c r="F21" s="245" t="s">
        <v>62</v>
      </c>
      <c r="G21" s="245"/>
      <c r="H21" s="245"/>
      <c r="I21" s="12"/>
      <c r="J21" s="12"/>
      <c r="K21" s="12"/>
      <c r="L21" s="12"/>
      <c r="M21" s="12"/>
      <c r="N21" s="12"/>
      <c r="O21" s="12"/>
      <c r="P21" s="12"/>
      <c r="Q21" s="33"/>
      <c r="R21" s="30"/>
    </row>
    <row r="22" spans="1:18" x14ac:dyDescent="0.25">
      <c r="A22" s="1"/>
      <c r="B22" s="39" t="s">
        <v>56</v>
      </c>
      <c r="C22" s="37" t="s">
        <v>57</v>
      </c>
      <c r="D22" s="39" t="s">
        <v>58</v>
      </c>
      <c r="F22" s="39" t="s">
        <v>57</v>
      </c>
      <c r="G22" s="39" t="s">
        <v>59</v>
      </c>
      <c r="H22" s="39" t="s">
        <v>58</v>
      </c>
    </row>
    <row r="23" spans="1:18" x14ac:dyDescent="0.25">
      <c r="A23" s="45"/>
      <c r="B23" s="46" t="s">
        <v>22</v>
      </c>
      <c r="C23" s="43">
        <v>54</v>
      </c>
      <c r="D23" s="5">
        <f>ROUND(C23*30.4375,0)</f>
        <v>1644</v>
      </c>
      <c r="E23" s="44">
        <v>1644</v>
      </c>
      <c r="F23" s="45">
        <v>55</v>
      </c>
      <c r="G23" s="40">
        <f>ROUND(F23*30.4375,0)-1</f>
        <v>1673</v>
      </c>
      <c r="H23" s="45">
        <v>1673</v>
      </c>
    </row>
    <row r="24" spans="1:18" x14ac:dyDescent="0.25">
      <c r="B24" s="3" t="s">
        <v>23</v>
      </c>
      <c r="C24" s="39">
        <v>60</v>
      </c>
      <c r="D24" s="5">
        <f>ROUND(C24*30.4375,0)</f>
        <v>1826</v>
      </c>
      <c r="E24" s="35">
        <v>1826</v>
      </c>
      <c r="F24" s="2">
        <v>61</v>
      </c>
      <c r="G24" s="40">
        <f>ROUND(F24*30.4375,0)-1</f>
        <v>1856</v>
      </c>
      <c r="H24" s="2">
        <v>1856</v>
      </c>
      <c r="J24" s="42" t="s">
        <v>60</v>
      </c>
      <c r="K24" s="41"/>
      <c r="L24" s="41"/>
    </row>
    <row r="25" spans="1:18" x14ac:dyDescent="0.25">
      <c r="A25" s="45"/>
      <c r="B25" s="46" t="s">
        <v>21</v>
      </c>
      <c r="C25" s="43">
        <v>66</v>
      </c>
      <c r="D25" s="5">
        <f t="shared" ref="D25:D55" si="5">ROUND(C25*30.4375,0)</f>
        <v>2009</v>
      </c>
      <c r="E25" s="44">
        <v>2009</v>
      </c>
      <c r="F25" s="45">
        <v>67</v>
      </c>
      <c r="G25" s="40">
        <f t="shared" ref="G25:G55" si="6">ROUND(F25*30.4375,0)-1</f>
        <v>2038</v>
      </c>
      <c r="H25" s="45">
        <v>2038</v>
      </c>
      <c r="Q25" s="68">
        <v>44197</v>
      </c>
      <c r="R25" s="68"/>
    </row>
    <row r="26" spans="1:18" x14ac:dyDescent="0.25">
      <c r="B26" s="3" t="s">
        <v>24</v>
      </c>
      <c r="C26" s="39">
        <v>72</v>
      </c>
      <c r="D26" s="5">
        <f t="shared" si="5"/>
        <v>2192</v>
      </c>
      <c r="E26" s="35">
        <v>2192</v>
      </c>
      <c r="F26" s="2">
        <v>73</v>
      </c>
      <c r="G26" s="40">
        <f t="shared" si="6"/>
        <v>2221</v>
      </c>
      <c r="H26" s="2">
        <v>2221</v>
      </c>
      <c r="Q26" s="68">
        <v>44377</v>
      </c>
    </row>
    <row r="27" spans="1:18" x14ac:dyDescent="0.25">
      <c r="A27" s="45"/>
      <c r="B27" s="46" t="s">
        <v>25</v>
      </c>
      <c r="C27" s="43">
        <v>78</v>
      </c>
      <c r="D27" s="5">
        <f t="shared" si="5"/>
        <v>2374</v>
      </c>
      <c r="E27" s="44">
        <v>2374</v>
      </c>
      <c r="F27" s="45">
        <v>79</v>
      </c>
      <c r="G27" s="40">
        <f t="shared" si="6"/>
        <v>2404</v>
      </c>
      <c r="H27" s="45">
        <v>2404</v>
      </c>
      <c r="Q27" s="68">
        <v>44561</v>
      </c>
    </row>
    <row r="28" spans="1:18" x14ac:dyDescent="0.25">
      <c r="B28" s="3" t="s">
        <v>26</v>
      </c>
      <c r="C28" s="39">
        <v>84</v>
      </c>
      <c r="D28" s="5">
        <f t="shared" si="5"/>
        <v>2557</v>
      </c>
      <c r="E28" s="35">
        <v>2557</v>
      </c>
      <c r="F28" s="2">
        <v>85</v>
      </c>
      <c r="G28" s="40">
        <f t="shared" si="6"/>
        <v>2586</v>
      </c>
      <c r="H28" s="2">
        <v>2586</v>
      </c>
    </row>
    <row r="29" spans="1:18" x14ac:dyDescent="0.25">
      <c r="A29" s="45"/>
      <c r="B29" s="46" t="s">
        <v>42</v>
      </c>
      <c r="C29" s="43">
        <v>90</v>
      </c>
      <c r="D29" s="5">
        <f t="shared" si="5"/>
        <v>2739</v>
      </c>
      <c r="E29" s="44">
        <v>2739</v>
      </c>
      <c r="F29" s="45">
        <v>91</v>
      </c>
      <c r="G29" s="40">
        <f t="shared" si="6"/>
        <v>2769</v>
      </c>
      <c r="H29" s="45">
        <v>2769</v>
      </c>
    </row>
    <row r="30" spans="1:18" x14ac:dyDescent="0.25">
      <c r="B30" s="3" t="s">
        <v>27</v>
      </c>
      <c r="C30" s="39">
        <v>96</v>
      </c>
      <c r="D30" s="5">
        <f t="shared" si="5"/>
        <v>2922</v>
      </c>
      <c r="E30" s="35">
        <v>2922</v>
      </c>
      <c r="F30" s="2">
        <v>97</v>
      </c>
      <c r="G30" s="40">
        <f t="shared" si="6"/>
        <v>2951</v>
      </c>
      <c r="H30" s="2">
        <v>2951</v>
      </c>
    </row>
    <row r="31" spans="1:18" x14ac:dyDescent="0.25">
      <c r="A31" s="45"/>
      <c r="B31" s="46" t="s">
        <v>43</v>
      </c>
      <c r="C31" s="43">
        <v>102</v>
      </c>
      <c r="D31" s="5">
        <f t="shared" si="5"/>
        <v>3105</v>
      </c>
      <c r="E31" s="44">
        <v>3105</v>
      </c>
      <c r="F31" s="45">
        <v>103</v>
      </c>
      <c r="G31" s="40">
        <f t="shared" si="6"/>
        <v>3134</v>
      </c>
      <c r="H31" s="45">
        <v>3134</v>
      </c>
    </row>
    <row r="32" spans="1:18" x14ac:dyDescent="0.25">
      <c r="B32" s="3" t="s">
        <v>28</v>
      </c>
      <c r="C32" s="39">
        <v>108</v>
      </c>
      <c r="D32" s="5">
        <f t="shared" si="5"/>
        <v>3287</v>
      </c>
      <c r="E32" s="35">
        <v>3287</v>
      </c>
      <c r="F32" s="2">
        <v>109</v>
      </c>
      <c r="G32" s="40">
        <f t="shared" si="6"/>
        <v>3317</v>
      </c>
      <c r="H32" s="2">
        <v>3317</v>
      </c>
    </row>
    <row r="33" spans="1:8" x14ac:dyDescent="0.25">
      <c r="A33" s="45"/>
      <c r="B33" s="46" t="s">
        <v>44</v>
      </c>
      <c r="C33" s="43">
        <v>114</v>
      </c>
      <c r="D33" s="5">
        <f t="shared" si="5"/>
        <v>3470</v>
      </c>
      <c r="E33" s="44">
        <v>3470</v>
      </c>
      <c r="F33" s="45">
        <v>115</v>
      </c>
      <c r="G33" s="40">
        <f t="shared" si="6"/>
        <v>3499</v>
      </c>
      <c r="H33" s="45">
        <v>3499</v>
      </c>
    </row>
    <row r="34" spans="1:8" x14ac:dyDescent="0.25">
      <c r="B34" s="3" t="s">
        <v>29</v>
      </c>
      <c r="C34" s="39">
        <v>120</v>
      </c>
      <c r="D34" s="5">
        <f t="shared" si="5"/>
        <v>3653</v>
      </c>
      <c r="E34" s="35">
        <v>3653</v>
      </c>
      <c r="F34" s="2">
        <v>121</v>
      </c>
      <c r="G34" s="40">
        <f t="shared" si="6"/>
        <v>3682</v>
      </c>
      <c r="H34" s="2">
        <v>3682</v>
      </c>
    </row>
    <row r="35" spans="1:8" x14ac:dyDescent="0.25">
      <c r="A35" s="45"/>
      <c r="B35" s="46" t="s">
        <v>45</v>
      </c>
      <c r="C35" s="43">
        <v>126</v>
      </c>
      <c r="D35" s="5">
        <f t="shared" si="5"/>
        <v>3835</v>
      </c>
      <c r="E35" s="44">
        <v>3835</v>
      </c>
      <c r="F35" s="45">
        <v>127</v>
      </c>
      <c r="G35" s="40">
        <f t="shared" si="6"/>
        <v>3865</v>
      </c>
      <c r="H35" s="45">
        <v>3865</v>
      </c>
    </row>
    <row r="36" spans="1:8" x14ac:dyDescent="0.25">
      <c r="B36" s="3" t="s">
        <v>30</v>
      </c>
      <c r="C36" s="39">
        <v>132</v>
      </c>
      <c r="D36" s="5">
        <f t="shared" si="5"/>
        <v>4018</v>
      </c>
      <c r="E36" s="35">
        <v>4018</v>
      </c>
      <c r="F36" s="2">
        <v>133</v>
      </c>
      <c r="G36" s="40">
        <f t="shared" si="6"/>
        <v>4047</v>
      </c>
      <c r="H36" s="2">
        <v>4047</v>
      </c>
    </row>
    <row r="37" spans="1:8" x14ac:dyDescent="0.25">
      <c r="A37" s="45"/>
      <c r="B37" s="46" t="s">
        <v>46</v>
      </c>
      <c r="C37" s="43">
        <v>138</v>
      </c>
      <c r="D37" s="5">
        <f t="shared" si="5"/>
        <v>4200</v>
      </c>
      <c r="E37" s="44">
        <v>4200</v>
      </c>
      <c r="F37" s="45">
        <v>139</v>
      </c>
      <c r="G37" s="40">
        <f t="shared" si="6"/>
        <v>4230</v>
      </c>
      <c r="H37" s="45">
        <v>4230</v>
      </c>
    </row>
    <row r="38" spans="1:8" x14ac:dyDescent="0.25">
      <c r="B38" s="3" t="s">
        <v>31</v>
      </c>
      <c r="C38" s="39">
        <v>144</v>
      </c>
      <c r="D38" s="5">
        <f t="shared" si="5"/>
        <v>4383</v>
      </c>
      <c r="E38" s="35">
        <v>4383</v>
      </c>
      <c r="F38" s="2">
        <v>145</v>
      </c>
      <c r="G38" s="40">
        <f t="shared" si="6"/>
        <v>4412</v>
      </c>
      <c r="H38" s="2">
        <v>4412</v>
      </c>
    </row>
    <row r="39" spans="1:8" x14ac:dyDescent="0.25">
      <c r="A39" s="45"/>
      <c r="B39" s="46" t="s">
        <v>47</v>
      </c>
      <c r="C39" s="43">
        <v>150</v>
      </c>
      <c r="D39" s="5">
        <f t="shared" si="5"/>
        <v>4566</v>
      </c>
      <c r="E39" s="44">
        <v>4566</v>
      </c>
      <c r="F39" s="45">
        <v>151</v>
      </c>
      <c r="G39" s="40">
        <f t="shared" si="6"/>
        <v>4595</v>
      </c>
      <c r="H39" s="45">
        <v>4595</v>
      </c>
    </row>
    <row r="40" spans="1:8" x14ac:dyDescent="0.25">
      <c r="B40" s="3" t="s">
        <v>32</v>
      </c>
      <c r="C40" s="39">
        <v>156</v>
      </c>
      <c r="D40" s="5">
        <f t="shared" si="5"/>
        <v>4748</v>
      </c>
      <c r="E40" s="35">
        <v>4748</v>
      </c>
      <c r="F40" s="2">
        <v>157</v>
      </c>
      <c r="G40" s="40">
        <f t="shared" si="6"/>
        <v>4778</v>
      </c>
      <c r="H40" s="2">
        <v>4778</v>
      </c>
    </row>
    <row r="41" spans="1:8" x14ac:dyDescent="0.25">
      <c r="A41" s="45"/>
      <c r="B41" s="46" t="s">
        <v>48</v>
      </c>
      <c r="C41" s="43">
        <v>162</v>
      </c>
      <c r="D41" s="5">
        <f t="shared" si="5"/>
        <v>4931</v>
      </c>
      <c r="E41" s="44">
        <v>4931</v>
      </c>
      <c r="F41" s="45">
        <v>163</v>
      </c>
      <c r="G41" s="40">
        <f t="shared" si="6"/>
        <v>4960</v>
      </c>
      <c r="H41" s="45">
        <v>4960</v>
      </c>
    </row>
    <row r="42" spans="1:8" x14ac:dyDescent="0.25">
      <c r="B42" s="3" t="s">
        <v>33</v>
      </c>
      <c r="C42" s="39">
        <v>168</v>
      </c>
      <c r="D42" s="5">
        <f t="shared" si="5"/>
        <v>5114</v>
      </c>
      <c r="E42" s="35">
        <v>5114</v>
      </c>
      <c r="F42" s="2">
        <v>169</v>
      </c>
      <c r="G42" s="40">
        <f t="shared" si="6"/>
        <v>5143</v>
      </c>
      <c r="H42" s="2">
        <v>5143</v>
      </c>
    </row>
    <row r="43" spans="1:8" x14ac:dyDescent="0.25">
      <c r="A43" s="45"/>
      <c r="B43" s="46" t="s">
        <v>49</v>
      </c>
      <c r="C43" s="43">
        <v>174</v>
      </c>
      <c r="D43" s="5">
        <f t="shared" si="5"/>
        <v>5296</v>
      </c>
      <c r="E43" s="44">
        <v>5296</v>
      </c>
      <c r="F43" s="45">
        <v>175</v>
      </c>
      <c r="G43" s="40">
        <f t="shared" si="6"/>
        <v>5326</v>
      </c>
      <c r="H43" s="45">
        <v>5326</v>
      </c>
    </row>
    <row r="44" spans="1:8" x14ac:dyDescent="0.25">
      <c r="B44" s="3" t="s">
        <v>34</v>
      </c>
      <c r="C44" s="39">
        <v>180</v>
      </c>
      <c r="D44" s="5">
        <f t="shared" si="5"/>
        <v>5479</v>
      </c>
      <c r="E44" s="35">
        <v>5479</v>
      </c>
      <c r="F44" s="2">
        <v>181</v>
      </c>
      <c r="G44" s="40">
        <f t="shared" si="6"/>
        <v>5508</v>
      </c>
      <c r="H44" s="2">
        <v>5508</v>
      </c>
    </row>
    <row r="45" spans="1:8" x14ac:dyDescent="0.25">
      <c r="A45" s="45"/>
      <c r="B45" s="46" t="s">
        <v>50</v>
      </c>
      <c r="C45" s="43">
        <v>186</v>
      </c>
      <c r="D45" s="5">
        <f t="shared" si="5"/>
        <v>5661</v>
      </c>
      <c r="E45" s="44">
        <v>5661</v>
      </c>
      <c r="F45" s="45">
        <v>187</v>
      </c>
      <c r="G45" s="40">
        <f t="shared" si="6"/>
        <v>5691</v>
      </c>
      <c r="H45" s="45">
        <v>5691</v>
      </c>
    </row>
    <row r="46" spans="1:8" x14ac:dyDescent="0.25">
      <c r="B46" s="3" t="s">
        <v>35</v>
      </c>
      <c r="C46" s="39">
        <v>192</v>
      </c>
      <c r="D46" s="5">
        <f t="shared" si="5"/>
        <v>5844</v>
      </c>
      <c r="E46" s="35">
        <v>5844</v>
      </c>
      <c r="F46" s="2">
        <v>193</v>
      </c>
      <c r="G46" s="40">
        <f t="shared" si="6"/>
        <v>5873</v>
      </c>
      <c r="H46" s="2">
        <v>5873</v>
      </c>
    </row>
    <row r="47" spans="1:8" x14ac:dyDescent="0.25">
      <c r="A47" s="45"/>
      <c r="B47" s="46" t="s">
        <v>51</v>
      </c>
      <c r="C47" s="43">
        <v>198</v>
      </c>
      <c r="D47" s="5">
        <f t="shared" si="5"/>
        <v>6027</v>
      </c>
      <c r="E47" s="44">
        <v>6027</v>
      </c>
      <c r="F47" s="45">
        <v>199</v>
      </c>
      <c r="G47" s="40">
        <f t="shared" si="6"/>
        <v>6056</v>
      </c>
      <c r="H47" s="45">
        <v>6056</v>
      </c>
    </row>
    <row r="48" spans="1:8" x14ac:dyDescent="0.25">
      <c r="B48" s="3" t="s">
        <v>36</v>
      </c>
      <c r="C48" s="39">
        <v>204</v>
      </c>
      <c r="D48" s="5">
        <f t="shared" si="5"/>
        <v>6209</v>
      </c>
      <c r="E48" s="35">
        <v>6209</v>
      </c>
      <c r="F48" s="2">
        <v>205</v>
      </c>
      <c r="G48" s="40">
        <f t="shared" si="6"/>
        <v>6239</v>
      </c>
      <c r="H48" s="2">
        <v>6239</v>
      </c>
    </row>
    <row r="49" spans="1:8" x14ac:dyDescent="0.25">
      <c r="A49" s="45"/>
      <c r="B49" s="46" t="s">
        <v>52</v>
      </c>
      <c r="C49" s="43">
        <v>210</v>
      </c>
      <c r="D49" s="5">
        <f t="shared" si="5"/>
        <v>6392</v>
      </c>
      <c r="E49" s="44">
        <v>6392</v>
      </c>
      <c r="F49" s="45">
        <v>211</v>
      </c>
      <c r="G49" s="40">
        <f t="shared" si="6"/>
        <v>6421</v>
      </c>
      <c r="H49" s="45">
        <v>6421</v>
      </c>
    </row>
    <row r="50" spans="1:8" x14ac:dyDescent="0.25">
      <c r="B50" s="3" t="s">
        <v>37</v>
      </c>
      <c r="C50" s="39">
        <v>216</v>
      </c>
      <c r="D50" s="5">
        <f t="shared" si="5"/>
        <v>6575</v>
      </c>
      <c r="E50" s="35">
        <v>6575</v>
      </c>
      <c r="F50" s="2">
        <v>217</v>
      </c>
      <c r="G50" s="40">
        <f t="shared" si="6"/>
        <v>6604</v>
      </c>
      <c r="H50" s="2">
        <v>6604</v>
      </c>
    </row>
    <row r="51" spans="1:8" x14ac:dyDescent="0.25">
      <c r="A51" s="45"/>
      <c r="B51" s="46" t="s">
        <v>53</v>
      </c>
      <c r="C51" s="43">
        <v>222</v>
      </c>
      <c r="D51" s="5">
        <f t="shared" si="5"/>
        <v>6757</v>
      </c>
      <c r="E51" s="44">
        <v>6757</v>
      </c>
      <c r="F51" s="45">
        <v>223</v>
      </c>
      <c r="G51" s="40">
        <f t="shared" si="6"/>
        <v>6787</v>
      </c>
      <c r="H51" s="45">
        <v>6787</v>
      </c>
    </row>
    <row r="52" spans="1:8" x14ac:dyDescent="0.25">
      <c r="B52" s="3" t="s">
        <v>38</v>
      </c>
      <c r="C52" s="39">
        <v>228</v>
      </c>
      <c r="D52" s="5">
        <f t="shared" si="5"/>
        <v>6940</v>
      </c>
      <c r="E52" s="35">
        <v>6940</v>
      </c>
      <c r="F52" s="2">
        <v>229</v>
      </c>
      <c r="G52" s="40">
        <f t="shared" si="6"/>
        <v>6969</v>
      </c>
      <c r="H52" s="2">
        <v>6969</v>
      </c>
    </row>
    <row r="53" spans="1:8" x14ac:dyDescent="0.25">
      <c r="A53" s="45"/>
      <c r="B53" s="46" t="s">
        <v>54</v>
      </c>
      <c r="C53" s="43">
        <v>234</v>
      </c>
      <c r="D53" s="5">
        <f t="shared" si="5"/>
        <v>7122</v>
      </c>
      <c r="E53" s="44">
        <v>7122</v>
      </c>
      <c r="F53" s="45">
        <v>235</v>
      </c>
      <c r="G53" s="40">
        <f t="shared" si="6"/>
        <v>7152</v>
      </c>
      <c r="H53" s="45">
        <v>7152</v>
      </c>
    </row>
    <row r="54" spans="1:8" x14ac:dyDescent="0.25">
      <c r="B54" s="3" t="s">
        <v>39</v>
      </c>
      <c r="C54" s="39">
        <v>240</v>
      </c>
      <c r="D54" s="5">
        <f t="shared" si="5"/>
        <v>7305</v>
      </c>
      <c r="E54" s="35">
        <v>7305</v>
      </c>
      <c r="F54" s="2">
        <v>241</v>
      </c>
      <c r="G54" s="40">
        <f t="shared" si="6"/>
        <v>7334</v>
      </c>
      <c r="H54" s="2">
        <v>7334</v>
      </c>
    </row>
    <row r="55" spans="1:8" x14ac:dyDescent="0.25">
      <c r="A55" s="45"/>
      <c r="B55" s="46" t="s">
        <v>55</v>
      </c>
      <c r="C55" s="43">
        <v>246</v>
      </c>
      <c r="D55" s="5">
        <f t="shared" si="5"/>
        <v>7488</v>
      </c>
      <c r="E55" s="44">
        <v>7488</v>
      </c>
      <c r="F55" s="45">
        <v>247</v>
      </c>
      <c r="G55" s="40">
        <f t="shared" si="6"/>
        <v>7517</v>
      </c>
      <c r="H55" s="45">
        <v>7517</v>
      </c>
    </row>
    <row r="56" spans="1:8" x14ac:dyDescent="0.25">
      <c r="B56" s="36" t="s">
        <v>40</v>
      </c>
      <c r="C56" s="38" t="s">
        <v>41</v>
      </c>
    </row>
    <row r="57" spans="1:8" x14ac:dyDescent="0.25">
      <c r="B57" s="3"/>
    </row>
    <row r="58" spans="1:8" x14ac:dyDescent="0.25">
      <c r="B58" s="3"/>
    </row>
    <row r="59" spans="1:8" x14ac:dyDescent="0.25">
      <c r="B59" s="3"/>
    </row>
    <row r="60" spans="1:8" x14ac:dyDescent="0.25">
      <c r="B60" s="3"/>
    </row>
    <row r="61" spans="1:8" x14ac:dyDescent="0.25">
      <c r="B61" s="3"/>
    </row>
    <row r="62" spans="1:8" x14ac:dyDescent="0.25">
      <c r="B62" s="3"/>
    </row>
    <row r="63" spans="1:8" x14ac:dyDescent="0.25">
      <c r="B63" s="3"/>
    </row>
    <row r="64" spans="1:8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</sheetData>
  <mergeCells count="2">
    <mergeCell ref="B21:E21"/>
    <mergeCell ref="F21:H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THEO_x0020_Monthly_x0020_Update_x0020_Date xmlns="e7bee352-1aa0-4fde-b8ac-f7326a8e414b" xsi:nil="true"/>
    <IASubtopic xmlns="59da1016-2a1b-4f8a-9768-d7a4932f6f16" xsi:nil="true"/>
    <URL xmlns="http://schemas.microsoft.com/sharepoint/v3">
      <Url xsi:nil="true"/>
      <Description xsi:nil="true"/>
    </URL>
    <Featured_x0020_Document xmlns="e7bee352-1aa0-4fde-b8ac-f7326a8e414b"/>
    <PublishingExpirationDate xmlns="http://schemas.microsoft.com/sharepoint/v3" xsi:nil="true"/>
    <Meta_x0020_Description xmlns="e7bee352-1aa0-4fde-b8ac-f7326a8e414b" xsi:nil="true"/>
    <PublishingStartDate xmlns="http://schemas.microsoft.com/sharepoint/v3" xsi:nil="true"/>
    <Meta_x0020_Keywords xmlns="e7bee352-1aa0-4fde-b8ac-f7326a8e41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5AC730E4347459B43AF2B26B393E0" ma:contentTypeVersion="18" ma:contentTypeDescription="Create a new document." ma:contentTypeScope="" ma:versionID="5074ac5d7e83aa631e5eefd286e44454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e7bee352-1aa0-4fde-b8ac-f7326a8e414b" targetNamespace="http://schemas.microsoft.com/office/2006/metadata/properties" ma:root="true" ma:fieldsID="5c80bb81515117ddcc6a038a4cde801a" ns1:_="" ns2:_="" ns3:_="">
    <xsd:import namespace="http://schemas.microsoft.com/sharepoint/v3"/>
    <xsd:import namespace="59da1016-2a1b-4f8a-9768-d7a4932f6f16"/>
    <xsd:import namespace="e7bee352-1aa0-4fde-b8ac-f7326a8e414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3:Featured_x0020_Document" minOccurs="0"/>
                <xsd:element ref="ns3:THEO_x0020_Monthly_x0020_Update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e352-1aa0-4fde-b8ac-f7326a8e414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  <xsd:element name="Featured_x0020_Document" ma:index="13" nillable="true" ma:displayName="Featured Document" ma:internalName="Featured_x0020_Document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HEO Monthly Update"/>
                  </xsd:restriction>
                </xsd:simpleType>
              </xsd:element>
            </xsd:sequence>
          </xsd:extension>
        </xsd:complexContent>
      </xsd:complexType>
    </xsd:element>
    <xsd:element name="THEO_x0020_Monthly_x0020_Update_x0020_Date" ma:index="14" nillable="true" ma:displayName="THEO Monthly Update Date" ma:format="DateOnly" ma:internalName="THEO_x0020_Monthly_x0020_Update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34D7E-8CB1-46F4-AF67-4C78B0685AD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227f4e8-77f4-4d3a-b9fa-a94b95c18dca"/>
    <ds:schemaRef ds:uri="199ca11f-b724-41ce-a7e5-e46f34aa8d00"/>
    <ds:schemaRef ds:uri="http://www.w3.org/XML/1998/namespace"/>
    <ds:schemaRef ds:uri="http://purl.org/dc/dcmitype/"/>
    <ds:schemaRef ds:uri="59da1016-2a1b-4f8a-9768-d7a4932f6f16"/>
    <ds:schemaRef ds:uri="e7bee352-1aa0-4fde-b8ac-f7326a8e414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0064A07-AAAF-4896-8ED4-B51541B88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e7bee352-1aa0-4fde-b8ac-f7326a8e4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B7A930-17CB-4EA6-A82D-055D702B44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Perinatal Enrollment</vt:lpstr>
      <vt:lpstr>Caregiver Enrollment</vt:lpstr>
      <vt:lpstr>Child Enrollment</vt:lpstr>
      <vt:lpstr>Day Counts</vt:lpstr>
      <vt:lpstr>'Perinatal Enrollment'!Print_Area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Tina Kent</dc:creator>
  <cp:lastModifiedBy>Zukowski Laura A</cp:lastModifiedBy>
  <cp:lastPrinted>2020-07-15T18:37:34Z</cp:lastPrinted>
  <dcterms:created xsi:type="dcterms:W3CDTF">1999-11-30T22:37:39Z</dcterms:created>
  <dcterms:modified xsi:type="dcterms:W3CDTF">2024-03-11T14:27:11Z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0x010100EBD5AC730E4347459B43AF2B26B393E0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2024-02-05T23:02:28Z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50713fe4-2e19-4eec-9263-67e81a7084dc</vt:lpwstr>
  </property>
  <property fmtid="{D5CDD505-2E9C-101B-9397-08002B2CF9AE}" pid="9" name="MSIP_Label_ebdd6eeb-0dd0-4927-947e-a759f08fcf55_ContentBits">
    <vt:lpwstr>0</vt:lpwstr>
  </property>
</Properties>
</file>