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I:\AGRH Programs\Adolescent\SBHC\Mental Health\19-21 Grant\RFQ Planning\"/>
    </mc:Choice>
  </mc:AlternateContent>
  <xr:revisionPtr revIDLastSave="0" documentId="13_ncr:1_{B3E27F2A-D651-4C87-AD6B-73CCDDB7C888}" xr6:coauthVersionLast="36" xr6:coauthVersionMax="36" xr10:uidLastSave="{00000000-0000-0000-0000-000000000000}"/>
  <bookViews>
    <workbookView xWindow="0" yWindow="0" windowWidth="20490" windowHeight="7530" tabRatio="604" xr2:uid="{00000000-000D-0000-FFFF-FFFF00000000}"/>
  </bookViews>
  <sheets>
    <sheet name="Sheet1" sheetId="1" r:id="rId1"/>
  </sheets>
  <definedNames>
    <definedName name="_xlnm._FilterDatabase" localSheetId="0" hidden="1">Sheet1!$A$3:$Q$61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9" i="1" l="1"/>
  <c r="I54" i="1"/>
  <c r="I52" i="1"/>
  <c r="I44" i="1"/>
  <c r="I41" i="1"/>
  <c r="I40" i="1"/>
  <c r="I36" i="1"/>
  <c r="I33" i="1"/>
  <c r="I29" i="1"/>
  <c r="I23" i="1"/>
  <c r="I19" i="1"/>
  <c r="I9" i="1"/>
  <c r="I8" i="1"/>
  <c r="I7" i="1"/>
  <c r="I5" i="1"/>
  <c r="J59" i="1" l="1"/>
  <c r="J58" i="1"/>
  <c r="J56" i="1"/>
  <c r="J54" i="1"/>
  <c r="J52" i="1"/>
  <c r="J36" i="1"/>
  <c r="J11" i="1"/>
  <c r="J7" i="1"/>
  <c r="J5" i="1"/>
  <c r="J4" i="1"/>
  <c r="N11" i="1" l="1"/>
  <c r="R11" i="1" s="1"/>
  <c r="D71" i="1"/>
  <c r="D72" i="1"/>
  <c r="O11" i="1" l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2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2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0" i="1"/>
  <c r="K51" i="1"/>
  <c r="K52" i="1"/>
  <c r="K53" i="1"/>
  <c r="K54" i="1"/>
  <c r="K55" i="1"/>
  <c r="K56" i="1"/>
  <c r="K57" i="1"/>
  <c r="K58" i="1"/>
  <c r="K59" i="1"/>
  <c r="K60" i="1"/>
  <c r="L4" i="1"/>
  <c r="K4" i="1"/>
  <c r="P37" i="1" l="1"/>
  <c r="P11" i="1"/>
  <c r="F37" i="1" l="1"/>
  <c r="G37" i="1" s="1"/>
  <c r="F11" i="1" l="1"/>
  <c r="G11" i="1" s="1"/>
  <c r="F5" i="1" l="1"/>
  <c r="F6" i="1"/>
  <c r="F9" i="1"/>
  <c r="F10" i="1"/>
  <c r="F7" i="1"/>
  <c r="F8" i="1"/>
  <c r="F12" i="1"/>
  <c r="F13" i="1"/>
  <c r="F14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4" i="1"/>
  <c r="F35" i="1"/>
  <c r="F38" i="1"/>
  <c r="F36" i="1"/>
  <c r="F39" i="1"/>
  <c r="F40" i="1"/>
  <c r="F43" i="1"/>
  <c r="F41" i="1"/>
  <c r="F42" i="1"/>
  <c r="F44" i="1"/>
  <c r="F45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46" i="1" l="1"/>
  <c r="F4" i="1"/>
  <c r="G44" i="1"/>
  <c r="G45" i="1"/>
  <c r="G36" i="1"/>
  <c r="G39" i="1"/>
  <c r="G47" i="1"/>
  <c r="H49" i="1"/>
  <c r="L49" i="1" l="1"/>
  <c r="K49" i="1"/>
  <c r="M39" i="1"/>
  <c r="Q39" i="1" s="1"/>
  <c r="M36" i="1"/>
  <c r="H61" i="1"/>
  <c r="M45" i="1"/>
  <c r="Q45" i="1" s="1"/>
  <c r="M47" i="1"/>
  <c r="M44" i="1"/>
  <c r="F55" i="1"/>
  <c r="F23" i="1"/>
  <c r="F33" i="1"/>
  <c r="N44" i="1" l="1"/>
  <c r="S44" i="1" s="1"/>
  <c r="P36" i="1"/>
  <c r="Q47" i="1"/>
  <c r="P39" i="1"/>
  <c r="Q36" i="1"/>
  <c r="P47" i="1"/>
  <c r="Q44" i="1"/>
  <c r="P44" i="1"/>
  <c r="P45" i="1"/>
  <c r="O44" i="1" l="1"/>
  <c r="U44" i="1" s="1"/>
  <c r="R44" i="1"/>
  <c r="T44" i="1"/>
  <c r="F15" i="1"/>
  <c r="G15" i="1" s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2" i="1"/>
  <c r="G41" i="1"/>
  <c r="G43" i="1"/>
  <c r="G40" i="1"/>
  <c r="G38" i="1"/>
  <c r="G35" i="1"/>
  <c r="M35" i="1" s="1"/>
  <c r="N35" i="1" s="1"/>
  <c r="G33" i="1"/>
  <c r="G34" i="1"/>
  <c r="G32" i="1"/>
  <c r="G31" i="1"/>
  <c r="G30" i="1"/>
  <c r="G29" i="1"/>
  <c r="G28" i="1"/>
  <c r="G27" i="1"/>
  <c r="M27" i="1" s="1"/>
  <c r="N27" i="1" s="1"/>
  <c r="G26" i="1"/>
  <c r="G25" i="1"/>
  <c r="G22" i="1"/>
  <c r="G23" i="1"/>
  <c r="G24" i="1"/>
  <c r="G21" i="1"/>
  <c r="G20" i="1"/>
  <c r="M20" i="1" s="1"/>
  <c r="G19" i="1"/>
  <c r="G18" i="1"/>
  <c r="M18" i="1" s="1"/>
  <c r="N18" i="1" s="1"/>
  <c r="G17" i="1"/>
  <c r="M17" i="1" s="1"/>
  <c r="N17" i="1" s="1"/>
  <c r="G16" i="1"/>
  <c r="G14" i="1"/>
  <c r="G13" i="1"/>
  <c r="G12" i="1"/>
  <c r="G8" i="1"/>
  <c r="G7" i="1"/>
  <c r="G10" i="1"/>
  <c r="G9" i="1"/>
  <c r="G6" i="1"/>
  <c r="G5" i="1"/>
  <c r="G4" i="1"/>
  <c r="S18" i="1" l="1"/>
  <c r="R18" i="1"/>
  <c r="O18" i="1"/>
  <c r="U18" i="1" s="1"/>
  <c r="S27" i="1"/>
  <c r="R27" i="1"/>
  <c r="O27" i="1"/>
  <c r="U27" i="1" s="1"/>
  <c r="S35" i="1"/>
  <c r="R35" i="1"/>
  <c r="O35" i="1"/>
  <c r="U35" i="1" s="1"/>
  <c r="S17" i="1"/>
  <c r="R17" i="1"/>
  <c r="O17" i="1"/>
  <c r="U17" i="1" s="1"/>
  <c r="M40" i="1"/>
  <c r="N40" i="1" s="1"/>
  <c r="M55" i="1"/>
  <c r="M57" i="1"/>
  <c r="N57" i="1" s="1"/>
  <c r="M54" i="1"/>
  <c r="M9" i="1"/>
  <c r="M16" i="1"/>
  <c r="M13" i="1"/>
  <c r="Q13" i="1" s="1"/>
  <c r="M41" i="1"/>
  <c r="M49" i="1"/>
  <c r="Q49" i="1" s="1"/>
  <c r="M53" i="1"/>
  <c r="P53" i="1" s="1"/>
  <c r="M59" i="1"/>
  <c r="M5" i="1"/>
  <c r="M8" i="1"/>
  <c r="M46" i="1"/>
  <c r="N46" i="1" s="1"/>
  <c r="M51" i="1"/>
  <c r="M24" i="1"/>
  <c r="M15" i="1"/>
  <c r="Q15" i="1" s="1"/>
  <c r="M21" i="1"/>
  <c r="Q21" i="1" s="1"/>
  <c r="M23" i="1"/>
  <c r="Q23" i="1" s="1"/>
  <c r="M25" i="1"/>
  <c r="M29" i="1"/>
  <c r="M31" i="1"/>
  <c r="P31" i="1" s="1"/>
  <c r="M34" i="1"/>
  <c r="M6" i="1"/>
  <c r="Q6" i="1" s="1"/>
  <c r="M19" i="1"/>
  <c r="M22" i="1"/>
  <c r="Q22" i="1" s="1"/>
  <c r="M26" i="1"/>
  <c r="M28" i="1"/>
  <c r="M30" i="1"/>
  <c r="Q30" i="1" s="1"/>
  <c r="M32" i="1"/>
  <c r="Q32" i="1" s="1"/>
  <c r="M33" i="1"/>
  <c r="Q33" i="1" s="1"/>
  <c r="M7" i="1"/>
  <c r="M12" i="1"/>
  <c r="M14" i="1"/>
  <c r="Q14" i="1" s="1"/>
  <c r="M38" i="1"/>
  <c r="N36" i="1" s="1"/>
  <c r="M43" i="1"/>
  <c r="M42" i="1"/>
  <c r="P42" i="1" s="1"/>
  <c r="M48" i="1"/>
  <c r="M50" i="1"/>
  <c r="P50" i="1" s="1"/>
  <c r="M52" i="1"/>
  <c r="M56" i="1"/>
  <c r="M58" i="1"/>
  <c r="M60" i="1"/>
  <c r="Q60" i="1" s="1"/>
  <c r="P35" i="1"/>
  <c r="T35" i="1" s="1"/>
  <c r="Q35" i="1"/>
  <c r="Q20" i="1"/>
  <c r="P27" i="1"/>
  <c r="T27" i="1" s="1"/>
  <c r="Q57" i="1"/>
  <c r="M10" i="1"/>
  <c r="M4" i="1"/>
  <c r="Q17" i="1"/>
  <c r="P18" i="1"/>
  <c r="T18" i="1" s="1"/>
  <c r="N52" i="1" l="1"/>
  <c r="S52" i="1" s="1"/>
  <c r="Q40" i="1"/>
  <c r="N47" i="1"/>
  <c r="R47" i="1" s="1"/>
  <c r="N4" i="1"/>
  <c r="Q4" i="1"/>
  <c r="R52" i="1"/>
  <c r="O52" i="1"/>
  <c r="U52" i="1" s="1"/>
  <c r="Q58" i="1"/>
  <c r="N58" i="1"/>
  <c r="S46" i="1"/>
  <c r="R46" i="1"/>
  <c r="O46" i="1"/>
  <c r="U46" i="1" s="1"/>
  <c r="Q54" i="1"/>
  <c r="N54" i="1"/>
  <c r="P56" i="1"/>
  <c r="N56" i="1"/>
  <c r="N12" i="1"/>
  <c r="N19" i="1"/>
  <c r="N29" i="1"/>
  <c r="S57" i="1"/>
  <c r="R57" i="1"/>
  <c r="P43" i="1"/>
  <c r="N43" i="1"/>
  <c r="Q41" i="1"/>
  <c r="N41" i="1"/>
  <c r="S36" i="1"/>
  <c r="R36" i="1"/>
  <c r="O36" i="1"/>
  <c r="U36" i="1" s="1"/>
  <c r="N33" i="1"/>
  <c r="P51" i="1"/>
  <c r="T51" i="1" s="1"/>
  <c r="N51" i="1"/>
  <c r="Q59" i="1"/>
  <c r="N59" i="1"/>
  <c r="S40" i="1"/>
  <c r="R40" i="1"/>
  <c r="Q16" i="1"/>
  <c r="N16" i="1"/>
  <c r="Q8" i="1"/>
  <c r="N8" i="1"/>
  <c r="N9" i="1"/>
  <c r="Q7" i="1"/>
  <c r="N7" i="1"/>
  <c r="Q28" i="1"/>
  <c r="N28" i="1"/>
  <c r="Q25" i="1"/>
  <c r="N25" i="1"/>
  <c r="N23" i="1"/>
  <c r="P5" i="1"/>
  <c r="N5" i="1"/>
  <c r="P26" i="1"/>
  <c r="T26" i="1" s="1"/>
  <c r="N26" i="1"/>
  <c r="M61" i="1"/>
  <c r="P21" i="1"/>
  <c r="P4" i="1"/>
  <c r="P55" i="1"/>
  <c r="P38" i="1"/>
  <c r="T36" i="1" s="1"/>
  <c r="Q48" i="1"/>
  <c r="Q29" i="1"/>
  <c r="P34" i="1"/>
  <c r="Q24" i="1"/>
  <c r="Q52" i="1"/>
  <c r="P46" i="1"/>
  <c r="T46" i="1" s="1"/>
  <c r="Q46" i="1"/>
  <c r="Q12" i="1"/>
  <c r="P19" i="1"/>
  <c r="P54" i="1"/>
  <c r="P58" i="1"/>
  <c r="T58" i="1" s="1"/>
  <c r="P49" i="1"/>
  <c r="Q38" i="1"/>
  <c r="P25" i="1"/>
  <c r="P22" i="1"/>
  <c r="P20" i="1"/>
  <c r="P13" i="1"/>
  <c r="Q31" i="1"/>
  <c r="P59" i="1"/>
  <c r="Q50" i="1"/>
  <c r="P14" i="1"/>
  <c r="P8" i="1"/>
  <c r="Q18" i="1"/>
  <c r="P60" i="1"/>
  <c r="P12" i="1"/>
  <c r="P6" i="1"/>
  <c r="Q55" i="1"/>
  <c r="P33" i="1"/>
  <c r="Q27" i="1"/>
  <c r="P52" i="1"/>
  <c r="T52" i="1" s="1"/>
  <c r="P40" i="1"/>
  <c r="P24" i="1"/>
  <c r="Q53" i="1"/>
  <c r="Q34" i="1"/>
  <c r="Q26" i="1"/>
  <c r="P32" i="1"/>
  <c r="P10" i="1"/>
  <c r="Q10" i="1"/>
  <c r="P41" i="1"/>
  <c r="P30" i="1"/>
  <c r="Q5" i="1"/>
  <c r="Q51" i="1"/>
  <c r="P7" i="1"/>
  <c r="Q43" i="1"/>
  <c r="Q56" i="1"/>
  <c r="P15" i="1"/>
  <c r="P57" i="1"/>
  <c r="P29" i="1"/>
  <c r="P16" i="1"/>
  <c r="T16" i="1" s="1"/>
  <c r="Q19" i="1"/>
  <c r="P17" i="1"/>
  <c r="T17" i="1" s="1"/>
  <c r="P48" i="1"/>
  <c r="P23" i="1"/>
  <c r="P28" i="1"/>
  <c r="T28" i="1" s="1"/>
  <c r="Q42" i="1"/>
  <c r="P9" i="1"/>
  <c r="Q9" i="1"/>
  <c r="C67" i="1" l="1"/>
  <c r="C68" i="1"/>
  <c r="C70" i="1"/>
  <c r="D70" i="1" s="1"/>
  <c r="C69" i="1"/>
  <c r="D69" i="1" s="1"/>
  <c r="N61" i="1"/>
  <c r="T4" i="1"/>
  <c r="P61" i="1"/>
  <c r="S47" i="1"/>
  <c r="T47" i="1"/>
  <c r="T54" i="1"/>
  <c r="O47" i="1"/>
  <c r="U47" i="1" s="1"/>
  <c r="T56" i="1"/>
  <c r="S25" i="1"/>
  <c r="R25" i="1"/>
  <c r="S29" i="1"/>
  <c r="R29" i="1"/>
  <c r="O29" i="1"/>
  <c r="U29" i="1" s="1"/>
  <c r="T29" i="1"/>
  <c r="T12" i="1"/>
  <c r="T19" i="1"/>
  <c r="S5" i="1"/>
  <c r="R5" i="1"/>
  <c r="O5" i="1"/>
  <c r="U5" i="1" s="1"/>
  <c r="S16" i="1"/>
  <c r="R16" i="1"/>
  <c r="O16" i="1"/>
  <c r="U16" i="1" s="1"/>
  <c r="S19" i="1"/>
  <c r="R19" i="1"/>
  <c r="O19" i="1"/>
  <c r="U19" i="1" s="1"/>
  <c r="S54" i="1"/>
  <c r="R54" i="1"/>
  <c r="O54" i="1"/>
  <c r="U54" i="1" s="1"/>
  <c r="S58" i="1"/>
  <c r="R58" i="1"/>
  <c r="O58" i="1"/>
  <c r="U58" i="1" s="1"/>
  <c r="S7" i="1"/>
  <c r="R7" i="1"/>
  <c r="O7" i="1"/>
  <c r="U7" i="1" s="1"/>
  <c r="S51" i="1"/>
  <c r="R51" i="1"/>
  <c r="O51" i="1"/>
  <c r="U51" i="1" s="1"/>
  <c r="S43" i="1"/>
  <c r="R43" i="1"/>
  <c r="T7" i="1"/>
  <c r="T5" i="1"/>
  <c r="S28" i="1"/>
  <c r="R28" i="1"/>
  <c r="O28" i="1"/>
  <c r="U28" i="1" s="1"/>
  <c r="R9" i="1"/>
  <c r="S9" i="1"/>
  <c r="S59" i="1"/>
  <c r="R59" i="1"/>
  <c r="O59" i="1"/>
  <c r="U59" i="1" s="1"/>
  <c r="S33" i="1"/>
  <c r="R33" i="1"/>
  <c r="S41" i="1"/>
  <c r="R41" i="1"/>
  <c r="S12" i="1"/>
  <c r="R12" i="1"/>
  <c r="O12" i="1"/>
  <c r="U12" i="1" s="1"/>
  <c r="T40" i="1"/>
  <c r="T59" i="1"/>
  <c r="S26" i="1"/>
  <c r="R26" i="1"/>
  <c r="O26" i="1"/>
  <c r="U26" i="1" s="1"/>
  <c r="S23" i="1"/>
  <c r="R23" i="1"/>
  <c r="S8" i="1"/>
  <c r="R8" i="1"/>
  <c r="O40" i="1"/>
  <c r="U40" i="1" s="1"/>
  <c r="S56" i="1"/>
  <c r="R56" i="1"/>
  <c r="O56" i="1"/>
  <c r="U56" i="1" s="1"/>
  <c r="R4" i="1"/>
  <c r="S4" i="1"/>
  <c r="O4" i="1"/>
  <c r="D68" i="1"/>
  <c r="C77" i="1"/>
  <c r="C78" i="1" s="1"/>
  <c r="D67" i="1" l="1"/>
  <c r="C73" i="1"/>
  <c r="D73" i="1" s="1"/>
  <c r="U4" i="1"/>
  <c r="O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 O'Donnell</author>
  </authors>
  <commentList>
    <comment ref="H16" authorId="0" shapeId="0" xr:uid="{974A02DA-4861-4594-ABC8-C0928E650D95}">
      <text>
        <r>
          <rPr>
            <b/>
            <sz val="9"/>
            <color indexed="81"/>
            <rFont val="Tahoma"/>
            <family val="2"/>
          </rPr>
          <t>Kate O'Donnell:</t>
        </r>
        <r>
          <rPr>
            <sz val="9"/>
            <color indexed="81"/>
            <rFont val="Tahoma"/>
            <family val="2"/>
          </rPr>
          <t xml:space="preserve">
Was $70,690 for Marshfield and $29,310 for Powers. Powers closed, so "17-19 award" rounded to $70,000</t>
        </r>
      </text>
    </comment>
  </commentList>
</comments>
</file>

<file path=xl/sharedStrings.xml><?xml version="1.0" encoding="utf-8"?>
<sst xmlns="http://schemas.openxmlformats.org/spreadsheetml/2006/main" count="216" uniqueCount="157">
  <si>
    <t>Site Name</t>
  </si>
  <si>
    <t>Baker HS</t>
  </si>
  <si>
    <t>Lincoln ES</t>
  </si>
  <si>
    <t>Monroe Grade School</t>
  </si>
  <si>
    <t>Oregon City HS</t>
  </si>
  <si>
    <t>Sandy HS</t>
  </si>
  <si>
    <t>Estacada HS</t>
  </si>
  <si>
    <t>Milwaukie HS</t>
  </si>
  <si>
    <t># SBHCs</t>
  </si>
  <si>
    <t>Clatskanie MS/HS</t>
  </si>
  <si>
    <t>Rainier HS</t>
  </si>
  <si>
    <t>Sacagawea (St. Helens)</t>
  </si>
  <si>
    <t>Marshfield HS</t>
  </si>
  <si>
    <t>Brookings Harbor HS</t>
  </si>
  <si>
    <t>Bend HS</t>
  </si>
  <si>
    <t>Ensworth ES</t>
  </si>
  <si>
    <t>Lynch ES</t>
  </si>
  <si>
    <t>La Pine K-12</t>
  </si>
  <si>
    <t>SBHCs with:</t>
  </si>
  <si>
    <t>% SBHCs</t>
  </si>
  <si>
    <t>Redmond HS</t>
  </si>
  <si>
    <t>0-$49,999 less</t>
  </si>
  <si>
    <t>Sisters HS</t>
  </si>
  <si>
    <t>$50,000-$99,999 less</t>
  </si>
  <si>
    <t>$100,000-$149,999 less</t>
  </si>
  <si>
    <t>Roseburg HS</t>
  </si>
  <si>
    <t>More than $150,000 less</t>
  </si>
  <si>
    <t>Grant Union HS</t>
  </si>
  <si>
    <t>Total</t>
  </si>
  <si>
    <t xml:space="preserve">Hood River HS </t>
  </si>
  <si>
    <t>Ashland HS</t>
  </si>
  <si>
    <t>Butte Falls Charter</t>
  </si>
  <si>
    <t>Total funds</t>
  </si>
  <si>
    <t>Eagle Point HS</t>
  </si>
  <si>
    <t>Granted funds</t>
  </si>
  <si>
    <t>Remaining funds</t>
  </si>
  <si>
    <t>Jackson ES</t>
  </si>
  <si>
    <t>Illinois Valley HS</t>
  </si>
  <si>
    <t xml:space="preserve">Cascade MS / Bethel </t>
  </si>
  <si>
    <t>Springfield HS</t>
  </si>
  <si>
    <t>Churchill HS</t>
  </si>
  <si>
    <t>N. Eugene HS</t>
  </si>
  <si>
    <t>Ione K-12</t>
  </si>
  <si>
    <t>David Douglas HS</t>
  </si>
  <si>
    <t>Madison HS</t>
  </si>
  <si>
    <t>Central HS</t>
  </si>
  <si>
    <t>Pendleton HS</t>
  </si>
  <si>
    <t>Sunridge MS</t>
  </si>
  <si>
    <t>La Grande HS</t>
  </si>
  <si>
    <t>Union SD</t>
  </si>
  <si>
    <t>Forest Grove HS</t>
  </si>
  <si>
    <t>Merlo HS</t>
  </si>
  <si>
    <t>Mitchell SD</t>
  </si>
  <si>
    <t>Willamina HS</t>
  </si>
  <si>
    <t>Yamhill-Carlton HS</t>
  </si>
  <si>
    <t>Totals</t>
  </si>
  <si>
    <t>After funding formula*</t>
  </si>
  <si>
    <t>Spencer (Vernonia)</t>
  </si>
  <si>
    <t>Base funding ($50,000)</t>
  </si>
  <si>
    <t>Points funding</t>
  </si>
  <si>
    <t>Initial possible award (base + points)</t>
  </si>
  <si>
    <t>*If all SBHCs apply for maximum amount they are eligible for</t>
  </si>
  <si>
    <t>County</t>
  </si>
  <si>
    <t>Baker</t>
  </si>
  <si>
    <t>Benton</t>
  </si>
  <si>
    <t>Clackamas</t>
  </si>
  <si>
    <t>Columbia</t>
  </si>
  <si>
    <t>Coos</t>
  </si>
  <si>
    <t>Crook</t>
  </si>
  <si>
    <t>Curry</t>
  </si>
  <si>
    <t>Deschutes</t>
  </si>
  <si>
    <t>Klamath</t>
  </si>
  <si>
    <t>Douglas</t>
  </si>
  <si>
    <t>Grant</t>
  </si>
  <si>
    <t>Hood River</t>
  </si>
  <si>
    <t>Jackson</t>
  </si>
  <si>
    <t>Jefferson</t>
  </si>
  <si>
    <t>Josephine</t>
  </si>
  <si>
    <t>Lane</t>
  </si>
  <si>
    <t>Morrow</t>
  </si>
  <si>
    <t>Multnomah</t>
  </si>
  <si>
    <t>Polk</t>
  </si>
  <si>
    <t>Umatilla</t>
  </si>
  <si>
    <t>Union</t>
  </si>
  <si>
    <t>Washington</t>
  </si>
  <si>
    <t>Wheeler</t>
  </si>
  <si>
    <t>Yamhill</t>
  </si>
  <si>
    <t>Madras HS</t>
  </si>
  <si>
    <t>Lincoln</t>
  </si>
  <si>
    <t>17-19 award</t>
  </si>
  <si>
    <t>Pioneer Secondary Alternative HS</t>
  </si>
  <si>
    <t>Gilchrist School</t>
  </si>
  <si>
    <t>Table Rock ES*</t>
  </si>
  <si>
    <t>Crater HS*</t>
  </si>
  <si>
    <t>Evergreen ES*</t>
  </si>
  <si>
    <t>Lorna Byrne MS*</t>
  </si>
  <si>
    <t>Toledo HS*</t>
  </si>
  <si>
    <t>Waldport HS*</t>
  </si>
  <si>
    <t>Centennial HS*</t>
  </si>
  <si>
    <t>Franklin HS*</t>
  </si>
  <si>
    <t xml:space="preserve">*New grantees during 2017-19 </t>
  </si>
  <si>
    <t>N/A</t>
  </si>
  <si>
    <t>Clatsop</t>
  </si>
  <si>
    <t>Jewell School**</t>
  </si>
  <si>
    <t>**2018-2019 SBHC Planning Grantee</t>
  </si>
  <si>
    <t>Grants Pass HS**</t>
  </si>
  <si>
    <t>NA</t>
  </si>
  <si>
    <t>Medical Sponsor</t>
  </si>
  <si>
    <t>Baker County Health Department</t>
  </si>
  <si>
    <t>Community Health Centers of Benton and Linn County</t>
  </si>
  <si>
    <t>Orchid Health</t>
  </si>
  <si>
    <t>OutsideIn</t>
  </si>
  <si>
    <t>Clackamas County Health Clinics</t>
  </si>
  <si>
    <t>Waterfall Community Health Center</t>
  </si>
  <si>
    <t>Clatsop County Health Department</t>
  </si>
  <si>
    <t>Grant County Health Department</t>
  </si>
  <si>
    <t>Mosaic Medical</t>
  </si>
  <si>
    <t>Curry Community Health</t>
  </si>
  <si>
    <t>La Pine Community Health Center</t>
  </si>
  <si>
    <t>St. Charles Health System</t>
  </si>
  <si>
    <t>Umpqua Community Health Center</t>
  </si>
  <si>
    <t>One Community Health</t>
  </si>
  <si>
    <t>Rogue Community Health</t>
  </si>
  <si>
    <t>La Clinica</t>
  </si>
  <si>
    <t>Siskiyou Community Health Center</t>
  </si>
  <si>
    <t>Bethel Health Center/PeaceHealth Medical Group</t>
  </si>
  <si>
    <t>PeaceHealth Medical Group</t>
  </si>
  <si>
    <t>Lane Community Health Center</t>
  </si>
  <si>
    <t>Lincoln County Health &amp; Human Services</t>
  </si>
  <si>
    <t>Morrow County Health District</t>
  </si>
  <si>
    <t>Multnomah County Health Department</t>
  </si>
  <si>
    <t>Salem Health</t>
  </si>
  <si>
    <t>Columbia River Health</t>
  </si>
  <si>
    <t>Union County Center for Human Development Inc.</t>
  </si>
  <si>
    <t>Virginia Garcia Memorial Health Center</t>
  </si>
  <si>
    <t>Asher Community Health Center</t>
  </si>
  <si>
    <t>Yamhill Carlton School-Based Health Center</t>
  </si>
  <si>
    <t>80% of 17-19 award</t>
  </si>
  <si>
    <t>130% of 17-19award</t>
  </si>
  <si>
    <t>Eligible award by SBHC system</t>
  </si>
  <si>
    <t>Eligible award by County</t>
  </si>
  <si>
    <t>Change from 17-19 award by SBHC</t>
  </si>
  <si>
    <t>% of 17-19 award by SBHC</t>
  </si>
  <si>
    <t>Change from 17-19 award by County</t>
  </si>
  <si>
    <t>% of 17-19 award by County</t>
  </si>
  <si>
    <t>17-19 award by County</t>
  </si>
  <si>
    <t>Change from 17-19 award by SBHC system</t>
  </si>
  <si>
    <t>% of 17-19 award by SBHC system</t>
  </si>
  <si>
    <t>17-19 award by SBHC system</t>
  </si>
  <si>
    <t>Point Total</t>
  </si>
  <si>
    <t>2019-21 SBHC MHEG Funding Formula</t>
  </si>
  <si>
    <t>Funding Summary by SBHC, System and County</t>
  </si>
  <si>
    <t>Eligible award by SBHC</t>
  </si>
  <si>
    <t>Columbia Health Services</t>
  </si>
  <si>
    <t>0-$49,999 more</t>
  </si>
  <si>
    <t>More than $50,000 more</t>
  </si>
  <si>
    <t>Neighborhood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</si>
</sst>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5" borderId="1" xfId="0" applyNumberFormat="1" applyFill="1" applyBorder="1" applyAlignment="1">
      <alignment vertical="center"/>
    </xf>
    <xf numFmtId="164" fontId="0" fillId="5" borderId="1" xfId="0" applyNumberFormat="1" applyFill="1" applyBorder="1"/>
    <xf numFmtId="164" fontId="0" fillId="0" borderId="3" xfId="0" applyNumberFormat="1" applyBorder="1"/>
    <xf numFmtId="164" fontId="0" fillId="5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0" fillId="0" borderId="0" xfId="0" applyBorder="1"/>
    <xf numFmtId="0" fontId="1" fillId="0" borderId="18" xfId="0" applyFont="1" applyBorder="1" applyAlignment="1">
      <alignment horizontal="center" vertical="top"/>
    </xf>
    <xf numFmtId="164" fontId="0" fillId="0" borderId="6" xfId="0" applyNumberFormat="1" applyBorder="1"/>
    <xf numFmtId="0" fontId="0" fillId="14" borderId="1" xfId="0" applyFill="1" applyBorder="1"/>
    <xf numFmtId="164" fontId="1" fillId="14" borderId="1" xfId="0" applyNumberFormat="1" applyFont="1" applyFill="1" applyBorder="1"/>
    <xf numFmtId="164" fontId="1" fillId="14" borderId="3" xfId="0" applyNumberFormat="1" applyFont="1" applyFill="1" applyBorder="1"/>
    <xf numFmtId="164" fontId="0" fillId="0" borderId="20" xfId="0" applyNumberFormat="1" applyBorder="1"/>
    <xf numFmtId="164" fontId="0" fillId="0" borderId="24" xfId="0" applyNumberFormat="1" applyBorder="1"/>
    <xf numFmtId="0" fontId="1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/>
    <xf numFmtId="0" fontId="0" fillId="0" borderId="0" xfId="0" applyBorder="1" applyAlignment="1">
      <alignment wrapText="1"/>
    </xf>
    <xf numFmtId="164" fontId="2" fillId="0" borderId="1" xfId="0" applyNumberFormat="1" applyFont="1" applyBorder="1"/>
    <xf numFmtId="164" fontId="3" fillId="14" borderId="1" xfId="0" applyNumberFormat="1" applyFont="1" applyFill="1" applyBorder="1"/>
    <xf numFmtId="1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4" borderId="1" xfId="0" applyFont="1" applyFill="1" applyBorder="1"/>
    <xf numFmtId="164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1" fillId="0" borderId="1" xfId="0" applyFont="1" applyFill="1" applyBorder="1" applyAlignment="1"/>
    <xf numFmtId="164" fontId="0" fillId="5" borderId="3" xfId="0" applyNumberFormat="1" applyFill="1" applyBorder="1"/>
    <xf numFmtId="0" fontId="0" fillId="0" borderId="0" xfId="0" applyBorder="1" applyAlignment="1"/>
    <xf numFmtId="0" fontId="2" fillId="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164" fontId="1" fillId="16" borderId="16" xfId="0" applyNumberFormat="1" applyFont="1" applyFill="1" applyBorder="1" applyAlignment="1">
      <alignment horizontal="center"/>
    </xf>
    <xf numFmtId="164" fontId="1" fillId="16" borderId="19" xfId="0" applyNumberFormat="1" applyFont="1" applyFill="1" applyBorder="1" applyAlignment="1">
      <alignment horizontal="center"/>
    </xf>
    <xf numFmtId="164" fontId="1" fillId="16" borderId="21" xfId="0" applyNumberFormat="1" applyFont="1" applyFill="1" applyBorder="1" applyAlignment="1">
      <alignment horizontal="center"/>
    </xf>
    <xf numFmtId="0" fontId="6" fillId="0" borderId="0" xfId="0" applyFont="1" applyAlignment="1"/>
    <xf numFmtId="164" fontId="1" fillId="14" borderId="13" xfId="0" applyNumberFormat="1" applyFont="1" applyFill="1" applyBorder="1"/>
    <xf numFmtId="0" fontId="1" fillId="2" borderId="35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 wrapText="1"/>
    </xf>
    <xf numFmtId="0" fontId="1" fillId="15" borderId="42" xfId="0" applyFont="1" applyFill="1" applyBorder="1" applyAlignment="1">
      <alignment horizontal="center" vertical="center" wrapText="1"/>
    </xf>
    <xf numFmtId="0" fontId="1" fillId="15" borderId="35" xfId="0" applyFont="1" applyFill="1" applyBorder="1" applyAlignment="1">
      <alignment horizontal="center" vertical="center" wrapText="1"/>
    </xf>
    <xf numFmtId="164" fontId="0" fillId="16" borderId="43" xfId="0" applyNumberFormat="1" applyFill="1" applyBorder="1"/>
    <xf numFmtId="164" fontId="0" fillId="16" borderId="40" xfId="0" applyNumberFormat="1" applyFill="1" applyBorder="1"/>
    <xf numFmtId="0" fontId="1" fillId="2" borderId="3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0" fillId="6" borderId="11" xfId="0" applyNumberFormat="1" applyFill="1" applyBorder="1"/>
    <xf numFmtId="9" fontId="0" fillId="0" borderId="20" xfId="0" applyNumberFormat="1" applyFill="1" applyBorder="1"/>
    <xf numFmtId="9" fontId="0" fillId="0" borderId="20" xfId="0" applyNumberFormat="1" applyFill="1" applyBorder="1" applyAlignment="1">
      <alignment horizontal="right"/>
    </xf>
    <xf numFmtId="9" fontId="0" fillId="0" borderId="24" xfId="0" applyNumberFormat="1" applyFill="1" applyBorder="1"/>
    <xf numFmtId="164" fontId="1" fillId="14" borderId="39" xfId="0" applyNumberFormat="1" applyFont="1" applyFill="1" applyBorder="1"/>
    <xf numFmtId="164" fontId="0" fillId="6" borderId="11" xfId="0" applyNumberFormat="1" applyFill="1" applyBorder="1" applyAlignment="1">
      <alignment horizontal="right"/>
    </xf>
    <xf numFmtId="0" fontId="1" fillId="0" borderId="35" xfId="0" applyFont="1" applyBorder="1" applyAlignment="1">
      <alignment horizontal="center" vertical="top"/>
    </xf>
    <xf numFmtId="9" fontId="0" fillId="0" borderId="40" xfId="0" applyNumberFormat="1" applyBorder="1"/>
    <xf numFmtId="9" fontId="0" fillId="0" borderId="49" xfId="0" applyNumberFormat="1" applyBorder="1"/>
    <xf numFmtId="1" fontId="0" fillId="0" borderId="20" xfId="0" applyNumberFormat="1" applyBorder="1"/>
    <xf numFmtId="1" fontId="0" fillId="0" borderId="24" xfId="0" applyNumberFormat="1" applyBorder="1"/>
    <xf numFmtId="164" fontId="0" fillId="17" borderId="11" xfId="0" applyNumberFormat="1" applyFill="1" applyBorder="1"/>
    <xf numFmtId="164" fontId="0" fillId="17" borderId="11" xfId="0" applyNumberFormat="1" applyFill="1" applyBorder="1" applyAlignment="1">
      <alignment horizontal="right"/>
    </xf>
    <xf numFmtId="164" fontId="0" fillId="18" borderId="11" xfId="0" applyNumberFormat="1" applyFill="1" applyBorder="1"/>
    <xf numFmtId="164" fontId="0" fillId="18" borderId="36" xfId="0" applyNumberFormat="1" applyFill="1" applyBorder="1"/>
    <xf numFmtId="0" fontId="0" fillId="0" borderId="40" xfId="0" applyFont="1" applyBorder="1" applyAlignment="1">
      <alignment horizontal="right" vertical="top"/>
    </xf>
    <xf numFmtId="9" fontId="0" fillId="0" borderId="29" xfId="0" applyNumberFormat="1" applyFont="1" applyBorder="1" applyAlignment="1">
      <alignment horizontal="right" vertical="top"/>
    </xf>
    <xf numFmtId="164" fontId="0" fillId="5" borderId="2" xfId="0" applyNumberFormat="1" applyFill="1" applyBorder="1" applyAlignment="1">
      <alignment horizontal="right" vertical="center"/>
    </xf>
    <xf numFmtId="164" fontId="0" fillId="5" borderId="7" xfId="0" applyNumberFormat="1" applyFill="1" applyBorder="1" applyAlignment="1">
      <alignment horizontal="right" vertical="center"/>
    </xf>
    <xf numFmtId="164" fontId="0" fillId="5" borderId="9" xfId="0" applyNumberFormat="1" applyFill="1" applyBorder="1" applyAlignment="1">
      <alignment horizontal="right" vertical="center"/>
    </xf>
    <xf numFmtId="164" fontId="0" fillId="6" borderId="30" xfId="0" applyNumberFormat="1" applyFill="1" applyBorder="1" applyAlignment="1">
      <alignment horizontal="right" vertical="center"/>
    </xf>
    <xf numFmtId="164" fontId="0" fillId="6" borderId="10" xfId="0" applyNumberFormat="1" applyFill="1" applyBorder="1" applyAlignment="1">
      <alignment horizontal="right" vertical="center"/>
    </xf>
    <xf numFmtId="164" fontId="0" fillId="17" borderId="30" xfId="0" applyNumberFormat="1" applyFill="1" applyBorder="1" applyAlignment="1">
      <alignment horizontal="right" vertical="center"/>
    </xf>
    <xf numFmtId="164" fontId="0" fillId="17" borderId="32" xfId="0" applyNumberFormat="1" applyFill="1" applyBorder="1" applyAlignment="1">
      <alignment horizontal="right" vertical="center"/>
    </xf>
    <xf numFmtId="164" fontId="0" fillId="17" borderId="10" xfId="0" applyNumberFormat="1" applyFill="1" applyBorder="1" applyAlignment="1">
      <alignment horizontal="right" vertical="center"/>
    </xf>
    <xf numFmtId="164" fontId="0" fillId="11" borderId="30" xfId="0" applyNumberFormat="1" applyFill="1" applyBorder="1" applyAlignment="1">
      <alignment horizontal="right" vertical="center"/>
    </xf>
    <xf numFmtId="164" fontId="0" fillId="11" borderId="32" xfId="0" applyNumberFormat="1" applyFill="1" applyBorder="1" applyAlignment="1">
      <alignment horizontal="right" vertical="center"/>
    </xf>
    <xf numFmtId="164" fontId="0" fillId="11" borderId="10" xfId="0" applyNumberFormat="1" applyFill="1" applyBorder="1" applyAlignment="1">
      <alignment horizontal="right" vertical="center"/>
    </xf>
    <xf numFmtId="164" fontId="0" fillId="16" borderId="44" xfId="0" applyNumberFormat="1" applyFill="1" applyBorder="1" applyAlignment="1">
      <alignment horizontal="right" vertical="center"/>
    </xf>
    <xf numFmtId="164" fontId="0" fillId="16" borderId="45" xfId="0" applyNumberFormat="1" applyFill="1" applyBorder="1" applyAlignment="1">
      <alignment horizontal="right" vertical="center"/>
    </xf>
    <xf numFmtId="164" fontId="0" fillId="16" borderId="46" xfId="0" applyNumberFormat="1" applyFill="1" applyBorder="1" applyAlignment="1">
      <alignment horizontal="right" vertical="center"/>
    </xf>
    <xf numFmtId="9" fontId="0" fillId="0" borderId="31" xfId="0" applyNumberFormat="1" applyFill="1" applyBorder="1" applyAlignment="1">
      <alignment horizontal="right" vertical="center"/>
    </xf>
    <xf numFmtId="9" fontId="0" fillId="0" borderId="34" xfId="0" applyNumberFormat="1" applyFill="1" applyBorder="1" applyAlignment="1">
      <alignment horizontal="right" vertical="center"/>
    </xf>
    <xf numFmtId="9" fontId="0" fillId="0" borderId="38" xfId="0" applyNumberFormat="1" applyFill="1" applyBorder="1" applyAlignment="1">
      <alignment horizontal="right" vertical="center"/>
    </xf>
    <xf numFmtId="164" fontId="0" fillId="18" borderId="30" xfId="0" applyNumberFormat="1" applyFill="1" applyBorder="1" applyAlignment="1">
      <alignment horizontal="right" vertical="center"/>
    </xf>
    <xf numFmtId="164" fontId="0" fillId="18" borderId="32" xfId="0" applyNumberFormat="1" applyFill="1" applyBorder="1" applyAlignment="1">
      <alignment horizontal="right" vertical="center"/>
    </xf>
    <xf numFmtId="164" fontId="0" fillId="18" borderId="10" xfId="0" applyNumberFormat="1" applyFill="1" applyBorder="1" applyAlignment="1">
      <alignment horizontal="right" vertical="center"/>
    </xf>
    <xf numFmtId="9" fontId="0" fillId="0" borderId="33" xfId="0" applyNumberFormat="1" applyFill="1" applyBorder="1" applyAlignment="1">
      <alignment horizontal="right" vertical="center"/>
    </xf>
    <xf numFmtId="164" fontId="0" fillId="6" borderId="32" xfId="0" applyNumberFormat="1" applyFill="1" applyBorder="1" applyAlignment="1">
      <alignment horizontal="right" vertical="center"/>
    </xf>
    <xf numFmtId="164" fontId="0" fillId="16" borderId="47" xfId="0" applyNumberFormat="1" applyFill="1" applyBorder="1" applyAlignment="1">
      <alignment horizontal="right" vertical="center"/>
    </xf>
    <xf numFmtId="164" fontId="0" fillId="16" borderId="41" xfId="0" applyNumberFormat="1" applyFill="1" applyBorder="1" applyAlignment="1">
      <alignment horizontal="right" vertical="center"/>
    </xf>
    <xf numFmtId="164" fontId="0" fillId="16" borderId="29" xfId="0" applyNumberFormat="1" applyFill="1" applyBorder="1" applyAlignment="1">
      <alignment horizontal="right" vertical="center"/>
    </xf>
    <xf numFmtId="164" fontId="0" fillId="16" borderId="15" xfId="0" applyNumberFormat="1" applyFill="1" applyBorder="1" applyAlignment="1">
      <alignment horizontal="right" vertical="center"/>
    </xf>
    <xf numFmtId="9" fontId="0" fillId="18" borderId="10" xfId="0" applyNumberFormat="1" applyFill="1" applyBorder="1" applyAlignment="1">
      <alignment horizontal="right" vertical="center"/>
    </xf>
    <xf numFmtId="9" fontId="0" fillId="18" borderId="32" xfId="0" applyNumberFormat="1" applyFill="1" applyBorder="1" applyAlignment="1">
      <alignment horizontal="right" vertical="center"/>
    </xf>
    <xf numFmtId="9" fontId="0" fillId="6" borderId="10" xfId="0" applyNumberFormat="1" applyFill="1" applyBorder="1" applyAlignment="1">
      <alignment horizontal="right" vertical="center"/>
    </xf>
    <xf numFmtId="164" fontId="0" fillId="18" borderId="48" xfId="0" applyNumberFormat="1" applyFill="1" applyBorder="1" applyAlignment="1">
      <alignment horizontal="right" vertical="center"/>
    </xf>
    <xf numFmtId="164" fontId="0" fillId="16" borderId="12" xfId="0" applyNumberFormat="1" applyFill="1" applyBorder="1" applyAlignment="1">
      <alignment horizontal="right" vertical="center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3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13" borderId="19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9" fontId="0" fillId="17" borderId="32" xfId="0" applyNumberFormat="1" applyFill="1" applyBorder="1" applyAlignment="1">
      <alignment horizontal="right" vertical="center"/>
    </xf>
    <xf numFmtId="9" fontId="0" fillId="17" borderId="10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horizontal="right" vertical="center"/>
    </xf>
    <xf numFmtId="0" fontId="2" fillId="11" borderId="19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0" fillId="18" borderId="28" xfId="0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17" borderId="19" xfId="0" applyFont="1" applyFill="1" applyBorder="1" applyAlignment="1">
      <alignment horizontal="center" vertical="top" wrapText="1"/>
    </xf>
    <xf numFmtId="0" fontId="0" fillId="17" borderId="4" xfId="0" applyFont="1" applyFill="1" applyBorder="1" applyAlignment="1">
      <alignment horizontal="center" vertical="top" wrapText="1"/>
    </xf>
    <xf numFmtId="0" fontId="0" fillId="11" borderId="10" xfId="0" applyFill="1" applyBorder="1" applyAlignment="1">
      <alignment horizontal="right" vertical="center"/>
    </xf>
    <xf numFmtId="9" fontId="0" fillId="18" borderId="48" xfId="0" applyNumberFormat="1" applyFill="1" applyBorder="1" applyAlignment="1">
      <alignment horizontal="right" vertical="center"/>
    </xf>
    <xf numFmtId="9" fontId="0" fillId="0" borderId="31" xfId="0" applyNumberFormat="1" applyFill="1" applyBorder="1" applyAlignment="1">
      <alignment horizontal="right"/>
    </xf>
    <xf numFmtId="9" fontId="0" fillId="0" borderId="34" xfId="0" applyNumberFormat="1" applyFill="1" applyBorder="1" applyAlignment="1">
      <alignment horizontal="right"/>
    </xf>
    <xf numFmtId="9" fontId="0" fillId="11" borderId="10" xfId="0" applyNumberFormat="1" applyFill="1" applyBorder="1" applyAlignment="1">
      <alignment horizontal="right" vertical="center"/>
    </xf>
    <xf numFmtId="9" fontId="0" fillId="11" borderId="32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0099"/>
      <color rgb="FFFF33CC"/>
      <color rgb="FFFF66CC"/>
      <color rgb="FFFFCCCC"/>
      <color rgb="FFFF99CC"/>
      <color rgb="FFFFCC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1"/>
  <sheetViews>
    <sheetView tabSelected="1" zoomScaleNormal="100" workbookViewId="0">
      <pane xSplit="4" ySplit="3" topLeftCell="E46" activePane="bottomRight" state="frozen"/>
      <selection pane="topRight" activeCell="M1" sqref="M1"/>
      <selection pane="bottomLeft" activeCell="A2" sqref="A2"/>
      <selection pane="bottomRight" activeCell="C60" sqref="C60"/>
    </sheetView>
  </sheetViews>
  <sheetFormatPr defaultRowHeight="15" x14ac:dyDescent="0.25"/>
  <cols>
    <col min="1" max="1" width="12" style="1" customWidth="1"/>
    <col min="2" max="2" width="17" style="1" customWidth="1"/>
    <col min="3" max="3" width="15.42578125" style="1" customWidth="1"/>
    <col min="4" max="4" width="9.140625" hidden="1" customWidth="1"/>
    <col min="5" max="5" width="10.28515625" hidden="1" customWidth="1"/>
    <col min="6" max="6" width="10.7109375" hidden="1" customWidth="1"/>
    <col min="7" max="7" width="10.42578125" hidden="1" customWidth="1"/>
    <col min="8" max="10" width="10" hidden="1" customWidth="1"/>
    <col min="11" max="12" width="9.140625" hidden="1" customWidth="1"/>
    <col min="13" max="13" width="11" customWidth="1"/>
    <col min="14" max="14" width="10.85546875" customWidth="1"/>
    <col min="15" max="15" width="10.5703125" customWidth="1"/>
    <col min="16" max="16" width="10.140625" customWidth="1"/>
    <col min="17" max="19" width="9.140625" customWidth="1"/>
    <col min="20" max="20" width="9.7109375" customWidth="1"/>
  </cols>
  <sheetData>
    <row r="1" spans="1:22" ht="18.75" x14ac:dyDescent="0.3">
      <c r="A1" s="46" t="s">
        <v>150</v>
      </c>
    </row>
    <row r="2" spans="1:22" ht="19.5" thickBot="1" x14ac:dyDescent="0.35">
      <c r="A2" s="46" t="s">
        <v>151</v>
      </c>
    </row>
    <row r="3" spans="1:22" ht="90.75" customHeight="1" thickBot="1" x14ac:dyDescent="0.3">
      <c r="A3" s="2" t="s">
        <v>62</v>
      </c>
      <c r="B3" s="2" t="s">
        <v>107</v>
      </c>
      <c r="C3" s="2" t="s">
        <v>0</v>
      </c>
      <c r="D3" s="3" t="s">
        <v>149</v>
      </c>
      <c r="E3" s="2" t="s">
        <v>58</v>
      </c>
      <c r="F3" s="2" t="s">
        <v>59</v>
      </c>
      <c r="G3" s="4" t="s">
        <v>60</v>
      </c>
      <c r="H3" s="2" t="s">
        <v>89</v>
      </c>
      <c r="I3" s="2" t="s">
        <v>148</v>
      </c>
      <c r="J3" s="2" t="s">
        <v>145</v>
      </c>
      <c r="K3" s="2" t="s">
        <v>137</v>
      </c>
      <c r="L3" s="2" t="s">
        <v>138</v>
      </c>
      <c r="M3" s="49" t="s">
        <v>152</v>
      </c>
      <c r="N3" s="50" t="s">
        <v>139</v>
      </c>
      <c r="O3" s="51" t="s">
        <v>140</v>
      </c>
      <c r="P3" s="54" t="s">
        <v>141</v>
      </c>
      <c r="Q3" s="55" t="s">
        <v>142</v>
      </c>
      <c r="R3" s="54" t="s">
        <v>146</v>
      </c>
      <c r="S3" s="48" t="s">
        <v>147</v>
      </c>
      <c r="T3" s="54" t="s">
        <v>143</v>
      </c>
      <c r="U3" s="55" t="s">
        <v>144</v>
      </c>
    </row>
    <row r="4" spans="1:22" x14ac:dyDescent="0.25">
      <c r="A4" s="5" t="s">
        <v>63</v>
      </c>
      <c r="B4" s="32" t="s">
        <v>108</v>
      </c>
      <c r="C4" s="5" t="s">
        <v>1</v>
      </c>
      <c r="D4" s="26">
        <v>4</v>
      </c>
      <c r="E4" s="24">
        <v>50000</v>
      </c>
      <c r="F4" s="24">
        <f t="shared" ref="F4:F35" si="0">IF(D4&lt;6,10000,IF(D4&lt;7,30000,IF(D4&lt;8,50000,IF(D4&lt;10,70000,IF(D4&gt;9,90000)))))</f>
        <v>10000</v>
      </c>
      <c r="G4" s="8">
        <f t="shared" ref="G4:G35" si="1">F4+E4</f>
        <v>60000</v>
      </c>
      <c r="H4" s="6">
        <v>135000</v>
      </c>
      <c r="I4" s="6">
        <v>135000</v>
      </c>
      <c r="J4" s="6">
        <f>H4</f>
        <v>135000</v>
      </c>
      <c r="K4" s="7">
        <f t="shared" ref="K4:K35" si="2">H4*0.8</f>
        <v>108000</v>
      </c>
      <c r="L4" s="35">
        <f t="shared" ref="L4:L35" si="3">H4*1.3</f>
        <v>175500</v>
      </c>
      <c r="M4" s="43">
        <f t="shared" ref="M4:M10" si="4">IF(G4&lt;=K4,K4,IF(AND(G4&gt;K4,G4&lt;=L4),G4,L4))</f>
        <v>108000</v>
      </c>
      <c r="N4" s="52">
        <f>M4</f>
        <v>108000</v>
      </c>
      <c r="O4" s="53">
        <f>N4</f>
        <v>108000</v>
      </c>
      <c r="P4" s="56">
        <f t="shared" ref="P4:P35" si="5">M4-H4</f>
        <v>-27000</v>
      </c>
      <c r="Q4" s="57">
        <f t="shared" ref="Q4:Q10" si="6">(M4/H4)</f>
        <v>0.8</v>
      </c>
      <c r="R4" s="56">
        <f>N4-I4</f>
        <v>-27000</v>
      </c>
      <c r="S4" s="57">
        <f>N4/I4</f>
        <v>0.8</v>
      </c>
      <c r="T4" s="56">
        <f>P4</f>
        <v>-27000</v>
      </c>
      <c r="U4" s="57">
        <f>O4/J4</f>
        <v>0.8</v>
      </c>
    </row>
    <row r="5" spans="1:22" x14ac:dyDescent="0.25">
      <c r="A5" s="5" t="s">
        <v>64</v>
      </c>
      <c r="B5" s="32" t="s">
        <v>109</v>
      </c>
      <c r="C5" s="5" t="s">
        <v>2</v>
      </c>
      <c r="D5" s="27">
        <v>5</v>
      </c>
      <c r="E5" s="24">
        <v>50000</v>
      </c>
      <c r="F5" s="24">
        <f t="shared" si="0"/>
        <v>10000</v>
      </c>
      <c r="G5" s="8">
        <f t="shared" si="1"/>
        <v>60000</v>
      </c>
      <c r="H5" s="9">
        <v>70000</v>
      </c>
      <c r="I5" s="73">
        <f>H5+H6</f>
        <v>140000</v>
      </c>
      <c r="J5" s="73">
        <f>H5+H6</f>
        <v>140000</v>
      </c>
      <c r="K5" s="7">
        <f t="shared" si="2"/>
        <v>56000</v>
      </c>
      <c r="L5" s="35">
        <f t="shared" si="3"/>
        <v>91000</v>
      </c>
      <c r="M5" s="44">
        <f t="shared" si="4"/>
        <v>60000</v>
      </c>
      <c r="N5" s="84">
        <f>M5+M6</f>
        <v>120000</v>
      </c>
      <c r="O5" s="96">
        <f>N5+N6</f>
        <v>120000</v>
      </c>
      <c r="P5" s="56">
        <f t="shared" si="5"/>
        <v>-10000</v>
      </c>
      <c r="Q5" s="57">
        <f t="shared" si="6"/>
        <v>0.8571428571428571</v>
      </c>
      <c r="R5" s="76">
        <f>N5-I5</f>
        <v>-20000</v>
      </c>
      <c r="S5" s="87">
        <f>N5/I5</f>
        <v>0.8571428571428571</v>
      </c>
      <c r="T5" s="76">
        <f>P5+P6</f>
        <v>-20000</v>
      </c>
      <c r="U5" s="87">
        <f>O5/J5</f>
        <v>0.8571428571428571</v>
      </c>
    </row>
    <row r="6" spans="1:22" ht="15" customHeight="1" x14ac:dyDescent="0.25">
      <c r="A6" s="5" t="s">
        <v>64</v>
      </c>
      <c r="B6" s="32" t="s">
        <v>109</v>
      </c>
      <c r="C6" s="5" t="s">
        <v>3</v>
      </c>
      <c r="D6" s="27">
        <v>4</v>
      </c>
      <c r="E6" s="24">
        <v>50000</v>
      </c>
      <c r="F6" s="24">
        <f t="shared" si="0"/>
        <v>10000</v>
      </c>
      <c r="G6" s="8">
        <f t="shared" si="1"/>
        <v>60000</v>
      </c>
      <c r="H6" s="9">
        <v>70000</v>
      </c>
      <c r="I6" s="74"/>
      <c r="J6" s="74"/>
      <c r="K6" s="7">
        <f t="shared" si="2"/>
        <v>56000</v>
      </c>
      <c r="L6" s="35">
        <f t="shared" si="3"/>
        <v>91000</v>
      </c>
      <c r="M6" s="44">
        <f t="shared" si="4"/>
        <v>60000</v>
      </c>
      <c r="N6" s="85"/>
      <c r="O6" s="97"/>
      <c r="P6" s="56">
        <f t="shared" si="5"/>
        <v>-10000</v>
      </c>
      <c r="Q6" s="57">
        <f t="shared" si="6"/>
        <v>0.8571428571428571</v>
      </c>
      <c r="R6" s="101"/>
      <c r="S6" s="88"/>
      <c r="T6" s="77"/>
      <c r="U6" s="88"/>
    </row>
    <row r="7" spans="1:22" x14ac:dyDescent="0.25">
      <c r="A7" s="5" t="s">
        <v>65</v>
      </c>
      <c r="B7" s="32" t="s">
        <v>110</v>
      </c>
      <c r="C7" s="10" t="s">
        <v>6</v>
      </c>
      <c r="D7" s="40">
        <v>8</v>
      </c>
      <c r="E7" s="24">
        <v>50000</v>
      </c>
      <c r="F7" s="24">
        <f t="shared" si="0"/>
        <v>70000</v>
      </c>
      <c r="G7" s="8">
        <f t="shared" si="1"/>
        <v>120000</v>
      </c>
      <c r="H7" s="6">
        <v>120400</v>
      </c>
      <c r="I7" s="6">
        <f>H7</f>
        <v>120400</v>
      </c>
      <c r="J7" s="73">
        <f>H7+H8+H9+H10</f>
        <v>580400</v>
      </c>
      <c r="K7" s="7">
        <f t="shared" si="2"/>
        <v>96320</v>
      </c>
      <c r="L7" s="35">
        <f t="shared" si="3"/>
        <v>156520</v>
      </c>
      <c r="M7" s="44">
        <f t="shared" si="4"/>
        <v>120000</v>
      </c>
      <c r="N7" s="52">
        <f>M7</f>
        <v>120000</v>
      </c>
      <c r="O7" s="96">
        <f>N7+N8+N9</f>
        <v>508000</v>
      </c>
      <c r="P7" s="56">
        <f t="shared" si="5"/>
        <v>-400</v>
      </c>
      <c r="Q7" s="57">
        <f t="shared" si="6"/>
        <v>0.99667774086378735</v>
      </c>
      <c r="R7" s="56">
        <f>N7-I7</f>
        <v>-400</v>
      </c>
      <c r="S7" s="57">
        <f>N7/I7</f>
        <v>0.99667774086378735</v>
      </c>
      <c r="T7" s="81">
        <f>P7+P8+P9+P10</f>
        <v>-72400</v>
      </c>
      <c r="U7" s="87">
        <f>O7/J7</f>
        <v>0.87525844245348039</v>
      </c>
    </row>
    <row r="8" spans="1:22" x14ac:dyDescent="0.25">
      <c r="A8" s="5" t="s">
        <v>65</v>
      </c>
      <c r="B8" s="32" t="s">
        <v>111</v>
      </c>
      <c r="C8" s="10" t="s">
        <v>7</v>
      </c>
      <c r="D8" s="40">
        <v>9</v>
      </c>
      <c r="E8" s="24">
        <v>50000</v>
      </c>
      <c r="F8" s="24">
        <f t="shared" si="0"/>
        <v>70000</v>
      </c>
      <c r="G8" s="8">
        <f t="shared" si="1"/>
        <v>120000</v>
      </c>
      <c r="H8" s="6">
        <v>140000</v>
      </c>
      <c r="I8" s="6">
        <f>H8</f>
        <v>140000</v>
      </c>
      <c r="J8" s="75"/>
      <c r="K8" s="7">
        <f t="shared" si="2"/>
        <v>112000</v>
      </c>
      <c r="L8" s="35">
        <f t="shared" si="3"/>
        <v>182000</v>
      </c>
      <c r="M8" s="44">
        <f t="shared" si="4"/>
        <v>120000</v>
      </c>
      <c r="N8" s="52">
        <f>M8</f>
        <v>120000</v>
      </c>
      <c r="O8" s="103"/>
      <c r="P8" s="56">
        <f t="shared" si="5"/>
        <v>-20000</v>
      </c>
      <c r="Q8" s="57">
        <f t="shared" si="6"/>
        <v>0.8571428571428571</v>
      </c>
      <c r="R8" s="56">
        <f>N8-I8</f>
        <v>-20000</v>
      </c>
      <c r="S8" s="57">
        <f>N8/I8</f>
        <v>0.8571428571428571</v>
      </c>
      <c r="T8" s="82"/>
      <c r="U8" s="93"/>
    </row>
    <row r="9" spans="1:22" x14ac:dyDescent="0.25">
      <c r="A9" s="5" t="s">
        <v>65</v>
      </c>
      <c r="B9" s="32" t="s">
        <v>112</v>
      </c>
      <c r="C9" s="5" t="s">
        <v>4</v>
      </c>
      <c r="D9" s="41">
        <v>10</v>
      </c>
      <c r="E9" s="24">
        <v>50000</v>
      </c>
      <c r="F9" s="24">
        <f t="shared" si="0"/>
        <v>90000</v>
      </c>
      <c r="G9" s="8">
        <f t="shared" si="1"/>
        <v>140000</v>
      </c>
      <c r="H9" s="9">
        <v>160000</v>
      </c>
      <c r="I9" s="73">
        <f>H9+H10</f>
        <v>320000</v>
      </c>
      <c r="J9" s="75"/>
      <c r="K9" s="7">
        <f t="shared" si="2"/>
        <v>128000</v>
      </c>
      <c r="L9" s="35">
        <f t="shared" si="3"/>
        <v>208000</v>
      </c>
      <c r="M9" s="44">
        <f t="shared" si="4"/>
        <v>140000</v>
      </c>
      <c r="N9" s="84">
        <f>M9+M10</f>
        <v>268000</v>
      </c>
      <c r="O9" s="103"/>
      <c r="P9" s="56">
        <f t="shared" si="5"/>
        <v>-20000</v>
      </c>
      <c r="Q9" s="57">
        <f t="shared" si="6"/>
        <v>0.875</v>
      </c>
      <c r="R9" s="81">
        <f>N9-I9</f>
        <v>-52000</v>
      </c>
      <c r="S9" s="87">
        <f>N9/I9</f>
        <v>0.83750000000000002</v>
      </c>
      <c r="T9" s="82"/>
      <c r="U9" s="93"/>
    </row>
    <row r="10" spans="1:22" x14ac:dyDescent="0.25">
      <c r="A10" s="5" t="s">
        <v>65</v>
      </c>
      <c r="B10" s="32" t="s">
        <v>112</v>
      </c>
      <c r="C10" s="5" t="s">
        <v>5</v>
      </c>
      <c r="D10" s="40">
        <v>9</v>
      </c>
      <c r="E10" s="24">
        <v>50000</v>
      </c>
      <c r="F10" s="24">
        <f t="shared" si="0"/>
        <v>70000</v>
      </c>
      <c r="G10" s="8">
        <f t="shared" si="1"/>
        <v>120000</v>
      </c>
      <c r="H10" s="9">
        <v>160000</v>
      </c>
      <c r="I10" s="74"/>
      <c r="J10" s="74"/>
      <c r="K10" s="7">
        <f t="shared" si="2"/>
        <v>128000</v>
      </c>
      <c r="L10" s="35">
        <f t="shared" si="3"/>
        <v>208000</v>
      </c>
      <c r="M10" s="44">
        <f t="shared" si="4"/>
        <v>128000</v>
      </c>
      <c r="N10" s="85"/>
      <c r="O10" s="97"/>
      <c r="P10" s="56">
        <f t="shared" si="5"/>
        <v>-32000</v>
      </c>
      <c r="Q10" s="58">
        <f t="shared" si="6"/>
        <v>0.8</v>
      </c>
      <c r="R10" s="140"/>
      <c r="S10" s="88"/>
      <c r="T10" s="83"/>
      <c r="U10" s="88"/>
    </row>
    <row r="11" spans="1:22" x14ac:dyDescent="0.25">
      <c r="A11" s="5" t="s">
        <v>102</v>
      </c>
      <c r="B11" s="32" t="s">
        <v>114</v>
      </c>
      <c r="C11" s="5" t="s">
        <v>103</v>
      </c>
      <c r="D11" s="39">
        <v>7</v>
      </c>
      <c r="E11" s="24">
        <v>50000</v>
      </c>
      <c r="F11" s="24">
        <f t="shared" si="0"/>
        <v>50000</v>
      </c>
      <c r="G11" s="8">
        <f t="shared" si="1"/>
        <v>100000</v>
      </c>
      <c r="H11" s="9">
        <v>0</v>
      </c>
      <c r="I11" s="9">
        <v>0</v>
      </c>
      <c r="J11" s="9">
        <f>H11</f>
        <v>0</v>
      </c>
      <c r="K11" s="7">
        <f t="shared" si="2"/>
        <v>0</v>
      </c>
      <c r="L11" s="35">
        <f t="shared" si="3"/>
        <v>0</v>
      </c>
      <c r="M11" s="44">
        <v>50000</v>
      </c>
      <c r="N11" s="52">
        <f>M11</f>
        <v>50000</v>
      </c>
      <c r="O11" s="53">
        <f>N11</f>
        <v>50000</v>
      </c>
      <c r="P11" s="67">
        <f t="shared" si="5"/>
        <v>50000</v>
      </c>
      <c r="Q11" s="58" t="s">
        <v>101</v>
      </c>
      <c r="R11" s="68">
        <f>N11-I11</f>
        <v>50000</v>
      </c>
      <c r="S11" s="58" t="s">
        <v>101</v>
      </c>
      <c r="T11" s="67">
        <v>50000</v>
      </c>
      <c r="U11" s="58" t="s">
        <v>101</v>
      </c>
    </row>
    <row r="12" spans="1:22" ht="30" x14ac:dyDescent="0.25">
      <c r="A12" s="10" t="s">
        <v>66</v>
      </c>
      <c r="B12" s="33" t="s">
        <v>153</v>
      </c>
      <c r="C12" s="10" t="s">
        <v>9</v>
      </c>
      <c r="D12" s="40">
        <v>9</v>
      </c>
      <c r="E12" s="24">
        <v>50000</v>
      </c>
      <c r="F12" s="24">
        <f t="shared" si="0"/>
        <v>70000</v>
      </c>
      <c r="G12" s="8">
        <f t="shared" si="1"/>
        <v>120000</v>
      </c>
      <c r="H12" s="6">
        <v>78000</v>
      </c>
      <c r="I12" s="73">
        <v>303000</v>
      </c>
      <c r="J12" s="73">
        <v>303000</v>
      </c>
      <c r="K12" s="7">
        <f t="shared" si="2"/>
        <v>62400</v>
      </c>
      <c r="L12" s="35">
        <f t="shared" si="3"/>
        <v>101400</v>
      </c>
      <c r="M12" s="44">
        <f t="shared" ref="M12:M36" si="7">IF(G12&lt;=K12,K12,IF(AND(G12&gt;K12,G12&lt;=L12),G12,L12))</f>
        <v>101400</v>
      </c>
      <c r="N12" s="84">
        <f>M12+M13+M14+M15</f>
        <v>382494.4</v>
      </c>
      <c r="O12" s="96">
        <f>N12+N13+N14+N15</f>
        <v>382494.4</v>
      </c>
      <c r="P12" s="69">
        <f t="shared" si="5"/>
        <v>23400</v>
      </c>
      <c r="Q12" s="57">
        <f t="shared" ref="Q12:Q36" si="8">(M12/H12)</f>
        <v>1.3</v>
      </c>
      <c r="R12" s="78">
        <f>N12-I12</f>
        <v>79494.400000000023</v>
      </c>
      <c r="S12" s="87">
        <f>N12/I12</f>
        <v>1.2623577557755776</v>
      </c>
      <c r="T12" s="78">
        <f>P12+P13+P14+P15</f>
        <v>79493.400000000009</v>
      </c>
      <c r="U12" s="87">
        <f>O12/J12</f>
        <v>1.2623577557755776</v>
      </c>
    </row>
    <row r="13" spans="1:22" x14ac:dyDescent="0.25">
      <c r="A13" s="10" t="s">
        <v>66</v>
      </c>
      <c r="B13" s="33" t="s">
        <v>153</v>
      </c>
      <c r="C13" s="5" t="s">
        <v>10</v>
      </c>
      <c r="D13" s="40">
        <v>9</v>
      </c>
      <c r="E13" s="24">
        <v>50000</v>
      </c>
      <c r="F13" s="24">
        <f t="shared" si="0"/>
        <v>70000</v>
      </c>
      <c r="G13" s="8">
        <f t="shared" si="1"/>
        <v>120000</v>
      </c>
      <c r="H13" s="9">
        <v>70313</v>
      </c>
      <c r="I13" s="75"/>
      <c r="J13" s="75"/>
      <c r="K13" s="7">
        <f t="shared" si="2"/>
        <v>56250.400000000001</v>
      </c>
      <c r="L13" s="35">
        <f t="shared" si="3"/>
        <v>91406.900000000009</v>
      </c>
      <c r="M13" s="44">
        <f t="shared" si="7"/>
        <v>91406.900000000009</v>
      </c>
      <c r="N13" s="86"/>
      <c r="O13" s="103"/>
      <c r="P13" s="69">
        <f t="shared" si="5"/>
        <v>21093.900000000009</v>
      </c>
      <c r="Q13" s="57">
        <f t="shared" si="8"/>
        <v>1.3</v>
      </c>
      <c r="R13" s="121"/>
      <c r="S13" s="93"/>
      <c r="T13" s="79"/>
      <c r="U13" s="93"/>
    </row>
    <row r="14" spans="1:22" ht="15" customHeight="1" x14ac:dyDescent="0.25">
      <c r="A14" s="10" t="s">
        <v>66</v>
      </c>
      <c r="B14" s="33" t="s">
        <v>153</v>
      </c>
      <c r="C14" s="5" t="s">
        <v>11</v>
      </c>
      <c r="D14" s="41">
        <v>10</v>
      </c>
      <c r="E14" s="24">
        <v>50000</v>
      </c>
      <c r="F14" s="24">
        <f t="shared" si="0"/>
        <v>90000</v>
      </c>
      <c r="G14" s="8">
        <f t="shared" si="1"/>
        <v>140000</v>
      </c>
      <c r="H14" s="9">
        <v>84375</v>
      </c>
      <c r="I14" s="75"/>
      <c r="J14" s="75"/>
      <c r="K14" s="7">
        <f t="shared" si="2"/>
        <v>67500</v>
      </c>
      <c r="L14" s="35">
        <f t="shared" si="3"/>
        <v>109687.5</v>
      </c>
      <c r="M14" s="44">
        <f t="shared" si="7"/>
        <v>109687.5</v>
      </c>
      <c r="N14" s="86"/>
      <c r="O14" s="103"/>
      <c r="P14" s="69">
        <f t="shared" si="5"/>
        <v>25312.5</v>
      </c>
      <c r="Q14" s="57">
        <f t="shared" si="8"/>
        <v>1.3</v>
      </c>
      <c r="R14" s="121"/>
      <c r="S14" s="93"/>
      <c r="T14" s="79"/>
      <c r="U14" s="93"/>
      <c r="V14" s="29"/>
    </row>
    <row r="15" spans="1:22" ht="30" x14ac:dyDescent="0.25">
      <c r="A15" s="10" t="s">
        <v>66</v>
      </c>
      <c r="B15" s="33" t="s">
        <v>153</v>
      </c>
      <c r="C15" s="5" t="s">
        <v>57</v>
      </c>
      <c r="D15" s="38">
        <v>6</v>
      </c>
      <c r="E15" s="24">
        <v>50000</v>
      </c>
      <c r="F15" s="24">
        <f t="shared" si="0"/>
        <v>30000</v>
      </c>
      <c r="G15" s="8">
        <f t="shared" si="1"/>
        <v>80000</v>
      </c>
      <c r="H15" s="9">
        <v>70313</v>
      </c>
      <c r="I15" s="74"/>
      <c r="J15" s="74"/>
      <c r="K15" s="7">
        <f t="shared" si="2"/>
        <v>56250.400000000001</v>
      </c>
      <c r="L15" s="35">
        <f t="shared" si="3"/>
        <v>91406.900000000009</v>
      </c>
      <c r="M15" s="44">
        <f t="shared" si="7"/>
        <v>80000</v>
      </c>
      <c r="N15" s="85"/>
      <c r="O15" s="97"/>
      <c r="P15" s="69">
        <f t="shared" si="5"/>
        <v>9687</v>
      </c>
      <c r="Q15" s="57">
        <f t="shared" si="8"/>
        <v>1.1377696869711149</v>
      </c>
      <c r="R15" s="122"/>
      <c r="S15" s="88"/>
      <c r="T15" s="80"/>
      <c r="U15" s="88"/>
    </row>
    <row r="16" spans="1:22" x14ac:dyDescent="0.25">
      <c r="A16" s="5" t="s">
        <v>67</v>
      </c>
      <c r="B16" s="32" t="s">
        <v>113</v>
      </c>
      <c r="C16" s="5" t="s">
        <v>12</v>
      </c>
      <c r="D16" s="39">
        <v>7</v>
      </c>
      <c r="E16" s="24">
        <v>50000</v>
      </c>
      <c r="F16" s="24">
        <f t="shared" si="0"/>
        <v>50000</v>
      </c>
      <c r="G16" s="8">
        <f t="shared" si="1"/>
        <v>100000</v>
      </c>
      <c r="H16" s="9">
        <v>70000</v>
      </c>
      <c r="I16" s="9">
        <v>70000</v>
      </c>
      <c r="J16" s="9">
        <v>70000</v>
      </c>
      <c r="K16" s="7">
        <f t="shared" si="2"/>
        <v>56000</v>
      </c>
      <c r="L16" s="35">
        <f t="shared" si="3"/>
        <v>91000</v>
      </c>
      <c r="M16" s="44">
        <f t="shared" si="7"/>
        <v>91000</v>
      </c>
      <c r="N16" s="52">
        <f>M16</f>
        <v>91000</v>
      </c>
      <c r="O16" s="53">
        <f>N16</f>
        <v>91000</v>
      </c>
      <c r="P16" s="69">
        <f t="shared" si="5"/>
        <v>21000</v>
      </c>
      <c r="Q16" s="57">
        <f t="shared" si="8"/>
        <v>1.3</v>
      </c>
      <c r="R16" s="69">
        <f>N16-I16</f>
        <v>21000</v>
      </c>
      <c r="S16" s="57">
        <f>N16/I16</f>
        <v>1.3</v>
      </c>
      <c r="T16" s="69">
        <f>P16</f>
        <v>21000</v>
      </c>
      <c r="U16" s="57">
        <f>O16/J16</f>
        <v>1.3</v>
      </c>
    </row>
    <row r="17" spans="1:23" x14ac:dyDescent="0.25">
      <c r="A17" s="11" t="s">
        <v>68</v>
      </c>
      <c r="B17" s="22" t="s">
        <v>116</v>
      </c>
      <c r="C17" s="22" t="s">
        <v>90</v>
      </c>
      <c r="D17" s="38">
        <v>6</v>
      </c>
      <c r="E17" s="24">
        <v>50000</v>
      </c>
      <c r="F17" s="24">
        <f t="shared" si="0"/>
        <v>30000</v>
      </c>
      <c r="G17" s="8">
        <f t="shared" si="1"/>
        <v>80000</v>
      </c>
      <c r="H17" s="6">
        <v>129400</v>
      </c>
      <c r="I17" s="6">
        <v>129400</v>
      </c>
      <c r="J17" s="6">
        <v>129400</v>
      </c>
      <c r="K17" s="7">
        <f t="shared" si="2"/>
        <v>103520</v>
      </c>
      <c r="L17" s="35">
        <f t="shared" si="3"/>
        <v>168220</v>
      </c>
      <c r="M17" s="44">
        <f t="shared" si="7"/>
        <v>103520</v>
      </c>
      <c r="N17" s="52">
        <f t="shared" ref="N17:O18" si="9">M17</f>
        <v>103520</v>
      </c>
      <c r="O17" s="53">
        <f t="shared" si="9"/>
        <v>103520</v>
      </c>
      <c r="P17" s="56">
        <f t="shared" si="5"/>
        <v>-25880</v>
      </c>
      <c r="Q17" s="57">
        <f t="shared" si="8"/>
        <v>0.8</v>
      </c>
      <c r="R17" s="56">
        <f t="shared" ref="R17:R18" si="10">N17-I17</f>
        <v>-25880</v>
      </c>
      <c r="S17" s="57">
        <f t="shared" ref="S17:S18" si="11">N17/I17</f>
        <v>0.8</v>
      </c>
      <c r="T17" s="56">
        <f t="shared" ref="T17:T18" si="12">P17</f>
        <v>-25880</v>
      </c>
      <c r="U17" s="57">
        <f t="shared" ref="U17:U18" si="13">O17/J17</f>
        <v>0.8</v>
      </c>
    </row>
    <row r="18" spans="1:23" x14ac:dyDescent="0.25">
      <c r="A18" s="5" t="s">
        <v>69</v>
      </c>
      <c r="B18" s="32" t="s">
        <v>117</v>
      </c>
      <c r="C18" s="5" t="s">
        <v>13</v>
      </c>
      <c r="D18" s="38">
        <v>6</v>
      </c>
      <c r="E18" s="24">
        <v>50000</v>
      </c>
      <c r="F18" s="24">
        <f t="shared" si="0"/>
        <v>30000</v>
      </c>
      <c r="G18" s="8">
        <f t="shared" si="1"/>
        <v>80000</v>
      </c>
      <c r="H18" s="6">
        <v>140000</v>
      </c>
      <c r="I18" s="6">
        <v>140000</v>
      </c>
      <c r="J18" s="6">
        <v>140000</v>
      </c>
      <c r="K18" s="7">
        <f t="shared" si="2"/>
        <v>112000</v>
      </c>
      <c r="L18" s="35">
        <f t="shared" si="3"/>
        <v>182000</v>
      </c>
      <c r="M18" s="44">
        <f t="shared" si="7"/>
        <v>112000</v>
      </c>
      <c r="N18" s="52">
        <f t="shared" si="9"/>
        <v>112000</v>
      </c>
      <c r="O18" s="53">
        <f t="shared" si="9"/>
        <v>112000</v>
      </c>
      <c r="P18" s="56">
        <f t="shared" si="5"/>
        <v>-28000</v>
      </c>
      <c r="Q18" s="57">
        <f t="shared" si="8"/>
        <v>0.8</v>
      </c>
      <c r="R18" s="56">
        <f t="shared" si="10"/>
        <v>-28000</v>
      </c>
      <c r="S18" s="57">
        <f t="shared" si="11"/>
        <v>0.8</v>
      </c>
      <c r="T18" s="56">
        <f t="shared" si="12"/>
        <v>-28000</v>
      </c>
      <c r="U18" s="57">
        <f t="shared" si="13"/>
        <v>0.8</v>
      </c>
    </row>
    <row r="19" spans="1:23" x14ac:dyDescent="0.25">
      <c r="A19" s="5" t="s">
        <v>70</v>
      </c>
      <c r="B19" s="32" t="s">
        <v>116</v>
      </c>
      <c r="C19" s="5" t="s">
        <v>14</v>
      </c>
      <c r="D19" s="40">
        <v>8</v>
      </c>
      <c r="E19" s="24">
        <v>50000</v>
      </c>
      <c r="F19" s="24">
        <f t="shared" si="0"/>
        <v>70000</v>
      </c>
      <c r="G19" s="8">
        <f t="shared" si="1"/>
        <v>120000</v>
      </c>
      <c r="H19" s="9">
        <v>130000</v>
      </c>
      <c r="I19" s="73">
        <f>H19+H20+H21+H22</f>
        <v>482138</v>
      </c>
      <c r="J19" s="73">
        <v>711218</v>
      </c>
      <c r="K19" s="7">
        <f t="shared" si="2"/>
        <v>104000</v>
      </c>
      <c r="L19" s="35">
        <f t="shared" si="3"/>
        <v>169000</v>
      </c>
      <c r="M19" s="44">
        <f t="shared" si="7"/>
        <v>120000</v>
      </c>
      <c r="N19" s="84">
        <f>M19+M20+M21+M22</f>
        <v>406855.2</v>
      </c>
      <c r="O19" s="96">
        <f>N19+N23+N25</f>
        <v>655161.80000000005</v>
      </c>
      <c r="P19" s="56">
        <f t="shared" si="5"/>
        <v>-10000</v>
      </c>
      <c r="Q19" s="57">
        <f t="shared" si="8"/>
        <v>0.92307692307692313</v>
      </c>
      <c r="R19" s="81">
        <f>N19-I19</f>
        <v>-75282.799999999988</v>
      </c>
      <c r="S19" s="87">
        <f>N19/I19</f>
        <v>0.84385632329333093</v>
      </c>
      <c r="T19" s="81">
        <f>P19+P20+P21+P22+P23+P24+P25</f>
        <v>-56056.19999999999</v>
      </c>
      <c r="U19" s="87">
        <f>O19/J19</f>
        <v>0.92118281595797635</v>
      </c>
    </row>
    <row r="20" spans="1:23" x14ac:dyDescent="0.25">
      <c r="A20" s="5" t="s">
        <v>70</v>
      </c>
      <c r="B20" s="32" t="s">
        <v>116</v>
      </c>
      <c r="C20" s="5" t="s">
        <v>15</v>
      </c>
      <c r="D20" s="27">
        <v>5</v>
      </c>
      <c r="E20" s="24">
        <v>50000</v>
      </c>
      <c r="F20" s="24">
        <f t="shared" si="0"/>
        <v>10000</v>
      </c>
      <c r="G20" s="8">
        <f t="shared" si="1"/>
        <v>60000</v>
      </c>
      <c r="H20" s="9">
        <v>133569</v>
      </c>
      <c r="I20" s="75"/>
      <c r="J20" s="75"/>
      <c r="K20" s="7">
        <f t="shared" si="2"/>
        <v>106855.20000000001</v>
      </c>
      <c r="L20" s="35">
        <f t="shared" si="3"/>
        <v>173639.7</v>
      </c>
      <c r="M20" s="44">
        <f t="shared" si="7"/>
        <v>106855.20000000001</v>
      </c>
      <c r="N20" s="86"/>
      <c r="O20" s="103"/>
      <c r="P20" s="56">
        <f t="shared" si="5"/>
        <v>-26713.799999999988</v>
      </c>
      <c r="Q20" s="57">
        <f t="shared" si="8"/>
        <v>0.8</v>
      </c>
      <c r="R20" s="141"/>
      <c r="S20" s="93"/>
      <c r="T20" s="82"/>
      <c r="U20" s="93"/>
    </row>
    <row r="21" spans="1:23" x14ac:dyDescent="0.25">
      <c r="A21" s="5" t="s">
        <v>70</v>
      </c>
      <c r="B21" s="32" t="s">
        <v>116</v>
      </c>
      <c r="C21" s="5" t="s">
        <v>16</v>
      </c>
      <c r="D21" s="39">
        <v>7</v>
      </c>
      <c r="E21" s="24">
        <v>50000</v>
      </c>
      <c r="F21" s="24">
        <f t="shared" si="0"/>
        <v>50000</v>
      </c>
      <c r="G21" s="8">
        <f t="shared" si="1"/>
        <v>100000</v>
      </c>
      <c r="H21" s="9">
        <v>118569</v>
      </c>
      <c r="I21" s="75"/>
      <c r="J21" s="75"/>
      <c r="K21" s="7">
        <f t="shared" si="2"/>
        <v>94855.200000000012</v>
      </c>
      <c r="L21" s="35">
        <f t="shared" si="3"/>
        <v>154139.70000000001</v>
      </c>
      <c r="M21" s="44">
        <f t="shared" si="7"/>
        <v>100000</v>
      </c>
      <c r="N21" s="86"/>
      <c r="O21" s="103"/>
      <c r="P21" s="56">
        <f t="shared" si="5"/>
        <v>-18569</v>
      </c>
      <c r="Q21" s="57">
        <f t="shared" si="8"/>
        <v>0.84339076824465076</v>
      </c>
      <c r="R21" s="141"/>
      <c r="S21" s="93"/>
      <c r="T21" s="82"/>
      <c r="U21" s="93"/>
    </row>
    <row r="22" spans="1:23" x14ac:dyDescent="0.25">
      <c r="A22" s="5" t="s">
        <v>70</v>
      </c>
      <c r="B22" s="32" t="s">
        <v>116</v>
      </c>
      <c r="C22" s="5" t="s">
        <v>20</v>
      </c>
      <c r="D22" s="38">
        <v>6</v>
      </c>
      <c r="E22" s="24">
        <v>50000</v>
      </c>
      <c r="F22" s="24">
        <f t="shared" si="0"/>
        <v>30000</v>
      </c>
      <c r="G22" s="8">
        <f t="shared" si="1"/>
        <v>80000</v>
      </c>
      <c r="H22" s="9">
        <v>100000</v>
      </c>
      <c r="I22" s="74"/>
      <c r="J22" s="75"/>
      <c r="K22" s="7">
        <f t="shared" si="2"/>
        <v>80000</v>
      </c>
      <c r="L22" s="35">
        <f t="shared" si="3"/>
        <v>130000</v>
      </c>
      <c r="M22" s="44">
        <f t="shared" si="7"/>
        <v>80000</v>
      </c>
      <c r="N22" s="85"/>
      <c r="O22" s="103"/>
      <c r="P22" s="56">
        <f t="shared" si="5"/>
        <v>-20000</v>
      </c>
      <c r="Q22" s="57">
        <f t="shared" si="8"/>
        <v>0.8</v>
      </c>
      <c r="R22" s="140"/>
      <c r="S22" s="88"/>
      <c r="T22" s="82"/>
      <c r="U22" s="93"/>
    </row>
    <row r="23" spans="1:23" x14ac:dyDescent="0.25">
      <c r="A23" s="30" t="s">
        <v>71</v>
      </c>
      <c r="B23" s="31" t="s">
        <v>118</v>
      </c>
      <c r="C23" s="30" t="s">
        <v>91</v>
      </c>
      <c r="D23" s="38">
        <v>6</v>
      </c>
      <c r="E23" s="24">
        <v>50000</v>
      </c>
      <c r="F23" s="24">
        <f t="shared" si="0"/>
        <v>30000</v>
      </c>
      <c r="G23" s="8">
        <f t="shared" si="1"/>
        <v>80000</v>
      </c>
      <c r="H23" s="9">
        <v>34082</v>
      </c>
      <c r="I23" s="73">
        <f>H24+H23</f>
        <v>149080</v>
      </c>
      <c r="J23" s="75"/>
      <c r="K23" s="7">
        <f t="shared" si="2"/>
        <v>27265.600000000002</v>
      </c>
      <c r="L23" s="35">
        <f t="shared" si="3"/>
        <v>44306.6</v>
      </c>
      <c r="M23" s="44">
        <f t="shared" si="7"/>
        <v>44306.6</v>
      </c>
      <c r="N23" s="84">
        <f>M24+M23</f>
        <v>184306.6</v>
      </c>
      <c r="O23" s="103"/>
      <c r="P23" s="69">
        <f t="shared" si="5"/>
        <v>10224.599999999999</v>
      </c>
      <c r="Q23" s="57">
        <f t="shared" si="8"/>
        <v>1.3</v>
      </c>
      <c r="R23" s="90">
        <f>N23-I23</f>
        <v>35226.600000000006</v>
      </c>
      <c r="S23" s="87">
        <f>N23/I23</f>
        <v>1.23629326536088</v>
      </c>
      <c r="T23" s="82"/>
      <c r="U23" s="93"/>
      <c r="W23" s="29"/>
    </row>
    <row r="24" spans="1:23" ht="15" customHeight="1" x14ac:dyDescent="0.25">
      <c r="A24" s="5" t="s">
        <v>70</v>
      </c>
      <c r="B24" s="32" t="s">
        <v>118</v>
      </c>
      <c r="C24" s="5" t="s">
        <v>17</v>
      </c>
      <c r="D24" s="41">
        <v>11</v>
      </c>
      <c r="E24" s="24">
        <v>50000</v>
      </c>
      <c r="F24" s="24">
        <f t="shared" si="0"/>
        <v>90000</v>
      </c>
      <c r="G24" s="8">
        <f t="shared" si="1"/>
        <v>140000</v>
      </c>
      <c r="H24" s="9">
        <v>114998</v>
      </c>
      <c r="I24" s="74"/>
      <c r="J24" s="75"/>
      <c r="K24" s="7">
        <f t="shared" si="2"/>
        <v>91998.400000000009</v>
      </c>
      <c r="L24" s="35">
        <f t="shared" si="3"/>
        <v>149497.4</v>
      </c>
      <c r="M24" s="44">
        <f t="shared" si="7"/>
        <v>140000</v>
      </c>
      <c r="N24" s="85"/>
      <c r="O24" s="103"/>
      <c r="P24" s="69">
        <f t="shared" si="5"/>
        <v>25002</v>
      </c>
      <c r="Q24" s="57">
        <f t="shared" si="8"/>
        <v>1.217412476738726</v>
      </c>
      <c r="R24" s="99"/>
      <c r="S24" s="88"/>
      <c r="T24" s="82"/>
      <c r="U24" s="93"/>
    </row>
    <row r="25" spans="1:23" x14ac:dyDescent="0.25">
      <c r="A25" s="5" t="s">
        <v>70</v>
      </c>
      <c r="B25" s="32" t="s">
        <v>119</v>
      </c>
      <c r="C25" s="5" t="s">
        <v>22</v>
      </c>
      <c r="D25" s="37">
        <v>5</v>
      </c>
      <c r="E25" s="24">
        <v>50000</v>
      </c>
      <c r="F25" s="24">
        <f t="shared" si="0"/>
        <v>10000</v>
      </c>
      <c r="G25" s="8">
        <f t="shared" si="1"/>
        <v>60000</v>
      </c>
      <c r="H25" s="9">
        <v>80000</v>
      </c>
      <c r="I25" s="9">
        <v>80000</v>
      </c>
      <c r="J25" s="74"/>
      <c r="K25" s="7">
        <f t="shared" si="2"/>
        <v>64000</v>
      </c>
      <c r="L25" s="35">
        <f t="shared" si="3"/>
        <v>104000</v>
      </c>
      <c r="M25" s="44">
        <f t="shared" si="7"/>
        <v>64000</v>
      </c>
      <c r="N25" s="52">
        <f>M25</f>
        <v>64000</v>
      </c>
      <c r="O25" s="97"/>
      <c r="P25" s="56">
        <f t="shared" si="5"/>
        <v>-16000</v>
      </c>
      <c r="Q25" s="57">
        <f t="shared" si="8"/>
        <v>0.8</v>
      </c>
      <c r="R25" s="56">
        <f>N25-I25</f>
        <v>-16000</v>
      </c>
      <c r="S25" s="57">
        <f>N25/I25</f>
        <v>0.8</v>
      </c>
      <c r="T25" s="83"/>
      <c r="U25" s="88"/>
    </row>
    <row r="26" spans="1:23" x14ac:dyDescent="0.25">
      <c r="A26" s="5" t="s">
        <v>72</v>
      </c>
      <c r="B26" s="32" t="s">
        <v>120</v>
      </c>
      <c r="C26" s="5" t="s">
        <v>25</v>
      </c>
      <c r="D26" s="41">
        <v>12</v>
      </c>
      <c r="E26" s="24">
        <v>50000</v>
      </c>
      <c r="F26" s="24">
        <f t="shared" si="0"/>
        <v>90000</v>
      </c>
      <c r="G26" s="8">
        <f t="shared" si="1"/>
        <v>140000</v>
      </c>
      <c r="H26" s="9">
        <v>100000</v>
      </c>
      <c r="I26" s="9">
        <v>100000</v>
      </c>
      <c r="J26" s="9">
        <v>100000</v>
      </c>
      <c r="K26" s="7">
        <f t="shared" si="2"/>
        <v>80000</v>
      </c>
      <c r="L26" s="35">
        <f t="shared" si="3"/>
        <v>130000</v>
      </c>
      <c r="M26" s="44">
        <f t="shared" si="7"/>
        <v>130000</v>
      </c>
      <c r="N26" s="52">
        <f t="shared" ref="N26:O28" si="14">M26</f>
        <v>130000</v>
      </c>
      <c r="O26" s="53">
        <f t="shared" si="14"/>
        <v>130000</v>
      </c>
      <c r="P26" s="69">
        <f t="shared" si="5"/>
        <v>30000</v>
      </c>
      <c r="Q26" s="57">
        <f t="shared" si="8"/>
        <v>1.3</v>
      </c>
      <c r="R26" s="69">
        <f t="shared" ref="R26:R28" si="15">N26-I26</f>
        <v>30000</v>
      </c>
      <c r="S26" s="57">
        <f t="shared" ref="S26:S28" si="16">N26/I26</f>
        <v>1.3</v>
      </c>
      <c r="T26" s="69">
        <f>P26</f>
        <v>30000</v>
      </c>
      <c r="U26" s="57">
        <f>O26/J26</f>
        <v>1.3</v>
      </c>
    </row>
    <row r="27" spans="1:23" x14ac:dyDescent="0.25">
      <c r="A27" s="5" t="s">
        <v>73</v>
      </c>
      <c r="B27" s="32" t="s">
        <v>115</v>
      </c>
      <c r="C27" s="5" t="s">
        <v>27</v>
      </c>
      <c r="D27" s="38">
        <v>6</v>
      </c>
      <c r="E27" s="24">
        <v>50000</v>
      </c>
      <c r="F27" s="24">
        <f t="shared" si="0"/>
        <v>30000</v>
      </c>
      <c r="G27" s="8">
        <f t="shared" si="1"/>
        <v>80000</v>
      </c>
      <c r="H27" s="6">
        <v>120000</v>
      </c>
      <c r="I27" s="6">
        <v>120000</v>
      </c>
      <c r="J27" s="6">
        <v>120000</v>
      </c>
      <c r="K27" s="7">
        <f t="shared" si="2"/>
        <v>96000</v>
      </c>
      <c r="L27" s="35">
        <f t="shared" si="3"/>
        <v>156000</v>
      </c>
      <c r="M27" s="44">
        <f t="shared" si="7"/>
        <v>96000</v>
      </c>
      <c r="N27" s="52">
        <f t="shared" si="14"/>
        <v>96000</v>
      </c>
      <c r="O27" s="53">
        <f t="shared" si="14"/>
        <v>96000</v>
      </c>
      <c r="P27" s="56">
        <f t="shared" si="5"/>
        <v>-24000</v>
      </c>
      <c r="Q27" s="57">
        <f t="shared" si="8"/>
        <v>0.8</v>
      </c>
      <c r="R27" s="56">
        <f t="shared" si="15"/>
        <v>-24000</v>
      </c>
      <c r="S27" s="57">
        <f t="shared" si="16"/>
        <v>0.8</v>
      </c>
      <c r="T27" s="56">
        <f t="shared" ref="T27:T28" si="17">P27</f>
        <v>-24000</v>
      </c>
      <c r="U27" s="57">
        <f t="shared" ref="U27:U28" si="18">O27/J27</f>
        <v>0.8</v>
      </c>
    </row>
    <row r="28" spans="1:23" x14ac:dyDescent="0.25">
      <c r="A28" s="5" t="s">
        <v>74</v>
      </c>
      <c r="B28" s="32" t="s">
        <v>121</v>
      </c>
      <c r="C28" s="5" t="s">
        <v>29</v>
      </c>
      <c r="D28" s="39">
        <v>7</v>
      </c>
      <c r="E28" s="24">
        <v>50000</v>
      </c>
      <c r="F28" s="24">
        <f t="shared" si="0"/>
        <v>50000</v>
      </c>
      <c r="G28" s="8">
        <f t="shared" si="1"/>
        <v>100000</v>
      </c>
      <c r="H28" s="6">
        <v>120000</v>
      </c>
      <c r="I28" s="6">
        <v>120000</v>
      </c>
      <c r="J28" s="6">
        <v>120000</v>
      </c>
      <c r="K28" s="7">
        <f t="shared" si="2"/>
        <v>96000</v>
      </c>
      <c r="L28" s="35">
        <f t="shared" si="3"/>
        <v>156000</v>
      </c>
      <c r="M28" s="44">
        <f t="shared" si="7"/>
        <v>100000</v>
      </c>
      <c r="N28" s="52">
        <f t="shared" si="14"/>
        <v>100000</v>
      </c>
      <c r="O28" s="53">
        <f t="shared" si="14"/>
        <v>100000</v>
      </c>
      <c r="P28" s="56">
        <f t="shared" si="5"/>
        <v>-20000</v>
      </c>
      <c r="Q28" s="57">
        <f t="shared" si="8"/>
        <v>0.83333333333333337</v>
      </c>
      <c r="R28" s="56">
        <f t="shared" si="15"/>
        <v>-20000</v>
      </c>
      <c r="S28" s="57">
        <f t="shared" si="16"/>
        <v>0.83333333333333337</v>
      </c>
      <c r="T28" s="56">
        <f t="shared" si="17"/>
        <v>-20000</v>
      </c>
      <c r="U28" s="57">
        <f t="shared" si="18"/>
        <v>0.83333333333333337</v>
      </c>
    </row>
    <row r="29" spans="1:23" ht="15" customHeight="1" x14ac:dyDescent="0.25">
      <c r="A29" s="5" t="s">
        <v>75</v>
      </c>
      <c r="B29" s="32" t="s">
        <v>122</v>
      </c>
      <c r="C29" s="5" t="s">
        <v>30</v>
      </c>
      <c r="D29" s="40">
        <v>8</v>
      </c>
      <c r="E29" s="24">
        <v>50000</v>
      </c>
      <c r="F29" s="24">
        <f t="shared" si="0"/>
        <v>70000</v>
      </c>
      <c r="G29" s="8">
        <f t="shared" si="1"/>
        <v>120000</v>
      </c>
      <c r="H29" s="6">
        <v>91887</v>
      </c>
      <c r="I29" s="73">
        <f>H29+H30+H31+H32</f>
        <v>363113</v>
      </c>
      <c r="J29" s="73">
        <v>469614</v>
      </c>
      <c r="K29" s="7">
        <f t="shared" si="2"/>
        <v>73509.600000000006</v>
      </c>
      <c r="L29" s="35">
        <f t="shared" si="3"/>
        <v>119453.1</v>
      </c>
      <c r="M29" s="44">
        <f t="shared" si="7"/>
        <v>119453.1</v>
      </c>
      <c r="N29" s="84">
        <f>M29+M30+M31+M32</f>
        <v>443453.1</v>
      </c>
      <c r="O29" s="96">
        <f>N29+N33</f>
        <v>581904.4</v>
      </c>
      <c r="P29" s="69">
        <f t="shared" si="5"/>
        <v>27566.100000000006</v>
      </c>
      <c r="Q29" s="57">
        <f t="shared" si="8"/>
        <v>1.3</v>
      </c>
      <c r="R29" s="78">
        <f>N29-I29</f>
        <v>80340.099999999977</v>
      </c>
      <c r="S29" s="87">
        <f>N29/I29</f>
        <v>1.2212537144084623</v>
      </c>
      <c r="T29" s="78">
        <f>P29+P30+P31+P32+P33+P34</f>
        <v>112290.40000000001</v>
      </c>
      <c r="U29" s="87">
        <f>O29/J29</f>
        <v>1.2391121218703021</v>
      </c>
    </row>
    <row r="30" spans="1:23" ht="30" x14ac:dyDescent="0.25">
      <c r="A30" s="30" t="s">
        <v>75</v>
      </c>
      <c r="B30" s="31" t="s">
        <v>122</v>
      </c>
      <c r="C30" s="30" t="s">
        <v>31</v>
      </c>
      <c r="D30" s="39">
        <v>7</v>
      </c>
      <c r="E30" s="24">
        <v>50000</v>
      </c>
      <c r="F30" s="24">
        <f t="shared" si="0"/>
        <v>50000</v>
      </c>
      <c r="G30" s="8">
        <f t="shared" si="1"/>
        <v>100000</v>
      </c>
      <c r="H30" s="6">
        <v>79470</v>
      </c>
      <c r="I30" s="75"/>
      <c r="J30" s="75"/>
      <c r="K30" s="7">
        <f t="shared" si="2"/>
        <v>63576</v>
      </c>
      <c r="L30" s="35">
        <f t="shared" si="3"/>
        <v>103311</v>
      </c>
      <c r="M30" s="44">
        <f t="shared" si="7"/>
        <v>100000</v>
      </c>
      <c r="N30" s="86"/>
      <c r="O30" s="103"/>
      <c r="P30" s="69">
        <f t="shared" si="5"/>
        <v>20530</v>
      </c>
      <c r="Q30" s="57">
        <f t="shared" si="8"/>
        <v>1.2583364791745313</v>
      </c>
      <c r="R30" s="121"/>
      <c r="S30" s="93"/>
      <c r="T30" s="79"/>
      <c r="U30" s="93"/>
    </row>
    <row r="31" spans="1:23" ht="15" customHeight="1" x14ac:dyDescent="0.25">
      <c r="A31" s="30" t="s">
        <v>75</v>
      </c>
      <c r="B31" s="31" t="s">
        <v>122</v>
      </c>
      <c r="C31" s="30" t="s">
        <v>33</v>
      </c>
      <c r="D31" s="40">
        <v>9</v>
      </c>
      <c r="E31" s="24">
        <v>50000</v>
      </c>
      <c r="F31" s="24">
        <f t="shared" si="0"/>
        <v>70000</v>
      </c>
      <c r="G31" s="8">
        <f t="shared" si="1"/>
        <v>120000</v>
      </c>
      <c r="H31" s="6">
        <v>111756</v>
      </c>
      <c r="I31" s="75"/>
      <c r="J31" s="75"/>
      <c r="K31" s="7">
        <f t="shared" si="2"/>
        <v>89404.800000000003</v>
      </c>
      <c r="L31" s="35">
        <f t="shared" si="3"/>
        <v>145282.80000000002</v>
      </c>
      <c r="M31" s="44">
        <f t="shared" si="7"/>
        <v>120000</v>
      </c>
      <c r="N31" s="86"/>
      <c r="O31" s="103"/>
      <c r="P31" s="69">
        <f t="shared" si="5"/>
        <v>8244</v>
      </c>
      <c r="Q31" s="57">
        <f t="shared" si="8"/>
        <v>1.0737678513905293</v>
      </c>
      <c r="R31" s="121"/>
      <c r="S31" s="93"/>
      <c r="T31" s="79"/>
      <c r="U31" s="93"/>
    </row>
    <row r="32" spans="1:23" ht="15" customHeight="1" x14ac:dyDescent="0.25">
      <c r="A32" s="30" t="s">
        <v>75</v>
      </c>
      <c r="B32" s="31" t="s">
        <v>122</v>
      </c>
      <c r="C32" s="30" t="s">
        <v>92</v>
      </c>
      <c r="D32" s="40">
        <v>9</v>
      </c>
      <c r="E32" s="24">
        <v>50000</v>
      </c>
      <c r="F32" s="24">
        <f>IF(D32&lt;6,10000,IF(D32&lt;7,30000,IF(D32&lt;8,50000,IF(D32&lt;10,70000,IF(D32&gt;9,90000)))))</f>
        <v>70000</v>
      </c>
      <c r="G32" s="8">
        <f>F32+E32</f>
        <v>120000</v>
      </c>
      <c r="H32" s="6">
        <v>80000</v>
      </c>
      <c r="I32" s="74"/>
      <c r="J32" s="75"/>
      <c r="K32" s="7">
        <f>H32*0.8</f>
        <v>64000</v>
      </c>
      <c r="L32" s="35">
        <f>H32*1.3</f>
        <v>104000</v>
      </c>
      <c r="M32" s="44">
        <f>IF(G32&lt;=K32,K32,IF(AND(G32&gt;K32,G32&lt;=L32),G32,L32))</f>
        <v>104000</v>
      </c>
      <c r="N32" s="85"/>
      <c r="O32" s="103"/>
      <c r="P32" s="69">
        <f t="shared" si="5"/>
        <v>24000</v>
      </c>
      <c r="Q32" s="58">
        <f>(M32/H32)</f>
        <v>1.3</v>
      </c>
      <c r="R32" s="122"/>
      <c r="S32" s="88"/>
      <c r="T32" s="79"/>
      <c r="U32" s="93"/>
    </row>
    <row r="33" spans="1:21" ht="15.75" customHeight="1" x14ac:dyDescent="0.25">
      <c r="A33" s="30" t="s">
        <v>75</v>
      </c>
      <c r="B33" s="31" t="s">
        <v>123</v>
      </c>
      <c r="C33" s="30" t="s">
        <v>93</v>
      </c>
      <c r="D33" s="41">
        <v>10</v>
      </c>
      <c r="E33" s="24">
        <v>50000</v>
      </c>
      <c r="F33" s="24">
        <f t="shared" si="0"/>
        <v>90000</v>
      </c>
      <c r="G33" s="8">
        <f t="shared" si="1"/>
        <v>140000</v>
      </c>
      <c r="H33" s="6">
        <v>28223</v>
      </c>
      <c r="I33" s="73">
        <f>H33+H34</f>
        <v>106501</v>
      </c>
      <c r="J33" s="75"/>
      <c r="K33" s="7">
        <f t="shared" si="2"/>
        <v>22578.400000000001</v>
      </c>
      <c r="L33" s="35">
        <f t="shared" si="3"/>
        <v>36689.9</v>
      </c>
      <c r="M33" s="44">
        <f t="shared" si="7"/>
        <v>36689.9</v>
      </c>
      <c r="N33" s="84">
        <f>M34+M33</f>
        <v>138451.30000000002</v>
      </c>
      <c r="O33" s="103"/>
      <c r="P33" s="69">
        <f t="shared" si="5"/>
        <v>8466.9000000000015</v>
      </c>
      <c r="Q33" s="57">
        <f t="shared" si="8"/>
        <v>1.3</v>
      </c>
      <c r="R33" s="90">
        <f>N33-I33</f>
        <v>31950.300000000017</v>
      </c>
      <c r="S33" s="87">
        <f>N33/I33</f>
        <v>1.3000000000000003</v>
      </c>
      <c r="T33" s="79"/>
      <c r="U33" s="93"/>
    </row>
    <row r="34" spans="1:21" ht="15" customHeight="1" x14ac:dyDescent="0.25">
      <c r="A34" s="30" t="s">
        <v>75</v>
      </c>
      <c r="B34" s="31" t="s">
        <v>123</v>
      </c>
      <c r="C34" s="30" t="s">
        <v>36</v>
      </c>
      <c r="D34" s="40">
        <v>9</v>
      </c>
      <c r="E34" s="24">
        <v>50000</v>
      </c>
      <c r="F34" s="24">
        <f t="shared" si="0"/>
        <v>70000</v>
      </c>
      <c r="G34" s="8">
        <f t="shared" si="1"/>
        <v>120000</v>
      </c>
      <c r="H34" s="6">
        <v>78278</v>
      </c>
      <c r="I34" s="74"/>
      <c r="J34" s="74"/>
      <c r="K34" s="7">
        <f t="shared" si="2"/>
        <v>62622.400000000001</v>
      </c>
      <c r="L34" s="35">
        <f t="shared" si="3"/>
        <v>101761.40000000001</v>
      </c>
      <c r="M34" s="44">
        <f t="shared" si="7"/>
        <v>101761.40000000001</v>
      </c>
      <c r="N34" s="85"/>
      <c r="O34" s="97"/>
      <c r="P34" s="69">
        <f t="shared" si="5"/>
        <v>23483.400000000009</v>
      </c>
      <c r="Q34" s="57">
        <f t="shared" si="8"/>
        <v>1.3</v>
      </c>
      <c r="R34" s="123"/>
      <c r="S34" s="88"/>
      <c r="T34" s="80"/>
      <c r="U34" s="88"/>
    </row>
    <row r="35" spans="1:21" x14ac:dyDescent="0.25">
      <c r="A35" s="31" t="s">
        <v>76</v>
      </c>
      <c r="B35" s="31" t="s">
        <v>116</v>
      </c>
      <c r="C35" s="31" t="s">
        <v>87</v>
      </c>
      <c r="D35" s="41">
        <v>10</v>
      </c>
      <c r="E35" s="24">
        <v>50000</v>
      </c>
      <c r="F35" s="24">
        <f t="shared" si="0"/>
        <v>90000</v>
      </c>
      <c r="G35" s="8">
        <f t="shared" si="1"/>
        <v>140000</v>
      </c>
      <c r="H35" s="21">
        <v>140000</v>
      </c>
      <c r="I35" s="21">
        <v>140000</v>
      </c>
      <c r="J35" s="21">
        <v>140000</v>
      </c>
      <c r="K35" s="7">
        <f t="shared" si="2"/>
        <v>112000</v>
      </c>
      <c r="L35" s="35">
        <f t="shared" si="3"/>
        <v>182000</v>
      </c>
      <c r="M35" s="44">
        <f t="shared" si="7"/>
        <v>140000</v>
      </c>
      <c r="N35" s="52">
        <f>M35</f>
        <v>140000</v>
      </c>
      <c r="O35" s="53">
        <f>N35</f>
        <v>140000</v>
      </c>
      <c r="P35" s="56">
        <f t="shared" si="5"/>
        <v>0</v>
      </c>
      <c r="Q35" s="58">
        <f t="shared" si="8"/>
        <v>1</v>
      </c>
      <c r="R35" s="61">
        <f>N35-I35</f>
        <v>0</v>
      </c>
      <c r="S35" s="58">
        <f>N35/I35</f>
        <v>1</v>
      </c>
      <c r="T35" s="56">
        <f>P35</f>
        <v>0</v>
      </c>
      <c r="U35" s="58">
        <f>O35/J35</f>
        <v>1</v>
      </c>
    </row>
    <row r="36" spans="1:21" x14ac:dyDescent="0.25">
      <c r="A36" s="30" t="s">
        <v>77</v>
      </c>
      <c r="B36" s="31" t="s">
        <v>124</v>
      </c>
      <c r="C36" s="30" t="s">
        <v>94</v>
      </c>
      <c r="D36" s="39">
        <v>7</v>
      </c>
      <c r="E36" s="24">
        <v>50000</v>
      </c>
      <c r="F36" s="24">
        <f t="shared" ref="F36:F60" si="19">IF(D36&lt;6,10000,IF(D36&lt;7,30000,IF(D36&lt;8,50000,IF(D36&lt;10,70000,IF(D36&gt;9,90000)))))</f>
        <v>50000</v>
      </c>
      <c r="G36" s="8">
        <f t="shared" ref="G36:G60" si="20">F36+E36</f>
        <v>100000</v>
      </c>
      <c r="H36" s="6">
        <v>20000</v>
      </c>
      <c r="I36" s="73">
        <f>H36+H38+H39</f>
        <v>124000</v>
      </c>
      <c r="J36" s="73">
        <f>H36+H38+H39</f>
        <v>124000</v>
      </c>
      <c r="K36" s="7">
        <f t="shared" ref="K36:K60" si="21">H36*0.8</f>
        <v>16000</v>
      </c>
      <c r="L36" s="35">
        <f t="shared" ref="L36:L60" si="22">H36*1.3</f>
        <v>26000</v>
      </c>
      <c r="M36" s="44">
        <f t="shared" si="7"/>
        <v>26000</v>
      </c>
      <c r="N36" s="84">
        <f>M36+M37+M38+M39</f>
        <v>169200</v>
      </c>
      <c r="O36" s="96">
        <f>N36+N37+N38+N39</f>
        <v>169200</v>
      </c>
      <c r="P36" s="69">
        <f t="shared" ref="P36:P60" si="23">M36-H36</f>
        <v>6000</v>
      </c>
      <c r="Q36" s="58">
        <f t="shared" si="8"/>
        <v>1.3</v>
      </c>
      <c r="R36" s="90">
        <f>N36-I36</f>
        <v>45200</v>
      </c>
      <c r="S36" s="87">
        <f>N36/I36</f>
        <v>1.3645161290322581</v>
      </c>
      <c r="T36" s="90">
        <f>P36+P37+P38+P39</f>
        <v>45200</v>
      </c>
      <c r="U36" s="87">
        <f>O36/J36</f>
        <v>1.3645161290322581</v>
      </c>
    </row>
    <row r="37" spans="1:21" ht="30" x14ac:dyDescent="0.25">
      <c r="A37" s="30" t="s">
        <v>77</v>
      </c>
      <c r="B37" s="31" t="s">
        <v>124</v>
      </c>
      <c r="C37" s="30" t="s">
        <v>105</v>
      </c>
      <c r="D37" s="39">
        <v>7</v>
      </c>
      <c r="E37" s="24">
        <v>50000</v>
      </c>
      <c r="F37" s="24">
        <f t="shared" si="19"/>
        <v>50000</v>
      </c>
      <c r="G37" s="8">
        <f t="shared" si="20"/>
        <v>100000</v>
      </c>
      <c r="H37" s="6">
        <v>0</v>
      </c>
      <c r="I37" s="75"/>
      <c r="J37" s="75"/>
      <c r="K37" s="7">
        <f t="shared" si="21"/>
        <v>0</v>
      </c>
      <c r="L37" s="35">
        <f t="shared" si="22"/>
        <v>0</v>
      </c>
      <c r="M37" s="44">
        <v>50000</v>
      </c>
      <c r="N37" s="86"/>
      <c r="O37" s="103"/>
      <c r="P37" s="67">
        <f t="shared" si="23"/>
        <v>50000</v>
      </c>
      <c r="Q37" s="58" t="s">
        <v>106</v>
      </c>
      <c r="R37" s="100"/>
      <c r="S37" s="93"/>
      <c r="T37" s="91"/>
      <c r="U37" s="93"/>
    </row>
    <row r="38" spans="1:21" ht="15" customHeight="1" x14ac:dyDescent="0.25">
      <c r="A38" s="30" t="s">
        <v>77</v>
      </c>
      <c r="B38" s="31" t="s">
        <v>124</v>
      </c>
      <c r="C38" s="30" t="s">
        <v>37</v>
      </c>
      <c r="D38" s="27">
        <v>4</v>
      </c>
      <c r="E38" s="24">
        <v>50000</v>
      </c>
      <c r="F38" s="24">
        <f t="shared" si="19"/>
        <v>10000</v>
      </c>
      <c r="G38" s="8">
        <f t="shared" si="20"/>
        <v>60000</v>
      </c>
      <c r="H38" s="6">
        <v>84000</v>
      </c>
      <c r="I38" s="75"/>
      <c r="J38" s="75"/>
      <c r="K38" s="7">
        <f t="shared" si="21"/>
        <v>67200</v>
      </c>
      <c r="L38" s="35">
        <f t="shared" si="22"/>
        <v>109200</v>
      </c>
      <c r="M38" s="44">
        <f t="shared" ref="M38:M60" si="24">IF(G38&lt;=K38,K38,IF(AND(G38&gt;K38,G38&lt;=L38),G38,L38))</f>
        <v>67200</v>
      </c>
      <c r="N38" s="86"/>
      <c r="O38" s="103"/>
      <c r="P38" s="56">
        <f t="shared" si="23"/>
        <v>-16800</v>
      </c>
      <c r="Q38" s="57">
        <f t="shared" ref="Q38:Q60" si="25">(M38/H38)</f>
        <v>0.8</v>
      </c>
      <c r="R38" s="100"/>
      <c r="S38" s="93"/>
      <c r="T38" s="91"/>
      <c r="U38" s="93"/>
    </row>
    <row r="39" spans="1:21" ht="30" x14ac:dyDescent="0.25">
      <c r="A39" s="30" t="s">
        <v>77</v>
      </c>
      <c r="B39" s="31" t="s">
        <v>124</v>
      </c>
      <c r="C39" s="30" t="s">
        <v>95</v>
      </c>
      <c r="D39" s="39">
        <v>7</v>
      </c>
      <c r="E39" s="24">
        <v>50000</v>
      </c>
      <c r="F39" s="24">
        <f t="shared" si="19"/>
        <v>50000</v>
      </c>
      <c r="G39" s="8">
        <f t="shared" si="20"/>
        <v>100000</v>
      </c>
      <c r="H39" s="6">
        <v>20000</v>
      </c>
      <c r="I39" s="74"/>
      <c r="J39" s="74"/>
      <c r="K39" s="7">
        <f t="shared" si="21"/>
        <v>16000</v>
      </c>
      <c r="L39" s="35">
        <f t="shared" si="22"/>
        <v>26000</v>
      </c>
      <c r="M39" s="44">
        <f t="shared" si="24"/>
        <v>26000</v>
      </c>
      <c r="N39" s="85"/>
      <c r="O39" s="97"/>
      <c r="P39" s="69">
        <f t="shared" si="23"/>
        <v>6000</v>
      </c>
      <c r="Q39" s="57">
        <f t="shared" si="25"/>
        <v>1.3</v>
      </c>
      <c r="R39" s="99"/>
      <c r="S39" s="88"/>
      <c r="T39" s="92"/>
      <c r="U39" s="88"/>
    </row>
    <row r="40" spans="1:21" ht="30" x14ac:dyDescent="0.25">
      <c r="A40" s="30" t="s">
        <v>78</v>
      </c>
      <c r="B40" s="31" t="s">
        <v>125</v>
      </c>
      <c r="C40" s="30" t="s">
        <v>38</v>
      </c>
      <c r="D40" s="38">
        <v>6</v>
      </c>
      <c r="E40" s="24">
        <v>50000</v>
      </c>
      <c r="F40" s="24">
        <f t="shared" si="19"/>
        <v>30000</v>
      </c>
      <c r="G40" s="8">
        <f t="shared" si="20"/>
        <v>80000</v>
      </c>
      <c r="H40" s="9">
        <v>223830</v>
      </c>
      <c r="I40" s="9">
        <f>H40</f>
        <v>223830</v>
      </c>
      <c r="J40" s="73">
        <v>548258</v>
      </c>
      <c r="K40" s="7">
        <f t="shared" si="21"/>
        <v>179064</v>
      </c>
      <c r="L40" s="35">
        <f t="shared" si="22"/>
        <v>290979</v>
      </c>
      <c r="M40" s="44">
        <f t="shared" si="24"/>
        <v>179064</v>
      </c>
      <c r="N40" s="52">
        <f>M40</f>
        <v>179064</v>
      </c>
      <c r="O40" s="96">
        <f>N40+N41+N43</f>
        <v>519064</v>
      </c>
      <c r="P40" s="56">
        <f t="shared" si="23"/>
        <v>-44766</v>
      </c>
      <c r="Q40" s="57">
        <f t="shared" si="25"/>
        <v>0.8</v>
      </c>
      <c r="R40" s="56">
        <f>N40-I40</f>
        <v>-44766</v>
      </c>
      <c r="S40" s="57">
        <f>N40/I40</f>
        <v>0.8</v>
      </c>
      <c r="T40" s="76">
        <f>P40+P41+P42+P43</f>
        <v>-29194</v>
      </c>
      <c r="U40" s="87">
        <f>O40/J40</f>
        <v>0.94675134699356878</v>
      </c>
    </row>
    <row r="41" spans="1:21" x14ac:dyDescent="0.25">
      <c r="A41" s="30" t="s">
        <v>78</v>
      </c>
      <c r="B41" s="31" t="s">
        <v>126</v>
      </c>
      <c r="C41" s="30" t="s">
        <v>40</v>
      </c>
      <c r="D41" s="39">
        <v>7</v>
      </c>
      <c r="E41" s="24">
        <v>50000</v>
      </c>
      <c r="F41" s="24">
        <f t="shared" si="19"/>
        <v>50000</v>
      </c>
      <c r="G41" s="8">
        <f t="shared" si="20"/>
        <v>100000</v>
      </c>
      <c r="H41" s="9">
        <v>112214</v>
      </c>
      <c r="I41" s="73">
        <f>H41+H42</f>
        <v>224428</v>
      </c>
      <c r="J41" s="75"/>
      <c r="K41" s="7">
        <f t="shared" si="21"/>
        <v>89771.200000000012</v>
      </c>
      <c r="L41" s="35">
        <f t="shared" si="22"/>
        <v>145878.20000000001</v>
      </c>
      <c r="M41" s="44">
        <f t="shared" si="24"/>
        <v>100000</v>
      </c>
      <c r="N41" s="84">
        <f>M41+M42</f>
        <v>220000</v>
      </c>
      <c r="O41" s="103"/>
      <c r="P41" s="56">
        <f t="shared" si="23"/>
        <v>-12214</v>
      </c>
      <c r="Q41" s="57">
        <f t="shared" si="25"/>
        <v>0.89115440141158853</v>
      </c>
      <c r="R41" s="76">
        <f>N41-I41</f>
        <v>-4428</v>
      </c>
      <c r="S41" s="138">
        <f>N41/I41</f>
        <v>0.98026984155274743</v>
      </c>
      <c r="T41" s="94"/>
      <c r="U41" s="93"/>
    </row>
    <row r="42" spans="1:21" x14ac:dyDescent="0.25">
      <c r="A42" s="30" t="s">
        <v>78</v>
      </c>
      <c r="B42" s="31" t="s">
        <v>126</v>
      </c>
      <c r="C42" s="30" t="s">
        <v>41</v>
      </c>
      <c r="D42" s="40">
        <v>9</v>
      </c>
      <c r="E42" s="24">
        <v>50000</v>
      </c>
      <c r="F42" s="24">
        <f t="shared" si="19"/>
        <v>70000</v>
      </c>
      <c r="G42" s="8">
        <f t="shared" si="20"/>
        <v>120000</v>
      </c>
      <c r="H42" s="9">
        <v>112214</v>
      </c>
      <c r="I42" s="74"/>
      <c r="J42" s="75"/>
      <c r="K42" s="7">
        <f t="shared" si="21"/>
        <v>89771.200000000012</v>
      </c>
      <c r="L42" s="35">
        <f t="shared" si="22"/>
        <v>145878.20000000001</v>
      </c>
      <c r="M42" s="44">
        <f t="shared" si="24"/>
        <v>120000</v>
      </c>
      <c r="N42" s="85"/>
      <c r="O42" s="103"/>
      <c r="P42" s="69">
        <f t="shared" si="23"/>
        <v>7786</v>
      </c>
      <c r="Q42" s="57">
        <f t="shared" si="25"/>
        <v>1.0693852816939062</v>
      </c>
      <c r="R42" s="101"/>
      <c r="S42" s="139"/>
      <c r="T42" s="94"/>
      <c r="U42" s="93"/>
    </row>
    <row r="43" spans="1:21" x14ac:dyDescent="0.25">
      <c r="A43" s="30" t="s">
        <v>78</v>
      </c>
      <c r="B43" s="31" t="s">
        <v>127</v>
      </c>
      <c r="C43" s="30" t="s">
        <v>39</v>
      </c>
      <c r="D43" s="40">
        <v>9</v>
      </c>
      <c r="E43" s="24">
        <v>50000</v>
      </c>
      <c r="F43" s="24">
        <f t="shared" si="19"/>
        <v>70000</v>
      </c>
      <c r="G43" s="8">
        <f t="shared" si="20"/>
        <v>120000</v>
      </c>
      <c r="H43" s="9">
        <v>100000</v>
      </c>
      <c r="I43" s="9">
        <v>100000</v>
      </c>
      <c r="J43" s="74"/>
      <c r="K43" s="7">
        <f t="shared" si="21"/>
        <v>80000</v>
      </c>
      <c r="L43" s="35">
        <f t="shared" si="22"/>
        <v>130000</v>
      </c>
      <c r="M43" s="44">
        <f t="shared" si="24"/>
        <v>120000</v>
      </c>
      <c r="N43" s="52">
        <f>M43</f>
        <v>120000</v>
      </c>
      <c r="O43" s="97"/>
      <c r="P43" s="69">
        <f t="shared" si="23"/>
        <v>20000</v>
      </c>
      <c r="Q43" s="57">
        <f t="shared" si="25"/>
        <v>1.2</v>
      </c>
      <c r="R43" s="69">
        <f>N43-I43</f>
        <v>20000</v>
      </c>
      <c r="S43" s="57">
        <f>N43/I43</f>
        <v>1.2</v>
      </c>
      <c r="T43" s="77"/>
      <c r="U43" s="88"/>
    </row>
    <row r="44" spans="1:21" x14ac:dyDescent="0.25">
      <c r="A44" s="30" t="s">
        <v>88</v>
      </c>
      <c r="B44" s="31" t="s">
        <v>128</v>
      </c>
      <c r="C44" s="30" t="s">
        <v>96</v>
      </c>
      <c r="D44" s="38">
        <v>6</v>
      </c>
      <c r="E44" s="24">
        <v>50000</v>
      </c>
      <c r="F44" s="24">
        <f t="shared" si="19"/>
        <v>30000</v>
      </c>
      <c r="G44" s="8">
        <f t="shared" si="20"/>
        <v>80000</v>
      </c>
      <c r="H44" s="9">
        <v>20000</v>
      </c>
      <c r="I44" s="73">
        <f>H44+H45</f>
        <v>40000</v>
      </c>
      <c r="J44" s="73">
        <v>40000</v>
      </c>
      <c r="K44" s="7">
        <f t="shared" si="21"/>
        <v>16000</v>
      </c>
      <c r="L44" s="35">
        <f t="shared" si="22"/>
        <v>26000</v>
      </c>
      <c r="M44" s="44">
        <f t="shared" si="24"/>
        <v>26000</v>
      </c>
      <c r="N44" s="84">
        <f>M44+M45</f>
        <v>52000</v>
      </c>
      <c r="O44" s="96">
        <f>N44+N45</f>
        <v>52000</v>
      </c>
      <c r="P44" s="69">
        <f t="shared" si="23"/>
        <v>6000</v>
      </c>
      <c r="Q44" s="57">
        <f t="shared" si="25"/>
        <v>1.3</v>
      </c>
      <c r="R44" s="90">
        <f>N44-I44</f>
        <v>12000</v>
      </c>
      <c r="S44" s="87">
        <f>N44/I44</f>
        <v>1.3</v>
      </c>
      <c r="T44" s="90">
        <f>P44+P45</f>
        <v>12000</v>
      </c>
      <c r="U44" s="87">
        <f>O44/J44</f>
        <v>1.3</v>
      </c>
    </row>
    <row r="45" spans="1:21" x14ac:dyDescent="0.25">
      <c r="A45" s="30" t="s">
        <v>88</v>
      </c>
      <c r="B45" s="31" t="s">
        <v>128</v>
      </c>
      <c r="C45" s="30" t="s">
        <v>97</v>
      </c>
      <c r="D45" s="40">
        <v>9</v>
      </c>
      <c r="E45" s="24">
        <v>50000</v>
      </c>
      <c r="F45" s="24">
        <f t="shared" si="19"/>
        <v>70000</v>
      </c>
      <c r="G45" s="8">
        <f t="shared" si="20"/>
        <v>120000</v>
      </c>
      <c r="H45" s="9">
        <v>20000</v>
      </c>
      <c r="I45" s="74"/>
      <c r="J45" s="74"/>
      <c r="K45" s="7">
        <f t="shared" si="21"/>
        <v>16000</v>
      </c>
      <c r="L45" s="35">
        <f t="shared" si="22"/>
        <v>26000</v>
      </c>
      <c r="M45" s="44">
        <f t="shared" si="24"/>
        <v>26000</v>
      </c>
      <c r="N45" s="85"/>
      <c r="O45" s="97"/>
      <c r="P45" s="69">
        <f t="shared" si="23"/>
        <v>6000</v>
      </c>
      <c r="Q45" s="57">
        <f t="shared" si="25"/>
        <v>1.3</v>
      </c>
      <c r="R45" s="99"/>
      <c r="S45" s="88"/>
      <c r="T45" s="92"/>
      <c r="U45" s="88"/>
    </row>
    <row r="46" spans="1:21" x14ac:dyDescent="0.25">
      <c r="A46" s="30" t="s">
        <v>79</v>
      </c>
      <c r="B46" s="31" t="s">
        <v>129</v>
      </c>
      <c r="C46" s="30" t="s">
        <v>42</v>
      </c>
      <c r="D46" s="26">
        <v>4</v>
      </c>
      <c r="E46" s="24">
        <v>50000</v>
      </c>
      <c r="F46" s="24">
        <f t="shared" si="19"/>
        <v>10000</v>
      </c>
      <c r="G46" s="8">
        <f t="shared" si="20"/>
        <v>60000</v>
      </c>
      <c r="H46" s="6">
        <v>80000</v>
      </c>
      <c r="I46" s="6">
        <v>80000</v>
      </c>
      <c r="J46" s="6">
        <v>80000</v>
      </c>
      <c r="K46" s="7">
        <f t="shared" si="21"/>
        <v>64000</v>
      </c>
      <c r="L46" s="35">
        <f t="shared" si="22"/>
        <v>104000</v>
      </c>
      <c r="M46" s="44">
        <f t="shared" si="24"/>
        <v>64000</v>
      </c>
      <c r="N46" s="52">
        <f>M46</f>
        <v>64000</v>
      </c>
      <c r="O46" s="53">
        <f>N46</f>
        <v>64000</v>
      </c>
      <c r="P46" s="56">
        <f t="shared" si="23"/>
        <v>-16000</v>
      </c>
      <c r="Q46" s="57">
        <f t="shared" si="25"/>
        <v>0.8</v>
      </c>
      <c r="R46" s="56">
        <f>N46-I46</f>
        <v>-16000</v>
      </c>
      <c r="S46" s="57">
        <f>N46/I46</f>
        <v>0.8</v>
      </c>
      <c r="T46" s="56">
        <f>P46</f>
        <v>-16000</v>
      </c>
      <c r="U46" s="57">
        <f>O46/J46</f>
        <v>0.8</v>
      </c>
    </row>
    <row r="47" spans="1:21" ht="15" customHeight="1" x14ac:dyDescent="0.25">
      <c r="A47" s="30" t="s">
        <v>80</v>
      </c>
      <c r="B47" s="31" t="s">
        <v>130</v>
      </c>
      <c r="C47" s="30" t="s">
        <v>98</v>
      </c>
      <c r="D47" s="39">
        <v>7</v>
      </c>
      <c r="E47" s="24">
        <v>50000</v>
      </c>
      <c r="F47" s="24">
        <f t="shared" si="19"/>
        <v>50000</v>
      </c>
      <c r="G47" s="8">
        <f t="shared" si="20"/>
        <v>100000</v>
      </c>
      <c r="H47" s="6">
        <v>60000</v>
      </c>
      <c r="I47" s="73">
        <v>383428</v>
      </c>
      <c r="J47" s="73">
        <v>383428</v>
      </c>
      <c r="K47" s="7">
        <f t="shared" si="21"/>
        <v>48000</v>
      </c>
      <c r="L47" s="35">
        <f t="shared" si="22"/>
        <v>78000</v>
      </c>
      <c r="M47" s="44">
        <f t="shared" si="24"/>
        <v>78000</v>
      </c>
      <c r="N47" s="84">
        <f>M47+M48+M49+M50</f>
        <v>425586.7</v>
      </c>
      <c r="O47" s="96">
        <f>N47+N48+N49+N50</f>
        <v>425586.7</v>
      </c>
      <c r="P47" s="69">
        <f t="shared" si="23"/>
        <v>18000</v>
      </c>
      <c r="Q47" s="57">
        <f t="shared" si="25"/>
        <v>1.3</v>
      </c>
      <c r="R47" s="90">
        <f>N47-I47</f>
        <v>42158.700000000012</v>
      </c>
      <c r="S47" s="87">
        <f>N47/I47</f>
        <v>1.109952064012018</v>
      </c>
      <c r="T47" s="90">
        <f>P47+P48+P49+P50</f>
        <v>42158.7</v>
      </c>
      <c r="U47" s="87">
        <f>O47/J47</f>
        <v>1.109952064012018</v>
      </c>
    </row>
    <row r="48" spans="1:21" ht="15" customHeight="1" x14ac:dyDescent="0.25">
      <c r="A48" s="30" t="s">
        <v>80</v>
      </c>
      <c r="B48" s="31" t="s">
        <v>130</v>
      </c>
      <c r="C48" s="30" t="s">
        <v>43</v>
      </c>
      <c r="D48" s="40">
        <v>8</v>
      </c>
      <c r="E48" s="24">
        <v>50000</v>
      </c>
      <c r="F48" s="24">
        <f t="shared" si="19"/>
        <v>70000</v>
      </c>
      <c r="G48" s="8">
        <f t="shared" si="20"/>
        <v>120000</v>
      </c>
      <c r="H48" s="9">
        <v>115910</v>
      </c>
      <c r="I48" s="75"/>
      <c r="J48" s="75"/>
      <c r="K48" s="7">
        <f t="shared" si="21"/>
        <v>92728</v>
      </c>
      <c r="L48" s="35">
        <f t="shared" si="22"/>
        <v>150683</v>
      </c>
      <c r="M48" s="44">
        <f t="shared" si="24"/>
        <v>120000</v>
      </c>
      <c r="N48" s="86"/>
      <c r="O48" s="103"/>
      <c r="P48" s="69">
        <f t="shared" si="23"/>
        <v>4090</v>
      </c>
      <c r="Q48" s="57">
        <f t="shared" si="25"/>
        <v>1.0352859977568802</v>
      </c>
      <c r="R48" s="100"/>
      <c r="S48" s="93"/>
      <c r="T48" s="91"/>
      <c r="U48" s="93"/>
    </row>
    <row r="49" spans="1:21" ht="15" customHeight="1" x14ac:dyDescent="0.25">
      <c r="A49" s="30" t="s">
        <v>80</v>
      </c>
      <c r="B49" s="31" t="s">
        <v>130</v>
      </c>
      <c r="C49" s="30" t="s">
        <v>99</v>
      </c>
      <c r="D49" s="40">
        <v>9</v>
      </c>
      <c r="E49" s="24">
        <v>50000</v>
      </c>
      <c r="F49" s="24">
        <f t="shared" si="19"/>
        <v>70000</v>
      </c>
      <c r="G49" s="8">
        <f t="shared" si="20"/>
        <v>120000</v>
      </c>
      <c r="H49" s="9">
        <f>20000+104759</f>
        <v>124759</v>
      </c>
      <c r="I49" s="75"/>
      <c r="J49" s="75"/>
      <c r="K49" s="7">
        <f t="shared" si="21"/>
        <v>99807.200000000012</v>
      </c>
      <c r="L49" s="35">
        <f t="shared" si="22"/>
        <v>162186.70000000001</v>
      </c>
      <c r="M49" s="44">
        <f t="shared" si="24"/>
        <v>120000</v>
      </c>
      <c r="N49" s="86"/>
      <c r="O49" s="103"/>
      <c r="P49" s="56">
        <f t="shared" si="23"/>
        <v>-4759</v>
      </c>
      <c r="Q49" s="57">
        <f t="shared" si="25"/>
        <v>0.96185445538999192</v>
      </c>
      <c r="R49" s="100"/>
      <c r="S49" s="93"/>
      <c r="T49" s="91"/>
      <c r="U49" s="93"/>
    </row>
    <row r="50" spans="1:21" ht="15" customHeight="1" x14ac:dyDescent="0.25">
      <c r="A50" s="5" t="s">
        <v>80</v>
      </c>
      <c r="B50" s="31" t="s">
        <v>130</v>
      </c>
      <c r="C50" s="5" t="s">
        <v>44</v>
      </c>
      <c r="D50" s="41">
        <v>10</v>
      </c>
      <c r="E50" s="24">
        <v>50000</v>
      </c>
      <c r="F50" s="24">
        <f t="shared" si="19"/>
        <v>90000</v>
      </c>
      <c r="G50" s="8">
        <f t="shared" si="20"/>
        <v>140000</v>
      </c>
      <c r="H50" s="9">
        <v>82759</v>
      </c>
      <c r="I50" s="74"/>
      <c r="J50" s="74"/>
      <c r="K50" s="7">
        <f t="shared" si="21"/>
        <v>66207.199999999997</v>
      </c>
      <c r="L50" s="35">
        <f t="shared" si="22"/>
        <v>107586.7</v>
      </c>
      <c r="M50" s="44">
        <f t="shared" si="24"/>
        <v>107586.7</v>
      </c>
      <c r="N50" s="85"/>
      <c r="O50" s="97"/>
      <c r="P50" s="69">
        <f t="shared" si="23"/>
        <v>24827.699999999997</v>
      </c>
      <c r="Q50" s="57">
        <f t="shared" si="25"/>
        <v>1.3</v>
      </c>
      <c r="R50" s="99"/>
      <c r="S50" s="88"/>
      <c r="T50" s="92"/>
      <c r="U50" s="88"/>
    </row>
    <row r="51" spans="1:21" x14ac:dyDescent="0.25">
      <c r="A51" s="5" t="s">
        <v>81</v>
      </c>
      <c r="B51" s="32" t="s">
        <v>131</v>
      </c>
      <c r="C51" s="5" t="s">
        <v>45</v>
      </c>
      <c r="D51" s="40">
        <v>9</v>
      </c>
      <c r="E51" s="24">
        <v>50000</v>
      </c>
      <c r="F51" s="24">
        <f t="shared" si="19"/>
        <v>70000</v>
      </c>
      <c r="G51" s="8">
        <f t="shared" si="20"/>
        <v>120000</v>
      </c>
      <c r="H51" s="6">
        <v>140000</v>
      </c>
      <c r="I51" s="6">
        <v>140000</v>
      </c>
      <c r="J51" s="6">
        <v>140000</v>
      </c>
      <c r="K51" s="7">
        <f t="shared" si="21"/>
        <v>112000</v>
      </c>
      <c r="L51" s="35">
        <f t="shared" si="22"/>
        <v>182000</v>
      </c>
      <c r="M51" s="44">
        <f t="shared" si="24"/>
        <v>120000</v>
      </c>
      <c r="N51" s="52">
        <f>M51</f>
        <v>120000</v>
      </c>
      <c r="O51" s="53">
        <f>N51</f>
        <v>120000</v>
      </c>
      <c r="P51" s="56">
        <f t="shared" si="23"/>
        <v>-20000</v>
      </c>
      <c r="Q51" s="57">
        <f t="shared" si="25"/>
        <v>0.8571428571428571</v>
      </c>
      <c r="R51" s="56">
        <f>N51-I51</f>
        <v>-20000</v>
      </c>
      <c r="S51" s="57">
        <f>N51/I51</f>
        <v>0.8571428571428571</v>
      </c>
      <c r="T51" s="56">
        <f>P51</f>
        <v>-20000</v>
      </c>
      <c r="U51" s="57">
        <f>O51/J51</f>
        <v>0.8571428571428571</v>
      </c>
    </row>
    <row r="52" spans="1:21" x14ac:dyDescent="0.25">
      <c r="A52" s="5" t="s">
        <v>82</v>
      </c>
      <c r="B52" s="32" t="s">
        <v>132</v>
      </c>
      <c r="C52" s="5" t="s">
        <v>46</v>
      </c>
      <c r="D52" s="39">
        <v>7</v>
      </c>
      <c r="E52" s="24">
        <v>50000</v>
      </c>
      <c r="F52" s="24">
        <f t="shared" si="19"/>
        <v>50000</v>
      </c>
      <c r="G52" s="8">
        <f t="shared" si="20"/>
        <v>100000</v>
      </c>
      <c r="H52" s="9">
        <v>140000</v>
      </c>
      <c r="I52" s="73">
        <f>H52+H53</f>
        <v>280000</v>
      </c>
      <c r="J52" s="73">
        <f>H52+H53</f>
        <v>280000</v>
      </c>
      <c r="K52" s="7">
        <f t="shared" si="21"/>
        <v>112000</v>
      </c>
      <c r="L52" s="35">
        <f t="shared" si="22"/>
        <v>182000</v>
      </c>
      <c r="M52" s="44">
        <f t="shared" si="24"/>
        <v>112000</v>
      </c>
      <c r="N52" s="84">
        <f>M52+M53</f>
        <v>232000</v>
      </c>
      <c r="O52" s="96">
        <f>N52+N53</f>
        <v>232000</v>
      </c>
      <c r="P52" s="56">
        <f t="shared" si="23"/>
        <v>-28000</v>
      </c>
      <c r="Q52" s="57">
        <f t="shared" si="25"/>
        <v>0.8</v>
      </c>
      <c r="R52" s="76">
        <f>N52-I52</f>
        <v>-48000</v>
      </c>
      <c r="S52" s="87">
        <f>N52/I52</f>
        <v>0.82857142857142863</v>
      </c>
      <c r="T52" s="76">
        <f>P52+P53</f>
        <v>-48000</v>
      </c>
      <c r="U52" s="87">
        <f>O52/J52</f>
        <v>0.82857142857142863</v>
      </c>
    </row>
    <row r="53" spans="1:21" x14ac:dyDescent="0.25">
      <c r="A53" s="5" t="s">
        <v>82</v>
      </c>
      <c r="B53" s="32" t="s">
        <v>132</v>
      </c>
      <c r="C53" s="5" t="s">
        <v>47</v>
      </c>
      <c r="D53" s="40">
        <v>8</v>
      </c>
      <c r="E53" s="24">
        <v>50000</v>
      </c>
      <c r="F53" s="24">
        <f t="shared" si="19"/>
        <v>70000</v>
      </c>
      <c r="G53" s="8">
        <f t="shared" si="20"/>
        <v>120000</v>
      </c>
      <c r="H53" s="9">
        <v>140000</v>
      </c>
      <c r="I53" s="74"/>
      <c r="J53" s="74"/>
      <c r="K53" s="7">
        <f t="shared" si="21"/>
        <v>112000</v>
      </c>
      <c r="L53" s="35">
        <f t="shared" si="22"/>
        <v>182000</v>
      </c>
      <c r="M53" s="44">
        <f t="shared" si="24"/>
        <v>120000</v>
      </c>
      <c r="N53" s="85"/>
      <c r="O53" s="97"/>
      <c r="P53" s="56">
        <f t="shared" si="23"/>
        <v>-20000</v>
      </c>
      <c r="Q53" s="57">
        <f t="shared" si="25"/>
        <v>0.8571428571428571</v>
      </c>
      <c r="R53" s="101"/>
      <c r="S53" s="88"/>
      <c r="T53" s="77"/>
      <c r="U53" s="88"/>
    </row>
    <row r="54" spans="1:21" ht="15" customHeight="1" x14ac:dyDescent="0.25">
      <c r="A54" s="5" t="s">
        <v>83</v>
      </c>
      <c r="B54" s="32" t="s">
        <v>133</v>
      </c>
      <c r="C54" s="5" t="s">
        <v>48</v>
      </c>
      <c r="D54" s="39">
        <v>7</v>
      </c>
      <c r="E54" s="24">
        <v>50000</v>
      </c>
      <c r="F54" s="24">
        <f t="shared" si="19"/>
        <v>50000</v>
      </c>
      <c r="G54" s="8">
        <f t="shared" si="20"/>
        <v>100000</v>
      </c>
      <c r="H54" s="9">
        <v>190555</v>
      </c>
      <c r="I54" s="73">
        <f>H54+H55</f>
        <v>350000</v>
      </c>
      <c r="J54" s="73">
        <f>H54+H55</f>
        <v>350000</v>
      </c>
      <c r="K54" s="7">
        <f t="shared" si="21"/>
        <v>152444</v>
      </c>
      <c r="L54" s="35">
        <f t="shared" si="22"/>
        <v>247721.5</v>
      </c>
      <c r="M54" s="44">
        <f t="shared" si="24"/>
        <v>152444</v>
      </c>
      <c r="N54" s="84">
        <f>M54+M55</f>
        <v>280000</v>
      </c>
      <c r="O54" s="96">
        <f>N54+N55</f>
        <v>280000</v>
      </c>
      <c r="P54" s="56">
        <f t="shared" si="23"/>
        <v>-38111</v>
      </c>
      <c r="Q54" s="57">
        <f t="shared" si="25"/>
        <v>0.8</v>
      </c>
      <c r="R54" s="81">
        <f>N54-I54</f>
        <v>-70000</v>
      </c>
      <c r="S54" s="87">
        <f>N54/I54</f>
        <v>0.8</v>
      </c>
      <c r="T54" s="81">
        <f>P54+P55</f>
        <v>-70000</v>
      </c>
      <c r="U54" s="87">
        <f>O54/J54</f>
        <v>0.8</v>
      </c>
    </row>
    <row r="55" spans="1:21" x14ac:dyDescent="0.25">
      <c r="A55" s="5" t="s">
        <v>83</v>
      </c>
      <c r="B55" s="32" t="s">
        <v>133</v>
      </c>
      <c r="C55" s="5" t="s">
        <v>49</v>
      </c>
      <c r="D55" s="38">
        <v>6</v>
      </c>
      <c r="E55" s="24">
        <v>50000</v>
      </c>
      <c r="F55" s="24">
        <f t="shared" si="19"/>
        <v>30000</v>
      </c>
      <c r="G55" s="8">
        <f t="shared" si="20"/>
        <v>80000</v>
      </c>
      <c r="H55" s="9">
        <v>159445</v>
      </c>
      <c r="I55" s="74"/>
      <c r="J55" s="74"/>
      <c r="K55" s="7">
        <f t="shared" si="21"/>
        <v>127556</v>
      </c>
      <c r="L55" s="35">
        <f t="shared" si="22"/>
        <v>207278.5</v>
      </c>
      <c r="M55" s="44">
        <f t="shared" si="24"/>
        <v>127556</v>
      </c>
      <c r="N55" s="85"/>
      <c r="O55" s="97"/>
      <c r="P55" s="56">
        <f t="shared" si="23"/>
        <v>-31889</v>
      </c>
      <c r="Q55" s="57">
        <f t="shared" si="25"/>
        <v>0.8</v>
      </c>
      <c r="R55" s="136"/>
      <c r="S55" s="88"/>
      <c r="T55" s="83"/>
      <c r="U55" s="88"/>
    </row>
    <row r="56" spans="1:21" x14ac:dyDescent="0.25">
      <c r="A56" s="5" t="s">
        <v>84</v>
      </c>
      <c r="B56" s="32" t="s">
        <v>134</v>
      </c>
      <c r="C56" s="5" t="s">
        <v>50</v>
      </c>
      <c r="D56" s="40">
        <v>8</v>
      </c>
      <c r="E56" s="24">
        <v>50000</v>
      </c>
      <c r="F56" s="24">
        <f t="shared" si="19"/>
        <v>70000</v>
      </c>
      <c r="G56" s="8">
        <f t="shared" si="20"/>
        <v>120000</v>
      </c>
      <c r="H56" s="6">
        <v>140000</v>
      </c>
      <c r="I56" s="6">
        <v>140000</v>
      </c>
      <c r="J56" s="73">
        <f>H56+H57</f>
        <v>280000</v>
      </c>
      <c r="K56" s="7">
        <f t="shared" si="21"/>
        <v>112000</v>
      </c>
      <c r="L56" s="35">
        <f t="shared" si="22"/>
        <v>182000</v>
      </c>
      <c r="M56" s="44">
        <f t="shared" si="24"/>
        <v>120000</v>
      </c>
      <c r="N56" s="52">
        <f>M56</f>
        <v>120000</v>
      </c>
      <c r="O56" s="96">
        <f>N56+N57</f>
        <v>232000</v>
      </c>
      <c r="P56" s="56">
        <f t="shared" si="23"/>
        <v>-20000</v>
      </c>
      <c r="Q56" s="57">
        <f t="shared" si="25"/>
        <v>0.8571428571428571</v>
      </c>
      <c r="R56" s="56">
        <f>N56-I56</f>
        <v>-20000</v>
      </c>
      <c r="S56" s="57">
        <f>N56/I56</f>
        <v>0.8571428571428571</v>
      </c>
      <c r="T56" s="76">
        <f>P56+P57</f>
        <v>-48000</v>
      </c>
      <c r="U56" s="87">
        <f>O56/J56</f>
        <v>0.82857142857142863</v>
      </c>
    </row>
    <row r="57" spans="1:21" x14ac:dyDescent="0.25">
      <c r="A57" s="5" t="s">
        <v>84</v>
      </c>
      <c r="B57" s="32" t="s">
        <v>156</v>
      </c>
      <c r="C57" s="5" t="s">
        <v>51</v>
      </c>
      <c r="D57" s="38">
        <v>6</v>
      </c>
      <c r="E57" s="24">
        <v>50000</v>
      </c>
      <c r="F57" s="24">
        <f t="shared" si="19"/>
        <v>30000</v>
      </c>
      <c r="G57" s="8">
        <f t="shared" si="20"/>
        <v>80000</v>
      </c>
      <c r="H57" s="6">
        <v>140000</v>
      </c>
      <c r="I57" s="6">
        <v>140000</v>
      </c>
      <c r="J57" s="74"/>
      <c r="K57" s="7">
        <f t="shared" si="21"/>
        <v>112000</v>
      </c>
      <c r="L57" s="35">
        <f t="shared" si="22"/>
        <v>182000</v>
      </c>
      <c r="M57" s="44">
        <f t="shared" si="24"/>
        <v>112000</v>
      </c>
      <c r="N57" s="52">
        <f t="shared" ref="N57:O58" si="26">M57</f>
        <v>112000</v>
      </c>
      <c r="O57" s="97"/>
      <c r="P57" s="56">
        <f t="shared" si="23"/>
        <v>-28000</v>
      </c>
      <c r="Q57" s="57">
        <f t="shared" si="25"/>
        <v>0.8</v>
      </c>
      <c r="R57" s="56">
        <f t="shared" ref="R57:R58" si="27">N57-I57</f>
        <v>-28000</v>
      </c>
      <c r="S57" s="57">
        <f t="shared" ref="S57:S58" si="28">N57/I57</f>
        <v>0.8</v>
      </c>
      <c r="T57" s="77"/>
      <c r="U57" s="88"/>
    </row>
    <row r="58" spans="1:21" x14ac:dyDescent="0.25">
      <c r="A58" s="5" t="s">
        <v>85</v>
      </c>
      <c r="B58" s="32" t="s">
        <v>135</v>
      </c>
      <c r="C58" s="5" t="s">
        <v>52</v>
      </c>
      <c r="D58" s="40">
        <v>8</v>
      </c>
      <c r="E58" s="24">
        <v>50000</v>
      </c>
      <c r="F58" s="24">
        <f t="shared" si="19"/>
        <v>70000</v>
      </c>
      <c r="G58" s="8">
        <f t="shared" si="20"/>
        <v>120000</v>
      </c>
      <c r="H58" s="6">
        <v>120000</v>
      </c>
      <c r="I58" s="6">
        <v>120000</v>
      </c>
      <c r="J58" s="6">
        <f>H58</f>
        <v>120000</v>
      </c>
      <c r="K58" s="7">
        <f t="shared" si="21"/>
        <v>96000</v>
      </c>
      <c r="L58" s="35">
        <f t="shared" si="22"/>
        <v>156000</v>
      </c>
      <c r="M58" s="44">
        <f t="shared" si="24"/>
        <v>120000</v>
      </c>
      <c r="N58" s="52">
        <f t="shared" si="26"/>
        <v>120000</v>
      </c>
      <c r="O58" s="53">
        <f t="shared" si="26"/>
        <v>120000</v>
      </c>
      <c r="P58" s="56">
        <f t="shared" si="23"/>
        <v>0</v>
      </c>
      <c r="Q58" s="57">
        <f t="shared" si="25"/>
        <v>1</v>
      </c>
      <c r="R58" s="56">
        <f t="shared" si="27"/>
        <v>0</v>
      </c>
      <c r="S58" s="57">
        <f t="shared" si="28"/>
        <v>1</v>
      </c>
      <c r="T58" s="56">
        <f>P58</f>
        <v>0</v>
      </c>
      <c r="U58" s="57">
        <f>O58/J58</f>
        <v>1</v>
      </c>
    </row>
    <row r="59" spans="1:21" x14ac:dyDescent="0.25">
      <c r="A59" s="5" t="s">
        <v>86</v>
      </c>
      <c r="B59" s="32" t="s">
        <v>134</v>
      </c>
      <c r="C59" s="5" t="s">
        <v>53</v>
      </c>
      <c r="D59" s="40">
        <v>8</v>
      </c>
      <c r="E59" s="24">
        <v>50000</v>
      </c>
      <c r="F59" s="24">
        <f t="shared" si="19"/>
        <v>70000</v>
      </c>
      <c r="G59" s="14">
        <f t="shared" si="20"/>
        <v>120000</v>
      </c>
      <c r="H59" s="6">
        <v>95200</v>
      </c>
      <c r="I59" s="73">
        <f>H60+H59</f>
        <v>173200</v>
      </c>
      <c r="J59" s="73">
        <f>H59+H60</f>
        <v>173200</v>
      </c>
      <c r="K59" s="7">
        <f t="shared" si="21"/>
        <v>76160</v>
      </c>
      <c r="L59" s="35">
        <f t="shared" si="22"/>
        <v>123760</v>
      </c>
      <c r="M59" s="44">
        <f t="shared" si="24"/>
        <v>120000</v>
      </c>
      <c r="N59" s="84">
        <f>M59+M60</f>
        <v>200000</v>
      </c>
      <c r="O59" s="96">
        <f>N59+N60</f>
        <v>200000</v>
      </c>
      <c r="P59" s="69">
        <f t="shared" si="23"/>
        <v>24800</v>
      </c>
      <c r="Q59" s="57">
        <f t="shared" si="25"/>
        <v>1.2605042016806722</v>
      </c>
      <c r="R59" s="90">
        <f>N59-I59</f>
        <v>26800</v>
      </c>
      <c r="S59" s="87">
        <f>N59/I59</f>
        <v>1.1547344110854503</v>
      </c>
      <c r="T59" s="90">
        <f>P59+P60</f>
        <v>26800</v>
      </c>
      <c r="U59" s="87">
        <f>O59/J59</f>
        <v>1.1547344110854503</v>
      </c>
    </row>
    <row r="60" spans="1:21" ht="30.75" thickBot="1" x14ac:dyDescent="0.3">
      <c r="A60" s="5" t="s">
        <v>86</v>
      </c>
      <c r="B60" s="32" t="s">
        <v>136</v>
      </c>
      <c r="C60" s="5" t="s">
        <v>54</v>
      </c>
      <c r="D60" s="38">
        <v>6</v>
      </c>
      <c r="E60" s="24">
        <v>50000</v>
      </c>
      <c r="F60" s="24">
        <f t="shared" si="19"/>
        <v>30000</v>
      </c>
      <c r="G60" s="8">
        <f t="shared" si="20"/>
        <v>80000</v>
      </c>
      <c r="H60" s="21">
        <v>78000</v>
      </c>
      <c r="I60" s="74"/>
      <c r="J60" s="74"/>
      <c r="K60" s="7">
        <f t="shared" si="21"/>
        <v>62400</v>
      </c>
      <c r="L60" s="35">
        <f t="shared" si="22"/>
        <v>101400</v>
      </c>
      <c r="M60" s="45">
        <f t="shared" si="24"/>
        <v>80000</v>
      </c>
      <c r="N60" s="95"/>
      <c r="O60" s="98"/>
      <c r="P60" s="70">
        <f t="shared" si="23"/>
        <v>2000</v>
      </c>
      <c r="Q60" s="59">
        <f t="shared" si="25"/>
        <v>1.0256410256410255</v>
      </c>
      <c r="R60" s="137"/>
      <c r="S60" s="89"/>
      <c r="T60" s="102"/>
      <c r="U60" s="89"/>
    </row>
    <row r="61" spans="1:21" ht="15.75" thickBot="1" x14ac:dyDescent="0.3">
      <c r="A61" s="20"/>
      <c r="B61" s="34"/>
      <c r="C61" s="42" t="s">
        <v>55</v>
      </c>
      <c r="D61" s="28"/>
      <c r="E61" s="25"/>
      <c r="F61" s="25"/>
      <c r="G61" s="17"/>
      <c r="H61" s="16">
        <f>SUM(H4:H60)</f>
        <v>5677519</v>
      </c>
      <c r="I61" s="16"/>
      <c r="J61" s="16"/>
      <c r="K61" s="15"/>
      <c r="L61" s="15"/>
      <c r="M61" s="47">
        <f>SUM(M4:M60)</f>
        <v>5591931.2999999998</v>
      </c>
      <c r="N61" s="47">
        <f t="shared" ref="N61:O61" si="29">SUM(N4:N60)</f>
        <v>5591931.2999999998</v>
      </c>
      <c r="O61" s="47">
        <f t="shared" si="29"/>
        <v>5591931.2999999998</v>
      </c>
      <c r="P61" s="60">
        <f>SUM(P4:P60)</f>
        <v>-85587.699999999968</v>
      </c>
    </row>
    <row r="62" spans="1:21" x14ac:dyDescent="0.25">
      <c r="A62" s="36" t="s">
        <v>100</v>
      </c>
      <c r="B62" s="36"/>
      <c r="C62" s="3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x14ac:dyDescent="0.25">
      <c r="A63" s="36" t="s">
        <v>104</v>
      </c>
      <c r="B63" s="23"/>
      <c r="C63" s="2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5" spans="1:4" ht="15.75" thickBot="1" x14ac:dyDescent="0.3"/>
    <row r="66" spans="1:4" x14ac:dyDescent="0.25">
      <c r="A66" s="128" t="s">
        <v>18</v>
      </c>
      <c r="B66" s="129"/>
      <c r="C66" s="13" t="s">
        <v>8</v>
      </c>
      <c r="D66" s="62" t="s">
        <v>19</v>
      </c>
    </row>
    <row r="67" spans="1:4" x14ac:dyDescent="0.25">
      <c r="A67" s="134" t="s">
        <v>155</v>
      </c>
      <c r="B67" s="135"/>
      <c r="C67" s="71">
        <f>COUNTIF(P4:P60,"&gt;49999")</f>
        <v>2</v>
      </c>
      <c r="D67" s="72">
        <f>C67/57</f>
        <v>3.5087719298245612E-2</v>
      </c>
    </row>
    <row r="68" spans="1:4" x14ac:dyDescent="0.25">
      <c r="A68" s="130" t="s">
        <v>154</v>
      </c>
      <c r="B68" s="131"/>
      <c r="C68" s="65">
        <f>COUNTIFS(P4:P60,"&gt;0",P4:P60,"&lt;49999")</f>
        <v>25</v>
      </c>
      <c r="D68" s="63">
        <f>C68/57</f>
        <v>0.43859649122807015</v>
      </c>
    </row>
    <row r="69" spans="1:4" x14ac:dyDescent="0.25">
      <c r="A69" s="132" t="s">
        <v>21</v>
      </c>
      <c r="B69" s="133"/>
      <c r="C69" s="65">
        <f>COUNTIFS(P4:P60,"&gt;-49999",P4:P60,"&lt;=0")</f>
        <v>30</v>
      </c>
      <c r="D69" s="63">
        <f t="shared" ref="D69:D72" si="30">C69/57</f>
        <v>0.52631578947368418</v>
      </c>
    </row>
    <row r="70" spans="1:4" x14ac:dyDescent="0.25">
      <c r="A70" s="124" t="s">
        <v>23</v>
      </c>
      <c r="B70" s="125"/>
      <c r="C70" s="65">
        <f>COUNTIFS(P4:P60,"&gt;=-99999",P4:P60,"&lt;=-50000")</f>
        <v>0</v>
      </c>
      <c r="D70" s="63">
        <f t="shared" si="30"/>
        <v>0</v>
      </c>
    </row>
    <row r="71" spans="1:4" x14ac:dyDescent="0.25">
      <c r="A71" s="126" t="s">
        <v>24</v>
      </c>
      <c r="B71" s="127"/>
      <c r="C71" s="65">
        <v>0</v>
      </c>
      <c r="D71" s="63">
        <f t="shared" si="30"/>
        <v>0</v>
      </c>
    </row>
    <row r="72" spans="1:4" x14ac:dyDescent="0.25">
      <c r="A72" s="112" t="s">
        <v>26</v>
      </c>
      <c r="B72" s="113"/>
      <c r="C72" s="65">
        <v>0</v>
      </c>
      <c r="D72" s="63">
        <f t="shared" si="30"/>
        <v>0</v>
      </c>
    </row>
    <row r="73" spans="1:4" ht="15.75" thickBot="1" x14ac:dyDescent="0.3">
      <c r="A73" s="114" t="s">
        <v>28</v>
      </c>
      <c r="B73" s="115"/>
      <c r="C73" s="66">
        <f>SUM(C67:C72)</f>
        <v>57</v>
      </c>
      <c r="D73" s="64">
        <f>C73/57</f>
        <v>1</v>
      </c>
    </row>
    <row r="74" spans="1:4" ht="15.75" thickBot="1" x14ac:dyDescent="0.3">
      <c r="A74"/>
      <c r="B74"/>
      <c r="C74"/>
    </row>
    <row r="75" spans="1:4" x14ac:dyDescent="0.25">
      <c r="A75" s="116" t="s">
        <v>56</v>
      </c>
      <c r="B75" s="117"/>
      <c r="C75" s="118"/>
    </row>
    <row r="76" spans="1:4" x14ac:dyDescent="0.25">
      <c r="A76" s="119" t="s">
        <v>32</v>
      </c>
      <c r="B76" s="120"/>
      <c r="C76" s="18">
        <v>5706800</v>
      </c>
    </row>
    <row r="77" spans="1:4" x14ac:dyDescent="0.25">
      <c r="A77" s="119" t="s">
        <v>34</v>
      </c>
      <c r="B77" s="120"/>
      <c r="C77" s="18">
        <f>M61</f>
        <v>5591931.2999999998</v>
      </c>
    </row>
    <row r="78" spans="1:4" ht="15.75" thickBot="1" x14ac:dyDescent="0.3">
      <c r="A78" s="110" t="s">
        <v>35</v>
      </c>
      <c r="B78" s="111"/>
      <c r="C78" s="19">
        <f>C76-C77</f>
        <v>114868.70000000019</v>
      </c>
    </row>
    <row r="79" spans="1:4" x14ac:dyDescent="0.25">
      <c r="A79" s="104" t="s">
        <v>61</v>
      </c>
      <c r="B79" s="105"/>
      <c r="C79" s="106"/>
    </row>
    <row r="80" spans="1:4" ht="15.75" thickBot="1" x14ac:dyDescent="0.3">
      <c r="A80" s="107"/>
      <c r="B80" s="108"/>
      <c r="C80" s="109"/>
    </row>
    <row r="81" spans="1:3" x14ac:dyDescent="0.25">
      <c r="A81"/>
      <c r="B81"/>
      <c r="C81"/>
    </row>
  </sheetData>
  <autoFilter ref="A3:Q62" xr:uid="{1257A8E2-159F-46B8-AA3B-501A9B214725}"/>
  <mergeCells count="121">
    <mergeCell ref="S52:S53"/>
    <mergeCell ref="S54:S55"/>
    <mergeCell ref="S59:S60"/>
    <mergeCell ref="R5:R6"/>
    <mergeCell ref="R9:R10"/>
    <mergeCell ref="R12:R15"/>
    <mergeCell ref="R19:R22"/>
    <mergeCell ref="R23:R24"/>
    <mergeCell ref="J52:J53"/>
    <mergeCell ref="J54:J55"/>
    <mergeCell ref="J56:J57"/>
    <mergeCell ref="J59:J60"/>
    <mergeCell ref="J29:J34"/>
    <mergeCell ref="J36:J39"/>
    <mergeCell ref="J40:J43"/>
    <mergeCell ref="I5:I6"/>
    <mergeCell ref="I9:I10"/>
    <mergeCell ref="I12:I15"/>
    <mergeCell ref="I19:I22"/>
    <mergeCell ref="I23:I24"/>
    <mergeCell ref="A70:B70"/>
    <mergeCell ref="A71:B71"/>
    <mergeCell ref="A66:B66"/>
    <mergeCell ref="A68:B68"/>
    <mergeCell ref="A69:B69"/>
    <mergeCell ref="A67:B67"/>
    <mergeCell ref="I29:I32"/>
    <mergeCell ref="I33:I34"/>
    <mergeCell ref="I36:I39"/>
    <mergeCell ref="I41:I42"/>
    <mergeCell ref="I44:I45"/>
    <mergeCell ref="A79:C80"/>
    <mergeCell ref="A78:B78"/>
    <mergeCell ref="A72:B72"/>
    <mergeCell ref="A73:B73"/>
    <mergeCell ref="A75:C75"/>
    <mergeCell ref="A76:B76"/>
    <mergeCell ref="A77:B77"/>
    <mergeCell ref="I47:I50"/>
    <mergeCell ref="I52:I53"/>
    <mergeCell ref="I54:I55"/>
    <mergeCell ref="I59:I60"/>
    <mergeCell ref="R52:R53"/>
    <mergeCell ref="T54:T55"/>
    <mergeCell ref="T56:T57"/>
    <mergeCell ref="T59:T60"/>
    <mergeCell ref="O5:O6"/>
    <mergeCell ref="O7:O10"/>
    <mergeCell ref="O12:O15"/>
    <mergeCell ref="O19:O25"/>
    <mergeCell ref="O29:O34"/>
    <mergeCell ref="O36:O39"/>
    <mergeCell ref="O40:O43"/>
    <mergeCell ref="O44:O45"/>
    <mergeCell ref="O47:O50"/>
    <mergeCell ref="R29:R32"/>
    <mergeCell ref="R33:R34"/>
    <mergeCell ref="R36:R39"/>
    <mergeCell ref="R41:R42"/>
    <mergeCell ref="R54:R55"/>
    <mergeCell ref="R59:R60"/>
    <mergeCell ref="S5:S6"/>
    <mergeCell ref="S9:S10"/>
    <mergeCell ref="S12:S15"/>
    <mergeCell ref="S19:S22"/>
    <mergeCell ref="S23:S24"/>
    <mergeCell ref="N52:N53"/>
    <mergeCell ref="N54:N55"/>
    <mergeCell ref="N29:N32"/>
    <mergeCell ref="N33:N34"/>
    <mergeCell ref="N36:N39"/>
    <mergeCell ref="N41:N42"/>
    <mergeCell ref="N59:N60"/>
    <mergeCell ref="O52:O53"/>
    <mergeCell ref="O54:O55"/>
    <mergeCell ref="O56:O57"/>
    <mergeCell ref="O59:O60"/>
    <mergeCell ref="N44:N45"/>
    <mergeCell ref="N47:N50"/>
    <mergeCell ref="U5:U6"/>
    <mergeCell ref="U12:U15"/>
    <mergeCell ref="U19:U25"/>
    <mergeCell ref="U29:U34"/>
    <mergeCell ref="U36:U39"/>
    <mergeCell ref="U40:U43"/>
    <mergeCell ref="U44:U45"/>
    <mergeCell ref="U47:U50"/>
    <mergeCell ref="U52:U53"/>
    <mergeCell ref="U54:U55"/>
    <mergeCell ref="U56:U57"/>
    <mergeCell ref="U59:U60"/>
    <mergeCell ref="T36:T39"/>
    <mergeCell ref="U7:U10"/>
    <mergeCell ref="T40:T43"/>
    <mergeCell ref="T44:T45"/>
    <mergeCell ref="T47:T50"/>
    <mergeCell ref="T52:T53"/>
    <mergeCell ref="T29:T34"/>
    <mergeCell ref="T7:T10"/>
    <mergeCell ref="J44:J45"/>
    <mergeCell ref="J47:J50"/>
    <mergeCell ref="T5:T6"/>
    <mergeCell ref="T12:T15"/>
    <mergeCell ref="T19:T25"/>
    <mergeCell ref="J5:J6"/>
    <mergeCell ref="J7:J10"/>
    <mergeCell ref="J12:J15"/>
    <mergeCell ref="J19:J25"/>
    <mergeCell ref="N5:N6"/>
    <mergeCell ref="N9:N10"/>
    <mergeCell ref="N12:N15"/>
    <mergeCell ref="N23:N24"/>
    <mergeCell ref="N19:N22"/>
    <mergeCell ref="R44:R45"/>
    <mergeCell ref="R47:R50"/>
    <mergeCell ref="S29:S32"/>
    <mergeCell ref="S33:S34"/>
    <mergeCell ref="S36:S39"/>
    <mergeCell ref="S41:S42"/>
    <mergeCell ref="S44:S45"/>
    <mergeCell ref="S47:S50"/>
  </mergeCells>
  <pageMargins left="0.25" right="0.25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7CC6678B2A24CA3970B9838870790" ma:contentTypeVersion="18" ma:contentTypeDescription="Create a new document." ma:contentTypeScope="" ma:versionID="9977d74c60c149322bed3dde11e91a2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62be7310-cd18-4ee1-8fa7-36d2b8f421e1" targetNamespace="http://schemas.microsoft.com/office/2006/metadata/properties" ma:root="true" ma:fieldsID="3fa4fae46d4529641ffb7474570e7226" ns1:_="" ns2:_="" ns3:_="">
    <xsd:import namespace="http://schemas.microsoft.com/sharepoint/v3"/>
    <xsd:import namespace="59da1016-2a1b-4f8a-9768-d7a4932f6f16"/>
    <xsd:import namespace="62be7310-cd18-4ee1-8fa7-36d2b8f421e1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e7310-cd18-4ee1-8fa7-36d2b8f421e1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https://www.oregon.gov/oha/PH/HEALTHYPEOPLEFAMILIES/YOUTH/HEALTHSCHOOL/SCHOOLBASEDHEALTHCENTERS/Documents/SBHC%20MH/FundingFormula2019-21_SUMMARY.xlsx</Url>
      <Description>FundingFormula2019-21_SUMMARY.xlsx</Description>
    </URL>
    <PublishingExpirationDate xmlns="http://schemas.microsoft.com/sharepoint/v3" xsi:nil="true"/>
    <PublishingStartDate xmlns="http://schemas.microsoft.com/sharepoint/v3" xsi:nil="true"/>
    <IACategory xmlns="59da1016-2a1b-4f8a-9768-d7a4932f6f16" xsi:nil="true"/>
    <IASubtopic xmlns="59da1016-2a1b-4f8a-9768-d7a4932f6f16" xsi:nil="true"/>
    <Meta_x0020_Description xmlns="62be7310-cd18-4ee1-8fa7-36d2b8f421e1" xsi:nil="true"/>
    <DocumentExpirationDate xmlns="59da1016-2a1b-4f8a-9768-d7a4932f6f16" xsi:nil="true"/>
    <IATopic xmlns="59da1016-2a1b-4f8a-9768-d7a4932f6f16" xsi:nil="true"/>
    <Meta_x0020_Keywords xmlns="62be7310-cd18-4ee1-8fa7-36d2b8f421e1" xsi:nil="true"/>
  </documentManagement>
</p:properties>
</file>

<file path=customXml/itemProps1.xml><?xml version="1.0" encoding="utf-8"?>
<ds:datastoreItem xmlns:ds="http://schemas.openxmlformats.org/officeDocument/2006/customXml" ds:itemID="{D75170A7-FE87-4D6E-B60C-D3C6AB39DC12}"/>
</file>

<file path=customXml/itemProps2.xml><?xml version="1.0" encoding="utf-8"?>
<ds:datastoreItem xmlns:ds="http://schemas.openxmlformats.org/officeDocument/2006/customXml" ds:itemID="{89761F99-4437-410D-8B68-07C3CED5B8FC}"/>
</file>

<file path=customXml/itemProps3.xml><?xml version="1.0" encoding="utf-8"?>
<ds:datastoreItem xmlns:ds="http://schemas.openxmlformats.org/officeDocument/2006/customXml" ds:itemID="{3A09AFD7-B1CA-4578-A6D5-7C03D7971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Murray Stefanie L</dc:creator>
  <cp:lastModifiedBy>Kate O'Donnell</cp:lastModifiedBy>
  <cp:lastPrinted>2019-01-04T16:34:17Z</cp:lastPrinted>
  <dcterms:created xsi:type="dcterms:W3CDTF">2016-12-12T21:28:23Z</dcterms:created>
  <dcterms:modified xsi:type="dcterms:W3CDTF">2019-01-31T00:10:40Z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0x0101001EC7CC6678B2A24CA3970B9838870790</vt:lpwstr>
  </property>
  <property fmtid="{D5CDD505-2E9C-101B-9397-08002B2CF9AE}" pid="3" name="WorkflowChangePath">
    <vt:lpwstr>43d00872-974b-407c-898f-8b831762a7ca,2;</vt:lpwstr>
  </property>
</Properties>
</file>