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826" activeTab="0"/>
  </bookViews>
  <sheets>
    <sheet name="Program Statement" sheetId="1" r:id="rId1"/>
    <sheet name="County Summary" sheetId="2" state="hidden" r:id="rId2"/>
    <sheet name="Data" sheetId="3" state="hidden" r:id="rId3"/>
    <sheet name="ESRI_ATTRIBUTES_SHEET" sheetId="4" state="veryHidden" r:id="rId4"/>
    <sheet name="ESRI_FEATURES_SHEET" sheetId="5" state="veryHidden" r:id="rId5"/>
    <sheet name="ESRI_STATUS_SHEET" sheetId="6" state="veryHidden" r:id="rId6"/>
    <sheet name="ESRI_MAPINFO_SHEET" sheetId="7" state="veryHidden" r:id="rId7"/>
    <sheet name="Agency Counties" sheetId="8" state="hidden" r:id="rId8"/>
  </sheets>
  <externalReferences>
    <externalReference r:id="rId11"/>
  </externalReferences>
  <definedNames>
    <definedName name="_1PROJECT_COSTS">#N/A</definedName>
    <definedName name="_xlnm._FilterDatabase" localSheetId="7" hidden="1">'Agency Counties'!$A$1:$D$81</definedName>
    <definedName name="_xlfn.SUMIFS" hidden="1">#NAME?</definedName>
    <definedName name="AWARDED">#N/A</definedName>
  </definedNames>
  <calcPr fullCalcOnLoad="1"/>
</workbook>
</file>

<file path=xl/sharedStrings.xml><?xml version="1.0" encoding="utf-8"?>
<sst xmlns="http://schemas.openxmlformats.org/spreadsheetml/2006/main" count="1005" uniqueCount="198">
  <si>
    <t>Multnomah</t>
  </si>
  <si>
    <t>Douglas</t>
  </si>
  <si>
    <t>Washington</t>
  </si>
  <si>
    <t>Marion</t>
  </si>
  <si>
    <t>Klamath</t>
  </si>
  <si>
    <t>Deschutes</t>
  </si>
  <si>
    <t>Jefferson</t>
  </si>
  <si>
    <t>Clackamas</t>
  </si>
  <si>
    <t>County</t>
  </si>
  <si>
    <t>41071</t>
  </si>
  <si>
    <t>Yamhill</t>
  </si>
  <si>
    <t>41069</t>
  </si>
  <si>
    <t>Wheeler</t>
  </si>
  <si>
    <t>41067</t>
  </si>
  <si>
    <t>41065</t>
  </si>
  <si>
    <t>Wasco</t>
  </si>
  <si>
    <t>41063</t>
  </si>
  <si>
    <t>Wallowa</t>
  </si>
  <si>
    <t>41061</t>
  </si>
  <si>
    <t>Union</t>
  </si>
  <si>
    <t>41059</t>
  </si>
  <si>
    <t>Umatilla</t>
  </si>
  <si>
    <t>41057</t>
  </si>
  <si>
    <t>Tillamook</t>
  </si>
  <si>
    <t>41055</t>
  </si>
  <si>
    <t>Sherman</t>
  </si>
  <si>
    <t>41053</t>
  </si>
  <si>
    <t>Polk</t>
  </si>
  <si>
    <t>41051</t>
  </si>
  <si>
    <t>41049</t>
  </si>
  <si>
    <t>Morrow</t>
  </si>
  <si>
    <t>41047</t>
  </si>
  <si>
    <t>41045</t>
  </si>
  <si>
    <t>Malheur</t>
  </si>
  <si>
    <t>41043</t>
  </si>
  <si>
    <t>Linn</t>
  </si>
  <si>
    <t>41041</t>
  </si>
  <si>
    <t>Lincoln</t>
  </si>
  <si>
    <t>41039</t>
  </si>
  <si>
    <t>Lane</t>
  </si>
  <si>
    <t>41037</t>
  </si>
  <si>
    <t>Lake</t>
  </si>
  <si>
    <t>41035</t>
  </si>
  <si>
    <t>41033</t>
  </si>
  <si>
    <t>Josephine</t>
  </si>
  <si>
    <t>41031</t>
  </si>
  <si>
    <t>41029</t>
  </si>
  <si>
    <t>Jackson</t>
  </si>
  <si>
    <t>41027</t>
  </si>
  <si>
    <t>Hood River</t>
  </si>
  <si>
    <t>41025</t>
  </si>
  <si>
    <t>Harney</t>
  </si>
  <si>
    <t>41023</t>
  </si>
  <si>
    <t>Grant</t>
  </si>
  <si>
    <t>41021</t>
  </si>
  <si>
    <t>Gilliam</t>
  </si>
  <si>
    <t>41019</t>
  </si>
  <si>
    <t>41017</t>
  </si>
  <si>
    <t>41015</t>
  </si>
  <si>
    <t>Curry</t>
  </si>
  <si>
    <t>41013</t>
  </si>
  <si>
    <t>Crook</t>
  </si>
  <si>
    <t>41011</t>
  </si>
  <si>
    <t>Coos</t>
  </si>
  <si>
    <t>41009</t>
  </si>
  <si>
    <t>Columbia</t>
  </si>
  <si>
    <t>41007</t>
  </si>
  <si>
    <t>Clatsop</t>
  </si>
  <si>
    <t>41005</t>
  </si>
  <si>
    <t>41003</t>
  </si>
  <si>
    <t>Benton</t>
  </si>
  <si>
    <t>41001</t>
  </si>
  <si>
    <t>Baker</t>
  </si>
  <si>
    <t>County FIPS</t>
  </si>
  <si>
    <t>Expenditures Since 2009 ($)</t>
  </si>
  <si>
    <t>Expenditures 15-17 ($)</t>
  </si>
  <si>
    <t>Expenditures 13-15 ($)</t>
  </si>
  <si>
    <t>Expenditures 11-13 ($)</t>
  </si>
  <si>
    <t>Expenditures 09-11 ($)</t>
  </si>
  <si>
    <t>Other Revenue</t>
  </si>
  <si>
    <t>Total Reserved</t>
  </si>
  <si>
    <t>Total Revenue</t>
  </si>
  <si>
    <t>Loan Repayment</t>
  </si>
  <si>
    <t>Treasury Interest</t>
  </si>
  <si>
    <t>(Concatenate)</t>
  </si>
  <si>
    <t>REVENUE</t>
  </si>
  <si>
    <t>EXPENDITURES</t>
  </si>
  <si>
    <t>Program</t>
  </si>
  <si>
    <t>{"extentsLinked":false,"version":1}</t>
  </si>
  <si>
    <t>Program Statement</t>
  </si>
  <si>
    <t xml:space="preserve">Total Expenditures </t>
  </si>
  <si>
    <t>Interactive Map</t>
  </si>
  <si>
    <t>Funded through Document Recording Fee</t>
  </si>
  <si>
    <t>Administration</t>
  </si>
  <si>
    <t>Administration - Vets</t>
  </si>
  <si>
    <t>Document Recording Fee</t>
  </si>
  <si>
    <t>Document Recording Fee - Vets</t>
  </si>
  <si>
    <t>Home Ownership Assistance Program</t>
  </si>
  <si>
    <t>Administration - Match Funding</t>
  </si>
  <si>
    <t>Program Payments - Homeownership Innovation</t>
  </si>
  <si>
    <t>Program Payments - Homeownership Assistance</t>
  </si>
  <si>
    <t>Program Payments - Down Payment Assistance</t>
  </si>
  <si>
    <t>Program Payments - Down Payment Assistance - Vets</t>
  </si>
  <si>
    <t>Committed but Not Disbursed - Homeownership Innovation</t>
  </si>
  <si>
    <t>Committed but Not Disbursed - Down Payment Assistance</t>
  </si>
  <si>
    <t>Committed but Not Disbursed - Training and Technical Assistance</t>
  </si>
  <si>
    <t>Program Payments - Training and Technical Assistance</t>
  </si>
  <si>
    <t>HOAP</t>
  </si>
  <si>
    <t>Program Payments - Homeownership Centers</t>
  </si>
  <si>
    <t>Committed but Not Disbursed - Homeownership Assistance</t>
  </si>
  <si>
    <t>Portland Housing Center</t>
  </si>
  <si>
    <t>Linn, Benton, Lincoln Regional Housing Center</t>
  </si>
  <si>
    <t>Community Action Team</t>
  </si>
  <si>
    <t>Yamhill County Affordable Housing Corporation</t>
  </si>
  <si>
    <t>Willamette Neighborhood Housing Services</t>
  </si>
  <si>
    <t>NeighborImpact</t>
  </si>
  <si>
    <t>Mid Columbia Housing Authority</t>
  </si>
  <si>
    <t>Community Connection of Northeast Oregon</t>
  </si>
  <si>
    <t>Community Action Program East Central Oregon</t>
  </si>
  <si>
    <t>Community Housing Services</t>
  </si>
  <si>
    <t>Oregon Homeownership Association</t>
  </si>
  <si>
    <t>City of Bend</t>
  </si>
  <si>
    <t>Homeownership Fairs</t>
  </si>
  <si>
    <t>NEDCO</t>
  </si>
  <si>
    <t>Proud Ground</t>
  </si>
  <si>
    <t>Columbia Cascade Housing</t>
  </si>
  <si>
    <t>Hacienda</t>
  </si>
  <si>
    <t>Housing Authority of Yamhill County</t>
  </si>
  <si>
    <t>Habitat for Humanity of Oregon</t>
  </si>
  <si>
    <t>Habitat for Humanity Portland/Metro</t>
  </si>
  <si>
    <t>Homeownership Centers</t>
  </si>
  <si>
    <t>Homeownership Assistance</t>
  </si>
  <si>
    <t>Open Door Counseling Center</t>
  </si>
  <si>
    <t>Homeownership Innovation</t>
  </si>
  <si>
    <t>Down Payment Assistance</t>
  </si>
  <si>
    <t>Training</t>
  </si>
  <si>
    <t>ODVA</t>
  </si>
  <si>
    <t>(Statewide)</t>
  </si>
  <si>
    <t>Jackson, Josephine</t>
  </si>
  <si>
    <t>Clackamas, Multnomah, Washington</t>
  </si>
  <si>
    <t>Hood River, Sherman, Wasco</t>
  </si>
  <si>
    <t>Clatsop, Columbia, Tillamook</t>
  </si>
  <si>
    <t>Multnomah, Washington</t>
  </si>
  <si>
    <t>Coos, Curry, Douglas</t>
  </si>
  <si>
    <t>Benton, Linn</t>
  </si>
  <si>
    <t>Klamath, Lake</t>
  </si>
  <si>
    <t>Gilliam, Morrow, Umatilla, Wheeler</t>
  </si>
  <si>
    <t>Baker, Grant, Union, Wallowa</t>
  </si>
  <si>
    <t>Benton, Lincoln, Linn</t>
  </si>
  <si>
    <t>Crook, Deschutes, Jefferson</t>
  </si>
  <si>
    <t>Agency Name</t>
  </si>
  <si>
    <t>Counties</t>
  </si>
  <si>
    <t>Oregon Opportunity Network</t>
  </si>
  <si>
    <t>Oregon Department of Veterans Affairs Interagency Agreement</t>
  </si>
  <si>
    <t>Oregon Bond Program</t>
  </si>
  <si>
    <t>Match to leverage Foreclosure Counseling Funds</t>
  </si>
  <si>
    <t>ACCESS</t>
  </si>
  <si>
    <t>Host Development</t>
  </si>
  <si>
    <t>Polk, Yamhill</t>
  </si>
  <si>
    <t>Oregon Bankers Association</t>
  </si>
  <si>
    <t>Lane, Marion</t>
  </si>
  <si>
    <t>Committed but Not Disbursed - Homeownership Centers</t>
  </si>
  <si>
    <t>Community in Action</t>
  </si>
  <si>
    <t>Portland Community Reinvestment Initiatives</t>
  </si>
  <si>
    <t>Homeownership Center Data Training w/ Counselor Max</t>
  </si>
  <si>
    <t>Oregon Dept of Veteran Affairs (IAA)</t>
  </si>
  <si>
    <t>Harney, Lincoln, Malheur</t>
  </si>
  <si>
    <t>Currently Reserved ($)</t>
  </si>
  <si>
    <t>Total Exp+Res ($)</t>
  </si>
  <si>
    <t>African American Alliance for Homeowners</t>
  </si>
  <si>
    <t>Harney, Malheur</t>
  </si>
  <si>
    <t>Asian &amp; Pacific Islander Community</t>
  </si>
  <si>
    <t>Native American Youth &amp; Family Center</t>
  </si>
  <si>
    <t>Community &amp; Shelter Assistance of Oregon</t>
  </si>
  <si>
    <t>Klamath &amp; Lake Community Action Services</t>
  </si>
  <si>
    <t>Lincoln/Malheur Counties &amp; Harney County RFA</t>
  </si>
  <si>
    <t>DPA Reserved</t>
  </si>
  <si>
    <t>Community In Action</t>
  </si>
  <si>
    <t>Document Recording Fee - Vets - Rebates and Recoveries</t>
  </si>
  <si>
    <t>Reserved - Training and Technical Assistance (2019-2021 Allocation)</t>
  </si>
  <si>
    <t>Expenditures 17-19 ($)</t>
  </si>
  <si>
    <t>Habitat for Humanity Bend</t>
  </si>
  <si>
    <t>Homeownership Center of Lane County</t>
  </si>
  <si>
    <t>Homeownership Center of Marion County</t>
  </si>
  <si>
    <t>Habitat for Humanity Willamette West</t>
  </si>
  <si>
    <t>Committed but Not Disbursed - Down Payment Assistance - Vets</t>
  </si>
  <si>
    <t>Starting Balance - July 1, 2009</t>
  </si>
  <si>
    <t>CET Downpayment Assistance</t>
  </si>
  <si>
    <t>City of Corvallis</t>
  </si>
  <si>
    <t>City of Cannon Beach</t>
  </si>
  <si>
    <t>Reserved - Down Payment Assistance NOFA (RFA)</t>
  </si>
  <si>
    <t>Neighborworks Umpqua Regional</t>
  </si>
  <si>
    <t>Washington County Office of Community Development</t>
  </si>
  <si>
    <t>Hood River County</t>
  </si>
  <si>
    <t>July 1, 2009 through March 31, 2018</t>
  </si>
  <si>
    <t>Actuals 7/1/09 thru 03/31/18</t>
  </si>
  <si>
    <t>Available Cash Balance at 03/31/18</t>
  </si>
  <si>
    <t>Balance to Allocate as of 03/31/18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</si>
</sst>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8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2"/>
      <color indexed="23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Microsoft Sans Serif"/>
      <family val="2"/>
    </font>
    <font>
      <sz val="8"/>
      <name val="Microsoft Sans Serif"/>
      <family val="2"/>
    </font>
    <font>
      <b/>
      <sz val="11"/>
      <name val="Calibri"/>
      <family val="2"/>
    </font>
    <font>
      <u val="single"/>
      <sz val="8"/>
      <color indexed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12"/>
      <name val="MS Sans Serif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50"/>
      <name val="Verda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Tahoma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1113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 locked="0"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 locked="0"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4" fillId="0" borderId="10" applyNumberFormat="0" applyFont="0" applyFill="0" applyAlignment="0" applyProtection="0"/>
    <xf numFmtId="0" fontId="54" fillId="0" borderId="9" applyNumberFormat="0" applyFill="0" applyAlignment="0" applyProtection="0"/>
    <xf numFmtId="0" fontId="4" fillId="0" borderId="10" applyNumberFormat="0" applyFon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44" fontId="0" fillId="0" borderId="0" xfId="0" applyNumberFormat="1" applyAlignment="1">
      <alignment vertical="top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44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4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Fill="1" applyAlignment="1" quotePrefix="1">
      <alignment vertical="top"/>
    </xf>
    <xf numFmtId="8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0" xfId="0" applyFont="1" applyAlignment="1">
      <alignment horizontal="right" vertical="top"/>
    </xf>
    <xf numFmtId="8" fontId="10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8" fontId="10" fillId="0" borderId="0" xfId="0" applyNumberFormat="1" applyFont="1" applyFill="1" applyAlignment="1">
      <alignment vertical="top"/>
    </xf>
    <xf numFmtId="6" fontId="10" fillId="0" borderId="0" xfId="0" applyNumberFormat="1" applyFont="1" applyAlignment="1">
      <alignment vertical="top"/>
    </xf>
    <xf numFmtId="6" fontId="3" fillId="0" borderId="0" xfId="0" applyNumberFormat="1" applyFont="1" applyAlignment="1">
      <alignment vertical="top"/>
    </xf>
    <xf numFmtId="6" fontId="10" fillId="0" borderId="0" xfId="0" applyNumberFormat="1" applyFont="1" applyFill="1" applyAlignment="1">
      <alignment vertical="top"/>
    </xf>
    <xf numFmtId="6" fontId="10" fillId="0" borderId="12" xfId="0" applyNumberFormat="1" applyFont="1" applyFill="1" applyBorder="1" applyAlignment="1" applyProtection="1">
      <alignment vertical="top"/>
      <protection/>
    </xf>
    <xf numFmtId="6" fontId="10" fillId="0" borderId="0" xfId="0" applyNumberFormat="1" applyFont="1" applyFill="1" applyAlignment="1" applyProtection="1">
      <alignment vertical="top"/>
      <protection/>
    </xf>
    <xf numFmtId="6" fontId="10" fillId="0" borderId="0" xfId="0" applyNumberFormat="1" applyFont="1" applyAlignment="1" applyProtection="1">
      <alignment vertical="top"/>
      <protection/>
    </xf>
    <xf numFmtId="0" fontId="3" fillId="0" borderId="0" xfId="959" applyFont="1" applyFill="1" applyBorder="1" applyAlignment="1" applyProtection="1">
      <alignment vertical="top"/>
      <protection locked="0"/>
    </xf>
    <xf numFmtId="38" fontId="3" fillId="0" borderId="0" xfId="269" applyNumberFormat="1" applyFont="1" applyFill="1" applyAlignment="1" applyProtection="1">
      <alignment vertical="top"/>
      <protection locked="0"/>
    </xf>
    <xf numFmtId="38" fontId="3" fillId="33" borderId="11" xfId="96" applyNumberFormat="1" applyFont="1" applyFill="1" applyBorder="1" applyAlignment="1" applyProtection="1">
      <alignment vertical="top"/>
      <protection locked="0"/>
    </xf>
    <xf numFmtId="38" fontId="3" fillId="0" borderId="0" xfId="96" applyNumberFormat="1" applyFont="1" applyAlignment="1" applyProtection="1">
      <alignment vertical="top"/>
      <protection locked="0"/>
    </xf>
    <xf numFmtId="38" fontId="3" fillId="0" borderId="11" xfId="269" applyNumberFormat="1" applyFont="1" applyFill="1" applyBorder="1" applyAlignment="1" applyProtection="1">
      <alignment vertical="top"/>
      <protection locked="0"/>
    </xf>
    <xf numFmtId="38" fontId="3" fillId="0" borderId="13" xfId="96" applyNumberFormat="1" applyFont="1" applyBorder="1" applyAlignment="1" applyProtection="1">
      <alignment vertical="top"/>
      <protection locked="0"/>
    </xf>
    <xf numFmtId="38" fontId="3" fillId="0" borderId="0" xfId="97" applyNumberFormat="1" applyFont="1" applyBorder="1" applyAlignment="1" applyProtection="1">
      <alignment vertical="top"/>
      <protection locked="0"/>
    </xf>
    <xf numFmtId="38" fontId="3" fillId="0" borderId="11" xfId="97" applyNumberFormat="1" applyFont="1" applyBorder="1" applyAlignment="1" applyProtection="1">
      <alignment vertical="top"/>
      <protection locked="0"/>
    </xf>
    <xf numFmtId="38" fontId="3" fillId="0" borderId="0" xfId="96" applyNumberFormat="1" applyFont="1" applyFill="1" applyBorder="1" applyAlignment="1" applyProtection="1">
      <alignment vertical="top"/>
      <protection locked="0"/>
    </xf>
    <xf numFmtId="38" fontId="3" fillId="0" borderId="0" xfId="96" applyNumberFormat="1" applyFont="1" applyFill="1" applyAlignment="1" applyProtection="1">
      <alignment vertical="top"/>
      <protection locked="0"/>
    </xf>
    <xf numFmtId="38" fontId="3" fillId="0" borderId="0" xfId="263" applyNumberFormat="1" applyFont="1" applyAlignment="1" applyProtection="1">
      <alignment vertical="top"/>
      <protection locked="0"/>
    </xf>
    <xf numFmtId="38" fontId="3" fillId="0" borderId="0" xfId="263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top"/>
    </xf>
    <xf numFmtId="0" fontId="34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NumberFormat="1" applyFont="1" applyAlignment="1">
      <alignment vertical="top"/>
    </xf>
    <xf numFmtId="6" fontId="10" fillId="0" borderId="0" xfId="0" applyNumberFormat="1" applyFont="1" applyAlignment="1" applyProtection="1">
      <alignment vertical="top"/>
      <protection locked="0"/>
    </xf>
    <xf numFmtId="38" fontId="3" fillId="0" borderId="0" xfId="97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Border="1" applyAlignment="1">
      <alignment vertical="top"/>
    </xf>
    <xf numFmtId="44" fontId="3" fillId="0" borderId="0" xfId="0" applyNumberFormat="1" applyFont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959" applyFont="1" applyFill="1" applyBorder="1" applyAlignment="1" applyProtection="1">
      <alignment horizontal="left" vertical="top" indent="1"/>
      <protection locked="0"/>
    </xf>
    <xf numFmtId="38" fontId="3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/>
    </xf>
    <xf numFmtId="38" fontId="3" fillId="0" borderId="0" xfId="96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NumberFormat="1" applyFont="1" applyBorder="1" applyAlignment="1">
      <alignment vertical="top"/>
    </xf>
    <xf numFmtId="44" fontId="3" fillId="0" borderId="0" xfId="0" applyNumberFormat="1" applyFont="1" applyAlignment="1">
      <alignment vertical="top"/>
    </xf>
    <xf numFmtId="44" fontId="3" fillId="0" borderId="0" xfId="0" applyNumberFormat="1" applyFont="1" applyBorder="1" applyAlignment="1">
      <alignment vertical="top"/>
    </xf>
    <xf numFmtId="0" fontId="56" fillId="0" borderId="0" xfId="563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top"/>
    </xf>
  </cellXfs>
  <cellStyles count="10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1 2 2" xfId="49"/>
    <cellStyle name="Comma 11 2 2 2" xfId="50"/>
    <cellStyle name="Comma 11 2 2 3" xfId="51"/>
    <cellStyle name="Comma 11 2 2 4" xfId="52"/>
    <cellStyle name="Comma 11 2 2 5" xfId="53"/>
    <cellStyle name="Comma 11 2 3" xfId="54"/>
    <cellStyle name="Comma 11 2 4" xfId="55"/>
    <cellStyle name="Comma 11 2 5" xfId="56"/>
    <cellStyle name="Comma 11 2 6" xfId="57"/>
    <cellStyle name="Comma 11 3" xfId="58"/>
    <cellStyle name="Comma 11 3 2" xfId="59"/>
    <cellStyle name="Comma 11 3 2 2" xfId="60"/>
    <cellStyle name="Comma 11 3 3" xfId="61"/>
    <cellStyle name="Comma 11 3 4" xfId="62"/>
    <cellStyle name="Comma 11 3 5" xfId="63"/>
    <cellStyle name="Comma 11 4" xfId="64"/>
    <cellStyle name="Comma 11 4 2" xfId="65"/>
    <cellStyle name="Comma 11 5" xfId="66"/>
    <cellStyle name="Comma 11 6" xfId="67"/>
    <cellStyle name="Comma 11 7" xfId="68"/>
    <cellStyle name="Comma 12" xfId="69"/>
    <cellStyle name="Comma 12 2" xfId="70"/>
    <cellStyle name="Comma 12 2 2" xfId="71"/>
    <cellStyle name="Comma 12 2 2 2" xfId="72"/>
    <cellStyle name="Comma 12 2 2 3" xfId="73"/>
    <cellStyle name="Comma 12 2 2 4" xfId="74"/>
    <cellStyle name="Comma 12 2 3" xfId="75"/>
    <cellStyle name="Comma 12 2 4" xfId="76"/>
    <cellStyle name="Comma 12 2 5" xfId="77"/>
    <cellStyle name="Comma 12 3" xfId="78"/>
    <cellStyle name="Comma 12 3 2" xfId="79"/>
    <cellStyle name="Comma 12 3 3" xfId="80"/>
    <cellStyle name="Comma 12 3 4" xfId="81"/>
    <cellStyle name="Comma 12 4" xfId="82"/>
    <cellStyle name="Comma 12 5" xfId="83"/>
    <cellStyle name="Comma 12 6" xfId="84"/>
    <cellStyle name="Comma 13" xfId="85"/>
    <cellStyle name="Comma 13 2" xfId="86"/>
    <cellStyle name="Comma 13 3" xfId="87"/>
    <cellStyle name="Comma 14" xfId="88"/>
    <cellStyle name="Comma 14 2" xfId="89"/>
    <cellStyle name="Comma 14 3" xfId="90"/>
    <cellStyle name="Comma 15" xfId="91"/>
    <cellStyle name="Comma 16" xfId="92"/>
    <cellStyle name="Comma 17" xfId="93"/>
    <cellStyle name="Comma 18" xfId="94"/>
    <cellStyle name="Comma 19" xfId="95"/>
    <cellStyle name="Comma 2" xfId="96"/>
    <cellStyle name="Comma 3" xfId="97"/>
    <cellStyle name="Comma 3 10" xfId="98"/>
    <cellStyle name="Comma 3 11" xfId="99"/>
    <cellStyle name="Comma 3 12" xfId="100"/>
    <cellStyle name="Comma 3 13" xfId="101"/>
    <cellStyle name="Comma 3 14" xfId="102"/>
    <cellStyle name="Comma 3 15" xfId="103"/>
    <cellStyle name="Comma 3 2" xfId="104"/>
    <cellStyle name="Comma 3 2 10" xfId="105"/>
    <cellStyle name="Comma 3 2 11" xfId="106"/>
    <cellStyle name="Comma 3 2 12" xfId="107"/>
    <cellStyle name="Comma 3 2 2" xfId="108"/>
    <cellStyle name="Comma 3 2 2 2" xfId="109"/>
    <cellStyle name="Comma 3 2 2 2 2" xfId="110"/>
    <cellStyle name="Comma 3 2 2 2 2 2" xfId="111"/>
    <cellStyle name="Comma 3 2 2 2 2 3" xfId="112"/>
    <cellStyle name="Comma 3 2 2 2 2 4" xfId="113"/>
    <cellStyle name="Comma 3 2 2 2 3" xfId="114"/>
    <cellStyle name="Comma 3 2 2 2 4" xfId="115"/>
    <cellStyle name="Comma 3 2 2 2 5" xfId="116"/>
    <cellStyle name="Comma 3 2 2 3" xfId="117"/>
    <cellStyle name="Comma 3 2 2 3 2" xfId="118"/>
    <cellStyle name="Comma 3 2 2 3 3" xfId="119"/>
    <cellStyle name="Comma 3 2 2 3 4" xfId="120"/>
    <cellStyle name="Comma 3 2 2 4" xfId="121"/>
    <cellStyle name="Comma 3 2 2 5" xfId="122"/>
    <cellStyle name="Comma 3 2 2 6" xfId="123"/>
    <cellStyle name="Comma 3 2 3" xfId="124"/>
    <cellStyle name="Comma 3 2 3 2" xfId="125"/>
    <cellStyle name="Comma 3 2 3 2 2" xfId="126"/>
    <cellStyle name="Comma 3 2 3 2 2 2" xfId="127"/>
    <cellStyle name="Comma 3 2 3 2 2 3" xfId="128"/>
    <cellStyle name="Comma 3 2 3 2 2 4" xfId="129"/>
    <cellStyle name="Comma 3 2 3 2 3" xfId="130"/>
    <cellStyle name="Comma 3 2 3 2 4" xfId="131"/>
    <cellStyle name="Comma 3 2 3 2 5" xfId="132"/>
    <cellStyle name="Comma 3 2 3 3" xfId="133"/>
    <cellStyle name="Comma 3 2 3 3 2" xfId="134"/>
    <cellStyle name="Comma 3 2 3 3 3" xfId="135"/>
    <cellStyle name="Comma 3 2 3 3 4" xfId="136"/>
    <cellStyle name="Comma 3 2 3 4" xfId="137"/>
    <cellStyle name="Comma 3 2 3 5" xfId="138"/>
    <cellStyle name="Comma 3 2 3 6" xfId="139"/>
    <cellStyle name="Comma 3 2 4" xfId="140"/>
    <cellStyle name="Comma 3 2 4 2" xfId="141"/>
    <cellStyle name="Comma 3 2 4 2 2" xfId="142"/>
    <cellStyle name="Comma 3 2 4 2 2 2" xfId="143"/>
    <cellStyle name="Comma 3 2 4 2 2 3" xfId="144"/>
    <cellStyle name="Comma 3 2 4 2 2 4" xfId="145"/>
    <cellStyle name="Comma 3 2 4 2 3" xfId="146"/>
    <cellStyle name="Comma 3 2 4 2 4" xfId="147"/>
    <cellStyle name="Comma 3 2 4 2 5" xfId="148"/>
    <cellStyle name="Comma 3 2 4 3" xfId="149"/>
    <cellStyle name="Comma 3 2 4 3 2" xfId="150"/>
    <cellStyle name="Comma 3 2 4 3 3" xfId="151"/>
    <cellStyle name="Comma 3 2 4 3 4" xfId="152"/>
    <cellStyle name="Comma 3 2 4 4" xfId="153"/>
    <cellStyle name="Comma 3 2 4 5" xfId="154"/>
    <cellStyle name="Comma 3 2 4 6" xfId="155"/>
    <cellStyle name="Comma 3 2 5" xfId="156"/>
    <cellStyle name="Comma 3 2 5 2" xfId="157"/>
    <cellStyle name="Comma 3 2 5 2 2" xfId="158"/>
    <cellStyle name="Comma 3 2 5 2 3" xfId="159"/>
    <cellStyle name="Comma 3 2 5 2 4" xfId="160"/>
    <cellStyle name="Comma 3 2 5 3" xfId="161"/>
    <cellStyle name="Comma 3 2 5 4" xfId="162"/>
    <cellStyle name="Comma 3 2 5 5" xfId="163"/>
    <cellStyle name="Comma 3 2 6" xfId="164"/>
    <cellStyle name="Comma 3 2 6 2" xfId="165"/>
    <cellStyle name="Comma 3 2 6 3" xfId="166"/>
    <cellStyle name="Comma 3 2 6 4" xfId="167"/>
    <cellStyle name="Comma 3 2 7" xfId="168"/>
    <cellStyle name="Comma 3 2 8" xfId="169"/>
    <cellStyle name="Comma 3 2 9" xfId="170"/>
    <cellStyle name="Comma 3 3" xfId="171"/>
    <cellStyle name="Comma 3 3 2" xfId="172"/>
    <cellStyle name="Comma 3 3 2 2" xfId="173"/>
    <cellStyle name="Comma 3 3 2 2 2" xfId="174"/>
    <cellStyle name="Comma 3 3 2 2 3" xfId="175"/>
    <cellStyle name="Comma 3 3 2 2 4" xfId="176"/>
    <cellStyle name="Comma 3 3 2 3" xfId="177"/>
    <cellStyle name="Comma 3 3 2 4" xfId="178"/>
    <cellStyle name="Comma 3 3 2 5" xfId="179"/>
    <cellStyle name="Comma 3 3 3" xfId="180"/>
    <cellStyle name="Comma 3 3 3 2" xfId="181"/>
    <cellStyle name="Comma 3 3 3 3" xfId="182"/>
    <cellStyle name="Comma 3 3 3 4" xfId="183"/>
    <cellStyle name="Comma 3 3 4" xfId="184"/>
    <cellStyle name="Comma 3 3 5" xfId="185"/>
    <cellStyle name="Comma 3 3 6" xfId="186"/>
    <cellStyle name="Comma 3 4" xfId="187"/>
    <cellStyle name="Comma 3 4 2" xfId="188"/>
    <cellStyle name="Comma 3 4 2 2" xfId="189"/>
    <cellStyle name="Comma 3 4 2 2 2" xfId="190"/>
    <cellStyle name="Comma 3 4 2 2 3" xfId="191"/>
    <cellStyle name="Comma 3 4 2 2 4" xfId="192"/>
    <cellStyle name="Comma 3 4 2 3" xfId="193"/>
    <cellStyle name="Comma 3 4 2 4" xfId="194"/>
    <cellStyle name="Comma 3 4 2 5" xfId="195"/>
    <cellStyle name="Comma 3 4 3" xfId="196"/>
    <cellStyle name="Comma 3 4 3 2" xfId="197"/>
    <cellStyle name="Comma 3 4 3 3" xfId="198"/>
    <cellStyle name="Comma 3 4 3 4" xfId="199"/>
    <cellStyle name="Comma 3 4 4" xfId="200"/>
    <cellStyle name="Comma 3 4 5" xfId="201"/>
    <cellStyle name="Comma 3 4 6" xfId="202"/>
    <cellStyle name="Comma 3 5" xfId="203"/>
    <cellStyle name="Comma 3 5 2" xfId="204"/>
    <cellStyle name="Comma 3 5 2 2" xfId="205"/>
    <cellStyle name="Comma 3 5 2 2 2" xfId="206"/>
    <cellStyle name="Comma 3 5 2 2 3" xfId="207"/>
    <cellStyle name="Comma 3 5 2 2 4" xfId="208"/>
    <cellStyle name="Comma 3 5 2 3" xfId="209"/>
    <cellStyle name="Comma 3 5 2 4" xfId="210"/>
    <cellStyle name="Comma 3 5 2 5" xfId="211"/>
    <cellStyle name="Comma 3 5 3" xfId="212"/>
    <cellStyle name="Comma 3 5 3 2" xfId="213"/>
    <cellStyle name="Comma 3 5 3 3" xfId="214"/>
    <cellStyle name="Comma 3 5 3 4" xfId="215"/>
    <cellStyle name="Comma 3 5 4" xfId="216"/>
    <cellStyle name="Comma 3 5 5" xfId="217"/>
    <cellStyle name="Comma 3 5 6" xfId="218"/>
    <cellStyle name="Comma 3 6" xfId="219"/>
    <cellStyle name="Comma 3 6 2" xfId="220"/>
    <cellStyle name="Comma 3 6 2 2" xfId="221"/>
    <cellStyle name="Comma 3 6 2 2 2" xfId="222"/>
    <cellStyle name="Comma 3 6 2 2 3" xfId="223"/>
    <cellStyle name="Comma 3 6 2 2 4" xfId="224"/>
    <cellStyle name="Comma 3 6 2 3" xfId="225"/>
    <cellStyle name="Comma 3 6 2 4" xfId="226"/>
    <cellStyle name="Comma 3 6 2 5" xfId="227"/>
    <cellStyle name="Comma 3 6 3" xfId="228"/>
    <cellStyle name="Comma 3 6 3 2" xfId="229"/>
    <cellStyle name="Comma 3 6 3 3" xfId="230"/>
    <cellStyle name="Comma 3 6 3 4" xfId="231"/>
    <cellStyle name="Comma 3 6 4" xfId="232"/>
    <cellStyle name="Comma 3 6 5" xfId="233"/>
    <cellStyle name="Comma 3 6 6" xfId="234"/>
    <cellStyle name="Comma 3 7" xfId="235"/>
    <cellStyle name="Comma 3 7 2" xfId="236"/>
    <cellStyle name="Comma 3 7 2 2" xfId="237"/>
    <cellStyle name="Comma 3 7 2 2 2" xfId="238"/>
    <cellStyle name="Comma 3 7 2 2 3" xfId="239"/>
    <cellStyle name="Comma 3 7 2 2 4" xfId="240"/>
    <cellStyle name="Comma 3 7 2 3" xfId="241"/>
    <cellStyle name="Comma 3 7 2 4" xfId="242"/>
    <cellStyle name="Comma 3 7 2 5" xfId="243"/>
    <cellStyle name="Comma 3 7 3" xfId="244"/>
    <cellStyle name="Comma 3 7 3 2" xfId="245"/>
    <cellStyle name="Comma 3 7 3 3" xfId="246"/>
    <cellStyle name="Comma 3 7 3 4" xfId="247"/>
    <cellStyle name="Comma 3 7 4" xfId="248"/>
    <cellStyle name="Comma 3 7 5" xfId="249"/>
    <cellStyle name="Comma 3 7 6" xfId="250"/>
    <cellStyle name="Comma 3 8" xfId="251"/>
    <cellStyle name="Comma 3 8 2" xfId="252"/>
    <cellStyle name="Comma 3 8 2 2" xfId="253"/>
    <cellStyle name="Comma 3 8 2 3" xfId="254"/>
    <cellStyle name="Comma 3 8 2 4" xfId="255"/>
    <cellStyle name="Comma 3 8 3" xfId="256"/>
    <cellStyle name="Comma 3 8 4" xfId="257"/>
    <cellStyle name="Comma 3 8 5" xfId="258"/>
    <cellStyle name="Comma 3 9" xfId="259"/>
    <cellStyle name="Comma 3 9 2" xfId="260"/>
    <cellStyle name="Comma 3 9 3" xfId="261"/>
    <cellStyle name="Comma 3 9 4" xfId="262"/>
    <cellStyle name="Comma 4" xfId="263"/>
    <cellStyle name="Comma 4 2" xfId="264"/>
    <cellStyle name="Comma 4 3" xfId="265"/>
    <cellStyle name="Comma 5" xfId="266"/>
    <cellStyle name="Comma 5 2" xfId="267"/>
    <cellStyle name="Comma 5 3" xfId="268"/>
    <cellStyle name="Comma 6" xfId="269"/>
    <cellStyle name="Comma 6 2" xfId="270"/>
    <cellStyle name="Comma 6 2 2" xfId="271"/>
    <cellStyle name="Comma 6 2 2 2" xfId="272"/>
    <cellStyle name="Comma 6 2 2 3" xfId="273"/>
    <cellStyle name="Comma 6 2 2 4" xfId="274"/>
    <cellStyle name="Comma 6 2 3" xfId="275"/>
    <cellStyle name="Comma 6 2 4" xfId="276"/>
    <cellStyle name="Comma 6 2 5" xfId="277"/>
    <cellStyle name="Comma 6 3" xfId="278"/>
    <cellStyle name="Comma 6 3 2" xfId="279"/>
    <cellStyle name="Comma 6 3 3" xfId="280"/>
    <cellStyle name="Comma 6 3 4" xfId="281"/>
    <cellStyle name="Comma 6 4" xfId="282"/>
    <cellStyle name="Comma 6 5" xfId="283"/>
    <cellStyle name="Comma 6 6" xfId="284"/>
    <cellStyle name="Comma 6 7" xfId="285"/>
    <cellStyle name="Comma 7" xfId="286"/>
    <cellStyle name="Comma 7 2" xfId="287"/>
    <cellStyle name="Comma 7 3" xfId="288"/>
    <cellStyle name="Comma 8" xfId="289"/>
    <cellStyle name="Comma 8 2" xfId="290"/>
    <cellStyle name="Comma 8 3" xfId="291"/>
    <cellStyle name="Comma 9" xfId="292"/>
    <cellStyle name="Comma 9 2" xfId="293"/>
    <cellStyle name="Comma 9 3" xfId="294"/>
    <cellStyle name="Comma0" xfId="295"/>
    <cellStyle name="Currency" xfId="296"/>
    <cellStyle name="Currency [0]" xfId="297"/>
    <cellStyle name="Currency 10" xfId="298"/>
    <cellStyle name="Currency 10 2" xfId="299"/>
    <cellStyle name="Currency 10 2 2" xfId="300"/>
    <cellStyle name="Currency 10 2 2 2" xfId="301"/>
    <cellStyle name="Currency 10 2 2 3" xfId="302"/>
    <cellStyle name="Currency 10 2 2 4" xfId="303"/>
    <cellStyle name="Currency 10 2 3" xfId="304"/>
    <cellStyle name="Currency 10 2 4" xfId="305"/>
    <cellStyle name="Currency 10 2 5" xfId="306"/>
    <cellStyle name="Currency 10 3" xfId="307"/>
    <cellStyle name="Currency 10 3 2" xfId="308"/>
    <cellStyle name="Currency 10 3 3" xfId="309"/>
    <cellStyle name="Currency 10 3 4" xfId="310"/>
    <cellStyle name="Currency 10 4" xfId="311"/>
    <cellStyle name="Currency 10 5" xfId="312"/>
    <cellStyle name="Currency 10 6" xfId="313"/>
    <cellStyle name="Currency 11" xfId="314"/>
    <cellStyle name="Currency 11 2" xfId="315"/>
    <cellStyle name="Currency 11 2 2" xfId="316"/>
    <cellStyle name="Currency 11 2 2 2" xfId="317"/>
    <cellStyle name="Currency 11 2 2 3" xfId="318"/>
    <cellStyle name="Currency 11 2 2 4" xfId="319"/>
    <cellStyle name="Currency 11 2 3" xfId="320"/>
    <cellStyle name="Currency 11 2 4" xfId="321"/>
    <cellStyle name="Currency 11 2 5" xfId="322"/>
    <cellStyle name="Currency 11 3" xfId="323"/>
    <cellStyle name="Currency 11 3 2" xfId="324"/>
    <cellStyle name="Currency 11 3 3" xfId="325"/>
    <cellStyle name="Currency 11 3 4" xfId="326"/>
    <cellStyle name="Currency 11 4" xfId="327"/>
    <cellStyle name="Currency 11 5" xfId="328"/>
    <cellStyle name="Currency 11 6" xfId="329"/>
    <cellStyle name="Currency 12" xfId="330"/>
    <cellStyle name="Currency 12 2" xfId="331"/>
    <cellStyle name="Currency 12 3" xfId="332"/>
    <cellStyle name="Currency 13" xfId="333"/>
    <cellStyle name="Currency 13 2" xfId="334"/>
    <cellStyle name="Currency 13 3" xfId="335"/>
    <cellStyle name="Currency 14" xfId="336"/>
    <cellStyle name="Currency 14 2" xfId="337"/>
    <cellStyle name="Currency 15" xfId="338"/>
    <cellStyle name="Currency 16" xfId="339"/>
    <cellStyle name="Currency 17" xfId="340"/>
    <cellStyle name="Currency 18" xfId="341"/>
    <cellStyle name="Currency 19" xfId="342"/>
    <cellStyle name="Currency 2" xfId="343"/>
    <cellStyle name="Currency 2 10" xfId="344"/>
    <cellStyle name="Currency 2 11" xfId="345"/>
    <cellStyle name="Currency 2 12" xfId="346"/>
    <cellStyle name="Currency 2 13" xfId="347"/>
    <cellStyle name="Currency 2 14" xfId="348"/>
    <cellStyle name="Currency 2 15" xfId="349"/>
    <cellStyle name="Currency 2 2" xfId="350"/>
    <cellStyle name="Currency 2 2 10" xfId="351"/>
    <cellStyle name="Currency 2 2 11" xfId="352"/>
    <cellStyle name="Currency 2 2 12" xfId="353"/>
    <cellStyle name="Currency 2 2 2" xfId="354"/>
    <cellStyle name="Currency 2 2 2 2" xfId="355"/>
    <cellStyle name="Currency 2 2 2 2 2" xfId="356"/>
    <cellStyle name="Currency 2 2 2 2 2 2" xfId="357"/>
    <cellStyle name="Currency 2 2 2 2 2 3" xfId="358"/>
    <cellStyle name="Currency 2 2 2 2 2 4" xfId="359"/>
    <cellStyle name="Currency 2 2 2 2 3" xfId="360"/>
    <cellStyle name="Currency 2 2 2 2 4" xfId="361"/>
    <cellStyle name="Currency 2 2 2 2 5" xfId="362"/>
    <cellStyle name="Currency 2 2 2 3" xfId="363"/>
    <cellStyle name="Currency 2 2 2 3 2" xfId="364"/>
    <cellStyle name="Currency 2 2 2 3 3" xfId="365"/>
    <cellStyle name="Currency 2 2 2 3 4" xfId="366"/>
    <cellStyle name="Currency 2 2 2 4" xfId="367"/>
    <cellStyle name="Currency 2 2 2 5" xfId="368"/>
    <cellStyle name="Currency 2 2 2 6" xfId="369"/>
    <cellStyle name="Currency 2 2 3" xfId="370"/>
    <cellStyle name="Currency 2 2 3 2" xfId="371"/>
    <cellStyle name="Currency 2 2 3 2 2" xfId="372"/>
    <cellStyle name="Currency 2 2 3 2 2 2" xfId="373"/>
    <cellStyle name="Currency 2 2 3 2 2 3" xfId="374"/>
    <cellStyle name="Currency 2 2 3 2 2 4" xfId="375"/>
    <cellStyle name="Currency 2 2 3 2 3" xfId="376"/>
    <cellStyle name="Currency 2 2 3 2 4" xfId="377"/>
    <cellStyle name="Currency 2 2 3 2 5" xfId="378"/>
    <cellStyle name="Currency 2 2 3 3" xfId="379"/>
    <cellStyle name="Currency 2 2 3 3 2" xfId="380"/>
    <cellStyle name="Currency 2 2 3 3 3" xfId="381"/>
    <cellStyle name="Currency 2 2 3 3 4" xfId="382"/>
    <cellStyle name="Currency 2 2 3 4" xfId="383"/>
    <cellStyle name="Currency 2 2 3 5" xfId="384"/>
    <cellStyle name="Currency 2 2 3 6" xfId="385"/>
    <cellStyle name="Currency 2 2 4" xfId="386"/>
    <cellStyle name="Currency 2 2 4 2" xfId="387"/>
    <cellStyle name="Currency 2 2 4 2 2" xfId="388"/>
    <cellStyle name="Currency 2 2 4 2 2 2" xfId="389"/>
    <cellStyle name="Currency 2 2 4 2 2 3" xfId="390"/>
    <cellStyle name="Currency 2 2 4 2 2 4" xfId="391"/>
    <cellStyle name="Currency 2 2 4 2 3" xfId="392"/>
    <cellStyle name="Currency 2 2 4 2 4" xfId="393"/>
    <cellStyle name="Currency 2 2 4 2 5" xfId="394"/>
    <cellStyle name="Currency 2 2 4 3" xfId="395"/>
    <cellStyle name="Currency 2 2 4 3 2" xfId="396"/>
    <cellStyle name="Currency 2 2 4 3 3" xfId="397"/>
    <cellStyle name="Currency 2 2 4 3 4" xfId="398"/>
    <cellStyle name="Currency 2 2 4 4" xfId="399"/>
    <cellStyle name="Currency 2 2 4 5" xfId="400"/>
    <cellStyle name="Currency 2 2 4 6" xfId="401"/>
    <cellStyle name="Currency 2 2 5" xfId="402"/>
    <cellStyle name="Currency 2 2 5 2" xfId="403"/>
    <cellStyle name="Currency 2 2 5 2 2" xfId="404"/>
    <cellStyle name="Currency 2 2 5 2 3" xfId="405"/>
    <cellStyle name="Currency 2 2 5 2 4" xfId="406"/>
    <cellStyle name="Currency 2 2 5 3" xfId="407"/>
    <cellStyle name="Currency 2 2 5 4" xfId="408"/>
    <cellStyle name="Currency 2 2 5 5" xfId="409"/>
    <cellStyle name="Currency 2 2 6" xfId="410"/>
    <cellStyle name="Currency 2 2 6 2" xfId="411"/>
    <cellStyle name="Currency 2 2 6 3" xfId="412"/>
    <cellStyle name="Currency 2 2 6 4" xfId="413"/>
    <cellStyle name="Currency 2 2 7" xfId="414"/>
    <cellStyle name="Currency 2 2 8" xfId="415"/>
    <cellStyle name="Currency 2 2 9" xfId="416"/>
    <cellStyle name="Currency 2 3" xfId="417"/>
    <cellStyle name="Currency 2 3 2" xfId="418"/>
    <cellStyle name="Currency 2 3 2 2" xfId="419"/>
    <cellStyle name="Currency 2 3 2 2 2" xfId="420"/>
    <cellStyle name="Currency 2 3 2 2 3" xfId="421"/>
    <cellStyle name="Currency 2 3 2 2 4" xfId="422"/>
    <cellStyle name="Currency 2 3 2 3" xfId="423"/>
    <cellStyle name="Currency 2 3 2 4" xfId="424"/>
    <cellStyle name="Currency 2 3 2 5" xfId="425"/>
    <cellStyle name="Currency 2 3 3" xfId="426"/>
    <cellStyle name="Currency 2 3 3 2" xfId="427"/>
    <cellStyle name="Currency 2 3 3 3" xfId="428"/>
    <cellStyle name="Currency 2 3 3 4" xfId="429"/>
    <cellStyle name="Currency 2 3 4" xfId="430"/>
    <cellStyle name="Currency 2 3 5" xfId="431"/>
    <cellStyle name="Currency 2 3 6" xfId="432"/>
    <cellStyle name="Currency 2 3 7" xfId="433"/>
    <cellStyle name="Currency 2 4" xfId="434"/>
    <cellStyle name="Currency 2 4 2" xfId="435"/>
    <cellStyle name="Currency 2 4 2 2" xfId="436"/>
    <cellStyle name="Currency 2 4 2 2 2" xfId="437"/>
    <cellStyle name="Currency 2 4 2 2 3" xfId="438"/>
    <cellStyle name="Currency 2 4 2 2 4" xfId="439"/>
    <cellStyle name="Currency 2 4 2 3" xfId="440"/>
    <cellStyle name="Currency 2 4 2 4" xfId="441"/>
    <cellStyle name="Currency 2 4 2 5" xfId="442"/>
    <cellStyle name="Currency 2 4 3" xfId="443"/>
    <cellStyle name="Currency 2 4 3 2" xfId="444"/>
    <cellStyle name="Currency 2 4 3 3" xfId="445"/>
    <cellStyle name="Currency 2 4 3 4" xfId="446"/>
    <cellStyle name="Currency 2 4 4" xfId="447"/>
    <cellStyle name="Currency 2 4 5" xfId="448"/>
    <cellStyle name="Currency 2 4 6" xfId="449"/>
    <cellStyle name="Currency 2 5" xfId="450"/>
    <cellStyle name="Currency 2 5 2" xfId="451"/>
    <cellStyle name="Currency 2 5 2 2" xfId="452"/>
    <cellStyle name="Currency 2 5 2 2 2" xfId="453"/>
    <cellStyle name="Currency 2 5 2 2 3" xfId="454"/>
    <cellStyle name="Currency 2 5 2 2 4" xfId="455"/>
    <cellStyle name="Currency 2 5 2 3" xfId="456"/>
    <cellStyle name="Currency 2 5 2 4" xfId="457"/>
    <cellStyle name="Currency 2 5 2 5" xfId="458"/>
    <cellStyle name="Currency 2 5 3" xfId="459"/>
    <cellStyle name="Currency 2 5 3 2" xfId="460"/>
    <cellStyle name="Currency 2 5 3 3" xfId="461"/>
    <cellStyle name="Currency 2 5 3 4" xfId="462"/>
    <cellStyle name="Currency 2 5 4" xfId="463"/>
    <cellStyle name="Currency 2 5 5" xfId="464"/>
    <cellStyle name="Currency 2 5 6" xfId="465"/>
    <cellStyle name="Currency 2 6" xfId="466"/>
    <cellStyle name="Currency 2 6 2" xfId="467"/>
    <cellStyle name="Currency 2 6 2 2" xfId="468"/>
    <cellStyle name="Currency 2 6 2 2 2" xfId="469"/>
    <cellStyle name="Currency 2 6 2 2 3" xfId="470"/>
    <cellStyle name="Currency 2 6 2 2 4" xfId="471"/>
    <cellStyle name="Currency 2 6 2 3" xfId="472"/>
    <cellStyle name="Currency 2 6 2 4" xfId="473"/>
    <cellStyle name="Currency 2 6 2 5" xfId="474"/>
    <cellStyle name="Currency 2 6 3" xfId="475"/>
    <cellStyle name="Currency 2 6 3 2" xfId="476"/>
    <cellStyle name="Currency 2 6 3 3" xfId="477"/>
    <cellStyle name="Currency 2 6 3 4" xfId="478"/>
    <cellStyle name="Currency 2 6 4" xfId="479"/>
    <cellStyle name="Currency 2 6 5" xfId="480"/>
    <cellStyle name="Currency 2 6 6" xfId="481"/>
    <cellStyle name="Currency 2 7" xfId="482"/>
    <cellStyle name="Currency 2 7 2" xfId="483"/>
    <cellStyle name="Currency 2 7 2 2" xfId="484"/>
    <cellStyle name="Currency 2 7 2 2 2" xfId="485"/>
    <cellStyle name="Currency 2 7 2 2 3" xfId="486"/>
    <cellStyle name="Currency 2 7 2 2 4" xfId="487"/>
    <cellStyle name="Currency 2 7 2 3" xfId="488"/>
    <cellStyle name="Currency 2 7 2 4" xfId="489"/>
    <cellStyle name="Currency 2 7 2 5" xfId="490"/>
    <cellStyle name="Currency 2 7 3" xfId="491"/>
    <cellStyle name="Currency 2 7 3 2" xfId="492"/>
    <cellStyle name="Currency 2 7 3 3" xfId="493"/>
    <cellStyle name="Currency 2 7 3 4" xfId="494"/>
    <cellStyle name="Currency 2 7 4" xfId="495"/>
    <cellStyle name="Currency 2 7 5" xfId="496"/>
    <cellStyle name="Currency 2 7 6" xfId="497"/>
    <cellStyle name="Currency 2 8" xfId="498"/>
    <cellStyle name="Currency 2 8 2" xfId="499"/>
    <cellStyle name="Currency 2 8 2 2" xfId="500"/>
    <cellStyle name="Currency 2 8 2 3" xfId="501"/>
    <cellStyle name="Currency 2 8 2 4" xfId="502"/>
    <cellStyle name="Currency 2 8 3" xfId="503"/>
    <cellStyle name="Currency 2 8 4" xfId="504"/>
    <cellStyle name="Currency 2 8 5" xfId="505"/>
    <cellStyle name="Currency 2 9" xfId="506"/>
    <cellStyle name="Currency 2 9 2" xfId="507"/>
    <cellStyle name="Currency 2 9 3" xfId="508"/>
    <cellStyle name="Currency 2 9 4" xfId="509"/>
    <cellStyle name="Currency 3" xfId="510"/>
    <cellStyle name="Currency 3 2" xfId="511"/>
    <cellStyle name="Currency 3 3" xfId="512"/>
    <cellStyle name="Currency 4" xfId="513"/>
    <cellStyle name="Currency 4 2" xfId="514"/>
    <cellStyle name="Currency 4 3" xfId="515"/>
    <cellStyle name="Currency 5" xfId="516"/>
    <cellStyle name="Currency 5 2" xfId="517"/>
    <cellStyle name="Currency 5 2 2" xfId="518"/>
    <cellStyle name="Currency 5 2 2 2" xfId="519"/>
    <cellStyle name="Currency 5 2 2 3" xfId="520"/>
    <cellStyle name="Currency 5 2 2 4" xfId="521"/>
    <cellStyle name="Currency 5 2 3" xfId="522"/>
    <cellStyle name="Currency 5 2 4" xfId="523"/>
    <cellStyle name="Currency 5 2 5" xfId="524"/>
    <cellStyle name="Currency 5 3" xfId="525"/>
    <cellStyle name="Currency 5 3 2" xfId="526"/>
    <cellStyle name="Currency 5 3 3" xfId="527"/>
    <cellStyle name="Currency 5 3 4" xfId="528"/>
    <cellStyle name="Currency 5 4" xfId="529"/>
    <cellStyle name="Currency 5 5" xfId="530"/>
    <cellStyle name="Currency 5 6" xfId="531"/>
    <cellStyle name="Currency 5 7" xfId="532"/>
    <cellStyle name="Currency 6" xfId="533"/>
    <cellStyle name="Currency 6 2" xfId="534"/>
    <cellStyle name="Currency 6 3" xfId="535"/>
    <cellStyle name="Currency 7" xfId="536"/>
    <cellStyle name="Currency 7 2" xfId="537"/>
    <cellStyle name="Currency 7 3" xfId="538"/>
    <cellStyle name="Currency 8" xfId="539"/>
    <cellStyle name="Currency 8 2" xfId="540"/>
    <cellStyle name="Currency 8 3" xfId="541"/>
    <cellStyle name="Currency 9" xfId="542"/>
    <cellStyle name="Currency 9 2" xfId="543"/>
    <cellStyle name="Currency 9 3" xfId="544"/>
    <cellStyle name="Currency0" xfId="545"/>
    <cellStyle name="Date" xfId="546"/>
    <cellStyle name="Explanatory Text" xfId="547"/>
    <cellStyle name="Explanatory Text 2" xfId="548"/>
    <cellStyle name="Fixed" xfId="549"/>
    <cellStyle name="Good" xfId="550"/>
    <cellStyle name="Heading 1" xfId="551"/>
    <cellStyle name="Heading 1 2" xfId="552"/>
    <cellStyle name="Heading 1 2 2" xfId="553"/>
    <cellStyle name="Heading 1 2 3" xfId="554"/>
    <cellStyle name="Heading 1 3" xfId="555"/>
    <cellStyle name="Heading 2" xfId="556"/>
    <cellStyle name="Heading 2 2" xfId="557"/>
    <cellStyle name="Heading 2 2 2" xfId="558"/>
    <cellStyle name="Heading 2 2 3" xfId="559"/>
    <cellStyle name="Heading 2 3" xfId="560"/>
    <cellStyle name="Heading 3" xfId="561"/>
    <cellStyle name="Heading 4" xfId="562"/>
    <cellStyle name="Hyperlink" xfId="563"/>
    <cellStyle name="Input" xfId="564"/>
    <cellStyle name="Linked Cell" xfId="565"/>
    <cellStyle name="Neutral" xfId="566"/>
    <cellStyle name="Normal 10" xfId="567"/>
    <cellStyle name="Normal 10 2" xfId="568"/>
    <cellStyle name="Normal 10 3" xfId="569"/>
    <cellStyle name="Normal 11" xfId="570"/>
    <cellStyle name="Normal 11 2" xfId="571"/>
    <cellStyle name="Normal 11 2 2" xfId="572"/>
    <cellStyle name="Normal 11 2 3" xfId="573"/>
    <cellStyle name="Normal 11 3" xfId="574"/>
    <cellStyle name="Normal 11 4" xfId="575"/>
    <cellStyle name="Normal 12" xfId="576"/>
    <cellStyle name="Normal 12 2" xfId="577"/>
    <cellStyle name="Normal 12 2 2" xfId="578"/>
    <cellStyle name="Normal 12 2 2 2" xfId="579"/>
    <cellStyle name="Normal 12 2 2 3" xfId="580"/>
    <cellStyle name="Normal 12 2 2 4" xfId="581"/>
    <cellStyle name="Normal 12 2 2 5" xfId="582"/>
    <cellStyle name="Normal 12 2 3" xfId="583"/>
    <cellStyle name="Normal 12 2 4" xfId="584"/>
    <cellStyle name="Normal 12 2 5" xfId="585"/>
    <cellStyle name="Normal 12 2 6" xfId="586"/>
    <cellStyle name="Normal 12 3" xfId="587"/>
    <cellStyle name="Normal 12 3 2" xfId="588"/>
    <cellStyle name="Normal 12 3 2 2" xfId="589"/>
    <cellStyle name="Normal 12 3 3" xfId="590"/>
    <cellStyle name="Normal 12 3 4" xfId="591"/>
    <cellStyle name="Normal 12 3 5" xfId="592"/>
    <cellStyle name="Normal 12 4" xfId="593"/>
    <cellStyle name="Normal 12 4 2" xfId="594"/>
    <cellStyle name="Normal 12 5" xfId="595"/>
    <cellStyle name="Normal 12 6" xfId="596"/>
    <cellStyle name="Normal 12 7" xfId="597"/>
    <cellStyle name="Normal 13" xfId="598"/>
    <cellStyle name="Normal 13 2" xfId="599"/>
    <cellStyle name="Normal 13 2 2" xfId="600"/>
    <cellStyle name="Normal 13 2 2 2" xfId="601"/>
    <cellStyle name="Normal 13 2 2 3" xfId="602"/>
    <cellStyle name="Normal 13 2 2 4" xfId="603"/>
    <cellStyle name="Normal 13 2 3" xfId="604"/>
    <cellStyle name="Normal 13 2 4" xfId="605"/>
    <cellStyle name="Normal 13 2 5" xfId="606"/>
    <cellStyle name="Normal 13 3" xfId="607"/>
    <cellStyle name="Normal 13 3 2" xfId="608"/>
    <cellStyle name="Normal 13 3 3" xfId="609"/>
    <cellStyle name="Normal 13 3 4" xfId="610"/>
    <cellStyle name="Normal 13 4" xfId="611"/>
    <cellStyle name="Normal 13 5" xfId="612"/>
    <cellStyle name="Normal 13 6" xfId="613"/>
    <cellStyle name="Normal 14" xfId="614"/>
    <cellStyle name="Normal 14 2" xfId="615"/>
    <cellStyle name="Normal 14 2 2" xfId="616"/>
    <cellStyle name="Normal 14 2 2 2" xfId="617"/>
    <cellStyle name="Normal 14 2 2 3" xfId="618"/>
    <cellStyle name="Normal 14 2 2 4" xfId="619"/>
    <cellStyle name="Normal 14 2 3" xfId="620"/>
    <cellStyle name="Normal 14 2 4" xfId="621"/>
    <cellStyle name="Normal 14 2 5" xfId="622"/>
    <cellStyle name="Normal 14 3" xfId="623"/>
    <cellStyle name="Normal 14 3 2" xfId="624"/>
    <cellStyle name="Normal 14 3 3" xfId="625"/>
    <cellStyle name="Normal 14 3 4" xfId="626"/>
    <cellStyle name="Normal 14 4" xfId="627"/>
    <cellStyle name="Normal 14 5" xfId="628"/>
    <cellStyle name="Normal 14 6" xfId="629"/>
    <cellStyle name="Normal 15" xfId="630"/>
    <cellStyle name="Normal 15 2" xfId="631"/>
    <cellStyle name="Normal 15 2 2" xfId="632"/>
    <cellStyle name="Normal 15 2 2 2" xfId="633"/>
    <cellStyle name="Normal 15 2 2 3" xfId="634"/>
    <cellStyle name="Normal 15 2 2 4" xfId="635"/>
    <cellStyle name="Normal 15 2 3" xfId="636"/>
    <cellStyle name="Normal 15 2 4" xfId="637"/>
    <cellStyle name="Normal 15 2 5" xfId="638"/>
    <cellStyle name="Normal 15 3" xfId="639"/>
    <cellStyle name="Normal 15 3 2" xfId="640"/>
    <cellStyle name="Normal 15 3 3" xfId="641"/>
    <cellStyle name="Normal 15 3 4" xfId="642"/>
    <cellStyle name="Normal 15 4" xfId="643"/>
    <cellStyle name="Normal 15 5" xfId="644"/>
    <cellStyle name="Normal 15 6" xfId="645"/>
    <cellStyle name="Normal 16" xfId="646"/>
    <cellStyle name="Normal 16 2" xfId="647"/>
    <cellStyle name="Normal 16 2 2" xfId="648"/>
    <cellStyle name="Normal 16 2 3" xfId="649"/>
    <cellStyle name="Normal 16 3" xfId="650"/>
    <cellStyle name="Normal 16 4" xfId="651"/>
    <cellStyle name="Normal 16 5" xfId="652"/>
    <cellStyle name="Normal 17" xfId="653"/>
    <cellStyle name="Normal 17 2" xfId="654"/>
    <cellStyle name="Normal 17 3" xfId="655"/>
    <cellStyle name="Normal 18" xfId="656"/>
    <cellStyle name="Normal 18 2" xfId="657"/>
    <cellStyle name="Normal 18 3" xfId="658"/>
    <cellStyle name="Normal 18 4" xfId="659"/>
    <cellStyle name="Normal 19" xfId="660"/>
    <cellStyle name="Normal 19 2" xfId="661"/>
    <cellStyle name="Normal 19 3" xfId="662"/>
    <cellStyle name="Normal 2" xfId="663"/>
    <cellStyle name="Normal 2 2" xfId="664"/>
    <cellStyle name="Normal 2 3" xfId="665"/>
    <cellStyle name="Normal 20" xfId="666"/>
    <cellStyle name="Normal 20 2" xfId="667"/>
    <cellStyle name="Normal 21" xfId="668"/>
    <cellStyle name="Normal 22" xfId="669"/>
    <cellStyle name="Normal 23" xfId="670"/>
    <cellStyle name="Normal 24" xfId="671"/>
    <cellStyle name="Normal 25" xfId="672"/>
    <cellStyle name="Normal 26" xfId="673"/>
    <cellStyle name="Normal 27" xfId="674"/>
    <cellStyle name="Normal 3" xfId="675"/>
    <cellStyle name="Normal 3 10" xfId="676"/>
    <cellStyle name="Normal 3 10 2" xfId="677"/>
    <cellStyle name="Normal 3 11" xfId="678"/>
    <cellStyle name="Normal 3 12" xfId="679"/>
    <cellStyle name="Normal 3 13" xfId="680"/>
    <cellStyle name="Normal 3 14" xfId="681"/>
    <cellStyle name="Normal 3 15" xfId="682"/>
    <cellStyle name="Normal 3 16" xfId="683"/>
    <cellStyle name="Normal 3 2" xfId="684"/>
    <cellStyle name="Normal 3 2 10" xfId="685"/>
    <cellStyle name="Normal 3 2 11" xfId="686"/>
    <cellStyle name="Normal 3 2 12" xfId="687"/>
    <cellStyle name="Normal 3 2 2" xfId="688"/>
    <cellStyle name="Normal 3 2 2 2" xfId="689"/>
    <cellStyle name="Normal 3 2 2 2 2" xfId="690"/>
    <cellStyle name="Normal 3 2 2 2 2 2" xfId="691"/>
    <cellStyle name="Normal 3 2 2 2 2 3" xfId="692"/>
    <cellStyle name="Normal 3 2 2 2 2 4" xfId="693"/>
    <cellStyle name="Normal 3 2 2 2 3" xfId="694"/>
    <cellStyle name="Normal 3 2 2 2 4" xfId="695"/>
    <cellStyle name="Normal 3 2 2 2 5" xfId="696"/>
    <cellStyle name="Normal 3 2 2 3" xfId="697"/>
    <cellStyle name="Normal 3 2 2 3 2" xfId="698"/>
    <cellStyle name="Normal 3 2 2 3 3" xfId="699"/>
    <cellStyle name="Normal 3 2 2 3 4" xfId="700"/>
    <cellStyle name="Normal 3 2 2 4" xfId="701"/>
    <cellStyle name="Normal 3 2 2 5" xfId="702"/>
    <cellStyle name="Normal 3 2 2 6" xfId="703"/>
    <cellStyle name="Normal 3 2 2 7" xfId="704"/>
    <cellStyle name="Normal 3 2 3" xfId="705"/>
    <cellStyle name="Normal 3 2 3 2" xfId="706"/>
    <cellStyle name="Normal 3 2 3 2 2" xfId="707"/>
    <cellStyle name="Normal 3 2 3 2 2 2" xfId="708"/>
    <cellStyle name="Normal 3 2 3 2 2 3" xfId="709"/>
    <cellStyle name="Normal 3 2 3 2 2 4" xfId="710"/>
    <cellStyle name="Normal 3 2 3 2 3" xfId="711"/>
    <cellStyle name="Normal 3 2 3 2 4" xfId="712"/>
    <cellStyle name="Normal 3 2 3 2 5" xfId="713"/>
    <cellStyle name="Normal 3 2 3 3" xfId="714"/>
    <cellStyle name="Normal 3 2 3 3 2" xfId="715"/>
    <cellStyle name="Normal 3 2 3 3 3" xfId="716"/>
    <cellStyle name="Normal 3 2 3 3 4" xfId="717"/>
    <cellStyle name="Normal 3 2 3 4" xfId="718"/>
    <cellStyle name="Normal 3 2 3 5" xfId="719"/>
    <cellStyle name="Normal 3 2 3 6" xfId="720"/>
    <cellStyle name="Normal 3 2 4" xfId="721"/>
    <cellStyle name="Normal 3 2 4 2" xfId="722"/>
    <cellStyle name="Normal 3 2 4 2 2" xfId="723"/>
    <cellStyle name="Normal 3 2 4 2 2 2" xfId="724"/>
    <cellStyle name="Normal 3 2 4 2 2 3" xfId="725"/>
    <cellStyle name="Normal 3 2 4 2 2 4" xfId="726"/>
    <cellStyle name="Normal 3 2 4 2 3" xfId="727"/>
    <cellStyle name="Normal 3 2 4 2 4" xfId="728"/>
    <cellStyle name="Normal 3 2 4 2 5" xfId="729"/>
    <cellStyle name="Normal 3 2 4 3" xfId="730"/>
    <cellStyle name="Normal 3 2 4 3 2" xfId="731"/>
    <cellStyle name="Normal 3 2 4 3 3" xfId="732"/>
    <cellStyle name="Normal 3 2 4 3 4" xfId="733"/>
    <cellStyle name="Normal 3 2 4 4" xfId="734"/>
    <cellStyle name="Normal 3 2 4 5" xfId="735"/>
    <cellStyle name="Normal 3 2 4 6" xfId="736"/>
    <cellStyle name="Normal 3 2 5" xfId="737"/>
    <cellStyle name="Normal 3 2 5 2" xfId="738"/>
    <cellStyle name="Normal 3 2 5 2 2" xfId="739"/>
    <cellStyle name="Normal 3 2 5 2 3" xfId="740"/>
    <cellStyle name="Normal 3 2 5 2 4" xfId="741"/>
    <cellStyle name="Normal 3 2 5 3" xfId="742"/>
    <cellStyle name="Normal 3 2 5 4" xfId="743"/>
    <cellStyle name="Normal 3 2 5 5" xfId="744"/>
    <cellStyle name="Normal 3 2 6" xfId="745"/>
    <cellStyle name="Normal 3 2 6 2" xfId="746"/>
    <cellStyle name="Normal 3 2 6 3" xfId="747"/>
    <cellStyle name="Normal 3 2 6 4" xfId="748"/>
    <cellStyle name="Normal 3 2 7" xfId="749"/>
    <cellStyle name="Normal 3 2 7 2" xfId="750"/>
    <cellStyle name="Normal 3 2 8" xfId="751"/>
    <cellStyle name="Normal 3 2 9" xfId="752"/>
    <cellStyle name="Normal 3 3" xfId="753"/>
    <cellStyle name="Normal 3 3 2" xfId="754"/>
    <cellStyle name="Normal 3 3 2 2" xfId="755"/>
    <cellStyle name="Normal 3 3 2 2 2" xfId="756"/>
    <cellStyle name="Normal 3 3 2 2 3" xfId="757"/>
    <cellStyle name="Normal 3 3 2 2 4" xfId="758"/>
    <cellStyle name="Normal 3 3 2 3" xfId="759"/>
    <cellStyle name="Normal 3 3 2 4" xfId="760"/>
    <cellStyle name="Normal 3 3 2 5" xfId="761"/>
    <cellStyle name="Normal 3 3 3" xfId="762"/>
    <cellStyle name="Normal 3 3 3 2" xfId="763"/>
    <cellStyle name="Normal 3 3 3 3" xfId="764"/>
    <cellStyle name="Normal 3 3 3 4" xfId="765"/>
    <cellStyle name="Normal 3 3 4" xfId="766"/>
    <cellStyle name="Normal 3 3 5" xfId="767"/>
    <cellStyle name="Normal 3 3 6" xfId="768"/>
    <cellStyle name="Normal 3 3 7" xfId="769"/>
    <cellStyle name="Normal 3 4" xfId="770"/>
    <cellStyle name="Normal 3 4 2" xfId="771"/>
    <cellStyle name="Normal 3 4 2 2" xfId="772"/>
    <cellStyle name="Normal 3 4 2 2 2" xfId="773"/>
    <cellStyle name="Normal 3 4 2 2 3" xfId="774"/>
    <cellStyle name="Normal 3 4 2 2 4" xfId="775"/>
    <cellStyle name="Normal 3 4 2 3" xfId="776"/>
    <cellStyle name="Normal 3 4 2 4" xfId="777"/>
    <cellStyle name="Normal 3 4 2 5" xfId="778"/>
    <cellStyle name="Normal 3 4 3" xfId="779"/>
    <cellStyle name="Normal 3 4 3 2" xfId="780"/>
    <cellStyle name="Normal 3 4 3 3" xfId="781"/>
    <cellStyle name="Normal 3 4 3 4" xfId="782"/>
    <cellStyle name="Normal 3 4 4" xfId="783"/>
    <cellStyle name="Normal 3 4 5" xfId="784"/>
    <cellStyle name="Normal 3 4 6" xfId="785"/>
    <cellStyle name="Normal 3 4 7" xfId="786"/>
    <cellStyle name="Normal 3 5" xfId="787"/>
    <cellStyle name="Normal 3 5 2" xfId="788"/>
    <cellStyle name="Normal 3 5 2 2" xfId="789"/>
    <cellStyle name="Normal 3 5 2 2 2" xfId="790"/>
    <cellStyle name="Normal 3 5 2 2 3" xfId="791"/>
    <cellStyle name="Normal 3 5 2 2 4" xfId="792"/>
    <cellStyle name="Normal 3 5 2 3" xfId="793"/>
    <cellStyle name="Normal 3 5 2 4" xfId="794"/>
    <cellStyle name="Normal 3 5 2 5" xfId="795"/>
    <cellStyle name="Normal 3 5 3" xfId="796"/>
    <cellStyle name="Normal 3 5 3 2" xfId="797"/>
    <cellStyle name="Normal 3 5 3 3" xfId="798"/>
    <cellStyle name="Normal 3 5 3 4" xfId="799"/>
    <cellStyle name="Normal 3 5 4" xfId="800"/>
    <cellStyle name="Normal 3 5 5" xfId="801"/>
    <cellStyle name="Normal 3 5 6" xfId="802"/>
    <cellStyle name="Normal 3 6" xfId="803"/>
    <cellStyle name="Normal 3 6 2" xfId="804"/>
    <cellStyle name="Normal 3 6 2 2" xfId="805"/>
    <cellStyle name="Normal 3 6 2 2 2" xfId="806"/>
    <cellStyle name="Normal 3 6 2 2 3" xfId="807"/>
    <cellStyle name="Normal 3 6 2 2 4" xfId="808"/>
    <cellStyle name="Normal 3 6 2 3" xfId="809"/>
    <cellStyle name="Normal 3 6 2 4" xfId="810"/>
    <cellStyle name="Normal 3 6 2 5" xfId="811"/>
    <cellStyle name="Normal 3 6 3" xfId="812"/>
    <cellStyle name="Normal 3 6 3 2" xfId="813"/>
    <cellStyle name="Normal 3 6 3 3" xfId="814"/>
    <cellStyle name="Normal 3 6 3 4" xfId="815"/>
    <cellStyle name="Normal 3 6 4" xfId="816"/>
    <cellStyle name="Normal 3 6 5" xfId="817"/>
    <cellStyle name="Normal 3 6 6" xfId="818"/>
    <cellStyle name="Normal 3 7" xfId="819"/>
    <cellStyle name="Normal 3 7 2" xfId="820"/>
    <cellStyle name="Normal 3 7 2 2" xfId="821"/>
    <cellStyle name="Normal 3 7 2 2 2" xfId="822"/>
    <cellStyle name="Normal 3 7 2 2 3" xfId="823"/>
    <cellStyle name="Normal 3 7 2 2 4" xfId="824"/>
    <cellStyle name="Normal 3 7 2 3" xfId="825"/>
    <cellStyle name="Normal 3 7 2 4" xfId="826"/>
    <cellStyle name="Normal 3 7 2 5" xfId="827"/>
    <cellStyle name="Normal 3 7 3" xfId="828"/>
    <cellStyle name="Normal 3 7 3 2" xfId="829"/>
    <cellStyle name="Normal 3 7 3 3" xfId="830"/>
    <cellStyle name="Normal 3 7 3 4" xfId="831"/>
    <cellStyle name="Normal 3 7 4" xfId="832"/>
    <cellStyle name="Normal 3 7 5" xfId="833"/>
    <cellStyle name="Normal 3 7 6" xfId="834"/>
    <cellStyle name="Normal 3 8" xfId="835"/>
    <cellStyle name="Normal 3 8 2" xfId="836"/>
    <cellStyle name="Normal 3 8 2 2" xfId="837"/>
    <cellStyle name="Normal 3 8 2 3" xfId="838"/>
    <cellStyle name="Normal 3 8 2 4" xfId="839"/>
    <cellStyle name="Normal 3 8 3" xfId="840"/>
    <cellStyle name="Normal 3 8 4" xfId="841"/>
    <cellStyle name="Normal 3 8 5" xfId="842"/>
    <cellStyle name="Normal 3 9" xfId="843"/>
    <cellStyle name="Normal 3 9 2" xfId="844"/>
    <cellStyle name="Normal 3 9 3" xfId="845"/>
    <cellStyle name="Normal 3 9 4" xfId="846"/>
    <cellStyle name="Normal 4" xfId="847"/>
    <cellStyle name="Normal 4 2" xfId="848"/>
    <cellStyle name="Normal 4 2 2" xfId="849"/>
    <cellStyle name="Normal 4 2 3" xfId="850"/>
    <cellStyle name="Normal 4 3" xfId="851"/>
    <cellStyle name="Normal 4 3 2" xfId="852"/>
    <cellStyle name="Normal 4 3 2 2" xfId="853"/>
    <cellStyle name="Normal 4 3 2 3" xfId="854"/>
    <cellStyle name="Normal 4 3 3" xfId="855"/>
    <cellStyle name="Normal 4 3 4" xfId="856"/>
    <cellStyle name="Normal 4 4" xfId="857"/>
    <cellStyle name="Normal 4 4 2" xfId="858"/>
    <cellStyle name="Normal 4 4 2 2" xfId="859"/>
    <cellStyle name="Normal 4 4 2 3" xfId="860"/>
    <cellStyle name="Normal 4 4 3" xfId="861"/>
    <cellStyle name="Normal 4 4 4" xfId="862"/>
    <cellStyle name="Normal 4 4 5" xfId="863"/>
    <cellStyle name="Normal 5" xfId="864"/>
    <cellStyle name="Normal 5 10" xfId="865"/>
    <cellStyle name="Normal 5 11" xfId="866"/>
    <cellStyle name="Normal 5 12" xfId="867"/>
    <cellStyle name="Normal 5 2" xfId="868"/>
    <cellStyle name="Normal 5 2 2" xfId="869"/>
    <cellStyle name="Normal 5 2 2 2" xfId="870"/>
    <cellStyle name="Normal 5 2 2 2 2" xfId="871"/>
    <cellStyle name="Normal 5 2 2 2 3" xfId="872"/>
    <cellStyle name="Normal 5 2 2 2 4" xfId="873"/>
    <cellStyle name="Normal 5 2 2 3" xfId="874"/>
    <cellStyle name="Normal 5 2 2 4" xfId="875"/>
    <cellStyle name="Normal 5 2 2 5" xfId="876"/>
    <cellStyle name="Normal 5 2 3" xfId="877"/>
    <cellStyle name="Normal 5 2 3 2" xfId="878"/>
    <cellStyle name="Normal 5 2 3 3" xfId="879"/>
    <cellStyle name="Normal 5 2 3 4" xfId="880"/>
    <cellStyle name="Normal 5 2 4" xfId="881"/>
    <cellStyle name="Normal 5 2 5" xfId="882"/>
    <cellStyle name="Normal 5 2 6" xfId="883"/>
    <cellStyle name="Normal 5 2 7" xfId="884"/>
    <cellStyle name="Normal 5 3" xfId="885"/>
    <cellStyle name="Normal 5 3 2" xfId="886"/>
    <cellStyle name="Normal 5 3 2 2" xfId="887"/>
    <cellStyle name="Normal 5 3 2 2 2" xfId="888"/>
    <cellStyle name="Normal 5 3 2 2 3" xfId="889"/>
    <cellStyle name="Normal 5 3 2 2 4" xfId="890"/>
    <cellStyle name="Normal 5 3 2 3" xfId="891"/>
    <cellStyle name="Normal 5 3 2 4" xfId="892"/>
    <cellStyle name="Normal 5 3 2 5" xfId="893"/>
    <cellStyle name="Normal 5 3 3" xfId="894"/>
    <cellStyle name="Normal 5 3 3 2" xfId="895"/>
    <cellStyle name="Normal 5 3 3 3" xfId="896"/>
    <cellStyle name="Normal 5 3 3 4" xfId="897"/>
    <cellStyle name="Normal 5 3 4" xfId="898"/>
    <cellStyle name="Normal 5 3 5" xfId="899"/>
    <cellStyle name="Normal 5 3 6" xfId="900"/>
    <cellStyle name="Normal 5 4" xfId="901"/>
    <cellStyle name="Normal 5 4 2" xfId="902"/>
    <cellStyle name="Normal 5 4 2 2" xfId="903"/>
    <cellStyle name="Normal 5 4 2 2 2" xfId="904"/>
    <cellStyle name="Normal 5 4 2 2 3" xfId="905"/>
    <cellStyle name="Normal 5 4 2 2 4" xfId="906"/>
    <cellStyle name="Normal 5 4 2 3" xfId="907"/>
    <cellStyle name="Normal 5 4 2 4" xfId="908"/>
    <cellStyle name="Normal 5 4 2 5" xfId="909"/>
    <cellStyle name="Normal 5 4 3" xfId="910"/>
    <cellStyle name="Normal 5 4 3 2" xfId="911"/>
    <cellStyle name="Normal 5 4 3 3" xfId="912"/>
    <cellStyle name="Normal 5 4 3 4" xfId="913"/>
    <cellStyle name="Normal 5 4 4" xfId="914"/>
    <cellStyle name="Normal 5 4 5" xfId="915"/>
    <cellStyle name="Normal 5 4 6" xfId="916"/>
    <cellStyle name="Normal 5 5" xfId="917"/>
    <cellStyle name="Normal 5 5 2" xfId="918"/>
    <cellStyle name="Normal 5 5 2 2" xfId="919"/>
    <cellStyle name="Normal 5 5 2 3" xfId="920"/>
    <cellStyle name="Normal 5 5 2 4" xfId="921"/>
    <cellStyle name="Normal 5 5 3" xfId="922"/>
    <cellStyle name="Normal 5 5 4" xfId="923"/>
    <cellStyle name="Normal 5 5 5" xfId="924"/>
    <cellStyle name="Normal 5 6" xfId="925"/>
    <cellStyle name="Normal 5 6 2" xfId="926"/>
    <cellStyle name="Normal 5 6 3" xfId="927"/>
    <cellStyle name="Normal 5 6 4" xfId="928"/>
    <cellStyle name="Normal 5 7" xfId="929"/>
    <cellStyle name="Normal 5 7 2" xfId="930"/>
    <cellStyle name="Normal 5 8" xfId="931"/>
    <cellStyle name="Normal 5 9" xfId="932"/>
    <cellStyle name="Normal 6" xfId="933"/>
    <cellStyle name="Normal 6 2" xfId="934"/>
    <cellStyle name="Normal 6 2 2" xfId="935"/>
    <cellStyle name="Normal 6 3" xfId="936"/>
    <cellStyle name="Normal 6 4" xfId="937"/>
    <cellStyle name="Normal 7" xfId="938"/>
    <cellStyle name="Normal 7 2" xfId="939"/>
    <cellStyle name="Normal 7 2 2" xfId="940"/>
    <cellStyle name="Normal 7 2 2 2" xfId="941"/>
    <cellStyle name="Normal 7 2 2 3" xfId="942"/>
    <cellStyle name="Normal 7 2 2 4" xfId="943"/>
    <cellStyle name="Normal 7 2 3" xfId="944"/>
    <cellStyle name="Normal 7 2 4" xfId="945"/>
    <cellStyle name="Normal 7 2 5" xfId="946"/>
    <cellStyle name="Normal 7 3" xfId="947"/>
    <cellStyle name="Normal 7 3 2" xfId="948"/>
    <cellStyle name="Normal 7 3 3" xfId="949"/>
    <cellStyle name="Normal 7 3 4" xfId="950"/>
    <cellStyle name="Normal 7 4" xfId="951"/>
    <cellStyle name="Normal 7 5" xfId="952"/>
    <cellStyle name="Normal 7 6" xfId="953"/>
    <cellStyle name="Normal 7 7" xfId="954"/>
    <cellStyle name="Normal 8" xfId="955"/>
    <cellStyle name="Normal 8 2" xfId="956"/>
    <cellStyle name="Normal 8 3" xfId="957"/>
    <cellStyle name="Normal 8 4" xfId="958"/>
    <cellStyle name="Normal 9" xfId="959"/>
    <cellStyle name="Normal 9 2" xfId="960"/>
    <cellStyle name="Normal 9 3" xfId="961"/>
    <cellStyle name="Normal 9 4" xfId="962"/>
    <cellStyle name="Note" xfId="963"/>
    <cellStyle name="Note 2" xfId="964"/>
    <cellStyle name="Note 2 2" xfId="965"/>
    <cellStyle name="Output" xfId="966"/>
    <cellStyle name="Percent" xfId="967"/>
    <cellStyle name="Percent 10" xfId="968"/>
    <cellStyle name="Percent 10 2" xfId="969"/>
    <cellStyle name="Percent 10 2 2" xfId="970"/>
    <cellStyle name="Percent 10 2 2 2" xfId="971"/>
    <cellStyle name="Percent 10 2 2 3" xfId="972"/>
    <cellStyle name="Percent 10 2 2 4" xfId="973"/>
    <cellStyle name="Percent 10 2 2 5" xfId="974"/>
    <cellStyle name="Percent 10 2 3" xfId="975"/>
    <cellStyle name="Percent 10 2 4" xfId="976"/>
    <cellStyle name="Percent 10 2 5" xfId="977"/>
    <cellStyle name="Percent 10 2 6" xfId="978"/>
    <cellStyle name="Percent 10 3" xfId="979"/>
    <cellStyle name="Percent 10 3 2" xfId="980"/>
    <cellStyle name="Percent 10 3 2 2" xfId="981"/>
    <cellStyle name="Percent 10 3 3" xfId="982"/>
    <cellStyle name="Percent 10 3 4" xfId="983"/>
    <cellStyle name="Percent 10 3 5" xfId="984"/>
    <cellStyle name="Percent 10 4" xfId="985"/>
    <cellStyle name="Percent 10 4 2" xfId="986"/>
    <cellStyle name="Percent 10 5" xfId="987"/>
    <cellStyle name="Percent 10 6" xfId="988"/>
    <cellStyle name="Percent 10 7" xfId="989"/>
    <cellStyle name="Percent 11" xfId="990"/>
    <cellStyle name="Percent 11 2" xfId="991"/>
    <cellStyle name="Percent 11 3" xfId="992"/>
    <cellStyle name="Percent 12" xfId="993"/>
    <cellStyle name="Percent 12 2" xfId="994"/>
    <cellStyle name="Percent 12 3" xfId="995"/>
    <cellStyle name="Percent 13" xfId="996"/>
    <cellStyle name="Percent 13 2" xfId="997"/>
    <cellStyle name="Percent 14" xfId="998"/>
    <cellStyle name="Percent 15" xfId="999"/>
    <cellStyle name="Percent 16" xfId="1000"/>
    <cellStyle name="Percent 17" xfId="1001"/>
    <cellStyle name="Percent 18" xfId="1002"/>
    <cellStyle name="Percent 19" xfId="1003"/>
    <cellStyle name="Percent 2" xfId="1004"/>
    <cellStyle name="Percent 2 2" xfId="1005"/>
    <cellStyle name="Percent 2 3" xfId="1006"/>
    <cellStyle name="Percent 3" xfId="1007"/>
    <cellStyle name="Percent 3 10" xfId="1008"/>
    <cellStyle name="Percent 3 11" xfId="1009"/>
    <cellStyle name="Percent 3 12" xfId="1010"/>
    <cellStyle name="Percent 3 2" xfId="1011"/>
    <cellStyle name="Percent 3 2 2" xfId="1012"/>
    <cellStyle name="Percent 3 2 2 2" xfId="1013"/>
    <cellStyle name="Percent 3 2 2 2 2" xfId="1014"/>
    <cellStyle name="Percent 3 2 2 2 3" xfId="1015"/>
    <cellStyle name="Percent 3 2 2 2 4" xfId="1016"/>
    <cellStyle name="Percent 3 2 2 3" xfId="1017"/>
    <cellStyle name="Percent 3 2 2 4" xfId="1018"/>
    <cellStyle name="Percent 3 2 2 5" xfId="1019"/>
    <cellStyle name="Percent 3 2 3" xfId="1020"/>
    <cellStyle name="Percent 3 2 3 2" xfId="1021"/>
    <cellStyle name="Percent 3 2 3 3" xfId="1022"/>
    <cellStyle name="Percent 3 2 3 4" xfId="1023"/>
    <cellStyle name="Percent 3 2 4" xfId="1024"/>
    <cellStyle name="Percent 3 2 5" xfId="1025"/>
    <cellStyle name="Percent 3 2 6" xfId="1026"/>
    <cellStyle name="Percent 3 3" xfId="1027"/>
    <cellStyle name="Percent 3 3 2" xfId="1028"/>
    <cellStyle name="Percent 3 3 2 2" xfId="1029"/>
    <cellStyle name="Percent 3 3 2 2 2" xfId="1030"/>
    <cellStyle name="Percent 3 3 2 2 3" xfId="1031"/>
    <cellStyle name="Percent 3 3 2 2 4" xfId="1032"/>
    <cellStyle name="Percent 3 3 2 3" xfId="1033"/>
    <cellStyle name="Percent 3 3 2 4" xfId="1034"/>
    <cellStyle name="Percent 3 3 2 5" xfId="1035"/>
    <cellStyle name="Percent 3 3 3" xfId="1036"/>
    <cellStyle name="Percent 3 3 3 2" xfId="1037"/>
    <cellStyle name="Percent 3 3 3 3" xfId="1038"/>
    <cellStyle name="Percent 3 3 3 4" xfId="1039"/>
    <cellStyle name="Percent 3 3 4" xfId="1040"/>
    <cellStyle name="Percent 3 3 5" xfId="1041"/>
    <cellStyle name="Percent 3 3 6" xfId="1042"/>
    <cellStyle name="Percent 3 4" xfId="1043"/>
    <cellStyle name="Percent 3 4 2" xfId="1044"/>
    <cellStyle name="Percent 3 4 2 2" xfId="1045"/>
    <cellStyle name="Percent 3 4 2 2 2" xfId="1046"/>
    <cellStyle name="Percent 3 4 2 2 3" xfId="1047"/>
    <cellStyle name="Percent 3 4 2 2 4" xfId="1048"/>
    <cellStyle name="Percent 3 4 2 3" xfId="1049"/>
    <cellStyle name="Percent 3 4 2 4" xfId="1050"/>
    <cellStyle name="Percent 3 4 2 5" xfId="1051"/>
    <cellStyle name="Percent 3 4 3" xfId="1052"/>
    <cellStyle name="Percent 3 4 3 2" xfId="1053"/>
    <cellStyle name="Percent 3 4 3 3" xfId="1054"/>
    <cellStyle name="Percent 3 4 3 4" xfId="1055"/>
    <cellStyle name="Percent 3 4 4" xfId="1056"/>
    <cellStyle name="Percent 3 4 5" xfId="1057"/>
    <cellStyle name="Percent 3 4 6" xfId="1058"/>
    <cellStyle name="Percent 3 5" xfId="1059"/>
    <cellStyle name="Percent 3 5 2" xfId="1060"/>
    <cellStyle name="Percent 3 5 2 2" xfId="1061"/>
    <cellStyle name="Percent 3 5 2 3" xfId="1062"/>
    <cellStyle name="Percent 3 5 2 4" xfId="1063"/>
    <cellStyle name="Percent 3 5 3" xfId="1064"/>
    <cellStyle name="Percent 3 5 4" xfId="1065"/>
    <cellStyle name="Percent 3 5 5" xfId="1066"/>
    <cellStyle name="Percent 3 6" xfId="1067"/>
    <cellStyle name="Percent 3 6 2" xfId="1068"/>
    <cellStyle name="Percent 3 6 3" xfId="1069"/>
    <cellStyle name="Percent 3 6 4" xfId="1070"/>
    <cellStyle name="Percent 3 7" xfId="1071"/>
    <cellStyle name="Percent 3 8" xfId="1072"/>
    <cellStyle name="Percent 3 9" xfId="1073"/>
    <cellStyle name="Percent 4" xfId="1074"/>
    <cellStyle name="Percent 4 2" xfId="1075"/>
    <cellStyle name="Percent 4 3" xfId="1076"/>
    <cellStyle name="Percent 5" xfId="1077"/>
    <cellStyle name="Percent 5 2" xfId="1078"/>
    <cellStyle name="Percent 5 3" xfId="1079"/>
    <cellStyle name="Percent 5 4" xfId="1080"/>
    <cellStyle name="Percent 6" xfId="1081"/>
    <cellStyle name="Percent 6 2" xfId="1082"/>
    <cellStyle name="Percent 6 3" xfId="1083"/>
    <cellStyle name="Percent 7" xfId="1084"/>
    <cellStyle name="Percent 7 2" xfId="1085"/>
    <cellStyle name="Percent 7 3" xfId="1086"/>
    <cellStyle name="Percent 8" xfId="1087"/>
    <cellStyle name="Percent 8 2" xfId="1088"/>
    <cellStyle name="Percent 8 3" xfId="1089"/>
    <cellStyle name="Percent 9" xfId="1090"/>
    <cellStyle name="Percent 9 2" xfId="1091"/>
    <cellStyle name="Percent 9 2 2" xfId="1092"/>
    <cellStyle name="Percent 9 2 2 2" xfId="1093"/>
    <cellStyle name="Percent 9 2 2 3" xfId="1094"/>
    <cellStyle name="Percent 9 2 2 4" xfId="1095"/>
    <cellStyle name="Percent 9 2 3" xfId="1096"/>
    <cellStyle name="Percent 9 2 4" xfId="1097"/>
    <cellStyle name="Percent 9 2 5" xfId="1098"/>
    <cellStyle name="Percent 9 3" xfId="1099"/>
    <cellStyle name="Percent 9 3 2" xfId="1100"/>
    <cellStyle name="Percent 9 3 3" xfId="1101"/>
    <cellStyle name="Percent 9 3 4" xfId="1102"/>
    <cellStyle name="Percent 9 4" xfId="1103"/>
    <cellStyle name="Percent 9 5" xfId="1104"/>
    <cellStyle name="Percent 9 6" xfId="1105"/>
    <cellStyle name="Title" xfId="1106"/>
    <cellStyle name="Total" xfId="1107"/>
    <cellStyle name="Total 2" xfId="1108"/>
    <cellStyle name="Total 2 2" xfId="1109"/>
    <cellStyle name="Total 2 3" xfId="1110"/>
    <cellStyle name="Total 3" xfId="1111"/>
    <cellStyle name="Warning Text" xfId="111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304800</xdr:colOff>
      <xdr:row>12</xdr:row>
      <xdr:rowOff>47625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
</a:t>
          </a:r>
          <a:r>
            <a:rPr lang="en-US" cap="none" sz="5000" b="1" i="0" u="none" baseline="0"/>
            <a:t>For Esri use only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S\1%20Tennies\Financial%20Services\for%20Sandra%20Flickinger\Document%20Recording%20Fee\Home%20Ownership%20Assistance%20Program%20(HOAP)\1%20From%20Fiscal\DRF%20-%20Home%20Ownership%20Assistance%20Program%2012_31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Mgmt Rpt"/>
      <sheetName val="Program Statement"/>
      <sheetName val="Budget"/>
      <sheetName val="External Report"/>
      <sheetName val="Obligations"/>
      <sheetName val="DRF Proj Rev"/>
      <sheetName val="Cash Flow 17-19"/>
      <sheetName val="CET Cash Flow 17-19"/>
      <sheetName val="Cash Flow 15-17"/>
      <sheetName val="Cash Flow 13-15"/>
      <sheetName val="Cash Flow 11-13"/>
      <sheetName val="Cash Flow 09-11"/>
    </sheetNames>
  </externalBook>
</externalLink>
</file>

<file path=xl/tables/table1.xml><?xml version="1.0" encoding="utf-8"?>
<table xmlns="http://schemas.openxmlformats.org/spreadsheetml/2006/main" id="2" name="Counties" displayName="Counties" ref="A1:I38" comment="" totalsRowShown="0">
  <autoFilter ref="A1:I38"/>
  <tableColumns count="9">
    <tableColumn id="1" name="County"/>
    <tableColumn id="2" name="County FIPS"/>
    <tableColumn id="7" name="Expenditures 09-11 ($)"/>
    <tableColumn id="3" name="Expenditures 11-13 ($)"/>
    <tableColumn id="4" name="Expenditures 13-15 ($)"/>
    <tableColumn id="5" name="Expenditures 15-17 ($)"/>
    <tableColumn id="6" name="Expenditures 17-19 ($)"/>
    <tableColumn id="8" name="Currently Reserved ($)"/>
    <tableColumn id="9" name="Total Exp+Res ($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Projects" displayName="Projects" ref="A1:K160" comment="" totalsRowShown="0">
  <autoFilter ref="A1:K160"/>
  <tableColumns count="11">
    <tableColumn id="1" name="Agency Name"/>
    <tableColumn id="7" name="Program"/>
    <tableColumn id="6" name="County"/>
    <tableColumn id="13" name="Expenditures 09-11 ($)"/>
    <tableColumn id="8" name="Expenditures 11-13 ($)"/>
    <tableColumn id="9" name="Expenditures 13-15 ($)"/>
    <tableColumn id="10" name="Expenditures 15-17 ($)"/>
    <tableColumn id="3" name="Expenditures 17-19 ($)"/>
    <tableColumn id="11" name="Expenditures Since 2009 ($)"/>
    <tableColumn id="2" name="Currently Reserved ($)"/>
    <tableColumn id="14" name="(Concatenate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ublic.tableau.com/profile/oregon.housing.and.community.services#!/vizhome/OHCSDRFHOAPFunding712009-03312018/OHCSDRFHOAPFunding712009-0331201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197"/>
  <sheetViews>
    <sheetView tabSelected="1"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A197" sqref="A197:D197"/>
    </sheetView>
  </sheetViews>
  <sheetFormatPr defaultColWidth="32.16015625" defaultRowHeight="10.5" outlineLevelRow="1"/>
  <cols>
    <col min="1" max="1" width="73.66015625" style="10" bestFit="1" customWidth="1"/>
    <col min="2" max="2" width="25" style="10" customWidth="1"/>
    <col min="3" max="3" width="13.5" style="31" bestFit="1" customWidth="1"/>
    <col min="4" max="4" width="15" style="12" bestFit="1" customWidth="1"/>
    <col min="5" max="16384" width="32.16015625" style="10" customWidth="1"/>
  </cols>
  <sheetData>
    <row r="1" spans="1:4" ht="15">
      <c r="A1" s="63" t="s">
        <v>89</v>
      </c>
      <c r="B1" s="63"/>
      <c r="C1" s="63"/>
      <c r="D1" s="63"/>
    </row>
    <row r="2" spans="1:4" ht="15">
      <c r="A2" s="63" t="s">
        <v>97</v>
      </c>
      <c r="B2" s="63"/>
      <c r="C2" s="63"/>
      <c r="D2" s="63"/>
    </row>
    <row r="3" spans="1:4" ht="15">
      <c r="A3" s="63" t="s">
        <v>92</v>
      </c>
      <c r="B3" s="63"/>
      <c r="C3" s="63"/>
      <c r="D3" s="63"/>
    </row>
    <row r="4" spans="1:4" ht="15">
      <c r="A4" s="63" t="s">
        <v>194</v>
      </c>
      <c r="B4" s="63"/>
      <c r="C4" s="63"/>
      <c r="D4" s="63"/>
    </row>
    <row r="5" spans="1:2" ht="15">
      <c r="A5" s="11"/>
      <c r="B5" s="11"/>
    </row>
    <row r="6" spans="1:4" ht="15">
      <c r="A6" s="13" t="s">
        <v>186</v>
      </c>
      <c r="B6" s="13"/>
      <c r="D6" s="46">
        <v>384270.31</v>
      </c>
    </row>
    <row r="8" spans="1:4" ht="15">
      <c r="A8" s="62" t="s">
        <v>85</v>
      </c>
      <c r="B8" s="62"/>
      <c r="C8" s="62"/>
      <c r="D8" s="62"/>
    </row>
    <row r="9" spans="1:2" ht="15">
      <c r="A9" s="14" t="s">
        <v>195</v>
      </c>
      <c r="B9" s="14"/>
    </row>
    <row r="10" spans="1:3" ht="15">
      <c r="A10" s="15" t="s">
        <v>107</v>
      </c>
      <c r="B10" s="15"/>
      <c r="C10" s="30"/>
    </row>
    <row r="11" spans="1:4" ht="15" hidden="1" outlineLevel="1">
      <c r="A11" s="53" t="s">
        <v>188</v>
      </c>
      <c r="B11" s="28"/>
      <c r="C11" s="38">
        <v>25680</v>
      </c>
      <c r="D11" s="22"/>
    </row>
    <row r="12" spans="1:4" ht="15" hidden="1" outlineLevel="1">
      <c r="A12" s="53" t="s">
        <v>189</v>
      </c>
      <c r="B12" s="28"/>
      <c r="C12" s="38">
        <v>1192</v>
      </c>
      <c r="D12" s="22"/>
    </row>
    <row r="13" spans="1:4" ht="15" hidden="1" outlineLevel="1">
      <c r="A13" s="53" t="s">
        <v>193</v>
      </c>
      <c r="B13" s="28"/>
      <c r="C13" s="38">
        <v>9193</v>
      </c>
      <c r="D13" s="22"/>
    </row>
    <row r="14" spans="1:4" ht="15" collapsed="1">
      <c r="A14" s="28" t="s">
        <v>187</v>
      </c>
      <c r="B14" s="28"/>
      <c r="C14" s="38">
        <f>SUBTOTAL(9,C11:C13)</f>
        <v>36065</v>
      </c>
      <c r="D14" s="22"/>
    </row>
    <row r="15" spans="1:4" ht="15">
      <c r="A15" s="28" t="s">
        <v>95</v>
      </c>
      <c r="B15" s="28"/>
      <c r="C15" s="38">
        <v>12334733.65</v>
      </c>
      <c r="D15" s="22"/>
    </row>
    <row r="16" spans="1:4" ht="15">
      <c r="A16" s="28" t="s">
        <v>96</v>
      </c>
      <c r="B16" s="28"/>
      <c r="C16" s="39">
        <v>1958001.96</v>
      </c>
      <c r="D16" s="22"/>
    </row>
    <row r="17" spans="1:4" ht="15">
      <c r="A17" s="28" t="s">
        <v>178</v>
      </c>
      <c r="B17" s="28"/>
      <c r="C17" s="39">
        <v>250000</v>
      </c>
      <c r="D17" s="22"/>
    </row>
    <row r="18" spans="1:4" ht="15">
      <c r="A18" s="28" t="s">
        <v>82</v>
      </c>
      <c r="B18" s="28"/>
      <c r="C18" s="29">
        <v>478945.08999999997</v>
      </c>
      <c r="D18" s="22"/>
    </row>
    <row r="19" spans="1:4" ht="15">
      <c r="A19" s="28" t="s">
        <v>83</v>
      </c>
      <c r="B19" s="28"/>
      <c r="C19" s="29">
        <v>190184.37</v>
      </c>
      <c r="D19" s="22"/>
    </row>
    <row r="20" spans="1:4" ht="15">
      <c r="A20" s="28" t="s">
        <v>79</v>
      </c>
      <c r="B20" s="28"/>
      <c r="C20" s="32">
        <v>27993.239999999998</v>
      </c>
      <c r="D20" s="22"/>
    </row>
    <row r="21" spans="1:4" ht="15">
      <c r="A21" s="16" t="s">
        <v>81</v>
      </c>
      <c r="B21" s="16"/>
      <c r="C21" s="33"/>
      <c r="D21" s="27">
        <f>SUBTOTAL(9,C11:C20)</f>
        <v>15275923.309999999</v>
      </c>
    </row>
    <row r="22" spans="1:4" ht="15">
      <c r="A22" s="16"/>
      <c r="B22" s="16"/>
      <c r="D22" s="17"/>
    </row>
    <row r="23" spans="1:4" ht="15">
      <c r="A23" s="62" t="s">
        <v>86</v>
      </c>
      <c r="B23" s="62"/>
      <c r="C23" s="62"/>
      <c r="D23" s="62"/>
    </row>
    <row r="24" spans="1:2" ht="15">
      <c r="A24" s="14" t="s">
        <v>195</v>
      </c>
      <c r="B24" s="14"/>
    </row>
    <row r="25" spans="1:4" ht="15">
      <c r="A25" s="18" t="s">
        <v>93</v>
      </c>
      <c r="B25" s="18"/>
      <c r="C25" s="38">
        <v>1072779.09</v>
      </c>
      <c r="D25" s="22"/>
    </row>
    <row r="26" spans="1:4" ht="15" collapsed="1">
      <c r="A26" s="18" t="s">
        <v>94</v>
      </c>
      <c r="B26" s="18"/>
      <c r="C26" s="38">
        <v>60873.310000000005</v>
      </c>
      <c r="D26" s="22"/>
    </row>
    <row r="27" spans="1:4" ht="15">
      <c r="A27" s="18" t="s">
        <v>98</v>
      </c>
      <c r="B27" s="18"/>
      <c r="C27" s="38">
        <v>26367.840000000007</v>
      </c>
      <c r="D27" s="22"/>
    </row>
    <row r="28" spans="1:3" ht="15" hidden="1" outlineLevel="1">
      <c r="A28" s="40" t="s">
        <v>156</v>
      </c>
      <c r="B28" s="19" t="str">
        <f>VLOOKUP(A28&amp;"Down Payment Assistance",'Agency Counties'!C:D,2,0)</f>
        <v>Jackson, Josephine</v>
      </c>
      <c r="C28" s="31">
        <f>_xlfn.SUMIFS(Data!$I$2:$I$160,Data!$A$2:$A$160,'Program Statement'!A28,Data!$B$2:$B$160,"Down Payment Assistance")</f>
        <v>150000</v>
      </c>
    </row>
    <row r="29" spans="1:3" ht="15" hidden="1" outlineLevel="1">
      <c r="A29" s="40" t="s">
        <v>171</v>
      </c>
      <c r="B29" s="19" t="str">
        <f>VLOOKUP(A29&amp;"Down Payment Assistance",'Agency Counties'!C:D,2,0)</f>
        <v>Clackamas, Multnomah, Washington</v>
      </c>
      <c r="C29" s="31">
        <f>_xlfn.SUMIFS(Data!$I$2:$I$160,Data!$A$2:$A$160,'Program Statement'!A29,Data!$B$2:$B$160,"Down Payment Assistance")</f>
        <v>130000.00000000001</v>
      </c>
    </row>
    <row r="30" spans="1:3" ht="15" hidden="1" outlineLevel="1">
      <c r="A30" s="40" t="s">
        <v>121</v>
      </c>
      <c r="B30" s="19" t="str">
        <f>VLOOKUP(A30&amp;"Down Payment Assistance",'Agency Counties'!C:D,2,0)</f>
        <v>Deschutes</v>
      </c>
      <c r="C30" s="31">
        <f>_xlfn.SUMIFS(Data!$I$2:$I$160,Data!$A$2:$A$160,'Program Statement'!A30,Data!$B$2:$B$160,"Down Payment Assistance")</f>
        <v>0</v>
      </c>
    </row>
    <row r="31" spans="1:3" ht="15" hidden="1" outlineLevel="1">
      <c r="A31" s="40" t="s">
        <v>125</v>
      </c>
      <c r="B31" s="19" t="str">
        <f>VLOOKUP(A31&amp;"Down Payment Assistance",'Agency Counties'!C:D,2,0)</f>
        <v>Hood River, Sherman, Wasco</v>
      </c>
      <c r="C31" s="31">
        <f>_xlfn.SUMIFS(Data!$I$2:$I$160,Data!$A$2:$A$160,'Program Statement'!A31,Data!$B$2:$B$160,"Down Payment Assistance")</f>
        <v>69800</v>
      </c>
    </row>
    <row r="32" spans="1:3" ht="15" hidden="1" outlineLevel="1">
      <c r="A32" s="40" t="s">
        <v>118</v>
      </c>
      <c r="B32" s="19" t="str">
        <f>VLOOKUP(A32&amp;"Down Payment Assistance",'Agency Counties'!C:D,2,0)</f>
        <v>Gilliam, Morrow, Umatilla, Wheeler</v>
      </c>
      <c r="C32" s="31">
        <f>_xlfn.SUMIFS(Data!$I$2:$I$160,Data!$A$2:$A$160,'Program Statement'!A32,Data!$B$2:$B$160,"Down Payment Assistance")</f>
        <v>146197.6</v>
      </c>
    </row>
    <row r="33" spans="1:3" ht="15" hidden="1" outlineLevel="1">
      <c r="A33" s="40" t="s">
        <v>112</v>
      </c>
      <c r="B33" s="19" t="str">
        <f>VLOOKUP(A33&amp;"Down Payment Assistance",'Agency Counties'!C:D,2,0)</f>
        <v>Clatsop, Columbia, Tillamook</v>
      </c>
      <c r="C33" s="31">
        <f>_xlfn.SUMIFS(Data!$I$2:$I$160,Data!$A$2:$A$160,'Program Statement'!A33,Data!$B$2:$B$160,"Down Payment Assistance")</f>
        <v>70000</v>
      </c>
    </row>
    <row r="34" spans="1:3" ht="15" hidden="1" outlineLevel="1">
      <c r="A34" s="40" t="s">
        <v>162</v>
      </c>
      <c r="B34" s="19" t="str">
        <f>VLOOKUP(A34&amp;"Down Payment Assistance",'Agency Counties'!C:D,2,0)</f>
        <v>Malheur</v>
      </c>
      <c r="C34" s="31">
        <f>_xlfn.SUMIFS(Data!$I$2:$I$160,Data!$A$2:$A$160,'Program Statement'!A34,Data!$B$2:$B$160,"Down Payment Assistance")</f>
        <v>142402.46</v>
      </c>
    </row>
    <row r="35" spans="1:3" ht="15" hidden="1" outlineLevel="1">
      <c r="A35" s="40" t="s">
        <v>181</v>
      </c>
      <c r="B35" s="19" t="str">
        <f>VLOOKUP(A35&amp;"Down Payment Assistance",'Agency Counties'!C:D,2,0)</f>
        <v>Deschutes</v>
      </c>
      <c r="C35" s="31">
        <f>_xlfn.SUMIFS(Data!$I$2:$I$160,Data!$A$2:$A$160,'Program Statement'!A35,Data!$B$2:$B$160,"Down Payment Assistance")</f>
        <v>50000</v>
      </c>
    </row>
    <row r="36" spans="1:3" ht="15" hidden="1" outlineLevel="1">
      <c r="A36" s="40" t="s">
        <v>128</v>
      </c>
      <c r="B36" s="19" t="str">
        <f>VLOOKUP(A36&amp;"Down Payment Assistance",'Agency Counties'!C:D,2,0)</f>
        <v>(Statewide)</v>
      </c>
      <c r="C36" s="31">
        <f>_xlfn.SUMIFS(Data!$I$2:$I$160,Data!$A$2:$A$160,'Program Statement'!A36,Data!$B$2:$B$160,"Down Payment Assistance")</f>
        <v>244625</v>
      </c>
    </row>
    <row r="37" spans="1:3" ht="15" hidden="1" outlineLevel="1">
      <c r="A37" s="40" t="s">
        <v>129</v>
      </c>
      <c r="B37" s="19" t="str">
        <f>VLOOKUP(A37&amp;"Down Payment Assistance",'Agency Counties'!C:D,2,0)</f>
        <v>Multnomah, Washington</v>
      </c>
      <c r="C37" s="31">
        <f>_xlfn.SUMIFS(Data!$I$2:$I$160,Data!$A$2:$A$160,'Program Statement'!A37,Data!$B$2:$B$160,"Down Payment Assistance")</f>
        <v>100400</v>
      </c>
    </row>
    <row r="38" spans="1:3" ht="15" hidden="1" outlineLevel="1">
      <c r="A38" s="40" t="s">
        <v>184</v>
      </c>
      <c r="B38" s="19" t="str">
        <f>VLOOKUP(A38&amp;"Down Payment Assistance",'Agency Counties'!C:D,2,0)</f>
        <v>Washington</v>
      </c>
      <c r="C38" s="31">
        <f>_xlfn.SUMIFS(Data!$I$2:$I$160,Data!$A$2:$A$160,'Program Statement'!A38,Data!$B$2:$B$160,"Down Payment Assistance")</f>
        <v>100000</v>
      </c>
    </row>
    <row r="39" spans="1:3" ht="15" hidden="1" outlineLevel="1">
      <c r="A39" s="40" t="s">
        <v>126</v>
      </c>
      <c r="B39" s="19" t="str">
        <f>VLOOKUP(A39&amp;"Down Payment Assistance",'Agency Counties'!C:D,2,0)</f>
        <v>Clackamas, Multnomah, Washington</v>
      </c>
      <c r="C39" s="31">
        <f>_xlfn.SUMIFS(Data!$I$2:$I$160,Data!$A$2:$A$160,'Program Statement'!A39,Data!$B$2:$B$160,"Down Payment Assistance")</f>
        <v>299999.99</v>
      </c>
    </row>
    <row r="40" spans="1:3" ht="15" hidden="1" outlineLevel="1">
      <c r="A40" s="40" t="s">
        <v>127</v>
      </c>
      <c r="B40" s="19" t="str">
        <f>VLOOKUP(A40&amp;"Down Payment Assistance",'Agency Counties'!C:D,2,0)</f>
        <v>Yamhill</v>
      </c>
      <c r="C40" s="31">
        <f>_xlfn.SUMIFS(Data!$I$2:$I$160,Data!$A$2:$A$160,'Program Statement'!A40,Data!$B$2:$B$160,"Down Payment Assistance")</f>
        <v>155461.91</v>
      </c>
    </row>
    <row r="41" spans="1:3" ht="15" hidden="1" outlineLevel="1">
      <c r="A41" s="40" t="s">
        <v>174</v>
      </c>
      <c r="B41" s="19" t="str">
        <f>VLOOKUP(A41&amp;"Down Payment Assistance",'Agency Counties'!C:D,2,0)</f>
        <v>Klamath, Lake</v>
      </c>
      <c r="C41" s="31">
        <f>_xlfn.SUMIFS(Data!$I$2:$I$160,Data!$A$2:$A$160,'Program Statement'!A41,Data!$B$2:$B$160,"Down Payment Assistance")</f>
        <v>135146.4</v>
      </c>
    </row>
    <row r="42" spans="1:3" ht="15" hidden="1" outlineLevel="1">
      <c r="A42" s="40" t="s">
        <v>172</v>
      </c>
      <c r="B42" s="19" t="str">
        <f>VLOOKUP(A42&amp;"Down Payment Assistance",'Agency Counties'!C:D,2,0)</f>
        <v>Clackamas, Multnomah, Washington</v>
      </c>
      <c r="C42" s="31">
        <f>_xlfn.SUMIFS(Data!$I$2:$I$160,Data!$A$2:$A$160,'Program Statement'!A42,Data!$B$2:$B$160,"Down Payment Assistance")</f>
        <v>190000</v>
      </c>
    </row>
    <row r="43" spans="1:3" ht="15" hidden="1" outlineLevel="1">
      <c r="A43" s="40" t="s">
        <v>123</v>
      </c>
      <c r="B43" s="19" t="str">
        <f>VLOOKUP(A43&amp;"Down Payment Assistance",'Agency Counties'!C:D,2,0)</f>
        <v>Lane, Marion</v>
      </c>
      <c r="C43" s="31">
        <f>_xlfn.SUMIFS(Data!$I$2:$I$160,Data!$A$2:$A$160,'Program Statement'!A43,Data!$B$2:$B$160,"Down Payment Assistance")</f>
        <v>300000</v>
      </c>
    </row>
    <row r="44" spans="1:3" ht="15" hidden="1" outlineLevel="1">
      <c r="A44" s="40" t="s">
        <v>115</v>
      </c>
      <c r="B44" s="19" t="str">
        <f>VLOOKUP(A44&amp;"Down Payment Assistance",'Agency Counties'!C:D,2,0)</f>
        <v>Crook, Deschutes, Jefferson</v>
      </c>
      <c r="C44" s="31">
        <f>_xlfn.SUMIFS(Data!$I$2:$I$160,Data!$A$2:$A$160,'Program Statement'!A44,Data!$B$2:$B$160,"Down Payment Assistance")</f>
        <v>100000</v>
      </c>
    </row>
    <row r="45" spans="1:3" ht="15" hidden="1" outlineLevel="1">
      <c r="A45" s="40" t="s">
        <v>191</v>
      </c>
      <c r="B45" s="19" t="str">
        <f>VLOOKUP(A45&amp;"Down Payment Assistance",'Agency Counties'!C:D,2,0)</f>
        <v>Coos, Curry, Douglas</v>
      </c>
      <c r="C45" s="31">
        <f>_xlfn.SUMIFS(Data!$I$2:$I$160,Data!$A$2:$A$160,'Program Statement'!A45,Data!$B$2:$B$160,"Down Payment Assistance")</f>
        <v>92000</v>
      </c>
    </row>
    <row r="46" spans="1:3" ht="15" hidden="1" outlineLevel="1">
      <c r="A46" s="40" t="s">
        <v>132</v>
      </c>
      <c r="B46" s="19" t="str">
        <f>VLOOKUP(A46&amp;"Down Payment Assistance",'Agency Counties'!C:D,2,0)</f>
        <v>Washington</v>
      </c>
      <c r="C46" s="31">
        <f>_xlfn.SUMIFS(Data!$I$2:$I$160,Data!$A$2:$A$160,'Program Statement'!A46,Data!$B$2:$B$160,"Down Payment Assistance")</f>
        <v>34000</v>
      </c>
    </row>
    <row r="47" spans="1:3" ht="15" hidden="1" outlineLevel="1">
      <c r="A47" s="40" t="s">
        <v>159</v>
      </c>
      <c r="B47" s="19" t="str">
        <f>VLOOKUP(A47&amp;"Down Payment Assistance",'Agency Counties'!C:D,2,0)</f>
        <v>(Statewide)</v>
      </c>
      <c r="C47" s="31">
        <f>_xlfn.SUMIFS(Data!$I$2:$I$160,Data!$A$2:$A$160,'Program Statement'!A47,Data!$B$2:$B$160,"Down Payment Assistance")</f>
        <v>100000</v>
      </c>
    </row>
    <row r="48" spans="1:3" ht="15" hidden="1" outlineLevel="1">
      <c r="A48" s="40" t="s">
        <v>154</v>
      </c>
      <c r="B48" s="19" t="str">
        <f>VLOOKUP(A48&amp;"Down Payment Assistance",'Agency Counties'!C:D,2,0)</f>
        <v>(Statewide)</v>
      </c>
      <c r="C48" s="31">
        <f>_xlfn.SUMIFS(Data!$I$2:$I$160,Data!$A$2:$A$160,'Program Statement'!A48,Data!$B$2:$B$160,"Down Payment Assistance")</f>
        <v>192341.76</v>
      </c>
    </row>
    <row r="49" spans="1:3" ht="15" hidden="1" outlineLevel="1">
      <c r="A49" s="40" t="s">
        <v>163</v>
      </c>
      <c r="B49" s="19" t="str">
        <f>VLOOKUP(A49&amp;"Down Payment Assistance",'Agency Counties'!C:D,2,0)</f>
        <v>Multnomah</v>
      </c>
      <c r="C49" s="31">
        <f>_xlfn.SUMIFS(Data!$I$2:$I$160,Data!$A$2:$A$160,'Program Statement'!A49,Data!$B$2:$B$160,"Down Payment Assistance")</f>
        <v>100000</v>
      </c>
    </row>
    <row r="50" spans="1:3" ht="15" hidden="1" outlineLevel="1">
      <c r="A50" s="40" t="s">
        <v>110</v>
      </c>
      <c r="B50" s="19" t="str">
        <f>VLOOKUP(A50&amp;"Down Payment Assistance",'Agency Counties'!C:D,2,0)</f>
        <v>Clackamas, Multnomah, Washington</v>
      </c>
      <c r="C50" s="31">
        <f>_xlfn.SUMIFS(Data!$I$2:$I$160,Data!$A$2:$A$160,'Program Statement'!A50,Data!$B$2:$B$160,"Down Payment Assistance")</f>
        <v>374038.65</v>
      </c>
    </row>
    <row r="51" spans="1:3" ht="15" hidden="1" outlineLevel="1">
      <c r="A51" s="40" t="s">
        <v>124</v>
      </c>
      <c r="B51" s="19" t="str">
        <f>VLOOKUP(A51&amp;"Down Payment Assistance",'Agency Counties'!C:D,2,0)</f>
        <v>Clackamas, Multnomah, Washington</v>
      </c>
      <c r="C51" s="31">
        <f>_xlfn.SUMIFS(Data!$I$2:$I$160,Data!$A$2:$A$160,'Program Statement'!A51,Data!$B$2:$B$160,"Down Payment Assistance")</f>
        <v>200000.00000000003</v>
      </c>
    </row>
    <row r="52" spans="1:5" ht="15" hidden="1" outlineLevel="1">
      <c r="A52" s="40" t="s">
        <v>114</v>
      </c>
      <c r="B52" s="19" t="str">
        <f>VLOOKUP(A52&amp;"Down Payment Assistance",'Agency Counties'!C:D,2,0)</f>
        <v>Benton, Linn</v>
      </c>
      <c r="C52" s="31">
        <f>_xlfn.SUMIFS(Data!$I$2:$I$160,Data!$A$2:$A$160,'Program Statement'!A52,Data!$B$2:$B$160,"Down Payment Assistance")</f>
        <v>347200</v>
      </c>
      <c r="E52" s="55"/>
    </row>
    <row r="53" spans="1:5" ht="15" collapsed="1">
      <c r="A53" s="18" t="s">
        <v>101</v>
      </c>
      <c r="B53" s="19"/>
      <c r="C53" s="47">
        <f>SUBTOTAL(9,C28:C52)</f>
        <v>3823613.77</v>
      </c>
      <c r="D53" s="10"/>
      <c r="E53" s="54"/>
    </row>
    <row r="54" spans="1:4" ht="15" hidden="1" outlineLevel="1">
      <c r="A54" s="41" t="s">
        <v>153</v>
      </c>
      <c r="B54" s="19" t="str">
        <f>VLOOKUP(A54&amp;"ODVA",'Agency Counties'!C:D,2,0)</f>
        <v>(Statewide)</v>
      </c>
      <c r="C54" s="31">
        <f>_xlfn.SUMIFS(Data!$I$2:$I$160,Data!$A$2:$A$160,'Program Statement'!A54,Data!$B$2:$B$160,"ODVA")</f>
        <v>250000</v>
      </c>
      <c r="D54" s="22"/>
    </row>
    <row r="55" spans="1:4" ht="15" hidden="1" outlineLevel="1">
      <c r="A55" s="41" t="s">
        <v>128</v>
      </c>
      <c r="B55" s="19" t="str">
        <f>VLOOKUP(A55&amp;"ODVA",'Agency Counties'!C:D,2,0)</f>
        <v>(Statewide)</v>
      </c>
      <c r="C55" s="31">
        <f>_xlfn.SUMIFS(Data!$I$2:$I$160,Data!$A$2:$A$160,'Program Statement'!A55,Data!$B$2:$B$160,"ODVA")</f>
        <v>75000</v>
      </c>
      <c r="D55" s="22"/>
    </row>
    <row r="56" spans="1:4" ht="15" hidden="1" outlineLevel="1">
      <c r="A56" s="41" t="s">
        <v>184</v>
      </c>
      <c r="B56" s="19" t="str">
        <f>VLOOKUP(A56&amp;"ODVA",'Agency Counties'!C:D,2,0)</f>
        <v>Washington</v>
      </c>
      <c r="C56" s="31">
        <f>_xlfn.SUMIFS(Data!$I$2:$I$160,Data!$A$2:$A$160,'Program Statement'!A56,Data!$B$2:$B$160,"ODVA")</f>
        <v>75000</v>
      </c>
      <c r="D56" s="22"/>
    </row>
    <row r="57" spans="1:4" ht="15" hidden="1" outlineLevel="1">
      <c r="A57" s="41" t="s">
        <v>163</v>
      </c>
      <c r="B57" s="19" t="str">
        <f>VLOOKUP(A57&amp;"ODVA",'Agency Counties'!C:D,2,0)</f>
        <v>Multnomah</v>
      </c>
      <c r="C57" s="31">
        <f>_xlfn.SUMIFS(Data!$I$2:$I$160,Data!$A$2:$A$160,'Program Statement'!A57,Data!$B$2:$B$160,"ODVA")</f>
        <v>75000</v>
      </c>
      <c r="D57" s="22"/>
    </row>
    <row r="58" spans="1:4" ht="15" hidden="1" outlineLevel="1">
      <c r="A58" s="41" t="s">
        <v>114</v>
      </c>
      <c r="B58" s="19" t="str">
        <f>VLOOKUP(A58&amp;"ODVA",'Agency Counties'!C:D,2,0)</f>
        <v>Benton, Linn</v>
      </c>
      <c r="C58" s="31">
        <f>_xlfn.SUMIFS(Data!$I$2:$I$160,Data!$A$2:$A$160,'Program Statement'!A58,Data!$B$2:$B$160,"ODVA")</f>
        <v>75000</v>
      </c>
      <c r="D58" s="22"/>
    </row>
    <row r="59" spans="1:4" ht="15" collapsed="1">
      <c r="A59" s="18" t="s">
        <v>102</v>
      </c>
      <c r="B59" s="19"/>
      <c r="C59" s="34">
        <f>SUBTOTAL(9,C54:C58)</f>
        <v>550000</v>
      </c>
      <c r="D59" s="22"/>
    </row>
    <row r="60" spans="1:4" ht="15" hidden="1" outlineLevel="1">
      <c r="A60" s="40" t="s">
        <v>169</v>
      </c>
      <c r="B60" s="19" t="str">
        <f>VLOOKUP(A60&amp;"Homeownership Assistance",'Agency Counties'!C:D,2,0)</f>
        <v>Clackamas, Multnomah, Washington</v>
      </c>
      <c r="C60" s="31">
        <f>_xlfn.SUMIFS(Data!$I$2:$I$160,Data!$A$2:$A$160,'Program Statement'!A60,Data!$B$2:$B$160,"Homeownership Assistance")</f>
        <v>60000</v>
      </c>
      <c r="D60" s="10"/>
    </row>
    <row r="61" spans="1:3" ht="15" hidden="1" outlineLevel="1">
      <c r="A61" s="40" t="s">
        <v>173</v>
      </c>
      <c r="B61" s="19" t="str">
        <f>VLOOKUP(A61&amp;"Homeownership Assistance",'Agency Counties'!C:D,2,0)</f>
        <v>Multnomah</v>
      </c>
      <c r="C61" s="31">
        <f>_xlfn.SUMIFS(Data!$I$2:$I$160,Data!$A$2:$A$160,'Program Statement'!A61,Data!$B$2:$B$160,"Homeownership Assistance")</f>
        <v>8000</v>
      </c>
    </row>
    <row r="62" spans="1:3" ht="15" hidden="1" outlineLevel="1">
      <c r="A62" s="40" t="s">
        <v>121</v>
      </c>
      <c r="B62" s="19" t="str">
        <f>VLOOKUP(A62&amp;"Homeownership Assistance",'Agency Counties'!C:D,2,0)</f>
        <v>Deschutes</v>
      </c>
      <c r="C62" s="31">
        <f>_xlfn.SUMIFS(Data!$I$2:$I$160,Data!$A$2:$A$160,'Program Statement'!A62,Data!$B$2:$B$160,"Homeownership Assistance")</f>
        <v>100000</v>
      </c>
    </row>
    <row r="63" spans="1:3" ht="15" hidden="1" outlineLevel="1">
      <c r="A63" s="40" t="s">
        <v>126</v>
      </c>
      <c r="B63" s="19" t="str">
        <f>VLOOKUP(A63&amp;"Homeownership Assistance",'Agency Counties'!C:D,2,0)</f>
        <v>Multnomah</v>
      </c>
      <c r="C63" s="31">
        <f>_xlfn.SUMIFS(Data!$I$2:$I$160,Data!$A$2:$A$160,'Program Statement'!A63,Data!$B$2:$B$160,"Homeownership Assistance")</f>
        <v>31500</v>
      </c>
    </row>
    <row r="64" spans="1:3" ht="15" hidden="1" outlineLevel="1">
      <c r="A64" s="40" t="s">
        <v>122</v>
      </c>
      <c r="B64" s="19" t="str">
        <f>VLOOKUP(A64&amp;"Homeownership Assistance",'Agency Counties'!C:D,2,0)</f>
        <v>Multnomah</v>
      </c>
      <c r="C64" s="31">
        <f>_xlfn.SUMIFS(Data!$I$2:$I$160,Data!$A$2:$A$160,'Program Statement'!A64,Data!$B$2:$B$160,"Homeownership Assistance")</f>
        <v>600</v>
      </c>
    </row>
    <row r="65" spans="1:3" ht="15" hidden="1" outlineLevel="1">
      <c r="A65" s="40" t="s">
        <v>157</v>
      </c>
      <c r="B65" s="19" t="str">
        <f>VLOOKUP(A65&amp;"Homeownership Assistance",'Agency Counties'!C:D,2,0)</f>
        <v>Clackamas, Multnomah, Washington</v>
      </c>
      <c r="C65" s="31">
        <f>_xlfn.SUMIFS(Data!$I$2:$I$160,Data!$A$2:$A$160,'Program Statement'!A65,Data!$B$2:$B$160,"Homeownership Assistance")</f>
        <v>77500</v>
      </c>
    </row>
    <row r="66" spans="1:3" ht="15" hidden="1" outlineLevel="1">
      <c r="A66" s="40" t="s">
        <v>174</v>
      </c>
      <c r="B66" s="19" t="str">
        <f>VLOOKUP(A66&amp;"Homeownership Assistance",'Agency Counties'!C:D,2,0)</f>
        <v>Klamath, Lake</v>
      </c>
      <c r="C66" s="31">
        <f>_xlfn.SUMIFS(Data!$I$2:$I$160,Data!$A$2:$A$160,'Program Statement'!A66,Data!$B$2:$B$160,"Homeownership Assistance")</f>
        <v>58462</v>
      </c>
    </row>
    <row r="67" spans="1:3" ht="15" hidden="1" outlineLevel="1">
      <c r="A67" s="40" t="s">
        <v>155</v>
      </c>
      <c r="B67" s="19" t="str">
        <f>VLOOKUP(A67&amp;"Homeownership Assistance",'Agency Counties'!C:D,2,0)</f>
        <v>(Statewide)</v>
      </c>
      <c r="C67" s="31">
        <f>_xlfn.SUMIFS(Data!$I$2:$I$160,Data!$A$2:$A$160,'Program Statement'!A67,Data!$B$2:$B$160,"Homeownership Assistance")</f>
        <v>111295.44</v>
      </c>
    </row>
    <row r="68" spans="1:3" ht="15" hidden="1" outlineLevel="1">
      <c r="A68" s="40" t="s">
        <v>123</v>
      </c>
      <c r="B68" s="19" t="str">
        <f>VLOOKUP(A68&amp;"Homeownership Assistance",'Agency Counties'!C:D,2,0)</f>
        <v>Lane, Marion</v>
      </c>
      <c r="C68" s="31">
        <f>_xlfn.SUMIFS(Data!$I$2:$I$160,Data!$A$2:$A$160,'Program Statement'!A68,Data!$B$2:$B$160,"Homeownership Assistance")</f>
        <v>48000</v>
      </c>
    </row>
    <row r="69" spans="1:3" ht="15" hidden="1" outlineLevel="1">
      <c r="A69" s="40" t="s">
        <v>159</v>
      </c>
      <c r="B69" s="19" t="str">
        <f>VLOOKUP(A69&amp;"Homeownership Assistance",'Agency Counties'!C:D,2,0)</f>
        <v>(Statewide)</v>
      </c>
      <c r="C69" s="31">
        <f>_xlfn.SUMIFS(Data!$I$2:$I$160,Data!$A$2:$A$160,'Program Statement'!A69,Data!$B$2:$B$160,"Homeownership Assistance")</f>
        <v>-5044.5</v>
      </c>
    </row>
    <row r="70" spans="1:3" ht="15" hidden="1" outlineLevel="1">
      <c r="A70" s="40" t="s">
        <v>120</v>
      </c>
      <c r="B70" s="19" t="str">
        <f>VLOOKUP(A70&amp;"Homeownership Assistance",'Agency Counties'!C:D,2,0)</f>
        <v>Lane</v>
      </c>
      <c r="C70" s="31">
        <f>_xlfn.SUMIFS(Data!$I$2:$I$160,Data!$A$2:$A$160,'Program Statement'!A70,Data!$B$2:$B$160,"Homeownership Assistance")</f>
        <v>25774.17</v>
      </c>
    </row>
    <row r="71" spans="1:3" ht="15" hidden="1" outlineLevel="1">
      <c r="A71" s="40" t="s">
        <v>110</v>
      </c>
      <c r="B71" s="19" t="str">
        <f>VLOOKUP(A71&amp;"Homeownership Assistance",'Agency Counties'!C:D,2,0)</f>
        <v>Clackamas, Multnomah, Washington</v>
      </c>
      <c r="C71" s="31">
        <f>_xlfn.SUMIFS(Data!$I$2:$I$160,Data!$A$2:$A$160,'Program Statement'!A71,Data!$B$2:$B$160,"Homeownership Assistance")</f>
        <v>9036</v>
      </c>
    </row>
    <row r="72" spans="1:4" ht="15" collapsed="1">
      <c r="A72" s="18" t="s">
        <v>100</v>
      </c>
      <c r="B72" s="19"/>
      <c r="C72" s="34">
        <f>SUBTOTAL(9,C60:C71)</f>
        <v>525123.11</v>
      </c>
      <c r="D72" s="22"/>
    </row>
    <row r="73" spans="1:3" ht="15" hidden="1" outlineLevel="1">
      <c r="A73" s="40" t="s">
        <v>156</v>
      </c>
      <c r="B73" s="19" t="str">
        <f>VLOOKUP(A73&amp;"Homeownership Centers",'Agency Counties'!C:D,2,0)</f>
        <v>Jackson, Josephine</v>
      </c>
      <c r="C73" s="31">
        <f>_xlfn.SUMIFS(Data!$I$2:$I$160,Data!$A$2:$A$160,'Program Statement'!A73,Data!$B$2:$B$160,"Homeownership Centers")</f>
        <v>409747.75</v>
      </c>
    </row>
    <row r="74" spans="1:3" ht="15" hidden="1" outlineLevel="1">
      <c r="A74" s="40" t="s">
        <v>169</v>
      </c>
      <c r="B74" s="19" t="str">
        <f>VLOOKUP(A74&amp;"Homeownership Centers",'Agency Counties'!C:D,2,0)</f>
        <v>Clackamas, Multnomah, Washington</v>
      </c>
      <c r="C74" s="31">
        <f>_xlfn.SUMIFS(Data!$I$2:$I$160,Data!$A$2:$A$160,'Program Statement'!A74,Data!$B$2:$B$160,"Homeownership Centers")</f>
        <v>199883.99</v>
      </c>
    </row>
    <row r="75" spans="1:3" ht="15" hidden="1" outlineLevel="1">
      <c r="A75" s="40" t="s">
        <v>118</v>
      </c>
      <c r="B75" s="19" t="str">
        <f>VLOOKUP(A75&amp;"Homeownership Centers",'Agency Counties'!C:D,2,0)</f>
        <v>Gilliam, Morrow, Umatilla, Wheeler</v>
      </c>
      <c r="C75" s="31">
        <f>_xlfn.SUMIFS(Data!$I$2:$I$160,Data!$A$2:$A$160,'Program Statement'!A75,Data!$B$2:$B$160,"Homeownership Centers")</f>
        <v>257693.25</v>
      </c>
    </row>
    <row r="76" spans="1:3" ht="15" hidden="1" outlineLevel="1">
      <c r="A76" s="40" t="s">
        <v>112</v>
      </c>
      <c r="B76" s="19" t="str">
        <f>VLOOKUP(A76&amp;"Homeownership Centers",'Agency Counties'!C:D,2,0)</f>
        <v>Clatsop, Columbia, Tillamook</v>
      </c>
      <c r="C76" s="31">
        <f>_xlfn.SUMIFS(Data!$I$2:$I$160,Data!$A$2:$A$160,'Program Statement'!A76,Data!$B$2:$B$160,"Homeownership Centers")</f>
        <v>270422.18000000017</v>
      </c>
    </row>
    <row r="77" spans="1:3" ht="15" hidden="1" outlineLevel="1">
      <c r="A77" s="40" t="s">
        <v>117</v>
      </c>
      <c r="B77" s="19" t="str">
        <f>VLOOKUP(A77&amp;"Homeownership Centers",'Agency Counties'!C:D,2,0)</f>
        <v>Baker, Grant, Union, Wallowa</v>
      </c>
      <c r="C77" s="31">
        <f>_xlfn.SUMIFS(Data!$I$2:$I$160,Data!$A$2:$A$160,'Program Statement'!A77,Data!$B$2:$B$160,"Homeownership Centers")</f>
        <v>181238.72999999998</v>
      </c>
    </row>
    <row r="78" spans="1:3" ht="15" hidden="1" outlineLevel="1">
      <c r="A78" s="40" t="s">
        <v>119</v>
      </c>
      <c r="B78" s="19" t="str">
        <f>VLOOKUP(A78&amp;"Homeownership Centers",'Agency Counties'!C:D,2,0)</f>
        <v>Lincoln</v>
      </c>
      <c r="C78" s="31">
        <f>_xlfn.SUMIFS(Data!$I$2:$I$160,Data!$A$2:$A$160,'Program Statement'!A78,Data!$B$2:$B$160,"Homeownership Centers")</f>
        <v>31001.329999999998</v>
      </c>
    </row>
    <row r="79" spans="1:3" ht="15" hidden="1" outlineLevel="1">
      <c r="A79" s="40" t="s">
        <v>177</v>
      </c>
      <c r="B79" s="19" t="str">
        <f>VLOOKUP(A79&amp;"Homeownership Centers",'Agency Counties'!C:D,2,0)</f>
        <v>Harney, Malheur</v>
      </c>
      <c r="C79" s="31">
        <f>_xlfn.SUMIFS(Data!$I$2:$I$160,Data!$A$2:$A$160,'Program Statement'!A79,Data!$B$2:$B$160,"Homeownership Centers")</f>
        <v>44105.47</v>
      </c>
    </row>
    <row r="80" spans="1:3" ht="15" hidden="1" outlineLevel="1">
      <c r="A80" s="40" t="s">
        <v>126</v>
      </c>
      <c r="B80" s="19" t="str">
        <f>VLOOKUP(A80&amp;"Homeownership Centers",'Agency Counties'!C:D,2,0)</f>
        <v>Clackamas, Multnomah, Washington</v>
      </c>
      <c r="C80" s="31">
        <f>_xlfn.SUMIFS(Data!$I$2:$I$160,Data!$A$2:$A$160,'Program Statement'!A80,Data!$B$2:$B$160,"Homeownership Centers")</f>
        <v>100349.82</v>
      </c>
    </row>
    <row r="81" spans="1:3" ht="15" hidden="1" outlineLevel="1">
      <c r="A81" s="40" t="s">
        <v>182</v>
      </c>
      <c r="B81" s="19" t="str">
        <f>VLOOKUP(A81&amp;"Homeownership Centers",'Agency Counties'!C:D,2,0)</f>
        <v>Lane</v>
      </c>
      <c r="C81" s="31">
        <f>_xlfn.SUMIFS(Data!$I$2:$I$160,Data!$A$2:$A$160,'Program Statement'!A81,Data!$B$2:$B$160,"Homeownership Centers")</f>
        <v>54856</v>
      </c>
    </row>
    <row r="82" spans="1:3" ht="15" hidden="1" outlineLevel="1">
      <c r="A82" s="40" t="s">
        <v>183</v>
      </c>
      <c r="B82" s="19" t="str">
        <f>VLOOKUP(A82&amp;"Homeownership Centers",'Agency Counties'!C:D,2,0)</f>
        <v>Marion</v>
      </c>
      <c r="C82" s="31">
        <f>_xlfn.SUMIFS(Data!$I$2:$I$160,Data!$A$2:$A$160,'Program Statement'!A82,Data!$B$2:$B$160,"Homeownership Centers")</f>
        <v>108000</v>
      </c>
    </row>
    <row r="83" spans="1:3" ht="15" hidden="1" outlineLevel="1">
      <c r="A83" s="40" t="s">
        <v>174</v>
      </c>
      <c r="B83" s="19" t="str">
        <f>VLOOKUP(A83&amp;"Homeownership Centers",'Agency Counties'!C:D,2,0)</f>
        <v>Klamath, Lake</v>
      </c>
      <c r="C83" s="31">
        <f>_xlfn.SUMIFS(Data!$I$2:$I$160,Data!$A$2:$A$160,'Program Statement'!A83,Data!$B$2:$B$160,"Homeownership Centers")</f>
        <v>310297.02999999997</v>
      </c>
    </row>
    <row r="84" spans="1:3" ht="15" hidden="1" outlineLevel="1">
      <c r="A84" s="40" t="s">
        <v>111</v>
      </c>
      <c r="B84" s="19" t="str">
        <f>VLOOKUP(A84&amp;"Homeownership Centers",'Agency Counties'!C:D,2,0)</f>
        <v>Benton, Lincoln, Linn</v>
      </c>
      <c r="C84" s="31">
        <f>_xlfn.SUMIFS(Data!$I$2:$I$160,Data!$A$2:$A$160,'Program Statement'!A84,Data!$B$2:$B$160,"Homeownership Centers")</f>
        <v>32047</v>
      </c>
    </row>
    <row r="85" spans="1:3" ht="15" hidden="1" outlineLevel="1">
      <c r="A85" s="40" t="s">
        <v>116</v>
      </c>
      <c r="B85" s="19" t="str">
        <f>VLOOKUP(A85&amp;"Homeownership Centers",'Agency Counties'!C:D,2,0)</f>
        <v>Hood River, Sherman, Wasco</v>
      </c>
      <c r="C85" s="31">
        <f>_xlfn.SUMIFS(Data!$I$2:$I$160,Data!$A$2:$A$160,'Program Statement'!A85,Data!$B$2:$B$160,"Homeownership Centers")</f>
        <v>203401.62999999992</v>
      </c>
    </row>
    <row r="86" spans="1:3" ht="15" hidden="1" outlineLevel="1">
      <c r="A86" s="40" t="s">
        <v>172</v>
      </c>
      <c r="B86" s="19" t="str">
        <f>VLOOKUP(A86&amp;"Homeownership Centers",'Agency Counties'!C:D,2,0)</f>
        <v>Clackamas, Multnomah, Washington</v>
      </c>
      <c r="C86" s="31">
        <f>_xlfn.SUMIFS(Data!$I$2:$I$160,Data!$A$2:$A$160,'Program Statement'!A86,Data!$B$2:$B$160,"Homeownership Centers")</f>
        <v>270867.93999999994</v>
      </c>
    </row>
    <row r="87" spans="1:3" ht="15" hidden="1" outlineLevel="1">
      <c r="A87" s="40" t="s">
        <v>123</v>
      </c>
      <c r="B87" s="19" t="str">
        <f>VLOOKUP(A87&amp;"Homeownership Centers",'Agency Counties'!C:D,2,0)</f>
        <v>Lane, Marion</v>
      </c>
      <c r="C87" s="31">
        <f>_xlfn.SUMIFS(Data!$I$2:$I$160,Data!$A$2:$A$160,'Program Statement'!A87,Data!$B$2:$B$160,"Homeownership Centers")</f>
        <v>619901.1499999999</v>
      </c>
    </row>
    <row r="88" spans="1:3" ht="15" hidden="1" outlineLevel="1">
      <c r="A88" s="40" t="s">
        <v>115</v>
      </c>
      <c r="B88" s="19" t="str">
        <f>VLOOKUP(A88&amp;"Homeownership Centers",'Agency Counties'!C:D,2,0)</f>
        <v>Crook, Deschutes, Jefferson</v>
      </c>
      <c r="C88" s="31">
        <f>_xlfn.SUMIFS(Data!$I$2:$I$160,Data!$A$2:$A$160,'Program Statement'!A88,Data!$B$2:$B$160,"Homeownership Centers")</f>
        <v>264029.8799999998</v>
      </c>
    </row>
    <row r="89" spans="1:3" ht="15" hidden="1" outlineLevel="1">
      <c r="A89" s="40" t="s">
        <v>191</v>
      </c>
      <c r="B89" s="19" t="str">
        <f>VLOOKUP(A89&amp;"Homeownership Centers",'Agency Counties'!C:D,2,0)</f>
        <v>Coos, Curry, Douglas</v>
      </c>
      <c r="C89" s="31">
        <f>_xlfn.SUMIFS(Data!$I$2:$I$160,Data!$A$2:$A$160,'Program Statement'!A89,Data!$B$2:$B$160,"Homeownership Centers")</f>
        <v>542839.0900000001</v>
      </c>
    </row>
    <row r="90" spans="1:3" ht="15" hidden="1" outlineLevel="1">
      <c r="A90" s="40" t="s">
        <v>132</v>
      </c>
      <c r="B90" s="19" t="str">
        <f>VLOOKUP(A90&amp;"Homeownership Centers",'Agency Counties'!C:D,2,0)</f>
        <v>Washington</v>
      </c>
      <c r="C90" s="31">
        <f>_xlfn.SUMIFS(Data!$I$2:$I$160,Data!$A$2:$A$160,'Program Statement'!A90,Data!$B$2:$B$160,"Homeownership Centers")</f>
        <v>148928.48</v>
      </c>
    </row>
    <row r="91" spans="1:3" ht="15" hidden="1" outlineLevel="1">
      <c r="A91" s="40" t="s">
        <v>110</v>
      </c>
      <c r="B91" s="19" t="str">
        <f>VLOOKUP(A91&amp;"Homeownership Centers",'Agency Counties'!C:D,2,0)</f>
        <v>Clackamas, Multnomah, Washington</v>
      </c>
      <c r="C91" s="31">
        <f>_xlfn.SUMIFS(Data!$I$2:$I$160,Data!$A$2:$A$160,'Program Statement'!A91,Data!$B$2:$B$160,"Homeownership Centers")</f>
        <v>445074.9900000001</v>
      </c>
    </row>
    <row r="92" spans="1:3" ht="15" hidden="1" outlineLevel="1">
      <c r="A92" s="40" t="s">
        <v>114</v>
      </c>
      <c r="B92" s="19" t="str">
        <f>VLOOKUP(A92&amp;"Homeownership Centers",'Agency Counties'!C:D,2,0)</f>
        <v>Benton, Linn</v>
      </c>
      <c r="C92" s="31">
        <f>_xlfn.SUMIFS(Data!$I$2:$I$160,Data!$A$2:$A$160,'Program Statement'!A92,Data!$B$2:$B$160,"Homeownership Centers")</f>
        <v>311281.12</v>
      </c>
    </row>
    <row r="93" spans="1:3" ht="15" hidden="1" outlineLevel="1">
      <c r="A93" s="40" t="s">
        <v>113</v>
      </c>
      <c r="B93" s="19" t="str">
        <f>VLOOKUP(A93&amp;"Homeownership Centers",'Agency Counties'!C:D,2,0)</f>
        <v>Polk, Yamhill</v>
      </c>
      <c r="C93" s="31">
        <f>_xlfn.SUMIFS(Data!$I$2:$I$160,Data!$A$2:$A$160,'Program Statement'!A93,Data!$B$2:$B$160,"Homeownership Centers")</f>
        <v>264472</v>
      </c>
    </row>
    <row r="94" spans="1:4" ht="15" collapsed="1">
      <c r="A94" s="18" t="s">
        <v>108</v>
      </c>
      <c r="B94" s="19"/>
      <c r="C94" s="47">
        <f>SUBTOTAL(9,C73:C93)</f>
        <v>5070438.83</v>
      </c>
      <c r="D94" s="10"/>
    </row>
    <row r="95" spans="1:4" ht="15" hidden="1" outlineLevel="1">
      <c r="A95" s="41" t="s">
        <v>156</v>
      </c>
      <c r="B95" s="19" t="str">
        <f>VLOOKUP(A95&amp;"Homeownership Innovation",'Agency Counties'!C:D,2,0)</f>
        <v>Jackson, Josephine</v>
      </c>
      <c r="C95" s="31">
        <f>_xlfn.SUMIFS(Data!$I$2:$I$160,Data!$A$2:$A$160,'Program Statement'!A95,Data!$B$2:$B$160,"Homeownership Innovation")</f>
        <v>62500</v>
      </c>
      <c r="D95" s="22"/>
    </row>
    <row r="96" spans="1:4" ht="15" hidden="1" outlineLevel="1">
      <c r="A96" s="41" t="s">
        <v>127</v>
      </c>
      <c r="B96" s="19" t="str">
        <f>VLOOKUP(A96&amp;"Homeownership Innovation",'Agency Counties'!C:D,2,0)</f>
        <v>Yamhill</v>
      </c>
      <c r="C96" s="31">
        <f>_xlfn.SUMIFS(Data!$I$2:$I$160,Data!$A$2:$A$160,'Program Statement'!A96,Data!$B$2:$B$160,"Homeownership Innovation")</f>
        <v>100000</v>
      </c>
      <c r="D96" s="22"/>
    </row>
    <row r="97" spans="1:4" ht="15" hidden="1" outlineLevel="1">
      <c r="A97" s="41" t="s">
        <v>172</v>
      </c>
      <c r="B97" s="19" t="str">
        <f>VLOOKUP(A97&amp;"Homeownership Innovation",'Agency Counties'!C:D,2,0)</f>
        <v>Clackamas, Multnomah, Washington</v>
      </c>
      <c r="C97" s="31">
        <f>_xlfn.SUMIFS(Data!$I$2:$I$160,Data!$A$2:$A$160,'Program Statement'!A97,Data!$B$2:$B$160,"Homeownership Innovation")</f>
        <v>62500</v>
      </c>
      <c r="D97" s="22"/>
    </row>
    <row r="98" spans="1:4" ht="15" hidden="1" outlineLevel="1">
      <c r="A98" s="41" t="s">
        <v>123</v>
      </c>
      <c r="B98" s="19" t="str">
        <f>VLOOKUP(A98&amp;"Homeownership Innovation",'Agency Counties'!C:D,2,0)</f>
        <v>Lane</v>
      </c>
      <c r="C98" s="31">
        <f>_xlfn.SUMIFS(Data!$I$2:$I$160,Data!$A$2:$A$160,'Program Statement'!A98,Data!$B$2:$B$160,"Homeownership Innovation")</f>
        <v>134534.47</v>
      </c>
      <c r="D98" s="22"/>
    </row>
    <row r="99" spans="1:4" ht="15" hidden="1" outlineLevel="1">
      <c r="A99" s="41" t="s">
        <v>191</v>
      </c>
      <c r="B99" s="19" t="str">
        <f>VLOOKUP(A99&amp;"Homeownership Innovation",'Agency Counties'!C:D,2,0)</f>
        <v>Coos, Curry, Douglas</v>
      </c>
      <c r="C99" s="31">
        <f>_xlfn.SUMIFS(Data!$I$2:$I$160,Data!$A$2:$A$160,'Program Statement'!A99,Data!$B$2:$B$160,"Homeownership Innovation")</f>
        <v>32665.12</v>
      </c>
      <c r="D99" s="22"/>
    </row>
    <row r="100" spans="1:4" ht="15" hidden="1" outlineLevel="1">
      <c r="A100" s="41" t="s">
        <v>110</v>
      </c>
      <c r="B100" s="19" t="str">
        <f>VLOOKUP(A100&amp;"Homeownership Innovation",'Agency Counties'!C:D,2,0)</f>
        <v>Clackamas, Multnomah, Washington</v>
      </c>
      <c r="C100" s="31">
        <f>_xlfn.SUMIFS(Data!$I$2:$I$160,Data!$A$2:$A$160,'Program Statement'!A100,Data!$B$2:$B$160,"Homeownership Innovation")</f>
        <v>81057.80000000002</v>
      </c>
      <c r="D100" s="22"/>
    </row>
    <row r="101" spans="1:4" ht="15" collapsed="1">
      <c r="A101" s="18" t="s">
        <v>99</v>
      </c>
      <c r="B101" s="19"/>
      <c r="C101" s="34">
        <f>SUBTOTAL(9,C95:C100)</f>
        <v>473257.39</v>
      </c>
      <c r="D101" s="22"/>
    </row>
    <row r="102" spans="1:4" ht="15" hidden="1" outlineLevel="1">
      <c r="A102" s="41" t="s">
        <v>164</v>
      </c>
      <c r="B102" s="19" t="str">
        <f>VLOOKUP(A102&amp;"Training",'Agency Counties'!C:D,2,0)</f>
        <v>(Statewide)</v>
      </c>
      <c r="C102" s="31">
        <f>_xlfn.SUMIFS(Data!$I$2:$I$160,Data!$A$2:$A$160,'Program Statement'!A102,Data!$B$2:$B$160,"Training")</f>
        <v>0</v>
      </c>
      <c r="D102" s="22"/>
    </row>
    <row r="103" spans="1:4" ht="15" hidden="1" outlineLevel="1">
      <c r="A103" s="41" t="s">
        <v>152</v>
      </c>
      <c r="B103" s="19" t="str">
        <f>VLOOKUP(A103&amp;"Training",'Agency Counties'!C:D,2,0)</f>
        <v>(Statewide)</v>
      </c>
      <c r="C103" s="31">
        <f>_xlfn.SUMIFS(Data!$I$2:$I$160,Data!$A$2:$A$160,'Program Statement'!A103,Data!$B$2:$B$160,"Training")</f>
        <v>280153.4</v>
      </c>
      <c r="D103" s="22"/>
    </row>
    <row r="104" spans="1:4" ht="15" collapsed="1">
      <c r="A104" s="18" t="s">
        <v>106</v>
      </c>
      <c r="B104" s="18"/>
      <c r="C104" s="35">
        <f>SUBTOTAL(9,C102:C103)</f>
        <v>280153.4</v>
      </c>
      <c r="D104" s="22"/>
    </row>
    <row r="105" spans="1:4" ht="15">
      <c r="A105" s="16" t="s">
        <v>90</v>
      </c>
      <c r="B105" s="16"/>
      <c r="D105" s="27">
        <f>SUBTOTAL(9,C25:C104)</f>
        <v>11882606.740000002</v>
      </c>
    </row>
    <row r="106" spans="1:4" ht="15">
      <c r="A106" s="18"/>
      <c r="B106" s="18"/>
      <c r="D106" s="22"/>
    </row>
    <row r="107" spans="1:5" ht="15" hidden="1" outlineLevel="1">
      <c r="A107" s="40" t="s">
        <v>156</v>
      </c>
      <c r="B107" s="10" t="str">
        <f>VLOOKUP(A107&amp;"Down Payment Assistance",'Agency Counties'!C:D,2,0)</f>
        <v>Jackson, Josephine</v>
      </c>
      <c r="C107" s="31">
        <f>_xlfn.SUMIFS(Data!J:J,Data!A:A,'Program Statement'!A107,Data!B:B,"Down Payment Assistance")</f>
        <v>100000</v>
      </c>
      <c r="E107" s="55"/>
    </row>
    <row r="108" spans="1:5" ht="15" hidden="1" outlineLevel="1">
      <c r="A108" s="40" t="s">
        <v>171</v>
      </c>
      <c r="B108" s="10" t="str">
        <f>VLOOKUP(A108&amp;"Down Payment Assistance",'Agency Counties'!C:D,2,0)</f>
        <v>Clackamas, Multnomah, Washington</v>
      </c>
      <c r="C108" s="31">
        <f>_xlfn.SUMIFS(Data!J:J,Data!A:A,'Program Statement'!A108,Data!B:B,"Down Payment Assistance")</f>
        <v>0</v>
      </c>
      <c r="E108" s="55"/>
    </row>
    <row r="109" spans="1:5" ht="15" hidden="1" outlineLevel="1">
      <c r="A109" s="40" t="s">
        <v>125</v>
      </c>
      <c r="B109" s="10" t="str">
        <f>VLOOKUP(A109&amp;"Down Payment Assistance",'Agency Counties'!C:D,2,0)</f>
        <v>Hood River, Sherman, Wasco</v>
      </c>
      <c r="C109" s="31">
        <f>_xlfn.SUMIFS(Data!J:J,Data!A:A,'Program Statement'!A109,Data!B:B,"Down Payment Assistance")</f>
        <v>0</v>
      </c>
      <c r="E109" s="55"/>
    </row>
    <row r="110" spans="1:5" ht="15" hidden="1" outlineLevel="1">
      <c r="A110" s="40" t="s">
        <v>118</v>
      </c>
      <c r="B110" s="10" t="str">
        <f>VLOOKUP(A110&amp;"Down Payment Assistance",'Agency Counties'!C:D,2,0)</f>
        <v>Gilliam, Morrow, Umatilla, Wheeler</v>
      </c>
      <c r="C110" s="31">
        <f>_xlfn.SUMIFS(Data!J:J,Data!A:A,'Program Statement'!A110,Data!B:B,"Down Payment Assistance")</f>
        <v>50000</v>
      </c>
      <c r="E110" s="55"/>
    </row>
    <row r="111" spans="1:5" ht="15" hidden="1" outlineLevel="1">
      <c r="A111" s="40" t="s">
        <v>112</v>
      </c>
      <c r="B111" s="10" t="str">
        <f>VLOOKUP(A111&amp;"Down Payment Assistance",'Agency Counties'!C:D,2,0)</f>
        <v>Clatsop, Columbia, Tillamook</v>
      </c>
      <c r="C111" s="31">
        <f>_xlfn.SUMIFS(Data!J:J,Data!A:A,'Program Statement'!A111,Data!B:B,"Down Payment Assistance")</f>
        <v>52200</v>
      </c>
      <c r="E111" s="55"/>
    </row>
    <row r="112" spans="1:5" ht="15" hidden="1" outlineLevel="1">
      <c r="A112" s="40" t="s">
        <v>162</v>
      </c>
      <c r="B112" s="10" t="str">
        <f>VLOOKUP(A112&amp;"Down Payment Assistance",'Agency Counties'!C:D,2,0)</f>
        <v>Malheur</v>
      </c>
      <c r="C112" s="31">
        <f>_xlfn.SUMIFS(Data!J:J,Data!A:A,'Program Statement'!A112,Data!B:B,"Down Payment Assistance")</f>
        <v>50000</v>
      </c>
      <c r="E112" s="55"/>
    </row>
    <row r="113" spans="1:5" ht="15" hidden="1" outlineLevel="1">
      <c r="A113" s="40" t="s">
        <v>181</v>
      </c>
      <c r="B113" s="10" t="str">
        <f>VLOOKUP(A113&amp;"Down Payment Assistance",'Agency Counties'!C:D,2,0)</f>
        <v>Deschutes</v>
      </c>
      <c r="C113" s="31">
        <f>_xlfn.SUMIFS(Data!J:J,Data!A:A,'Program Statement'!A113,Data!B:B,"Down Payment Assistance")</f>
        <v>50000</v>
      </c>
      <c r="E113" s="55"/>
    </row>
    <row r="114" spans="1:5" ht="15" hidden="1" outlineLevel="1">
      <c r="A114" s="40" t="s">
        <v>128</v>
      </c>
      <c r="B114" s="10" t="str">
        <f>VLOOKUP(A114&amp;"Down Payment Assistance",'Agency Counties'!C:D,2,0)</f>
        <v>(Statewide)</v>
      </c>
      <c r="C114" s="31">
        <f>_xlfn.SUMIFS(Data!J:J,Data!A:A,'Program Statement'!A114,Data!B:B,"Down Payment Assistance")</f>
        <v>0</v>
      </c>
      <c r="E114" s="55"/>
    </row>
    <row r="115" spans="1:5" ht="15" hidden="1" outlineLevel="1">
      <c r="A115" s="40" t="s">
        <v>129</v>
      </c>
      <c r="B115" s="10" t="str">
        <f>VLOOKUP(A115&amp;"Down Payment Assistance",'Agency Counties'!C:D,2,0)</f>
        <v>Multnomah, Washington</v>
      </c>
      <c r="C115" s="31">
        <f>_xlfn.SUMIFS(Data!J:J,Data!A:A,'Program Statement'!A115,Data!B:B,"Down Payment Assistance")</f>
        <v>50000</v>
      </c>
      <c r="E115" s="55"/>
    </row>
    <row r="116" spans="1:5" ht="15" hidden="1" outlineLevel="1">
      <c r="A116" s="40" t="s">
        <v>184</v>
      </c>
      <c r="B116" s="10" t="str">
        <f>VLOOKUP(A116&amp;"Down Payment Assistance",'Agency Counties'!C:D,2,0)</f>
        <v>Washington</v>
      </c>
      <c r="C116" s="31">
        <f>_xlfn.SUMIFS(Data!J:J,Data!A:A,'Program Statement'!A116,Data!B:B,"Down Payment Assistance")</f>
        <v>0</v>
      </c>
      <c r="E116" s="55"/>
    </row>
    <row r="117" spans="1:5" ht="15" hidden="1" outlineLevel="1">
      <c r="A117" s="40" t="s">
        <v>126</v>
      </c>
      <c r="B117" s="10" t="str">
        <f>VLOOKUP(A117&amp;"Down Payment Assistance",'Agency Counties'!C:D,2,0)</f>
        <v>Clackamas, Multnomah, Washington</v>
      </c>
      <c r="C117" s="31">
        <f>_xlfn.SUMIFS(Data!J:J,Data!A:A,'Program Statement'!A117,Data!B:B,"Down Payment Assistance")</f>
        <v>0</v>
      </c>
      <c r="E117" s="55"/>
    </row>
    <row r="118" spans="1:5" ht="15" hidden="1" outlineLevel="1">
      <c r="A118" s="40" t="s">
        <v>127</v>
      </c>
      <c r="B118" s="10" t="str">
        <f>VLOOKUP(A118&amp;"Down Payment Assistance",'Agency Counties'!C:D,2,0)</f>
        <v>Yamhill</v>
      </c>
      <c r="C118" s="31">
        <f>_xlfn.SUMIFS(Data!J:J,Data!A:A,'Program Statement'!A118,Data!B:B,"Down Payment Assistance")</f>
        <v>85038.09</v>
      </c>
      <c r="E118" s="55"/>
    </row>
    <row r="119" spans="1:5" ht="15" hidden="1" outlineLevel="1">
      <c r="A119" s="40" t="s">
        <v>174</v>
      </c>
      <c r="B119" s="10" t="str">
        <f>VLOOKUP(A119&amp;"Down Payment Assistance",'Agency Counties'!C:D,2,0)</f>
        <v>Klamath, Lake</v>
      </c>
      <c r="C119" s="31">
        <f>_xlfn.SUMIFS(Data!J:J,Data!A:A,'Program Statement'!A119,Data!B:B,"Down Payment Assistance")</f>
        <v>50000</v>
      </c>
      <c r="E119" s="55"/>
    </row>
    <row r="120" spans="1:5" ht="15" hidden="1" outlineLevel="1">
      <c r="A120" s="40" t="s">
        <v>172</v>
      </c>
      <c r="B120" s="10" t="str">
        <f>VLOOKUP(A120&amp;"Down Payment Assistance",'Agency Counties'!C:D,2,0)</f>
        <v>Clackamas, Multnomah, Washington</v>
      </c>
      <c r="C120" s="31">
        <f>_xlfn.SUMIFS(Data!J:J,Data!A:A,'Program Statement'!A120,Data!B:B,"Down Payment Assistance")</f>
        <v>50000</v>
      </c>
      <c r="E120" s="55"/>
    </row>
    <row r="121" spans="1:5" ht="15" hidden="1" outlineLevel="1">
      <c r="A121" s="40" t="s">
        <v>123</v>
      </c>
      <c r="B121" s="10" t="str">
        <f>VLOOKUP(A121&amp;"Down Payment Assistance",'Agency Counties'!C:D,2,0)</f>
        <v>Lane, Marion</v>
      </c>
      <c r="C121" s="31">
        <f>_xlfn.SUMIFS(Data!J:J,Data!A:A,'Program Statement'!A121,Data!B:B,"Down Payment Assistance")</f>
        <v>0</v>
      </c>
      <c r="E121" s="55"/>
    </row>
    <row r="122" spans="1:5" ht="15" hidden="1" outlineLevel="1">
      <c r="A122" s="40" t="s">
        <v>115</v>
      </c>
      <c r="B122" s="10" t="str">
        <f>VLOOKUP(A122&amp;"Down Payment Assistance",'Agency Counties'!C:D,2,0)</f>
        <v>Crook, Deschutes, Jefferson</v>
      </c>
      <c r="C122" s="31">
        <f>_xlfn.SUMIFS(Data!J:J,Data!A:A,'Program Statement'!A122,Data!B:B,"Down Payment Assistance")</f>
        <v>0</v>
      </c>
      <c r="E122" s="55"/>
    </row>
    <row r="123" spans="1:5" ht="15" hidden="1" outlineLevel="1">
      <c r="A123" s="40" t="s">
        <v>191</v>
      </c>
      <c r="B123" s="10" t="str">
        <f>VLOOKUP(A123&amp;"Down Payment Assistance",'Agency Counties'!C:D,2,0)</f>
        <v>Coos, Curry, Douglas</v>
      </c>
      <c r="C123" s="31">
        <f>_xlfn.SUMIFS(Data!J:J,Data!A:A,'Program Statement'!A123,Data!B:B,"Down Payment Assistance")</f>
        <v>72999.99</v>
      </c>
      <c r="E123" s="55"/>
    </row>
    <row r="124" spans="1:5" ht="15" hidden="1" outlineLevel="1">
      <c r="A124" s="40" t="s">
        <v>132</v>
      </c>
      <c r="B124" s="10" t="str">
        <f>VLOOKUP(A124&amp;"Down Payment Assistance",'Agency Counties'!C:D,2,0)</f>
        <v>Washington</v>
      </c>
      <c r="C124" s="31">
        <f>_xlfn.SUMIFS(Data!J:J,Data!A:A,'Program Statement'!A124,Data!B:B,"Down Payment Assistance")</f>
        <v>0</v>
      </c>
      <c r="E124" s="55"/>
    </row>
    <row r="125" spans="1:5" ht="15" hidden="1" outlineLevel="1">
      <c r="A125" s="40" t="s">
        <v>159</v>
      </c>
      <c r="B125" s="10" t="str">
        <f>VLOOKUP(A125&amp;"Down Payment Assistance",'Agency Counties'!C:D,2,0)</f>
        <v>(Statewide)</v>
      </c>
      <c r="C125" s="31">
        <f>_xlfn.SUMIFS(Data!J:J,Data!A:A,'Program Statement'!A125,Data!B:B,"Down Payment Assistance")</f>
        <v>0</v>
      </c>
      <c r="E125" s="55"/>
    </row>
    <row r="126" spans="1:5" ht="15" hidden="1" outlineLevel="1">
      <c r="A126" s="40" t="s">
        <v>154</v>
      </c>
      <c r="B126" s="10" t="str">
        <f>VLOOKUP(A126&amp;"Down Payment Assistance",'Agency Counties'!C:D,2,0)</f>
        <v>(Statewide)</v>
      </c>
      <c r="C126" s="31">
        <f>_xlfn.SUMIFS(Data!J:J,Data!A:A,'Program Statement'!A126,Data!B:B,"Down Payment Assistance")</f>
        <v>107658.23999999999</v>
      </c>
      <c r="E126" s="55"/>
    </row>
    <row r="127" spans="1:5" ht="15" hidden="1" outlineLevel="1">
      <c r="A127" s="40" t="s">
        <v>163</v>
      </c>
      <c r="B127" s="10" t="str">
        <f>VLOOKUP(A127&amp;"Down Payment Assistance",'Agency Counties'!C:D,2,0)</f>
        <v>Multnomah</v>
      </c>
      <c r="C127" s="31">
        <f>_xlfn.SUMIFS(Data!J:J,Data!A:A,'Program Statement'!A127,Data!B:B,"Down Payment Assistance")</f>
        <v>0</v>
      </c>
      <c r="E127" s="55"/>
    </row>
    <row r="128" spans="1:5" ht="15" hidden="1" outlineLevel="1">
      <c r="A128" s="40" t="s">
        <v>110</v>
      </c>
      <c r="B128" s="10" t="str">
        <f>VLOOKUP(A128&amp;"Down Payment Assistance",'Agency Counties'!C:D,2,0)</f>
        <v>Clackamas, Multnomah, Washington</v>
      </c>
      <c r="C128" s="31">
        <f>_xlfn.SUMIFS(Data!J:J,Data!A:A,'Program Statement'!A128,Data!B:B,"Down Payment Assistance")</f>
        <v>0</v>
      </c>
      <c r="E128" s="55"/>
    </row>
    <row r="129" spans="1:5" ht="15" hidden="1" outlineLevel="1">
      <c r="A129" s="40" t="s">
        <v>124</v>
      </c>
      <c r="B129" s="10" t="str">
        <f>VLOOKUP(A129&amp;"Down Payment Assistance",'Agency Counties'!C:D,2,0)</f>
        <v>Clackamas, Multnomah, Washington</v>
      </c>
      <c r="C129" s="31">
        <f>_xlfn.SUMIFS(Data!J:J,Data!A:A,'Program Statement'!A129,Data!B:B,"Down Payment Assistance")</f>
        <v>0</v>
      </c>
      <c r="E129" s="55"/>
    </row>
    <row r="130" spans="1:5" ht="15" hidden="1" outlineLevel="1">
      <c r="A130" s="40" t="s">
        <v>114</v>
      </c>
      <c r="B130" s="10" t="str">
        <f>VLOOKUP(A130&amp;"Down Payment Assistance",'Agency Counties'!C:D,2,0)</f>
        <v>Benton, Linn</v>
      </c>
      <c r="C130" s="31">
        <f>_xlfn.SUMIFS(Data!J:J,Data!A:A,'Program Statement'!A130,Data!B:B,"Down Payment Assistance")</f>
        <v>0</v>
      </c>
      <c r="E130" s="55"/>
    </row>
    <row r="131" spans="1:5" ht="15" collapsed="1">
      <c r="A131" s="10" t="s">
        <v>104</v>
      </c>
      <c r="C131" s="37">
        <f>SUBTOTAL(9,C107:C130)</f>
        <v>717896.32</v>
      </c>
      <c r="D131" s="22"/>
      <c r="E131" s="23"/>
    </row>
    <row r="132" spans="1:4" ht="15" hidden="1" outlineLevel="1">
      <c r="A132" s="40" t="s">
        <v>153</v>
      </c>
      <c r="B132" s="10" t="str">
        <f>VLOOKUP(A132&amp;"ODVA",'Agency Counties'!C:D,2,0)</f>
        <v>(Statewide)</v>
      </c>
      <c r="C132" s="31">
        <f>_xlfn.SUMIFS(Data!J:J,Data!A:A,'Program Statement'!A132,Data!B:B,"ODVA")</f>
        <v>0</v>
      </c>
      <c r="D132" s="22"/>
    </row>
    <row r="133" spans="1:4" ht="15" hidden="1" outlineLevel="1">
      <c r="A133" s="40" t="s">
        <v>112</v>
      </c>
      <c r="B133" s="10" t="str">
        <f>VLOOKUP(A133&amp;"ODVA",'Agency Counties'!C:D,2,0)</f>
        <v>Clatsop, Columbia, Tillamook</v>
      </c>
      <c r="C133" s="31">
        <f>_xlfn.SUMIFS(Data!J:J,Data!A:A,'Program Statement'!A133,Data!B:B,"ODVA")</f>
        <v>150000</v>
      </c>
      <c r="D133" s="22"/>
    </row>
    <row r="134" spans="1:4" ht="15" hidden="1" outlineLevel="1">
      <c r="A134" s="40" t="s">
        <v>177</v>
      </c>
      <c r="B134" s="10" t="str">
        <f>VLOOKUP(A134&amp;"ODVA",'Agency Counties'!C:D,2,0)</f>
        <v>Harney, Malheur</v>
      </c>
      <c r="C134" s="31">
        <f>_xlfn.SUMIFS(Data!J:J,Data!A:A,'Program Statement'!A134,Data!B:B,"ODVA")</f>
        <v>150000</v>
      </c>
      <c r="D134" s="22"/>
    </row>
    <row r="135" spans="1:4" ht="15" hidden="1" outlineLevel="1">
      <c r="A135" s="40" t="s">
        <v>117</v>
      </c>
      <c r="B135" s="10" t="str">
        <f>VLOOKUP(A135&amp;"ODVA",'Agency Counties'!C:D,2,0)</f>
        <v>Baker, Grant, Union, Wallowa</v>
      </c>
      <c r="C135" s="31">
        <f>_xlfn.SUMIFS(Data!J:J,Data!A:A,'Program Statement'!A135,Data!B:B,"ODVA")</f>
        <v>150000</v>
      </c>
      <c r="D135" s="22"/>
    </row>
    <row r="136" spans="1:4" ht="15" hidden="1" outlineLevel="1">
      <c r="A136" s="40" t="s">
        <v>128</v>
      </c>
      <c r="B136" s="10" t="str">
        <f>VLOOKUP(A136&amp;"ODVA",'Agency Counties'!C:D,2,0)</f>
        <v>(Statewide)</v>
      </c>
      <c r="C136" s="31">
        <f>_xlfn.SUMIFS(Data!J:J,Data!A:A,'Program Statement'!A136,Data!B:B,"ODVA")</f>
        <v>75000</v>
      </c>
      <c r="D136" s="22"/>
    </row>
    <row r="137" spans="1:4" ht="15" hidden="1" outlineLevel="1">
      <c r="A137" s="40" t="s">
        <v>127</v>
      </c>
      <c r="B137" s="10" t="str">
        <f>VLOOKUP(A137&amp;"ODVA",'Agency Counties'!C:D,2,0)</f>
        <v>Yamhill</v>
      </c>
      <c r="C137" s="31">
        <f>_xlfn.SUMIFS(Data!J:J,Data!A:A,'Program Statement'!A137,Data!B:B,"ODVA")</f>
        <v>150000</v>
      </c>
      <c r="D137" s="22"/>
    </row>
    <row r="138" spans="1:4" ht="15" hidden="1" outlineLevel="1">
      <c r="A138" s="40" t="s">
        <v>191</v>
      </c>
      <c r="B138" s="10" t="str">
        <f>VLOOKUP(A138&amp;"ODVA",'Agency Counties'!C:D,2,0)</f>
        <v>Coos, Curry, Douglas</v>
      </c>
      <c r="C138" s="31">
        <f>_xlfn.SUMIFS(Data!J:J,Data!A:A,'Program Statement'!A138,Data!B:B,"ODVA")</f>
        <v>150000</v>
      </c>
      <c r="D138" s="22"/>
    </row>
    <row r="139" spans="1:4" ht="15" hidden="1" outlineLevel="1">
      <c r="A139" s="40" t="s">
        <v>163</v>
      </c>
      <c r="B139" s="10" t="str">
        <f>VLOOKUP(A139&amp;"ODVA",'Agency Counties'!C:D,2,0)</f>
        <v>Multnomah</v>
      </c>
      <c r="C139" s="31">
        <f>_xlfn.SUMIFS(Data!J:J,Data!A:A,'Program Statement'!A139,Data!B:B,"ODVA")</f>
        <v>75000</v>
      </c>
      <c r="D139" s="22"/>
    </row>
    <row r="140" spans="1:4" ht="15" hidden="1" outlineLevel="1">
      <c r="A140" s="40" t="s">
        <v>192</v>
      </c>
      <c r="B140" s="10" t="str">
        <f>VLOOKUP(A140&amp;"ODVA",'Agency Counties'!C:D,2,0)</f>
        <v>Washington</v>
      </c>
      <c r="C140" s="31">
        <f>_xlfn.SUMIFS(Data!J:J,Data!A:A,'Program Statement'!A140,Data!B:B,"ODVA")</f>
        <v>150000</v>
      </c>
      <c r="D140" s="22"/>
    </row>
    <row r="141" spans="1:4" ht="15" hidden="1" outlineLevel="1">
      <c r="A141" s="40" t="s">
        <v>114</v>
      </c>
      <c r="B141" s="10" t="str">
        <f>VLOOKUP(A141&amp;"ODVA",'Agency Counties'!C:D,2,0)</f>
        <v>Benton, Linn</v>
      </c>
      <c r="C141" s="31">
        <f>_xlfn.SUMIFS(Data!J:J,Data!A:A,'Program Statement'!A141,Data!B:B,"ODVA")</f>
        <v>75000</v>
      </c>
      <c r="D141" s="22"/>
    </row>
    <row r="142" spans="1:4" ht="15" hidden="1" outlineLevel="1">
      <c r="A142" s="40" t="s">
        <v>184</v>
      </c>
      <c r="B142" s="10" t="str">
        <f>VLOOKUP(A142&amp;"ODVA",'Agency Counties'!C:D,2,0)</f>
        <v>Washington</v>
      </c>
      <c r="C142" s="31">
        <f>_xlfn.SUMIFS(Data!J:J,Data!A:A,'Program Statement'!A142,Data!B:B,"ODVA")</f>
        <v>75000</v>
      </c>
      <c r="D142" s="22"/>
    </row>
    <row r="143" spans="1:4" ht="15" collapsed="1">
      <c r="A143" s="10" t="s">
        <v>185</v>
      </c>
      <c r="C143" s="31">
        <f>SUBTOTAL(9,C132:C142)</f>
        <v>1200000</v>
      </c>
      <c r="D143" s="22"/>
    </row>
    <row r="144" spans="1:3" ht="15" hidden="1" outlineLevel="1">
      <c r="A144" s="40" t="s">
        <v>169</v>
      </c>
      <c r="B144" s="10" t="str">
        <f>VLOOKUP(A144&amp;"Homeownership Assistance",'Agency Counties'!C:D,2,0)</f>
        <v>Clackamas, Multnomah, Washington</v>
      </c>
      <c r="C144" s="31">
        <f>_xlfn.SUMIFS(Data!J:J,Data!A:A,'Program Statement'!A144,Data!B:B,"Homeownership Assistance")</f>
        <v>0</v>
      </c>
    </row>
    <row r="145" spans="1:3" ht="15" hidden="1" outlineLevel="1">
      <c r="A145" s="40" t="s">
        <v>173</v>
      </c>
      <c r="B145" s="10" t="str">
        <f>VLOOKUP(A145&amp;"Homeownership Assistance",'Agency Counties'!C:D,2,0)</f>
        <v>Multnomah</v>
      </c>
      <c r="C145" s="31">
        <f>_xlfn.SUMIFS(Data!J:J,Data!A:A,'Program Statement'!A145,Data!B:B,"Homeownership Assistance")</f>
        <v>0</v>
      </c>
    </row>
    <row r="146" spans="1:3" ht="15" hidden="1" outlineLevel="1">
      <c r="A146" s="40" t="s">
        <v>121</v>
      </c>
      <c r="B146" s="10" t="str">
        <f>VLOOKUP(A146&amp;"Homeownership Assistance",'Agency Counties'!C:D,2,0)</f>
        <v>Deschutes</v>
      </c>
      <c r="C146" s="31">
        <f>_xlfn.SUMIFS(Data!J:J,Data!A:A,'Program Statement'!A146,Data!B:B,"Homeownership Assistance")</f>
        <v>0</v>
      </c>
    </row>
    <row r="147" spans="1:3" ht="15" hidden="1" outlineLevel="1">
      <c r="A147" s="40" t="s">
        <v>126</v>
      </c>
      <c r="B147" s="10" t="str">
        <f>VLOOKUP(A147&amp;"Homeownership Assistance",'Agency Counties'!C:D,2,0)</f>
        <v>Multnomah</v>
      </c>
      <c r="C147" s="31">
        <f>_xlfn.SUMIFS(Data!J:J,Data!A:A,'Program Statement'!A147,Data!B:B,"Homeownership Assistance")</f>
        <v>0</v>
      </c>
    </row>
    <row r="148" spans="1:3" ht="15" hidden="1" outlineLevel="1">
      <c r="A148" s="40" t="s">
        <v>122</v>
      </c>
      <c r="B148" s="10" t="str">
        <f>VLOOKUP(A148&amp;"Homeownership Assistance",'Agency Counties'!C:D,2,0)</f>
        <v>Multnomah</v>
      </c>
      <c r="C148" s="31">
        <f>_xlfn.SUMIFS(Data!J:J,Data!A:A,'Program Statement'!A148,Data!B:B,"Homeownership Assistance")</f>
        <v>2250</v>
      </c>
    </row>
    <row r="149" spans="1:3" ht="15" hidden="1" outlineLevel="1">
      <c r="A149" s="40" t="s">
        <v>157</v>
      </c>
      <c r="B149" s="10" t="str">
        <f>VLOOKUP(A149&amp;"Homeownership Assistance",'Agency Counties'!C:D,2,0)</f>
        <v>Clackamas, Multnomah, Washington</v>
      </c>
      <c r="C149" s="31">
        <f>_xlfn.SUMIFS(Data!J:J,Data!A:A,'Program Statement'!A149,Data!B:B,"Homeownership Assistance")</f>
        <v>0</v>
      </c>
    </row>
    <row r="150" spans="1:3" ht="15" hidden="1" outlineLevel="1">
      <c r="A150" s="40" t="s">
        <v>174</v>
      </c>
      <c r="B150" s="10" t="str">
        <f>VLOOKUP(A150&amp;"Homeownership Assistance",'Agency Counties'!C:D,2,0)</f>
        <v>Klamath, Lake</v>
      </c>
      <c r="C150" s="31">
        <f>_xlfn.SUMIFS(Data!J:J,Data!A:A,'Program Statement'!A150,Data!B:B,"Homeownership Assistance")</f>
        <v>0</v>
      </c>
    </row>
    <row r="151" spans="1:3" ht="15" hidden="1" outlineLevel="1">
      <c r="A151" s="40" t="s">
        <v>155</v>
      </c>
      <c r="B151" s="10" t="str">
        <f>VLOOKUP(A151&amp;"Homeownership Assistance",'Agency Counties'!C:D,2,0)</f>
        <v>(Statewide)</v>
      </c>
      <c r="C151" s="31">
        <f>_xlfn.SUMIFS(Data!J:J,Data!A:A,'Program Statement'!A151,Data!B:B,"Homeownership Assistance")</f>
        <v>0</v>
      </c>
    </row>
    <row r="152" spans="1:3" ht="15" hidden="1" outlineLevel="1">
      <c r="A152" s="40" t="s">
        <v>123</v>
      </c>
      <c r="B152" s="10" t="str">
        <f>VLOOKUP(A152&amp;"Homeownership Assistance",'Agency Counties'!C:D,2,0)</f>
        <v>Lane, Marion</v>
      </c>
      <c r="C152" s="31">
        <f>_xlfn.SUMIFS(Data!J:J,Data!A:A,'Program Statement'!A152,Data!B:B,"Homeownership Assistance")</f>
        <v>0</v>
      </c>
    </row>
    <row r="153" spans="1:3" ht="15" hidden="1" outlineLevel="1">
      <c r="A153" s="40" t="s">
        <v>159</v>
      </c>
      <c r="B153" s="10" t="str">
        <f>VLOOKUP(A153&amp;"Homeownership Assistance",'Agency Counties'!C:D,2,0)</f>
        <v>(Statewide)</v>
      </c>
      <c r="C153" s="31">
        <f>_xlfn.SUMIFS(Data!J:J,Data!A:A,'Program Statement'!A153,Data!B:B,"Homeownership Assistance")</f>
        <v>0</v>
      </c>
    </row>
    <row r="154" spans="1:3" ht="15" hidden="1" outlineLevel="1">
      <c r="A154" s="40" t="s">
        <v>120</v>
      </c>
      <c r="B154" s="10" t="str">
        <f>VLOOKUP(A154&amp;"Homeownership Assistance",'Agency Counties'!C:D,2,0)</f>
        <v>Lane</v>
      </c>
      <c r="C154" s="31">
        <f>_xlfn.SUMIFS(Data!J:J,Data!A:A,'Program Statement'!A154,Data!B:B,"Homeownership Assistance")</f>
        <v>0</v>
      </c>
    </row>
    <row r="155" spans="1:3" ht="15" hidden="1" outlineLevel="1">
      <c r="A155" s="40" t="s">
        <v>110</v>
      </c>
      <c r="B155" s="10" t="str">
        <f>VLOOKUP(A155&amp;"Homeownership Assistance",'Agency Counties'!C:D,2,0)</f>
        <v>Clackamas, Multnomah, Washington</v>
      </c>
      <c r="C155" s="31">
        <f>_xlfn.SUMIFS(Data!J:J,Data!A:A,'Program Statement'!A155,Data!B:B,"Homeownership Assistance")</f>
        <v>0</v>
      </c>
    </row>
    <row r="156" spans="1:4" ht="15" collapsed="1">
      <c r="A156" s="10" t="s">
        <v>109</v>
      </c>
      <c r="C156" s="31">
        <f>SUBTOTAL(9,C144:C155)</f>
        <v>2250</v>
      </c>
      <c r="D156" s="22"/>
    </row>
    <row r="157" spans="1:3" ht="15" hidden="1" outlineLevel="1">
      <c r="A157" s="40" t="s">
        <v>156</v>
      </c>
      <c r="B157" s="10" t="str">
        <f>VLOOKUP(A157&amp;"Homeownership Centers",'Agency Counties'!C:D,2,0)</f>
        <v>Jackson, Josephine</v>
      </c>
      <c r="C157" s="31">
        <f>_xlfn.SUMIFS(Data!J:J,Data!A:A,'Program Statement'!A157,Data!B:B,"Homeownership Centers")</f>
        <v>7094.050000000003</v>
      </c>
    </row>
    <row r="158" spans="1:3" ht="15" hidden="1" outlineLevel="1">
      <c r="A158" s="40" t="s">
        <v>169</v>
      </c>
      <c r="B158" s="10" t="str">
        <f>VLOOKUP(A158&amp;"Homeownership Centers",'Agency Counties'!C:D,2,0)</f>
        <v>Clackamas, Multnomah, Washington</v>
      </c>
      <c r="C158" s="31">
        <f>_xlfn.SUMIFS(Data!J:J,Data!A:A,'Program Statement'!A158,Data!B:B,"Homeownership Centers")</f>
        <v>25759.480000000025</v>
      </c>
    </row>
    <row r="159" spans="1:3" ht="15" hidden="1" outlineLevel="1">
      <c r="A159" s="40" t="s">
        <v>118</v>
      </c>
      <c r="B159" s="10" t="str">
        <f>VLOOKUP(A159&amp;"Homeownership Centers",'Agency Counties'!C:D,2,0)</f>
        <v>Gilliam, Morrow, Umatilla, Wheeler</v>
      </c>
      <c r="C159" s="31">
        <f>_xlfn.SUMIFS(Data!J:J,Data!A:A,'Program Statement'!A159,Data!B:B,"Homeownership Centers")</f>
        <v>32282.280000000013</v>
      </c>
    </row>
    <row r="160" spans="1:3" ht="15" hidden="1" outlineLevel="1">
      <c r="A160" s="40" t="s">
        <v>112</v>
      </c>
      <c r="B160" s="10" t="str">
        <f>VLOOKUP(A160&amp;"Homeownership Centers",'Agency Counties'!C:D,2,0)</f>
        <v>Clatsop, Columbia, Tillamook</v>
      </c>
      <c r="C160" s="31">
        <f>_xlfn.SUMIFS(Data!J:J,Data!A:A,'Program Statement'!A160,Data!B:B,"Homeownership Centers")</f>
        <v>19519.430000000008</v>
      </c>
    </row>
    <row r="161" spans="1:3" ht="15" hidden="1" outlineLevel="1">
      <c r="A161" s="40" t="s">
        <v>117</v>
      </c>
      <c r="B161" s="10" t="str">
        <f>VLOOKUP(A161&amp;"Homeownership Centers",'Agency Counties'!C:D,2,0)</f>
        <v>Baker, Grant, Union, Wallowa</v>
      </c>
      <c r="C161" s="31">
        <f>_xlfn.SUMIFS(Data!J:J,Data!A:A,'Program Statement'!A161,Data!B:B,"Homeownership Centers")</f>
        <v>30549.439999999988</v>
      </c>
    </row>
    <row r="162" spans="1:3" ht="15" hidden="1" outlineLevel="1">
      <c r="A162" s="40" t="s">
        <v>119</v>
      </c>
      <c r="B162" s="10" t="str">
        <f>VLOOKUP(A162&amp;"Homeownership Centers",'Agency Counties'!C:D,2,0)</f>
        <v>Lincoln</v>
      </c>
      <c r="C162" s="31">
        <f>_xlfn.SUMIFS(Data!J:J,Data!A:A,'Program Statement'!A162,Data!B:B,"Homeownership Centers")</f>
        <v>0</v>
      </c>
    </row>
    <row r="163" spans="1:3" ht="15" hidden="1" outlineLevel="1">
      <c r="A163" s="40" t="s">
        <v>177</v>
      </c>
      <c r="B163" s="10" t="str">
        <f>VLOOKUP(A163&amp;"Homeownership Centers",'Agency Counties'!C:D,2,0)</f>
        <v>Harney, Malheur</v>
      </c>
      <c r="C163" s="31">
        <f>_xlfn.SUMIFS(Data!J:J,Data!A:A,'Program Statement'!A163,Data!B:B,"Homeownership Centers")</f>
        <v>15220.18</v>
      </c>
    </row>
    <row r="164" spans="1:3" ht="15" hidden="1" outlineLevel="1">
      <c r="A164" s="40" t="s">
        <v>126</v>
      </c>
      <c r="B164" s="10" t="str">
        <f>VLOOKUP(A164&amp;"Homeownership Centers",'Agency Counties'!C:D,2,0)</f>
        <v>Clackamas, Multnomah, Washington</v>
      </c>
      <c r="C164" s="31">
        <f>_xlfn.SUMIFS(Data!J:J,Data!A:A,'Program Statement'!A164,Data!B:B,"Homeownership Centers")</f>
        <v>37834.34</v>
      </c>
    </row>
    <row r="165" spans="1:3" ht="15" hidden="1" outlineLevel="1">
      <c r="A165" s="40" t="s">
        <v>182</v>
      </c>
      <c r="B165" s="10" t="str">
        <f>VLOOKUP(A165&amp;"Homeownership Centers",'Agency Counties'!C:D,2,0)</f>
        <v>Lane</v>
      </c>
      <c r="C165" s="31">
        <f>_xlfn.SUMIFS(Data!J:J,Data!A:A,'Program Statement'!A165,Data!B:B,"Homeownership Centers")</f>
        <v>0</v>
      </c>
    </row>
    <row r="166" spans="1:3" ht="15" hidden="1" outlineLevel="1">
      <c r="A166" s="40" t="s">
        <v>183</v>
      </c>
      <c r="B166" s="10" t="str">
        <f>VLOOKUP(A166&amp;"Homeownership Centers",'Agency Counties'!C:D,2,0)</f>
        <v>Marion</v>
      </c>
      <c r="C166" s="31">
        <f>_xlfn.SUMIFS(Data!J:J,Data!A:A,'Program Statement'!A166,Data!B:B,"Homeownership Centers")</f>
        <v>0</v>
      </c>
    </row>
    <row r="167" spans="1:3" ht="15" hidden="1" outlineLevel="1">
      <c r="A167" s="40" t="s">
        <v>174</v>
      </c>
      <c r="B167" s="10" t="str">
        <f>VLOOKUP(A167&amp;"Homeownership Centers",'Agency Counties'!C:D,2,0)</f>
        <v>Klamath, Lake</v>
      </c>
      <c r="C167" s="31">
        <f>_xlfn.SUMIFS(Data!J:J,Data!A:A,'Program Statement'!A167,Data!B:B,"Homeownership Centers")</f>
        <v>19704.51000000001</v>
      </c>
    </row>
    <row r="168" spans="1:3" ht="15" hidden="1" outlineLevel="1">
      <c r="A168" s="40" t="s">
        <v>111</v>
      </c>
      <c r="B168" s="10" t="str">
        <f>VLOOKUP(A168&amp;"Homeownership Centers",'Agency Counties'!C:D,2,0)</f>
        <v>Benton, Lincoln, Linn</v>
      </c>
      <c r="C168" s="31">
        <f>_xlfn.SUMIFS(Data!J:J,Data!A:A,'Program Statement'!A168,Data!B:B,"Homeownership Centers")</f>
        <v>0</v>
      </c>
    </row>
    <row r="169" spans="1:3" ht="15" hidden="1" outlineLevel="1">
      <c r="A169" s="40" t="s">
        <v>116</v>
      </c>
      <c r="B169" s="10" t="str">
        <f>VLOOKUP(A169&amp;"Homeownership Centers",'Agency Counties'!C:D,2,0)</f>
        <v>Hood River, Sherman, Wasco</v>
      </c>
      <c r="C169" s="31">
        <f>_xlfn.SUMIFS(Data!J:J,Data!A:A,'Program Statement'!A169,Data!B:B,"Homeownership Centers")</f>
        <v>22826.51000000001</v>
      </c>
    </row>
    <row r="170" spans="1:3" ht="15" hidden="1" outlineLevel="1">
      <c r="A170" s="40" t="s">
        <v>172</v>
      </c>
      <c r="B170" s="10" t="str">
        <f>VLOOKUP(A170&amp;"Homeownership Centers",'Agency Counties'!C:D,2,0)</f>
        <v>Clackamas, Multnomah, Washington</v>
      </c>
      <c r="C170" s="31">
        <f>_xlfn.SUMIFS(Data!J:J,Data!A:A,'Program Statement'!A170,Data!B:B,"Homeownership Centers")</f>
        <v>48921.40000000002</v>
      </c>
    </row>
    <row r="171" spans="1:3" ht="15" hidden="1" outlineLevel="1">
      <c r="A171" s="40" t="s">
        <v>123</v>
      </c>
      <c r="B171" s="10" t="str">
        <f>VLOOKUP(A171&amp;"Homeownership Centers",'Agency Counties'!C:D,2,0)</f>
        <v>Lane, Marion</v>
      </c>
      <c r="C171" s="31">
        <f>_xlfn.SUMIFS(Data!J:J,Data!A:A,'Program Statement'!A171,Data!B:B,"Homeownership Centers")</f>
        <v>49416.37</v>
      </c>
    </row>
    <row r="172" spans="1:3" ht="15" hidden="1" outlineLevel="1">
      <c r="A172" s="40" t="s">
        <v>115</v>
      </c>
      <c r="B172" s="10" t="str">
        <f>VLOOKUP(A172&amp;"Homeownership Centers",'Agency Counties'!C:D,2,0)</f>
        <v>Crook, Deschutes, Jefferson</v>
      </c>
      <c r="C172" s="31">
        <f>_xlfn.SUMIFS(Data!J:J,Data!A:A,'Program Statement'!A172,Data!B:B,"Homeownership Centers")</f>
        <v>27149.53</v>
      </c>
    </row>
    <row r="173" spans="1:3" ht="15" hidden="1" outlineLevel="1">
      <c r="A173" s="40" t="s">
        <v>191</v>
      </c>
      <c r="B173" s="10" t="str">
        <f>VLOOKUP(A173&amp;"Homeownership Centers",'Agency Counties'!C:D,2,0)</f>
        <v>Coos, Curry, Douglas</v>
      </c>
      <c r="C173" s="31">
        <f>_xlfn.SUMIFS(Data!J:J,Data!A:A,'Program Statement'!A173,Data!B:B,"Homeownership Centers")</f>
        <v>16606.660000000003</v>
      </c>
    </row>
    <row r="174" spans="1:3" ht="15" hidden="1" outlineLevel="1">
      <c r="A174" s="40" t="s">
        <v>132</v>
      </c>
      <c r="B174" s="10" t="str">
        <f>VLOOKUP(A174&amp;"Homeownership Centers",'Agency Counties'!C:D,2,0)</f>
        <v>Washington</v>
      </c>
      <c r="C174" s="31">
        <f>_xlfn.SUMIFS(Data!J:J,Data!A:A,'Program Statement'!A174,Data!B:B,"Homeownership Centers")</f>
        <v>6965.52</v>
      </c>
    </row>
    <row r="175" spans="1:3" ht="15" hidden="1" outlineLevel="1">
      <c r="A175" s="40" t="s">
        <v>110</v>
      </c>
      <c r="B175" s="10" t="str">
        <f>VLOOKUP(A175&amp;"Homeownership Centers",'Agency Counties'!C:D,2,0)</f>
        <v>Clackamas, Multnomah, Washington</v>
      </c>
      <c r="C175" s="31">
        <f>_xlfn.SUMIFS(Data!J:J,Data!A:A,'Program Statement'!A175,Data!B:B,"Homeownership Centers")</f>
        <v>27561.119999999995</v>
      </c>
    </row>
    <row r="176" spans="1:3" ht="15" hidden="1" outlineLevel="1">
      <c r="A176" s="40" t="s">
        <v>114</v>
      </c>
      <c r="B176" s="10" t="str">
        <f>VLOOKUP(A176&amp;"Homeownership Centers",'Agency Counties'!C:D,2,0)</f>
        <v>Benton, Linn</v>
      </c>
      <c r="C176" s="31">
        <f>_xlfn.SUMIFS(Data!J:J,Data!A:A,'Program Statement'!A176,Data!B:B,"Homeownership Centers")</f>
        <v>20572.02000000002</v>
      </c>
    </row>
    <row r="177" spans="1:3" ht="15" hidden="1" outlineLevel="1">
      <c r="A177" s="40" t="s">
        <v>113</v>
      </c>
      <c r="B177" s="10" t="str">
        <f>VLOOKUP(A177&amp;"Homeownership Centers",'Agency Counties'!C:D,2,0)</f>
        <v>Polk, Yamhill</v>
      </c>
      <c r="C177" s="31">
        <f>_xlfn.SUMIFS(Data!J:J,Data!A:A,'Program Statement'!A177,Data!B:B,"Homeownership Centers")</f>
        <v>18317.050000000003</v>
      </c>
    </row>
    <row r="178" spans="1:5" ht="15" collapsed="1">
      <c r="A178" s="10" t="s">
        <v>161</v>
      </c>
      <c r="C178" s="37">
        <f>SUBTOTAL(9,C157:C177)</f>
        <v>426299.8900000002</v>
      </c>
      <c r="D178" s="22"/>
      <c r="E178" s="23"/>
    </row>
    <row r="179" spans="1:3" ht="15" hidden="1" outlineLevel="1">
      <c r="A179" s="40" t="s">
        <v>156</v>
      </c>
      <c r="B179" s="10" t="str">
        <f>VLOOKUP(A179&amp;"Homeownership Innovation",'Agency Counties'!C:D,2,0)</f>
        <v>Jackson, Josephine</v>
      </c>
      <c r="C179" s="31">
        <f>_xlfn.SUMIFS(Data!J:J,Data!A:A,'Program Statement'!A179,Data!B:B,"Homeownership Innovation")</f>
        <v>0</v>
      </c>
    </row>
    <row r="180" spans="1:3" ht="15" hidden="1" outlineLevel="1">
      <c r="A180" s="40" t="s">
        <v>127</v>
      </c>
      <c r="B180" s="10" t="str">
        <f>VLOOKUP(A180&amp;"Homeownership Innovation",'Agency Counties'!C:D,2,0)</f>
        <v>Yamhill</v>
      </c>
      <c r="C180" s="31">
        <f>_xlfn.SUMIFS(Data!J:J,Data!A:A,'Program Statement'!A180,Data!B:B,"Homeownership Innovation")</f>
        <v>0</v>
      </c>
    </row>
    <row r="181" spans="1:3" ht="15" hidden="1" outlineLevel="1">
      <c r="A181" s="40" t="s">
        <v>172</v>
      </c>
      <c r="B181" s="10" t="str">
        <f>VLOOKUP(A181&amp;"Homeownership Innovation",'Agency Counties'!C:D,2,0)</f>
        <v>Clackamas, Multnomah, Washington</v>
      </c>
      <c r="C181" s="31">
        <f>_xlfn.SUMIFS(Data!J:J,Data!A:A,'Program Statement'!A181,Data!B:B,"Homeownership Innovation")</f>
        <v>-21000</v>
      </c>
    </row>
    <row r="182" spans="1:3" ht="15" hidden="1" outlineLevel="1">
      <c r="A182" s="40" t="s">
        <v>123</v>
      </c>
      <c r="B182" s="10" t="str">
        <f>VLOOKUP(A182&amp;"Homeownership Innovation",'Agency Counties'!C:D,2,0)</f>
        <v>Lane</v>
      </c>
      <c r="C182" s="31">
        <f>_xlfn.SUMIFS(Data!J:J,Data!A:A,'Program Statement'!A182,Data!B:B,"Homeownership Innovation")</f>
        <v>0</v>
      </c>
    </row>
    <row r="183" spans="1:3" ht="15" hidden="1" outlineLevel="1">
      <c r="A183" s="40" t="s">
        <v>191</v>
      </c>
      <c r="B183" s="10" t="str">
        <f>VLOOKUP(A183&amp;"Homeownership Innovation",'Agency Counties'!C:D,2,0)</f>
        <v>Coos, Curry, Douglas</v>
      </c>
      <c r="C183" s="31">
        <f>_xlfn.SUMIFS(Data!J:J,Data!A:A,'Program Statement'!A183,Data!B:B,"Homeownership Innovation")</f>
        <v>112334.87</v>
      </c>
    </row>
    <row r="184" spans="1:3" ht="15" hidden="1" outlineLevel="1">
      <c r="A184" s="40" t="s">
        <v>110</v>
      </c>
      <c r="B184" s="10" t="str">
        <f>VLOOKUP(A184&amp;"Homeownership Innovation",'Agency Counties'!C:D,2,0)</f>
        <v>Clackamas, Multnomah, Washington</v>
      </c>
      <c r="C184" s="31">
        <f>_xlfn.SUMIFS(Data!J:J,Data!A:A,'Program Statement'!A184,Data!B:B,"Homeownership Innovation")</f>
        <v>0</v>
      </c>
    </row>
    <row r="185" spans="1:4" ht="15" collapsed="1">
      <c r="A185" s="10" t="s">
        <v>103</v>
      </c>
      <c r="C185" s="31">
        <f>SUBTOTAL(9,C179:C184)</f>
        <v>91334.87</v>
      </c>
      <c r="D185" s="10"/>
    </row>
    <row r="186" spans="1:3" ht="15" hidden="1" outlineLevel="1">
      <c r="A186" s="40" t="s">
        <v>164</v>
      </c>
      <c r="B186" s="10" t="str">
        <f>VLOOKUP(A186&amp;"Training",'Agency Counties'!C:D,2,0)</f>
        <v>(Statewide)</v>
      </c>
      <c r="C186" s="31">
        <f>_xlfn.SUMIFS(Data!J:J,Data!A:A,'Program Statement'!A186,Data!B:B,"Training")</f>
        <v>656.98</v>
      </c>
    </row>
    <row r="187" spans="1:3" ht="15" hidden="1" outlineLevel="1">
      <c r="A187" s="40" t="s">
        <v>152</v>
      </c>
      <c r="B187" s="10" t="str">
        <f>VLOOKUP(A187&amp;"Training",'Agency Counties'!C:D,2,0)</f>
        <v>(Statewide)</v>
      </c>
      <c r="C187" s="31">
        <f>_xlfn.SUMIFS(Data!J:J,Data!A:A,'Program Statement'!A187,Data!B:B,"Training")</f>
        <v>37848.31</v>
      </c>
    </row>
    <row r="188" spans="1:4" ht="15" collapsed="1">
      <c r="A188" s="10" t="s">
        <v>105</v>
      </c>
      <c r="C188" s="36">
        <f>SUBTOTAL(9,C186:C187)</f>
        <v>38505.29</v>
      </c>
      <c r="D188" s="22"/>
    </row>
    <row r="189" spans="1:4" ht="15">
      <c r="A189" s="57" t="s">
        <v>190</v>
      </c>
      <c r="B189" s="57"/>
      <c r="C189" s="56">
        <f>'[1]Grant Mgmt Rpt'!G148</f>
        <v>0</v>
      </c>
      <c r="D189" s="22"/>
    </row>
    <row r="190" spans="1:4" ht="15">
      <c r="A190" s="10" t="s">
        <v>179</v>
      </c>
      <c r="C190" s="36">
        <v>150000</v>
      </c>
      <c r="D190" s="22"/>
    </row>
    <row r="191" spans="1:4" ht="15">
      <c r="A191" s="16" t="s">
        <v>80</v>
      </c>
      <c r="B191" s="16"/>
      <c r="C191" s="33"/>
      <c r="D191" s="23">
        <f>SUBTOTAL(9,C107:C190)</f>
        <v>2626286.37</v>
      </c>
    </row>
    <row r="192" ht="15">
      <c r="D192" s="22"/>
    </row>
    <row r="193" spans="1:4" ht="15">
      <c r="A193" s="20" t="s">
        <v>196</v>
      </c>
      <c r="B193" s="20"/>
      <c r="C193" s="37"/>
      <c r="D193" s="26">
        <f>D6+D21-D105</f>
        <v>3777586.879999997</v>
      </c>
    </row>
    <row r="194" spans="1:4" ht="15">
      <c r="A194" s="19"/>
      <c r="B194" s="19"/>
      <c r="C194" s="37"/>
      <c r="D194" s="24"/>
    </row>
    <row r="195" spans="1:4" ht="15.75" thickBot="1">
      <c r="A195" s="20" t="s">
        <v>197</v>
      </c>
      <c r="B195" s="20"/>
      <c r="C195" s="37"/>
      <c r="D195" s="25">
        <f>D193-D191</f>
        <v>1151300.509999997</v>
      </c>
    </row>
    <row r="196" spans="1:4" ht="15.75" thickTop="1">
      <c r="A196" s="19"/>
      <c r="B196" s="19"/>
      <c r="C196" s="37"/>
      <c r="D196" s="21"/>
    </row>
    <row r="197" spans="1:4" ht="15">
      <c r="A197" s="61" t="s">
        <v>91</v>
      </c>
      <c r="B197" s="61"/>
      <c r="C197" s="61"/>
      <c r="D197" s="61"/>
    </row>
  </sheetData>
  <sheetProtection/>
  <mergeCells count="7">
    <mergeCell ref="A197:D197"/>
    <mergeCell ref="A23:D23"/>
    <mergeCell ref="A2:D2"/>
    <mergeCell ref="A1:D1"/>
    <mergeCell ref="A4:D4"/>
    <mergeCell ref="A8:D8"/>
    <mergeCell ref="A3:D3"/>
  </mergeCells>
  <hyperlinks>
    <hyperlink ref="A197:D197" r:id="rId1" display="Interactive Map"/>
  </hyperlinks>
  <printOptions/>
  <pageMargins left="0.2" right="0.2" top="0.25" bottom="0" header="0.3" footer="0.3"/>
  <pageSetup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38"/>
  <sheetViews>
    <sheetView zoomScale="80" zoomScaleNormal="80" zoomScalePageLayoutView="0" workbookViewId="0" topLeftCell="A1">
      <selection activeCell="G18" sqref="G18"/>
    </sheetView>
  </sheetViews>
  <sheetFormatPr defaultColWidth="9.33203125" defaultRowHeight="10.5"/>
  <cols>
    <col min="1" max="1" width="15.33203125" style="0" customWidth="1"/>
    <col min="2" max="2" width="16.83203125" style="0" bestFit="1" customWidth="1"/>
    <col min="3" max="6" width="30.66015625" style="4" bestFit="1" customWidth="1"/>
    <col min="7" max="7" width="30.66015625" style="4" customWidth="1"/>
    <col min="8" max="8" width="30.16015625" style="0" bestFit="1" customWidth="1"/>
    <col min="9" max="9" width="25.33203125" style="0" customWidth="1"/>
  </cols>
  <sheetData>
    <row r="1" spans="1:9" ht="15">
      <c r="A1" s="3" t="s">
        <v>8</v>
      </c>
      <c r="B1" s="3" t="s">
        <v>73</v>
      </c>
      <c r="C1" s="2" t="s">
        <v>78</v>
      </c>
      <c r="D1" s="2" t="s">
        <v>77</v>
      </c>
      <c r="E1" s="2" t="s">
        <v>76</v>
      </c>
      <c r="F1" s="2" t="s">
        <v>75</v>
      </c>
      <c r="G1" s="2" t="s">
        <v>180</v>
      </c>
      <c r="H1" s="7" t="s">
        <v>167</v>
      </c>
      <c r="I1" s="7" t="s">
        <v>168</v>
      </c>
    </row>
    <row r="2" spans="1:9" ht="15">
      <c r="A2" s="8" t="s">
        <v>137</v>
      </c>
      <c r="B2" s="8">
        <v>41</v>
      </c>
      <c r="C2" s="9">
        <f>_xlfn.SUMIFS(Data!D:D,Data!C:C,'County Summary'!$A2)</f>
        <v>26610.67</v>
      </c>
      <c r="D2" s="9">
        <f>_xlfn.SUMIFS(Data!E:E,Data!C:C,'County Summary'!$A2)</f>
        <v>453672.1</v>
      </c>
      <c r="E2" s="9">
        <f>_xlfn.SUMIFS(Data!F:F,Data!C:C,'County Summary'!$A2)</f>
        <v>464861.92</v>
      </c>
      <c r="F2" s="9">
        <f>_xlfn.SUMIFS(Data!G:G,Data!C:C,'County Summary'!$A2)</f>
        <v>99540.01000000001</v>
      </c>
      <c r="G2" s="9">
        <f>_xlfn.SUMIFS(Data!H:H,Data!C:C,'County Summary'!$A2)</f>
        <v>203686.4</v>
      </c>
      <c r="H2" s="7">
        <f>_xlfn.SUMIFS(Data!J:J,Data!C:C,'County Summary'!$A2)</f>
        <v>221163.53</v>
      </c>
      <c r="I2" s="7">
        <f>SUM('County Summary'!$C2:$H2)</f>
        <v>1469534.63</v>
      </c>
    </row>
    <row r="3" spans="1:9" ht="15">
      <c r="A3" s="3" t="s">
        <v>72</v>
      </c>
      <c r="B3" s="3" t="s">
        <v>71</v>
      </c>
      <c r="C3" s="9">
        <f>_xlfn.SUMIFS(Data!D:D,Data!C:C,'County Summary'!$A3)</f>
        <v>0</v>
      </c>
      <c r="D3" s="9">
        <f>_xlfn.SUMIFS(Data!E:E,Data!C:C,'County Summary'!$A3)</f>
        <v>9687.747500000001</v>
      </c>
      <c r="E3" s="9">
        <f>_xlfn.SUMIFS(Data!F:F,Data!C:C,'County Summary'!$A3)</f>
        <v>11128.89</v>
      </c>
      <c r="F3" s="9">
        <f>_xlfn.SUMIFS(Data!G:G,Data!C:C,'County Summary'!$A3)</f>
        <v>15622.859999999999</v>
      </c>
      <c r="G3" s="9">
        <f>_xlfn.SUMIFS(Data!H:H,Data!C:C,'County Summary'!$A3)</f>
        <v>8870.185</v>
      </c>
      <c r="H3" s="7">
        <f>_xlfn.SUMIFS(Data!J:J,Data!C:C,'County Summary'!$A3)</f>
        <v>45137.36</v>
      </c>
      <c r="I3" s="7">
        <f>SUM('County Summary'!$C3:$H3)</f>
        <v>90447.0425</v>
      </c>
    </row>
    <row r="4" spans="1:9" ht="15">
      <c r="A4" s="3" t="s">
        <v>70</v>
      </c>
      <c r="B4" s="3" t="s">
        <v>69</v>
      </c>
      <c r="C4" s="9">
        <f>_xlfn.SUMIFS(Data!D:D,Data!C:C,'County Summary'!$A4)</f>
        <v>10682.333333333334</v>
      </c>
      <c r="D4" s="9">
        <f>_xlfn.SUMIFS(Data!E:E,Data!C:C,'County Summary'!$A4)</f>
        <v>73333.34</v>
      </c>
      <c r="E4" s="9">
        <f>_xlfn.SUMIFS(Data!F:F,Data!C:C,'County Summary'!$A4)</f>
        <v>78625.825</v>
      </c>
      <c r="F4" s="9">
        <f>_xlfn.SUMIFS(Data!G:G,Data!C:C,'County Summary'!$A4)</f>
        <v>94717.83499999999</v>
      </c>
      <c r="G4" s="9">
        <f>_xlfn.SUMIFS(Data!H:H,Data!C:C,'County Summary'!$A4)</f>
        <v>106339.56</v>
      </c>
      <c r="H4" s="7">
        <f>_xlfn.SUMIFS(Data!J:J,Data!C:C,'County Summary'!$A4)</f>
        <v>47786.01000000001</v>
      </c>
      <c r="I4" s="7">
        <f>SUM('County Summary'!$C4:$H4)</f>
        <v>411484.9033333333</v>
      </c>
    </row>
    <row r="5" spans="1:9" ht="15">
      <c r="A5" s="3" t="s">
        <v>7</v>
      </c>
      <c r="B5" s="3" t="s">
        <v>68</v>
      </c>
      <c r="C5" s="9">
        <f>_xlfn.SUMIFS(Data!D:D,Data!C:C,'County Summary'!$A5)</f>
        <v>58740.64000000001</v>
      </c>
      <c r="D5" s="9">
        <f>_xlfn.SUMIFS(Data!E:E,Data!C:C,'County Summary'!$A5)</f>
        <v>137612.7966666667</v>
      </c>
      <c r="E5" s="9">
        <f>_xlfn.SUMIFS(Data!F:F,Data!C:C,'County Summary'!$A5)</f>
        <v>235503.69333333336</v>
      </c>
      <c r="F5" s="9">
        <f>_xlfn.SUMIFS(Data!G:G,Data!C:C,'County Summary'!$A5)</f>
        <v>221622.26333333334</v>
      </c>
      <c r="G5" s="9">
        <f>_xlfn.SUMIFS(Data!H:H,Data!C:C,'County Summary'!$A5)</f>
        <v>161690.3333333333</v>
      </c>
      <c r="H5" s="7">
        <f>_xlfn.SUMIFS(Data!J:J,Data!C:C,'County Summary'!$A5)</f>
        <v>39692.11333333335</v>
      </c>
      <c r="I5" s="7">
        <f>SUM('County Summary'!$C5:$H5)</f>
        <v>854861.8400000002</v>
      </c>
    </row>
    <row r="6" spans="1:9" ht="15">
      <c r="A6" s="3" t="s">
        <v>67</v>
      </c>
      <c r="B6" s="3" t="s">
        <v>66</v>
      </c>
      <c r="C6" s="9">
        <f>_xlfn.SUMIFS(Data!D:D,Data!C:C,'County Summary'!$A6)</f>
        <v>0</v>
      </c>
      <c r="D6" s="9">
        <f>_xlfn.SUMIFS(Data!E:E,Data!C:C,'County Summary'!$A6)</f>
        <v>17754.63666666667</v>
      </c>
      <c r="E6" s="9">
        <f>_xlfn.SUMIFS(Data!F:F,Data!C:C,'County Summary'!$A6)</f>
        <v>45231.87</v>
      </c>
      <c r="F6" s="9">
        <f>_xlfn.SUMIFS(Data!G:G,Data!C:C,'County Summary'!$A6)</f>
        <v>21393.6966666667</v>
      </c>
      <c r="G6" s="9">
        <f>_xlfn.SUMIFS(Data!H:H,Data!C:C,'County Summary'!$A6)</f>
        <v>29093.856666666667</v>
      </c>
      <c r="H6" s="7">
        <f>_xlfn.SUMIFS(Data!J:J,Data!C:C,'County Summary'!$A6)</f>
        <v>73906.47666666667</v>
      </c>
      <c r="I6" s="7">
        <f>SUM('County Summary'!$C6:$H6)</f>
        <v>187380.53666666668</v>
      </c>
    </row>
    <row r="7" spans="1:9" ht="15">
      <c r="A7" s="3" t="s">
        <v>65</v>
      </c>
      <c r="B7" s="3" t="s">
        <v>64</v>
      </c>
      <c r="C7" s="9">
        <f>_xlfn.SUMIFS(Data!D:D,Data!C:C,'County Summary'!$A7)</f>
        <v>0</v>
      </c>
      <c r="D7" s="9">
        <f>_xlfn.SUMIFS(Data!E:E,Data!C:C,'County Summary'!$A7)</f>
        <v>17754.63666666667</v>
      </c>
      <c r="E7" s="9">
        <f>_xlfn.SUMIFS(Data!F:F,Data!C:C,'County Summary'!$A7)</f>
        <v>45231.87</v>
      </c>
      <c r="F7" s="9">
        <f>_xlfn.SUMIFS(Data!G:G,Data!C:C,'County Summary'!$A7)</f>
        <v>21393.6966666667</v>
      </c>
      <c r="G7" s="9">
        <f>_xlfn.SUMIFS(Data!H:H,Data!C:C,'County Summary'!$A7)</f>
        <v>29093.856666666667</v>
      </c>
      <c r="H7" s="7">
        <f>_xlfn.SUMIFS(Data!J:J,Data!C:C,'County Summary'!$A7)</f>
        <v>73906.47666666667</v>
      </c>
      <c r="I7" s="7">
        <f>SUM('County Summary'!$C7:$H7)</f>
        <v>187380.53666666668</v>
      </c>
    </row>
    <row r="8" spans="1:9" ht="15">
      <c r="A8" s="3" t="s">
        <v>63</v>
      </c>
      <c r="B8" s="3" t="s">
        <v>62</v>
      </c>
      <c r="C8" s="9">
        <f>_xlfn.SUMIFS(Data!D:D,Data!C:C,'County Summary'!$A8)</f>
        <v>0</v>
      </c>
      <c r="D8" s="9">
        <f>_xlfn.SUMIFS(Data!E:E,Data!C:C,'County Summary'!$A8)</f>
        <v>43333.333333333336</v>
      </c>
      <c r="E8" s="9">
        <f>_xlfn.SUMIFS(Data!F:F,Data!C:C,'County Summary'!$A8)</f>
        <v>62946.811666666676</v>
      </c>
      <c r="F8" s="9">
        <f>_xlfn.SUMIFS(Data!G:G,Data!C:C,'County Summary'!$A8)</f>
        <v>46451.691666666666</v>
      </c>
      <c r="G8" s="9">
        <f>_xlfn.SUMIFS(Data!H:H,Data!C:C,'County Summary'!$A8)</f>
        <v>18125.608333333334</v>
      </c>
      <c r="H8" s="7">
        <f>_xlfn.SUMIFS(Data!J:J,Data!C:C,'County Summary'!$A8)</f>
        <v>118369.94166666667</v>
      </c>
      <c r="I8" s="7">
        <f>SUM('County Summary'!$C8:$H8)</f>
        <v>289227.38666666666</v>
      </c>
    </row>
    <row r="9" spans="1:9" ht="15">
      <c r="A9" s="3" t="s">
        <v>61</v>
      </c>
      <c r="B9" s="3" t="s">
        <v>60</v>
      </c>
      <c r="C9" s="9">
        <f>_xlfn.SUMIFS(Data!D:D,Data!C:C,'County Summary'!$A9)</f>
        <v>0</v>
      </c>
      <c r="D9" s="9">
        <f>_xlfn.SUMIFS(Data!E:E,Data!C:C,'County Summary'!$A9)</f>
        <v>19643.156666666666</v>
      </c>
      <c r="E9" s="9">
        <f>_xlfn.SUMIFS(Data!F:F,Data!C:C,'County Summary'!$A9)</f>
        <v>34797.51</v>
      </c>
      <c r="F9" s="9">
        <f>_xlfn.SUMIFS(Data!G:G,Data!C:C,'County Summary'!$A9)</f>
        <v>58743.91999999994</v>
      </c>
      <c r="G9" s="9">
        <f>_xlfn.SUMIFS(Data!H:H,Data!C:C,'County Summary'!$A9)</f>
        <v>8158.706666666666</v>
      </c>
      <c r="H9" s="7">
        <f>_xlfn.SUMIFS(Data!J:J,Data!C:C,'County Summary'!$A9)</f>
        <v>9049.843333333332</v>
      </c>
      <c r="I9" s="7">
        <f>SUM('County Summary'!$C9:$H9)</f>
        <v>130393.13666666661</v>
      </c>
    </row>
    <row r="10" spans="1:9" ht="15">
      <c r="A10" s="3" t="s">
        <v>59</v>
      </c>
      <c r="B10" s="3" t="s">
        <v>58</v>
      </c>
      <c r="C10" s="9">
        <f>_xlfn.SUMIFS(Data!D:D,Data!C:C,'County Summary'!$A10)</f>
        <v>0</v>
      </c>
      <c r="D10" s="9">
        <f>_xlfn.SUMIFS(Data!E:E,Data!C:C,'County Summary'!$A10)</f>
        <v>43333.333333333336</v>
      </c>
      <c r="E10" s="9">
        <f>_xlfn.SUMIFS(Data!F:F,Data!C:C,'County Summary'!$A10)</f>
        <v>62946.811666666676</v>
      </c>
      <c r="F10" s="9">
        <f>_xlfn.SUMIFS(Data!G:G,Data!C:C,'County Summary'!$A10)</f>
        <v>46451.691666666666</v>
      </c>
      <c r="G10" s="9">
        <f>_xlfn.SUMIFS(Data!H:H,Data!C:C,'County Summary'!$A10)</f>
        <v>18125.608333333334</v>
      </c>
      <c r="H10" s="7">
        <f>_xlfn.SUMIFS(Data!J:J,Data!C:C,'County Summary'!$A10)</f>
        <v>118369.94166666667</v>
      </c>
      <c r="I10" s="7">
        <f>SUM('County Summary'!$C10:$H10)</f>
        <v>289227.38666666666</v>
      </c>
    </row>
    <row r="11" spans="1:9" ht="15">
      <c r="A11" s="3" t="s">
        <v>5</v>
      </c>
      <c r="B11" s="3" t="s">
        <v>57</v>
      </c>
      <c r="C11" s="9">
        <f>_xlfn.SUMIFS(Data!D:D,Data!C:C,'County Summary'!$A11)</f>
        <v>0</v>
      </c>
      <c r="D11" s="9">
        <f>_xlfn.SUMIFS(Data!E:E,Data!C:C,'County Summary'!$A11)</f>
        <v>119643.15666666666</v>
      </c>
      <c r="E11" s="9">
        <f>_xlfn.SUMIFS(Data!F:F,Data!C:C,'County Summary'!$A11)</f>
        <v>34797.51</v>
      </c>
      <c r="F11" s="9">
        <f>_xlfn.SUMIFS(Data!G:G,Data!C:C,'County Summary'!$A11)</f>
        <v>58743.91999999994</v>
      </c>
      <c r="G11" s="9">
        <f>_xlfn.SUMIFS(Data!H:H,Data!C:C,'County Summary'!$A11)</f>
        <v>58158.706666666665</v>
      </c>
      <c r="H11" s="7">
        <f>_xlfn.SUMIFS(Data!J:J,Data!C:C,'County Summary'!$A11)</f>
        <v>59049.84333333333</v>
      </c>
      <c r="I11" s="7">
        <f>SUM('County Summary'!$C11:$H11)</f>
        <v>330393.1366666666</v>
      </c>
    </row>
    <row r="12" spans="1:9" ht="15">
      <c r="A12" s="3" t="s">
        <v>1</v>
      </c>
      <c r="B12" s="3" t="s">
        <v>56</v>
      </c>
      <c r="C12" s="9">
        <f>_xlfn.SUMIFS(Data!D:D,Data!C:C,'County Summary'!$A12)</f>
        <v>25000</v>
      </c>
      <c r="D12" s="9">
        <f>_xlfn.SUMIFS(Data!E:E,Data!C:C,'County Summary'!$A12)</f>
        <v>71311.15333333334</v>
      </c>
      <c r="E12" s="9">
        <f>_xlfn.SUMIFS(Data!F:F,Data!C:C,'County Summary'!$A12)</f>
        <v>106704.39666666668</v>
      </c>
      <c r="F12" s="9">
        <f>_xlfn.SUMIFS(Data!G:G,Data!C:C,'County Summary'!$A12)</f>
        <v>97793.28666666667</v>
      </c>
      <c r="G12" s="9">
        <f>_xlfn.SUMIFS(Data!H:H,Data!C:C,'County Summary'!$A12)</f>
        <v>24980.483333333334</v>
      </c>
      <c r="H12" s="7">
        <f>_xlfn.SUMIFS(Data!J:J,Data!C:C,'County Summary'!$A12)</f>
        <v>115201.63666666667</v>
      </c>
      <c r="I12" s="7">
        <f>SUM('County Summary'!$C12:$H12)</f>
        <v>440990.95666666667</v>
      </c>
    </row>
    <row r="13" spans="1:9" ht="15">
      <c r="A13" s="3" t="s">
        <v>55</v>
      </c>
      <c r="B13" s="3" t="s">
        <v>54</v>
      </c>
      <c r="C13" s="9">
        <f>_xlfn.SUMIFS(Data!D:D,Data!C:C,'County Summary'!$A13)</f>
        <v>0</v>
      </c>
      <c r="D13" s="9">
        <f>_xlfn.SUMIFS(Data!E:E,Data!C:C,'County Summary'!$A13)</f>
        <v>10077.3425</v>
      </c>
      <c r="E13" s="9">
        <f>_xlfn.SUMIFS(Data!F:F,Data!C:C,'County Summary'!$A13)</f>
        <v>27377.4225</v>
      </c>
      <c r="F13" s="9">
        <f>_xlfn.SUMIFS(Data!G:G,Data!C:C,'County Summary'!$A13)</f>
        <v>47088.34</v>
      </c>
      <c r="G13" s="9">
        <f>_xlfn.SUMIFS(Data!H:H,Data!C:C,'County Summary'!$A13)</f>
        <v>16429.6075</v>
      </c>
      <c r="H13" s="7">
        <f>_xlfn.SUMIFS(Data!J:J,Data!C:C,'County Summary'!$A13)</f>
        <v>20570.570000000003</v>
      </c>
      <c r="I13" s="7">
        <f>SUM('County Summary'!$C13:$H13)</f>
        <v>121543.2825</v>
      </c>
    </row>
    <row r="14" spans="1:9" ht="15">
      <c r="A14" s="3" t="s">
        <v>53</v>
      </c>
      <c r="B14" s="3" t="s">
        <v>52</v>
      </c>
      <c r="C14" s="9">
        <f>_xlfn.SUMIFS(Data!D:D,Data!C:C,'County Summary'!$A14)</f>
        <v>0</v>
      </c>
      <c r="D14" s="9">
        <f>_xlfn.SUMIFS(Data!E:E,Data!C:C,'County Summary'!$A14)</f>
        <v>9687.747500000001</v>
      </c>
      <c r="E14" s="9">
        <f>_xlfn.SUMIFS(Data!F:F,Data!C:C,'County Summary'!$A14)</f>
        <v>11128.89</v>
      </c>
      <c r="F14" s="9">
        <f>_xlfn.SUMIFS(Data!G:G,Data!C:C,'County Summary'!$A14)</f>
        <v>15622.859999999999</v>
      </c>
      <c r="G14" s="9">
        <f>_xlfn.SUMIFS(Data!H:H,Data!C:C,'County Summary'!$A14)</f>
        <v>8870.185</v>
      </c>
      <c r="H14" s="7">
        <f>_xlfn.SUMIFS(Data!J:J,Data!C:C,'County Summary'!$A14)</f>
        <v>45137.36</v>
      </c>
      <c r="I14" s="7">
        <f>SUM('County Summary'!$C14:$H14)</f>
        <v>90447.0425</v>
      </c>
    </row>
    <row r="15" spans="1:9" ht="15">
      <c r="A15" s="3" t="s">
        <v>51</v>
      </c>
      <c r="B15" s="3" t="s">
        <v>50</v>
      </c>
      <c r="C15" s="9">
        <f>_xlfn.SUMIFS(Data!D:D,Data!C:C,'County Summary'!$A15)</f>
        <v>0</v>
      </c>
      <c r="D15" s="9">
        <f>_xlfn.SUMIFS(Data!E:E,Data!C:C,'County Summary'!$A15)</f>
        <v>0</v>
      </c>
      <c r="E15" s="9">
        <f>_xlfn.SUMIFS(Data!F:F,Data!C:C,'County Summary'!$A15)</f>
        <v>0</v>
      </c>
      <c r="F15" s="9">
        <f>_xlfn.SUMIFS(Data!G:G,Data!C:C,'County Summary'!$A15)</f>
        <v>14507.695</v>
      </c>
      <c r="G15" s="9">
        <f>_xlfn.SUMIFS(Data!H:H,Data!C:C,'County Summary'!$A15)</f>
        <v>7545.04</v>
      </c>
      <c r="H15" s="7">
        <f>_xlfn.SUMIFS(Data!J:J,Data!C:C,'County Summary'!$A15)</f>
        <v>82610.09</v>
      </c>
      <c r="I15" s="7">
        <f>SUM('County Summary'!$C15:$H15)</f>
        <v>104662.825</v>
      </c>
    </row>
    <row r="16" spans="1:9" ht="15">
      <c r="A16" s="3" t="s">
        <v>49</v>
      </c>
      <c r="B16" s="3" t="s">
        <v>48</v>
      </c>
      <c r="C16" s="9">
        <f>_xlfn.SUMIFS(Data!D:D,Data!C:C,'County Summary'!$A16)</f>
        <v>0</v>
      </c>
      <c r="D16" s="9">
        <f>_xlfn.SUMIFS(Data!E:E,Data!C:C,'County Summary'!$A16)</f>
        <v>12542.123333333335</v>
      </c>
      <c r="E16" s="9">
        <f>_xlfn.SUMIFS(Data!F:F,Data!C:C,'County Summary'!$A16)</f>
        <v>33087.75666666667</v>
      </c>
      <c r="F16" s="9">
        <f>_xlfn.SUMIFS(Data!G:G,Data!C:C,'County Summary'!$A16)</f>
        <v>35493.596666666635</v>
      </c>
      <c r="G16" s="9">
        <f>_xlfn.SUMIFS(Data!H:H,Data!C:C,'County Summary'!$A16)</f>
        <v>9943.733333333334</v>
      </c>
      <c r="H16" s="7">
        <f>_xlfn.SUMIFS(Data!J:J,Data!C:C,'County Summary'!$A16)</f>
        <v>7608.83666666667</v>
      </c>
      <c r="I16" s="7">
        <f>SUM('County Summary'!$C16:$H16)</f>
        <v>98676.04666666665</v>
      </c>
    </row>
    <row r="17" spans="1:9" ht="15">
      <c r="A17" s="3" t="s">
        <v>47</v>
      </c>
      <c r="B17" s="3" t="s">
        <v>46</v>
      </c>
      <c r="C17" s="9">
        <f>_xlfn.SUMIFS(Data!D:D,Data!C:C,'County Summary'!$A17)</f>
        <v>45844.155</v>
      </c>
      <c r="D17" s="9">
        <f>_xlfn.SUMIFS(Data!E:E,Data!C:C,'County Summary'!$A17)</f>
        <v>51793.45</v>
      </c>
      <c r="E17" s="9">
        <f>_xlfn.SUMIFS(Data!F:F,Data!C:C,'County Summary'!$A17)</f>
        <v>67700.08</v>
      </c>
      <c r="F17" s="9">
        <f>_xlfn.SUMIFS(Data!G:G,Data!C:C,'County Summary'!$A17)</f>
        <v>117525.15</v>
      </c>
      <c r="G17" s="9">
        <f>_xlfn.SUMIFS(Data!H:H,Data!C:C,'County Summary'!$A17)</f>
        <v>28261.04</v>
      </c>
      <c r="H17" s="7">
        <f>_xlfn.SUMIFS(Data!J:J,Data!C:C,'County Summary'!$A17)</f>
        <v>53547.025</v>
      </c>
      <c r="I17" s="7">
        <f>SUM('County Summary'!$C17:$H17)</f>
        <v>364670.89999999997</v>
      </c>
    </row>
    <row r="18" spans="1:9" ht="15">
      <c r="A18" s="3" t="s">
        <v>6</v>
      </c>
      <c r="B18" s="3" t="s">
        <v>45</v>
      </c>
      <c r="C18" s="9">
        <f>_xlfn.SUMIFS(Data!D:D,Data!C:C,'County Summary'!$A18)</f>
        <v>0</v>
      </c>
      <c r="D18" s="9">
        <f>_xlfn.SUMIFS(Data!E:E,Data!C:C,'County Summary'!$A18)</f>
        <v>19643.156666666666</v>
      </c>
      <c r="E18" s="9">
        <f>_xlfn.SUMIFS(Data!F:F,Data!C:C,'County Summary'!$A18)</f>
        <v>34797.51</v>
      </c>
      <c r="F18" s="9">
        <f>_xlfn.SUMIFS(Data!G:G,Data!C:C,'County Summary'!$A18)</f>
        <v>58743.91999999994</v>
      </c>
      <c r="G18" s="9">
        <f>_xlfn.SUMIFS(Data!H:H,Data!C:C,'County Summary'!$A18)</f>
        <v>8158.706666666666</v>
      </c>
      <c r="H18" s="7">
        <f>_xlfn.SUMIFS(Data!J:J,Data!C:C,'County Summary'!$A18)</f>
        <v>9049.843333333332</v>
      </c>
      <c r="I18" s="7">
        <f>SUM('County Summary'!$C18:$H18)</f>
        <v>130393.13666666661</v>
      </c>
    </row>
    <row r="19" spans="1:9" ht="15">
      <c r="A19" s="3" t="s">
        <v>44</v>
      </c>
      <c r="B19" s="3" t="s">
        <v>43</v>
      </c>
      <c r="C19" s="9">
        <f>_xlfn.SUMIFS(Data!D:D,Data!C:C,'County Summary'!$A19)</f>
        <v>45844.155</v>
      </c>
      <c r="D19" s="9">
        <f>_xlfn.SUMIFS(Data!E:E,Data!C:C,'County Summary'!$A19)</f>
        <v>51793.45</v>
      </c>
      <c r="E19" s="9">
        <f>_xlfn.SUMIFS(Data!F:F,Data!C:C,'County Summary'!$A19)</f>
        <v>67700.08</v>
      </c>
      <c r="F19" s="9">
        <f>_xlfn.SUMIFS(Data!G:G,Data!C:C,'County Summary'!$A19)</f>
        <v>117525.15</v>
      </c>
      <c r="G19" s="9">
        <f>_xlfn.SUMIFS(Data!H:H,Data!C:C,'County Summary'!$A19)</f>
        <v>28261.04</v>
      </c>
      <c r="H19" s="7">
        <f>_xlfn.SUMIFS(Data!J:J,Data!C:C,'County Summary'!$A19)</f>
        <v>53547.025</v>
      </c>
      <c r="I19" s="7">
        <f>SUM('County Summary'!$C19:$H19)</f>
        <v>364670.89999999997</v>
      </c>
    </row>
    <row r="20" spans="1:9" ht="15">
      <c r="A20" s="3" t="s">
        <v>4</v>
      </c>
      <c r="B20" s="3" t="s">
        <v>42</v>
      </c>
      <c r="C20" s="9">
        <f>_xlfn.SUMIFS(Data!D:D,Data!C:C,'County Summary'!$A20)</f>
        <v>36494</v>
      </c>
      <c r="D20" s="9">
        <f>_xlfn.SUMIFS(Data!E:E,Data!C:C,'County Summary'!$A20)</f>
        <v>45856</v>
      </c>
      <c r="E20" s="9">
        <f>_xlfn.SUMIFS(Data!F:F,Data!C:C,'County Summary'!$A20)</f>
        <v>44991</v>
      </c>
      <c r="F20" s="9">
        <f>_xlfn.SUMIFS(Data!G:G,Data!C:C,'County Summary'!$A20)</f>
        <v>89733.275</v>
      </c>
      <c r="G20" s="9">
        <f>_xlfn.SUMIFS(Data!H:H,Data!C:C,'County Summary'!$A20)</f>
        <v>34878.44</v>
      </c>
      <c r="H20" s="7">
        <f>_xlfn.SUMIFS(Data!J:J,Data!C:C,'County Summary'!$A20)</f>
        <v>34852.255000000005</v>
      </c>
      <c r="I20" s="7">
        <f>SUM('County Summary'!$C20:$H20)</f>
        <v>286804.97</v>
      </c>
    </row>
    <row r="21" spans="1:9" ht="15">
      <c r="A21" s="3" t="s">
        <v>41</v>
      </c>
      <c r="B21" s="3" t="s">
        <v>40</v>
      </c>
      <c r="C21" s="9">
        <f>_xlfn.SUMIFS(Data!D:D,Data!C:C,'County Summary'!$A21)</f>
        <v>36494</v>
      </c>
      <c r="D21" s="9">
        <f>_xlfn.SUMIFS(Data!E:E,Data!C:C,'County Summary'!$A21)</f>
        <v>45856</v>
      </c>
      <c r="E21" s="9">
        <f>_xlfn.SUMIFS(Data!F:F,Data!C:C,'County Summary'!$A21)</f>
        <v>44991</v>
      </c>
      <c r="F21" s="9">
        <f>_xlfn.SUMIFS(Data!G:G,Data!C:C,'County Summary'!$A21)</f>
        <v>89733.275</v>
      </c>
      <c r="G21" s="9">
        <f>_xlfn.SUMIFS(Data!H:H,Data!C:C,'County Summary'!$A21)</f>
        <v>34878.44</v>
      </c>
      <c r="H21" s="7">
        <f>_xlfn.SUMIFS(Data!J:J,Data!C:C,'County Summary'!$A21)</f>
        <v>34852.255000000005</v>
      </c>
      <c r="I21" s="7">
        <f>SUM('County Summary'!$C21:$H21)</f>
        <v>286804.97</v>
      </c>
    </row>
    <row r="22" spans="1:9" ht="15">
      <c r="A22" s="3" t="s">
        <v>39</v>
      </c>
      <c r="B22" s="3" t="s">
        <v>38</v>
      </c>
      <c r="C22" s="9">
        <f>_xlfn.SUMIFS(Data!D:D,Data!C:C,'County Summary'!$A22)</f>
        <v>136576.16999999998</v>
      </c>
      <c r="D22" s="9">
        <f>_xlfn.SUMIFS(Data!E:E,Data!C:C,'County Summary'!$A22)</f>
        <v>136382.93</v>
      </c>
      <c r="E22" s="9">
        <f>_xlfn.SUMIFS(Data!F:F,Data!C:C,'County Summary'!$A22)</f>
        <v>220006.76</v>
      </c>
      <c r="F22" s="9">
        <f>_xlfn.SUMIFS(Data!G:G,Data!C:C,'County Summary'!$A22)</f>
        <v>135873.26</v>
      </c>
      <c r="G22" s="9">
        <f>_xlfn.SUMIFS(Data!H:H,Data!C:C,'County Summary'!$A22)</f>
        <v>85037.095</v>
      </c>
      <c r="H22" s="7">
        <f>_xlfn.SUMIFS(Data!J:J,Data!C:C,'County Summary'!$A22)</f>
        <v>24708.185</v>
      </c>
      <c r="I22" s="7">
        <f>SUM('County Summary'!$C22:$H22)</f>
        <v>738584.4</v>
      </c>
    </row>
    <row r="23" spans="1:9" ht="15">
      <c r="A23" s="3" t="s">
        <v>37</v>
      </c>
      <c r="B23" s="3" t="s">
        <v>36</v>
      </c>
      <c r="C23" s="9">
        <f>_xlfn.SUMIFS(Data!D:D,Data!C:C,'County Summary'!$A23)</f>
        <v>10682.333333333334</v>
      </c>
      <c r="D23" s="9">
        <f>_xlfn.SUMIFS(Data!E:E,Data!C:C,'County Summary'!$A23)</f>
        <v>22578.94</v>
      </c>
      <c r="E23" s="9">
        <f>_xlfn.SUMIFS(Data!F:F,Data!C:C,'County Summary'!$A23)</f>
        <v>8422.39</v>
      </c>
      <c r="F23" s="9">
        <f>_xlfn.SUMIFS(Data!G:G,Data!C:C,'County Summary'!$A23)</f>
        <v>13644</v>
      </c>
      <c r="G23" s="9">
        <f>_xlfn.SUMIFS(Data!H:H,Data!C:C,'County Summary'!$A23)</f>
        <v>13804</v>
      </c>
      <c r="H23" s="7">
        <f>_xlfn.SUMIFS(Data!J:J,Data!C:C,'County Summary'!$A23)</f>
        <v>0</v>
      </c>
      <c r="I23" s="7">
        <f>SUM('County Summary'!$C23:$H23)</f>
        <v>69131.66333333333</v>
      </c>
    </row>
    <row r="24" spans="1:9" ht="15">
      <c r="A24" s="3" t="s">
        <v>35</v>
      </c>
      <c r="B24" s="3" t="s">
        <v>34</v>
      </c>
      <c r="C24" s="9">
        <f>_xlfn.SUMIFS(Data!D:D,Data!C:C,'County Summary'!$A24)</f>
        <v>10682.333333333334</v>
      </c>
      <c r="D24" s="9">
        <f>_xlfn.SUMIFS(Data!E:E,Data!C:C,'County Summary'!$A24)</f>
        <v>73333.34</v>
      </c>
      <c r="E24" s="9">
        <f>_xlfn.SUMIFS(Data!F:F,Data!C:C,'County Summary'!$A24)</f>
        <v>78625.825</v>
      </c>
      <c r="F24" s="9">
        <f>_xlfn.SUMIFS(Data!G:G,Data!C:C,'County Summary'!$A24)</f>
        <v>94717.83499999999</v>
      </c>
      <c r="G24" s="9">
        <f>_xlfn.SUMIFS(Data!H:H,Data!C:C,'County Summary'!$A24)</f>
        <v>106339.56</v>
      </c>
      <c r="H24" s="7">
        <f>_xlfn.SUMIFS(Data!J:J,Data!C:C,'County Summary'!$A24)</f>
        <v>47786.01000000001</v>
      </c>
      <c r="I24" s="7">
        <f>SUM('County Summary'!$C24:$H24)</f>
        <v>411484.9033333333</v>
      </c>
    </row>
    <row r="25" spans="1:9" ht="15">
      <c r="A25" s="3" t="s">
        <v>33</v>
      </c>
      <c r="B25" s="3" t="s">
        <v>32</v>
      </c>
      <c r="C25" s="9">
        <f>_xlfn.SUMIFS(Data!D:D,Data!C:C,'County Summary'!$A25)</f>
        <v>0</v>
      </c>
      <c r="D25" s="9">
        <f>_xlfn.SUMIFS(Data!E:E,Data!C:C,'County Summary'!$A25)</f>
        <v>0</v>
      </c>
      <c r="E25" s="9">
        <f>_xlfn.SUMIFS(Data!F:F,Data!C:C,'County Summary'!$A25)</f>
        <v>0</v>
      </c>
      <c r="F25" s="9">
        <f>_xlfn.SUMIFS(Data!G:G,Data!C:C,'County Summary'!$A25)</f>
        <v>114507.695</v>
      </c>
      <c r="G25" s="9">
        <f>_xlfn.SUMIFS(Data!H:H,Data!C:C,'County Summary'!$A25)</f>
        <v>49947.5</v>
      </c>
      <c r="H25" s="7">
        <f>_xlfn.SUMIFS(Data!J:J,Data!C:C,'County Summary'!$A25)</f>
        <v>132610.09</v>
      </c>
      <c r="I25" s="7">
        <f>SUM('County Summary'!$C25:$H25)</f>
        <v>297065.28500000003</v>
      </c>
    </row>
    <row r="26" spans="1:9" ht="15">
      <c r="A26" s="3" t="s">
        <v>3</v>
      </c>
      <c r="B26" s="3" t="s">
        <v>31</v>
      </c>
      <c r="C26" s="9">
        <f>_xlfn.SUMIFS(Data!D:D,Data!C:C,'County Summary'!$A26)</f>
        <v>133371</v>
      </c>
      <c r="D26" s="9">
        <f>_xlfn.SUMIFS(Data!E:E,Data!C:C,'County Summary'!$A26)</f>
        <v>127982.36</v>
      </c>
      <c r="E26" s="9">
        <f>_xlfn.SUMIFS(Data!F:F,Data!C:C,'County Summary'!$A26)</f>
        <v>92426.38</v>
      </c>
      <c r="F26" s="9">
        <f>_xlfn.SUMIFS(Data!G:G,Data!C:C,'County Summary'!$A26)</f>
        <v>138372.74</v>
      </c>
      <c r="G26" s="9">
        <f>_xlfn.SUMIFS(Data!H:H,Data!C:C,'County Summary'!$A26)</f>
        <v>85037.095</v>
      </c>
      <c r="H26" s="7">
        <f>_xlfn.SUMIFS(Data!J:J,Data!C:C,'County Summary'!$A26)</f>
        <v>24708.185</v>
      </c>
      <c r="I26" s="7">
        <f>SUM('County Summary'!$C26:$H26)</f>
        <v>601897.76</v>
      </c>
    </row>
    <row r="27" spans="1:9" ht="15">
      <c r="A27" s="3" t="s">
        <v>30</v>
      </c>
      <c r="B27" s="3" t="s">
        <v>29</v>
      </c>
      <c r="C27" s="9">
        <f>_xlfn.SUMIFS(Data!D:D,Data!C:C,'County Summary'!$A27)</f>
        <v>0</v>
      </c>
      <c r="D27" s="9">
        <f>_xlfn.SUMIFS(Data!E:E,Data!C:C,'County Summary'!$A27)</f>
        <v>10077.3425</v>
      </c>
      <c r="E27" s="9">
        <f>_xlfn.SUMIFS(Data!F:F,Data!C:C,'County Summary'!$A27)</f>
        <v>27377.4225</v>
      </c>
      <c r="F27" s="9">
        <f>_xlfn.SUMIFS(Data!G:G,Data!C:C,'County Summary'!$A27)</f>
        <v>47088.34</v>
      </c>
      <c r="G27" s="9">
        <f>_xlfn.SUMIFS(Data!H:H,Data!C:C,'County Summary'!$A27)</f>
        <v>16429.6075</v>
      </c>
      <c r="H27" s="7">
        <f>_xlfn.SUMIFS(Data!J:J,Data!C:C,'County Summary'!$A27)</f>
        <v>20570.570000000003</v>
      </c>
      <c r="I27" s="7">
        <f>SUM('County Summary'!$C27:$H27)</f>
        <v>121543.2825</v>
      </c>
    </row>
    <row r="28" spans="1:9" ht="15">
      <c r="A28" s="3" t="s">
        <v>0</v>
      </c>
      <c r="B28" s="3" t="s">
        <v>28</v>
      </c>
      <c r="C28" s="9">
        <f>_xlfn.SUMIFS(Data!D:D,Data!C:C,'County Summary'!$A28)</f>
        <v>82740.64</v>
      </c>
      <c r="D28" s="9">
        <f>_xlfn.SUMIFS(Data!E:E,Data!C:C,'County Summary'!$A28)</f>
        <v>145612.7966666667</v>
      </c>
      <c r="E28" s="9">
        <f>_xlfn.SUMIFS(Data!F:F,Data!C:C,'County Summary'!$A28)</f>
        <v>218629.98333333334</v>
      </c>
      <c r="F28" s="9">
        <f>_xlfn.SUMIFS(Data!G:G,Data!C:C,'County Summary'!$A28)</f>
        <v>487945.97333333327</v>
      </c>
      <c r="G28" s="9">
        <f>_xlfn.SUMIFS(Data!H:H,Data!C:C,'County Summary'!$A28)</f>
        <v>301690.3333333333</v>
      </c>
      <c r="H28" s="7">
        <f>_xlfn.SUMIFS(Data!J:J,Data!C:C,'County Summary'!$A28)</f>
        <v>191942.11333333334</v>
      </c>
      <c r="I28" s="7">
        <f>SUM('County Summary'!$C28:$H28)</f>
        <v>1428561.8399999999</v>
      </c>
    </row>
    <row r="29" spans="1:9" ht="15">
      <c r="A29" s="3" t="s">
        <v>27</v>
      </c>
      <c r="B29" s="3" t="s">
        <v>26</v>
      </c>
      <c r="C29" s="9">
        <f>_xlfn.SUMIFS(Data!D:D,Data!C:C,'County Summary'!$A29)</f>
        <v>0</v>
      </c>
      <c r="D29" s="9">
        <f>_xlfn.SUMIFS(Data!E:E,Data!C:C,'County Summary'!$A29)</f>
        <v>29167</v>
      </c>
      <c r="E29" s="9">
        <f>_xlfn.SUMIFS(Data!F:F,Data!C:C,'County Summary'!$A29)</f>
        <v>46579.5</v>
      </c>
      <c r="F29" s="9">
        <f>_xlfn.SUMIFS(Data!G:G,Data!C:C,'County Summary'!$A29)</f>
        <v>42153</v>
      </c>
      <c r="G29" s="9">
        <f>_xlfn.SUMIFS(Data!H:H,Data!C:C,'County Summary'!$A29)</f>
        <v>14336.5</v>
      </c>
      <c r="H29" s="7">
        <f>_xlfn.SUMIFS(Data!J:J,Data!C:C,'County Summary'!$A29)</f>
        <v>9158.525000000001</v>
      </c>
      <c r="I29" s="7">
        <f>SUM('County Summary'!$C29:$H29)</f>
        <v>141394.525</v>
      </c>
    </row>
    <row r="30" spans="1:9" ht="15">
      <c r="A30" s="3" t="s">
        <v>25</v>
      </c>
      <c r="B30" s="3" t="s">
        <v>24</v>
      </c>
      <c r="C30" s="9">
        <f>_xlfn.SUMIFS(Data!D:D,Data!C:C,'County Summary'!$A30)</f>
        <v>0</v>
      </c>
      <c r="D30" s="9">
        <f>_xlfn.SUMIFS(Data!E:E,Data!C:C,'County Summary'!$A30)</f>
        <v>12542.123333333335</v>
      </c>
      <c r="E30" s="9">
        <f>_xlfn.SUMIFS(Data!F:F,Data!C:C,'County Summary'!$A30)</f>
        <v>33087.75666666667</v>
      </c>
      <c r="F30" s="9">
        <f>_xlfn.SUMIFS(Data!G:G,Data!C:C,'County Summary'!$A30)</f>
        <v>35493.596666666635</v>
      </c>
      <c r="G30" s="9">
        <f>_xlfn.SUMIFS(Data!H:H,Data!C:C,'County Summary'!$A30)</f>
        <v>9943.733333333334</v>
      </c>
      <c r="H30" s="7">
        <f>_xlfn.SUMIFS(Data!J:J,Data!C:C,'County Summary'!$A30)</f>
        <v>7608.83666666667</v>
      </c>
      <c r="I30" s="7">
        <f>SUM('County Summary'!$C30:$H30)</f>
        <v>98676.04666666665</v>
      </c>
    </row>
    <row r="31" spans="1:9" ht="15">
      <c r="A31" s="3" t="s">
        <v>23</v>
      </c>
      <c r="B31" s="3" t="s">
        <v>22</v>
      </c>
      <c r="C31" s="9">
        <f>_xlfn.SUMIFS(Data!D:D,Data!C:C,'County Summary'!$A31)</f>
        <v>0</v>
      </c>
      <c r="D31" s="9">
        <f>_xlfn.SUMIFS(Data!E:E,Data!C:C,'County Summary'!$A31)</f>
        <v>17754.63666666667</v>
      </c>
      <c r="E31" s="9">
        <f>_xlfn.SUMIFS(Data!F:F,Data!C:C,'County Summary'!$A31)</f>
        <v>45231.87</v>
      </c>
      <c r="F31" s="9">
        <f>_xlfn.SUMIFS(Data!G:G,Data!C:C,'County Summary'!$A31)</f>
        <v>21393.6966666667</v>
      </c>
      <c r="G31" s="9">
        <f>_xlfn.SUMIFS(Data!H:H,Data!C:C,'County Summary'!$A31)</f>
        <v>29093.856666666667</v>
      </c>
      <c r="H31" s="7">
        <f>_xlfn.SUMIFS(Data!J:J,Data!C:C,'County Summary'!$A31)</f>
        <v>73906.47666666667</v>
      </c>
      <c r="I31" s="7">
        <f>SUM('County Summary'!$C31:$H31)</f>
        <v>187380.53666666668</v>
      </c>
    </row>
    <row r="32" spans="1:9" ht="15">
      <c r="A32" s="3" t="s">
        <v>21</v>
      </c>
      <c r="B32" s="3" t="s">
        <v>20</v>
      </c>
      <c r="C32" s="9">
        <f>_xlfn.SUMIFS(Data!D:D,Data!C:C,'County Summary'!$A32)</f>
        <v>0</v>
      </c>
      <c r="D32" s="9">
        <f>_xlfn.SUMIFS(Data!E:E,Data!C:C,'County Summary'!$A32)</f>
        <v>10077.3425</v>
      </c>
      <c r="E32" s="9">
        <f>_xlfn.SUMIFS(Data!F:F,Data!C:C,'County Summary'!$A32)</f>
        <v>27377.4225</v>
      </c>
      <c r="F32" s="9">
        <f>_xlfn.SUMIFS(Data!G:G,Data!C:C,'County Summary'!$A32)</f>
        <v>47088.34</v>
      </c>
      <c r="G32" s="9">
        <f>_xlfn.SUMIFS(Data!H:H,Data!C:C,'County Summary'!$A32)</f>
        <v>16429.6075</v>
      </c>
      <c r="H32" s="7">
        <f>_xlfn.SUMIFS(Data!J:J,Data!C:C,'County Summary'!$A32)</f>
        <v>20570.570000000003</v>
      </c>
      <c r="I32" s="7">
        <f>SUM('County Summary'!$C32:$H32)</f>
        <v>121543.2825</v>
      </c>
    </row>
    <row r="33" spans="1:9" ht="15">
      <c r="A33" s="3" t="s">
        <v>19</v>
      </c>
      <c r="B33" s="3" t="s">
        <v>18</v>
      </c>
      <c r="C33" s="9">
        <f>_xlfn.SUMIFS(Data!D:D,Data!C:C,'County Summary'!$A33)</f>
        <v>0</v>
      </c>
      <c r="D33" s="9">
        <f>_xlfn.SUMIFS(Data!E:E,Data!C:C,'County Summary'!$A33)</f>
        <v>9687.747500000001</v>
      </c>
      <c r="E33" s="9">
        <f>_xlfn.SUMIFS(Data!F:F,Data!C:C,'County Summary'!$A33)</f>
        <v>11128.89</v>
      </c>
      <c r="F33" s="9">
        <f>_xlfn.SUMIFS(Data!G:G,Data!C:C,'County Summary'!$A33)</f>
        <v>15622.859999999999</v>
      </c>
      <c r="G33" s="9">
        <f>_xlfn.SUMIFS(Data!H:H,Data!C:C,'County Summary'!$A33)</f>
        <v>8870.185</v>
      </c>
      <c r="H33" s="7">
        <f>_xlfn.SUMIFS(Data!J:J,Data!C:C,'County Summary'!$A33)</f>
        <v>45137.36</v>
      </c>
      <c r="I33" s="7">
        <f>SUM('County Summary'!$C33:$H33)</f>
        <v>90447.0425</v>
      </c>
    </row>
    <row r="34" spans="1:9" ht="15">
      <c r="A34" s="3" t="s">
        <v>17</v>
      </c>
      <c r="B34" s="3" t="s">
        <v>16</v>
      </c>
      <c r="C34" s="9">
        <f>_xlfn.SUMIFS(Data!D:D,Data!C:C,'County Summary'!$A34)</f>
        <v>0</v>
      </c>
      <c r="D34" s="9">
        <f>_xlfn.SUMIFS(Data!E:E,Data!C:C,'County Summary'!$A34)</f>
        <v>9687.747500000001</v>
      </c>
      <c r="E34" s="9">
        <f>_xlfn.SUMIFS(Data!F:F,Data!C:C,'County Summary'!$A34)</f>
        <v>11128.89</v>
      </c>
      <c r="F34" s="9">
        <f>_xlfn.SUMIFS(Data!G:G,Data!C:C,'County Summary'!$A34)</f>
        <v>15622.859999999999</v>
      </c>
      <c r="G34" s="9">
        <f>_xlfn.SUMIFS(Data!H:H,Data!C:C,'County Summary'!$A34)</f>
        <v>8870.185</v>
      </c>
      <c r="H34" s="7">
        <f>_xlfn.SUMIFS(Data!J:J,Data!C:C,'County Summary'!$A34)</f>
        <v>45137.36</v>
      </c>
      <c r="I34" s="7">
        <f>SUM('County Summary'!$C34:$H34)</f>
        <v>90447.0425</v>
      </c>
    </row>
    <row r="35" spans="1:9" ht="15">
      <c r="A35" s="3" t="s">
        <v>15</v>
      </c>
      <c r="B35" s="3" t="s">
        <v>14</v>
      </c>
      <c r="C35" s="9">
        <f>_xlfn.SUMIFS(Data!D:D,Data!C:C,'County Summary'!$A35)</f>
        <v>0</v>
      </c>
      <c r="D35" s="9">
        <f>_xlfn.SUMIFS(Data!E:E,Data!C:C,'County Summary'!$A35)</f>
        <v>12542.123333333335</v>
      </c>
      <c r="E35" s="9">
        <f>_xlfn.SUMIFS(Data!F:F,Data!C:C,'County Summary'!$A35)</f>
        <v>33087.75666666667</v>
      </c>
      <c r="F35" s="9">
        <f>_xlfn.SUMIFS(Data!G:G,Data!C:C,'County Summary'!$A35)</f>
        <v>35493.596666666635</v>
      </c>
      <c r="G35" s="9">
        <f>_xlfn.SUMIFS(Data!H:H,Data!C:C,'County Summary'!$A35)</f>
        <v>9943.733333333334</v>
      </c>
      <c r="H35" s="7">
        <f>_xlfn.SUMIFS(Data!J:J,Data!C:C,'County Summary'!$A35)</f>
        <v>7608.83666666667</v>
      </c>
      <c r="I35" s="7">
        <f>SUM('County Summary'!$C35:$H35)</f>
        <v>98676.04666666665</v>
      </c>
    </row>
    <row r="36" spans="1:9" ht="15">
      <c r="A36" s="3" t="s">
        <v>2</v>
      </c>
      <c r="B36" s="3" t="s">
        <v>13</v>
      </c>
      <c r="C36" s="9">
        <f>_xlfn.SUMIFS(Data!D:D,Data!C:C,'County Summary'!$A36)</f>
        <v>58740.64000000001</v>
      </c>
      <c r="D36" s="9">
        <f>_xlfn.SUMIFS(Data!E:E,Data!C:C,'County Summary'!$A36)</f>
        <v>137612.7966666667</v>
      </c>
      <c r="E36" s="9">
        <f>_xlfn.SUMIFS(Data!F:F,Data!C:C,'County Summary'!$A36)</f>
        <v>272118.9433333333</v>
      </c>
      <c r="F36" s="9">
        <f>_xlfn.SUMIFS(Data!G:G,Data!C:C,'County Summary'!$A36)</f>
        <v>340910.7733333333</v>
      </c>
      <c r="G36" s="9">
        <f>_xlfn.SUMIFS(Data!H:H,Data!C:C,'County Summary'!$A36)</f>
        <v>312565.05333333334</v>
      </c>
      <c r="H36" s="7">
        <f>_xlfn.SUMIFS(Data!J:J,Data!C:C,'County Summary'!$A36)</f>
        <v>296657.6333333333</v>
      </c>
      <c r="I36" s="7">
        <f>SUM('County Summary'!$C36:$H36)</f>
        <v>1418605.8399999999</v>
      </c>
    </row>
    <row r="37" spans="1:9" ht="15">
      <c r="A37" s="3" t="s">
        <v>12</v>
      </c>
      <c r="B37" s="3" t="s">
        <v>11</v>
      </c>
      <c r="C37" s="9">
        <f>_xlfn.SUMIFS(Data!D:D,Data!C:C,'County Summary'!$A37)</f>
        <v>0</v>
      </c>
      <c r="D37" s="9">
        <f>_xlfn.SUMIFS(Data!E:E,Data!C:C,'County Summary'!$A37)</f>
        <v>10077.3425</v>
      </c>
      <c r="E37" s="9">
        <f>_xlfn.SUMIFS(Data!F:F,Data!C:C,'County Summary'!$A37)</f>
        <v>27377.4225</v>
      </c>
      <c r="F37" s="9">
        <f>_xlfn.SUMIFS(Data!G:G,Data!C:C,'County Summary'!$A37)</f>
        <v>47088.34</v>
      </c>
      <c r="G37" s="9">
        <f>_xlfn.SUMIFS(Data!H:H,Data!C:C,'County Summary'!$A37)</f>
        <v>16429.6075</v>
      </c>
      <c r="H37" s="7">
        <f>_xlfn.SUMIFS(Data!J:J,Data!C:C,'County Summary'!$A37)</f>
        <v>20570.570000000003</v>
      </c>
      <c r="I37" s="7">
        <f>SUM('County Summary'!$C37:$H37)</f>
        <v>121543.2825</v>
      </c>
    </row>
    <row r="38" spans="1:9" ht="15">
      <c r="A38" s="3" t="s">
        <v>10</v>
      </c>
      <c r="B38" s="3" t="s">
        <v>9</v>
      </c>
      <c r="C38" s="9">
        <f>_xlfn.SUMIFS(Data!D:D,Data!C:C,'County Summary'!$A38)</f>
        <v>0</v>
      </c>
      <c r="D38" s="9">
        <f>_xlfn.SUMIFS(Data!E:E,Data!C:C,'County Summary'!$A38)</f>
        <v>67115.1</v>
      </c>
      <c r="E38" s="9">
        <f>_xlfn.SUMIFS(Data!F:F,Data!C:C,'County Summary'!$A38)</f>
        <v>149131.4</v>
      </c>
      <c r="F38" s="9">
        <f>_xlfn.SUMIFS(Data!G:G,Data!C:C,'County Summary'!$A38)</f>
        <v>137215.64</v>
      </c>
      <c r="G38" s="9">
        <f>_xlfn.SUMIFS(Data!H:H,Data!C:C,'County Summary'!$A38)</f>
        <v>34235.770000000004</v>
      </c>
      <c r="H38" s="7">
        <f>_xlfn.SUMIFS(Data!J:J,Data!C:C,'County Summary'!$A38)</f>
        <v>244196.615</v>
      </c>
      <c r="I38" s="7">
        <f>SUM('County Summary'!$C38:$H38)</f>
        <v>631894.525</v>
      </c>
    </row>
  </sheetData>
  <sheetProtection/>
  <printOptions/>
  <pageMargins left="0.7" right="0.7" top="0.75" bottom="0.75" header="0.3" footer="0.3"/>
  <pageSetup orientation="portrait" paperSize="9"/>
  <customProperties>
    <customPr name="ESRI_SHEET_ID" r:id="rId2"/>
  </customPropertie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160"/>
  <sheetViews>
    <sheetView zoomScale="89" zoomScaleNormal="89" zoomScalePageLayoutView="0" workbookViewId="0" topLeftCell="A130">
      <pane xSplit="1" topLeftCell="B1" activePane="topRight" state="frozen"/>
      <selection pane="topLeft" activeCell="A1" sqref="A1"/>
      <selection pane="topRight" activeCell="I2" sqref="I2:I160"/>
    </sheetView>
  </sheetViews>
  <sheetFormatPr defaultColWidth="9.33203125" defaultRowHeight="10.5"/>
  <cols>
    <col min="1" max="1" width="75.33203125" style="3" bestFit="1" customWidth="1"/>
    <col min="2" max="2" width="34.16015625" style="3" bestFit="1" customWidth="1"/>
    <col min="3" max="3" width="15.33203125" style="3" bestFit="1" customWidth="1"/>
    <col min="4" max="4" width="30.66015625" style="3" bestFit="1" customWidth="1"/>
    <col min="5" max="5" width="30.66015625" style="0" bestFit="1" customWidth="1"/>
    <col min="6" max="7" width="30.66015625" style="2" bestFit="1" customWidth="1"/>
    <col min="8" max="8" width="30.66015625" style="2" customWidth="1"/>
    <col min="9" max="9" width="36" style="2" bestFit="1" customWidth="1"/>
    <col min="10" max="10" width="36" style="2" customWidth="1"/>
    <col min="11" max="11" width="116" style="2" bestFit="1" customWidth="1"/>
    <col min="12" max="16384" width="9.33203125" style="1" customWidth="1"/>
  </cols>
  <sheetData>
    <row r="1" spans="1:11" ht="15">
      <c r="A1" s="3" t="s">
        <v>150</v>
      </c>
      <c r="B1" s="3" t="s">
        <v>87</v>
      </c>
      <c r="C1" s="3" t="s">
        <v>8</v>
      </c>
      <c r="D1" s="2" t="s">
        <v>78</v>
      </c>
      <c r="E1" s="2" t="s">
        <v>77</v>
      </c>
      <c r="F1" s="2" t="s">
        <v>76</v>
      </c>
      <c r="G1" s="2" t="s">
        <v>75</v>
      </c>
      <c r="H1" s="2" t="s">
        <v>180</v>
      </c>
      <c r="I1" s="2" t="s">
        <v>74</v>
      </c>
      <c r="J1" s="2" t="s">
        <v>167</v>
      </c>
      <c r="K1" s="3" t="s">
        <v>84</v>
      </c>
    </row>
    <row r="2" spans="1:11" ht="15" customHeight="1">
      <c r="A2" s="3" t="s">
        <v>156</v>
      </c>
      <c r="B2" s="5" t="s">
        <v>134</v>
      </c>
      <c r="C2" s="5" t="s">
        <v>47</v>
      </c>
      <c r="D2" s="7">
        <v>0</v>
      </c>
      <c r="E2" s="6">
        <v>0</v>
      </c>
      <c r="F2" s="6">
        <v>25000</v>
      </c>
      <c r="G2" s="6">
        <v>50000</v>
      </c>
      <c r="H2" s="6">
        <v>0</v>
      </c>
      <c r="I2" s="6">
        <f aca="true" t="shared" si="0" ref="I2:I65">SUM(D2:H2)</f>
        <v>75000</v>
      </c>
      <c r="J2" s="6">
        <v>50000</v>
      </c>
      <c r="K2" s="5" t="str">
        <f>Data!$A2&amp;Data!$B2&amp;Data!$C2</f>
        <v>ACCESSDown Payment AssistanceJackson</v>
      </c>
    </row>
    <row r="3" spans="1:11" ht="15" customHeight="1">
      <c r="A3" s="3" t="s">
        <v>156</v>
      </c>
      <c r="B3" s="5" t="s">
        <v>134</v>
      </c>
      <c r="C3" s="5" t="s">
        <v>44</v>
      </c>
      <c r="D3" s="7">
        <v>0</v>
      </c>
      <c r="E3" s="6">
        <v>0</v>
      </c>
      <c r="F3" s="6">
        <v>25000</v>
      </c>
      <c r="G3" s="6">
        <v>50000</v>
      </c>
      <c r="H3" s="6">
        <v>0</v>
      </c>
      <c r="I3" s="6">
        <f t="shared" si="0"/>
        <v>75000</v>
      </c>
      <c r="J3" s="6">
        <v>50000</v>
      </c>
      <c r="K3" s="5" t="str">
        <f>Data!$A3&amp;Data!$B3&amp;Data!$C3</f>
        <v>ACCESSDown Payment AssistanceJosephine</v>
      </c>
    </row>
    <row r="4" spans="1:11" ht="15" customHeight="1">
      <c r="A4" s="5" t="s">
        <v>171</v>
      </c>
      <c r="B4" s="5" t="s">
        <v>134</v>
      </c>
      <c r="C4" s="5" t="s">
        <v>7</v>
      </c>
      <c r="D4" s="7">
        <v>4166.666666666667</v>
      </c>
      <c r="E4" s="6">
        <v>12500</v>
      </c>
      <c r="F4" s="6">
        <v>26666.666666666668</v>
      </c>
      <c r="G4" s="6">
        <v>0</v>
      </c>
      <c r="H4" s="6">
        <v>0</v>
      </c>
      <c r="I4" s="6">
        <f t="shared" si="0"/>
        <v>43333.333333333336</v>
      </c>
      <c r="J4" s="6">
        <v>0</v>
      </c>
      <c r="K4" s="5" t="str">
        <f>Data!$A4&amp;Data!$B4&amp;Data!$C4</f>
        <v>Asian &amp; Pacific Islander CommunityDown Payment AssistanceClackamas</v>
      </c>
    </row>
    <row r="5" spans="1:11" ht="15" customHeight="1">
      <c r="A5" s="5" t="s">
        <v>171</v>
      </c>
      <c r="B5" s="5" t="s">
        <v>134</v>
      </c>
      <c r="C5" s="5" t="s">
        <v>0</v>
      </c>
      <c r="D5" s="7">
        <v>4166.666666666667</v>
      </c>
      <c r="E5" s="7">
        <v>12500</v>
      </c>
      <c r="F5" s="6">
        <v>26666.666666666668</v>
      </c>
      <c r="G5" s="6">
        <v>0</v>
      </c>
      <c r="H5" s="6">
        <v>0</v>
      </c>
      <c r="I5" s="6">
        <f t="shared" si="0"/>
        <v>43333.333333333336</v>
      </c>
      <c r="J5" s="6">
        <v>0</v>
      </c>
      <c r="K5" s="5" t="str">
        <f>Data!$A5&amp;Data!$B5&amp;Data!$C5</f>
        <v>Asian &amp; Pacific Islander CommunityDown Payment AssistanceMultnomah</v>
      </c>
    </row>
    <row r="6" spans="1:11" ht="15" customHeight="1">
      <c r="A6" s="5" t="s">
        <v>171</v>
      </c>
      <c r="B6" s="5" t="s">
        <v>134</v>
      </c>
      <c r="C6" s="5" t="s">
        <v>2</v>
      </c>
      <c r="D6" s="7">
        <v>4166.66666666667</v>
      </c>
      <c r="E6" s="6">
        <v>12500</v>
      </c>
      <c r="F6" s="6">
        <v>26666.666666666668</v>
      </c>
      <c r="G6" s="6">
        <v>0</v>
      </c>
      <c r="H6" s="6">
        <v>0</v>
      </c>
      <c r="I6" s="6">
        <f t="shared" si="0"/>
        <v>43333.33333333334</v>
      </c>
      <c r="J6" s="6">
        <v>0</v>
      </c>
      <c r="K6" s="5" t="str">
        <f>Data!$A6&amp;Data!$B6&amp;Data!$C6</f>
        <v>Asian &amp; Pacific Islander CommunityDown Payment AssistanceWashington</v>
      </c>
    </row>
    <row r="7" spans="1:11" ht="15" customHeight="1">
      <c r="A7" s="58" t="s">
        <v>121</v>
      </c>
      <c r="B7" s="58" t="s">
        <v>134</v>
      </c>
      <c r="C7" s="58" t="s">
        <v>5</v>
      </c>
      <c r="D7" s="59">
        <v>0</v>
      </c>
      <c r="E7" s="60">
        <v>0</v>
      </c>
      <c r="F7" s="60">
        <v>0</v>
      </c>
      <c r="G7" s="60">
        <v>0</v>
      </c>
      <c r="H7" s="2">
        <v>0</v>
      </c>
      <c r="I7" s="6">
        <f t="shared" si="0"/>
        <v>0</v>
      </c>
      <c r="J7" s="60">
        <v>0</v>
      </c>
      <c r="K7" s="58" t="str">
        <f>Data!$A7&amp;Data!$B7&amp;Data!$C7</f>
        <v>City of BendDown Payment AssistanceDeschutes</v>
      </c>
    </row>
    <row r="8" spans="1:11" ht="15" customHeight="1">
      <c r="A8" s="5" t="s">
        <v>125</v>
      </c>
      <c r="B8" s="5" t="s">
        <v>134</v>
      </c>
      <c r="C8" s="5" t="s">
        <v>49</v>
      </c>
      <c r="D8" s="7">
        <v>0</v>
      </c>
      <c r="E8" s="6">
        <v>0</v>
      </c>
      <c r="F8" s="6">
        <v>8933.333333333334</v>
      </c>
      <c r="G8" s="6">
        <v>14333.333333333334</v>
      </c>
      <c r="H8" s="6">
        <v>0</v>
      </c>
      <c r="I8" s="6">
        <f t="shared" si="0"/>
        <v>23266.666666666668</v>
      </c>
      <c r="J8" s="6">
        <v>0</v>
      </c>
      <c r="K8" s="5" t="str">
        <f>Data!$A8&amp;Data!$B8&amp;Data!$C8</f>
        <v>Columbia Cascade HousingDown Payment AssistanceHood River</v>
      </c>
    </row>
    <row r="9" spans="1:11" ht="15" customHeight="1">
      <c r="A9" s="5" t="s">
        <v>125</v>
      </c>
      <c r="B9" s="5" t="s">
        <v>134</v>
      </c>
      <c r="C9" s="5" t="s">
        <v>25</v>
      </c>
      <c r="D9" s="7">
        <v>0</v>
      </c>
      <c r="E9" s="6">
        <v>0</v>
      </c>
      <c r="F9" s="6">
        <v>8933.333333333334</v>
      </c>
      <c r="G9" s="6">
        <v>14333.333333333334</v>
      </c>
      <c r="H9" s="6">
        <v>0</v>
      </c>
      <c r="I9" s="6">
        <f t="shared" si="0"/>
        <v>23266.666666666668</v>
      </c>
      <c r="J9" s="6">
        <v>0</v>
      </c>
      <c r="K9" s="5" t="str">
        <f>Data!$A9&amp;Data!$B9&amp;Data!$C9</f>
        <v>Columbia Cascade HousingDown Payment AssistanceSherman</v>
      </c>
    </row>
    <row r="10" spans="1:11" ht="15" customHeight="1">
      <c r="A10" s="5" t="s">
        <v>125</v>
      </c>
      <c r="B10" s="5" t="s">
        <v>134</v>
      </c>
      <c r="C10" s="5" t="s">
        <v>15</v>
      </c>
      <c r="D10" s="7">
        <v>0</v>
      </c>
      <c r="E10" s="6">
        <v>0</v>
      </c>
      <c r="F10" s="6">
        <v>8933.333333333334</v>
      </c>
      <c r="G10" s="6">
        <v>14333.333333333334</v>
      </c>
      <c r="H10" s="6">
        <v>0</v>
      </c>
      <c r="I10" s="6">
        <f t="shared" si="0"/>
        <v>23266.666666666668</v>
      </c>
      <c r="J10" s="6">
        <v>0</v>
      </c>
      <c r="K10" s="5" t="str">
        <f>Data!$A10&amp;Data!$B10&amp;Data!$C10</f>
        <v>Columbia Cascade HousingDown Payment AssistanceWasco</v>
      </c>
    </row>
    <row r="11" spans="1:11" ht="15" customHeight="1">
      <c r="A11" s="5" t="s">
        <v>118</v>
      </c>
      <c r="B11" s="5" t="s">
        <v>134</v>
      </c>
      <c r="C11" s="5" t="s">
        <v>55</v>
      </c>
      <c r="D11" s="6">
        <v>0</v>
      </c>
      <c r="E11" s="7">
        <v>0</v>
      </c>
      <c r="F11" s="6">
        <v>0</v>
      </c>
      <c r="G11" s="6">
        <v>25000</v>
      </c>
      <c r="H11" s="6">
        <v>11549.4</v>
      </c>
      <c r="I11" s="6">
        <f t="shared" si="0"/>
        <v>36549.4</v>
      </c>
      <c r="J11" s="6">
        <v>12500</v>
      </c>
      <c r="K11" s="5" t="str">
        <f>Data!$A11&amp;Data!$B11&amp;Data!$C11</f>
        <v>Community Action Program East Central OregonDown Payment AssistanceGilliam</v>
      </c>
    </row>
    <row r="12" spans="1:11" ht="15" customHeight="1">
      <c r="A12" s="5" t="s">
        <v>118</v>
      </c>
      <c r="B12" s="5" t="s">
        <v>134</v>
      </c>
      <c r="C12" s="5" t="s">
        <v>30</v>
      </c>
      <c r="D12" s="6">
        <v>0</v>
      </c>
      <c r="E12" s="7">
        <v>0</v>
      </c>
      <c r="F12" s="6">
        <v>0</v>
      </c>
      <c r="G12" s="6">
        <v>25000</v>
      </c>
      <c r="H12" s="6">
        <v>11549.4</v>
      </c>
      <c r="I12" s="6">
        <f t="shared" si="0"/>
        <v>36549.4</v>
      </c>
      <c r="J12" s="6">
        <v>12500</v>
      </c>
      <c r="K12" s="5" t="str">
        <f>Data!$A12&amp;Data!$B12&amp;Data!$C12</f>
        <v>Community Action Program East Central OregonDown Payment AssistanceMorrow</v>
      </c>
    </row>
    <row r="13" spans="1:11" ht="15" customHeight="1">
      <c r="A13" s="5" t="s">
        <v>118</v>
      </c>
      <c r="B13" s="5" t="s">
        <v>134</v>
      </c>
      <c r="C13" s="5" t="s">
        <v>21</v>
      </c>
      <c r="D13" s="6">
        <v>0</v>
      </c>
      <c r="E13" s="7">
        <v>0</v>
      </c>
      <c r="F13" s="6">
        <v>0</v>
      </c>
      <c r="G13" s="6">
        <v>25000</v>
      </c>
      <c r="H13" s="6">
        <v>11549.4</v>
      </c>
      <c r="I13" s="6">
        <f t="shared" si="0"/>
        <v>36549.4</v>
      </c>
      <c r="J13" s="6">
        <v>12500</v>
      </c>
      <c r="K13" s="5" t="str">
        <f>Data!$A13&amp;Data!$B13&amp;Data!$C13</f>
        <v>Community Action Program East Central OregonDown Payment AssistanceUmatilla</v>
      </c>
    </row>
    <row r="14" spans="1:11" ht="15" customHeight="1">
      <c r="A14" s="5" t="s">
        <v>118</v>
      </c>
      <c r="B14" s="5" t="s">
        <v>134</v>
      </c>
      <c r="C14" s="5" t="s">
        <v>12</v>
      </c>
      <c r="D14" s="6">
        <v>0</v>
      </c>
      <c r="E14" s="7">
        <v>0</v>
      </c>
      <c r="F14" s="6">
        <v>0</v>
      </c>
      <c r="G14" s="6">
        <v>25000</v>
      </c>
      <c r="H14" s="6">
        <v>11549.4</v>
      </c>
      <c r="I14" s="6">
        <f t="shared" si="0"/>
        <v>36549.4</v>
      </c>
      <c r="J14" s="6">
        <v>12500</v>
      </c>
      <c r="K14" s="5" t="str">
        <f>Data!$A14&amp;Data!$B14&amp;Data!$C14</f>
        <v>Community Action Program East Central OregonDown Payment AssistanceWheeler</v>
      </c>
    </row>
    <row r="15" spans="1:11" ht="15" customHeight="1">
      <c r="A15" s="5" t="s">
        <v>112</v>
      </c>
      <c r="B15" s="5" t="s">
        <v>134</v>
      </c>
      <c r="C15" s="5" t="s">
        <v>67</v>
      </c>
      <c r="D15" s="7">
        <v>0</v>
      </c>
      <c r="E15" s="6">
        <v>0</v>
      </c>
      <c r="F15" s="6">
        <v>13333.333333333334</v>
      </c>
      <c r="G15" s="6">
        <v>-5000</v>
      </c>
      <c r="H15" s="6">
        <v>15000</v>
      </c>
      <c r="I15" s="6">
        <f t="shared" si="0"/>
        <v>23333.333333333336</v>
      </c>
      <c r="J15" s="6">
        <v>17400</v>
      </c>
      <c r="K15" s="5" t="str">
        <f>Data!$A15&amp;Data!$B15&amp;Data!$C15</f>
        <v>Community Action TeamDown Payment AssistanceClatsop</v>
      </c>
    </row>
    <row r="16" spans="1:11" ht="15" customHeight="1">
      <c r="A16" s="5" t="s">
        <v>112</v>
      </c>
      <c r="B16" s="5" t="s">
        <v>134</v>
      </c>
      <c r="C16" s="5" t="s">
        <v>65</v>
      </c>
      <c r="D16" s="7">
        <v>0</v>
      </c>
      <c r="E16" s="6">
        <v>0</v>
      </c>
      <c r="F16" s="6">
        <v>13333.333333333334</v>
      </c>
      <c r="G16" s="6">
        <v>-5000</v>
      </c>
      <c r="H16" s="6">
        <v>15000</v>
      </c>
      <c r="I16" s="6">
        <f t="shared" si="0"/>
        <v>23333.333333333336</v>
      </c>
      <c r="J16" s="6">
        <v>17400</v>
      </c>
      <c r="K16" s="5" t="str">
        <f>Data!$A16&amp;Data!$B16&amp;Data!$C16</f>
        <v>Community Action TeamDown Payment AssistanceColumbia</v>
      </c>
    </row>
    <row r="17" spans="1:11" ht="15" customHeight="1">
      <c r="A17" s="5" t="s">
        <v>112</v>
      </c>
      <c r="B17" s="5" t="s">
        <v>134</v>
      </c>
      <c r="C17" s="5" t="s">
        <v>23</v>
      </c>
      <c r="D17" s="7">
        <v>0</v>
      </c>
      <c r="E17" s="6">
        <v>0</v>
      </c>
      <c r="F17" s="6">
        <v>13333.333333333334</v>
      </c>
      <c r="G17" s="6">
        <v>-5000</v>
      </c>
      <c r="H17" s="6">
        <v>15000</v>
      </c>
      <c r="I17" s="6">
        <f t="shared" si="0"/>
        <v>23333.333333333336</v>
      </c>
      <c r="J17" s="6">
        <v>17400</v>
      </c>
      <c r="K17" s="5" t="str">
        <f>Data!$A17&amp;Data!$B17&amp;Data!$C17</f>
        <v>Community Action TeamDown Payment AssistanceTillamook</v>
      </c>
    </row>
    <row r="18" spans="1:11" ht="15" customHeight="1">
      <c r="A18" s="5" t="s">
        <v>162</v>
      </c>
      <c r="B18" s="5" t="s">
        <v>134</v>
      </c>
      <c r="C18" s="5" t="s">
        <v>33</v>
      </c>
      <c r="D18" s="6">
        <v>0</v>
      </c>
      <c r="E18" s="7">
        <v>0</v>
      </c>
      <c r="F18" s="6">
        <v>0</v>
      </c>
      <c r="G18" s="6">
        <v>100000</v>
      </c>
      <c r="H18" s="6">
        <v>42402.46</v>
      </c>
      <c r="I18" s="6">
        <f t="shared" si="0"/>
        <v>142402.46</v>
      </c>
      <c r="J18" s="6">
        <v>50000</v>
      </c>
      <c r="K18" s="5" t="str">
        <f>Data!$A18&amp;Data!$B18&amp;Data!$C18</f>
        <v>Community in ActionDown Payment AssistanceMalheur</v>
      </c>
    </row>
    <row r="19" spans="1:11" ht="15" customHeight="1">
      <c r="A19" s="51" t="s">
        <v>181</v>
      </c>
      <c r="B19" s="48" t="s">
        <v>134</v>
      </c>
      <c r="C19" s="3" t="s">
        <v>5</v>
      </c>
      <c r="D19" s="49">
        <v>0</v>
      </c>
      <c r="E19" s="50">
        <v>0</v>
      </c>
      <c r="F19" s="49">
        <v>0</v>
      </c>
      <c r="G19" s="49">
        <v>0</v>
      </c>
      <c r="H19" s="2">
        <v>50000</v>
      </c>
      <c r="I19" s="6">
        <f t="shared" si="0"/>
        <v>50000</v>
      </c>
      <c r="J19" s="49">
        <v>50000</v>
      </c>
      <c r="K19" s="48" t="str">
        <f>Data!$A19&amp;Data!$B19&amp;Data!$C19</f>
        <v>Habitat for Humanity BendDown Payment AssistanceDeschutes</v>
      </c>
    </row>
    <row r="20" spans="1:11" ht="15" customHeight="1">
      <c r="A20" s="10" t="s">
        <v>128</v>
      </c>
      <c r="B20" s="5" t="s">
        <v>134</v>
      </c>
      <c r="C20" s="5" t="s">
        <v>137</v>
      </c>
      <c r="D20" s="7">
        <v>0</v>
      </c>
      <c r="E20" s="6">
        <v>75325</v>
      </c>
      <c r="F20" s="6">
        <v>69300</v>
      </c>
      <c r="G20" s="6">
        <v>0</v>
      </c>
      <c r="H20" s="6">
        <v>100000</v>
      </c>
      <c r="I20" s="6">
        <f t="shared" si="0"/>
        <v>244625</v>
      </c>
      <c r="J20" s="6">
        <v>0</v>
      </c>
      <c r="K20" s="5" t="str">
        <f>Data!$A20&amp;Data!$B20&amp;Data!$C20</f>
        <v>Habitat for Humanity of OregonDown Payment Assistance(Statewide)</v>
      </c>
    </row>
    <row r="21" spans="1:11" ht="15" customHeight="1">
      <c r="A21" s="5" t="s">
        <v>129</v>
      </c>
      <c r="B21" s="5" t="s">
        <v>134</v>
      </c>
      <c r="C21" s="5" t="s">
        <v>0</v>
      </c>
      <c r="D21" s="7">
        <v>0</v>
      </c>
      <c r="E21" s="6">
        <v>0</v>
      </c>
      <c r="F21" s="6">
        <v>25200</v>
      </c>
      <c r="G21" s="6">
        <v>0</v>
      </c>
      <c r="H21" s="6">
        <v>25000</v>
      </c>
      <c r="I21" s="6">
        <f t="shared" si="0"/>
        <v>50200</v>
      </c>
      <c r="J21" s="6">
        <v>25000</v>
      </c>
      <c r="K21" s="5" t="str">
        <f>Data!$A21&amp;Data!$B21&amp;Data!$C21</f>
        <v>Habitat for Humanity Portland/MetroDown Payment AssistanceMultnomah</v>
      </c>
    </row>
    <row r="22" spans="1:11" ht="15" customHeight="1">
      <c r="A22" s="5" t="s">
        <v>129</v>
      </c>
      <c r="B22" s="5" t="s">
        <v>134</v>
      </c>
      <c r="C22" s="5" t="s">
        <v>2</v>
      </c>
      <c r="D22" s="7">
        <v>0</v>
      </c>
      <c r="E22" s="6">
        <v>0</v>
      </c>
      <c r="F22" s="6">
        <v>25200</v>
      </c>
      <c r="G22" s="6">
        <v>0</v>
      </c>
      <c r="H22" s="6">
        <v>25000</v>
      </c>
      <c r="I22" s="6">
        <f t="shared" si="0"/>
        <v>50200</v>
      </c>
      <c r="J22" s="6">
        <v>25000</v>
      </c>
      <c r="K22" s="5" t="str">
        <f>Data!$A22&amp;Data!$B22&amp;Data!$C22</f>
        <v>Habitat for Humanity Portland/MetroDown Payment AssistanceWashington</v>
      </c>
    </row>
    <row r="23" spans="1:11" ht="15" customHeight="1">
      <c r="A23" s="52" t="s">
        <v>184</v>
      </c>
      <c r="B23" s="5" t="s">
        <v>134</v>
      </c>
      <c r="C23" s="48" t="s">
        <v>2</v>
      </c>
      <c r="D23" s="50">
        <v>0</v>
      </c>
      <c r="E23" s="49">
        <v>0</v>
      </c>
      <c r="F23" s="49">
        <v>0</v>
      </c>
      <c r="G23" s="49">
        <v>0</v>
      </c>
      <c r="H23" s="2">
        <v>100000</v>
      </c>
      <c r="I23" s="6">
        <f t="shared" si="0"/>
        <v>100000</v>
      </c>
      <c r="J23" s="49">
        <v>0</v>
      </c>
      <c r="K23" s="48" t="str">
        <f>Data!$A23&amp;Data!$B23&amp;Data!$C23</f>
        <v>Habitat for Humanity Willamette WestDown Payment AssistanceWashington</v>
      </c>
    </row>
    <row r="24" spans="1:11" ht="15" customHeight="1">
      <c r="A24" s="5" t="s">
        <v>126</v>
      </c>
      <c r="B24" s="5" t="s">
        <v>134</v>
      </c>
      <c r="C24" s="5" t="s">
        <v>7</v>
      </c>
      <c r="D24" s="7">
        <v>0</v>
      </c>
      <c r="E24" s="6">
        <v>0</v>
      </c>
      <c r="F24" s="6">
        <v>33333.333333333336</v>
      </c>
      <c r="G24" s="6">
        <v>0</v>
      </c>
      <c r="H24" s="6">
        <v>33333.33</v>
      </c>
      <c r="I24" s="6">
        <f t="shared" si="0"/>
        <v>66666.66333333333</v>
      </c>
      <c r="J24" s="6">
        <v>0</v>
      </c>
      <c r="K24" s="5" t="str">
        <f>Data!$A24&amp;Data!$B24&amp;Data!$C24</f>
        <v>HaciendaDown Payment AssistanceClackamas</v>
      </c>
    </row>
    <row r="25" spans="1:11" ht="15" customHeight="1">
      <c r="A25" s="5" t="s">
        <v>126</v>
      </c>
      <c r="B25" s="5" t="s">
        <v>134</v>
      </c>
      <c r="C25" s="5" t="s">
        <v>0</v>
      </c>
      <c r="D25" s="7">
        <v>0</v>
      </c>
      <c r="E25" s="6">
        <v>0</v>
      </c>
      <c r="F25" s="6">
        <v>33333.333333333336</v>
      </c>
      <c r="G25" s="6">
        <v>100000</v>
      </c>
      <c r="H25" s="6">
        <v>33333.33</v>
      </c>
      <c r="I25" s="6">
        <f t="shared" si="0"/>
        <v>166666.66333333333</v>
      </c>
      <c r="J25" s="6">
        <v>0</v>
      </c>
      <c r="K25" s="5" t="str">
        <f>Data!$A25&amp;Data!$B25&amp;Data!$C25</f>
        <v>HaciendaDown Payment AssistanceMultnomah</v>
      </c>
    </row>
    <row r="26" spans="1:11" ht="15" customHeight="1">
      <c r="A26" s="5" t="s">
        <v>126</v>
      </c>
      <c r="B26" s="5" t="s">
        <v>134</v>
      </c>
      <c r="C26" s="5" t="s">
        <v>2</v>
      </c>
      <c r="D26" s="7">
        <v>0</v>
      </c>
      <c r="E26" s="6">
        <v>0</v>
      </c>
      <c r="F26" s="6">
        <v>33333.333333333336</v>
      </c>
      <c r="G26" s="6">
        <v>0</v>
      </c>
      <c r="H26" s="6">
        <v>33333.33</v>
      </c>
      <c r="I26" s="6">
        <f t="shared" si="0"/>
        <v>66666.66333333333</v>
      </c>
      <c r="J26" s="6">
        <v>0</v>
      </c>
      <c r="K26" s="5" t="str">
        <f>Data!$A26&amp;Data!$B26&amp;Data!$C26</f>
        <v>HaciendaDown Payment AssistanceWashington</v>
      </c>
    </row>
    <row r="27" spans="1:11" ht="15" customHeight="1">
      <c r="A27" s="5" t="s">
        <v>127</v>
      </c>
      <c r="B27" s="5" t="s">
        <v>134</v>
      </c>
      <c r="C27" s="5" t="s">
        <v>10</v>
      </c>
      <c r="D27" s="7">
        <v>0</v>
      </c>
      <c r="E27" s="6">
        <v>0</v>
      </c>
      <c r="F27" s="6">
        <v>40500</v>
      </c>
      <c r="G27" s="6">
        <v>95062.64</v>
      </c>
      <c r="H27" s="6">
        <v>19899.27</v>
      </c>
      <c r="I27" s="6">
        <f t="shared" si="0"/>
        <v>155461.91</v>
      </c>
      <c r="J27" s="6">
        <v>85038.09</v>
      </c>
      <c r="K27" s="5" t="str">
        <f>Data!$A27&amp;Data!$B27&amp;Data!$C27</f>
        <v>Housing Authority of Yamhill CountyDown Payment AssistanceYamhill</v>
      </c>
    </row>
    <row r="28" spans="1:11" ht="15" customHeight="1">
      <c r="A28" s="3" t="s">
        <v>174</v>
      </c>
      <c r="B28" s="5" t="s">
        <v>134</v>
      </c>
      <c r="C28" s="5" t="s">
        <v>4</v>
      </c>
      <c r="D28" s="6">
        <v>0</v>
      </c>
      <c r="E28" s="7">
        <v>0</v>
      </c>
      <c r="F28" s="6">
        <v>0</v>
      </c>
      <c r="G28" s="6">
        <v>48600</v>
      </c>
      <c r="H28" s="6">
        <v>18973.2</v>
      </c>
      <c r="I28" s="6">
        <f t="shared" si="0"/>
        <v>67573.2</v>
      </c>
      <c r="J28" s="6">
        <v>25000</v>
      </c>
      <c r="K28" s="5" t="str">
        <f>Data!$A28&amp;Data!$B28&amp;Data!$C28</f>
        <v>Klamath &amp; Lake Community Action ServicesDown Payment AssistanceKlamath</v>
      </c>
    </row>
    <row r="29" spans="1:11" ht="15" customHeight="1">
      <c r="A29" s="3" t="s">
        <v>174</v>
      </c>
      <c r="B29" s="5" t="s">
        <v>134</v>
      </c>
      <c r="C29" s="5" t="s">
        <v>41</v>
      </c>
      <c r="D29" s="6">
        <v>0</v>
      </c>
      <c r="E29" s="7">
        <v>0</v>
      </c>
      <c r="F29" s="6">
        <v>0</v>
      </c>
      <c r="G29" s="6">
        <v>48600</v>
      </c>
      <c r="H29" s="6">
        <v>18973.2</v>
      </c>
      <c r="I29" s="6">
        <f t="shared" si="0"/>
        <v>67573.2</v>
      </c>
      <c r="J29" s="6">
        <v>25000</v>
      </c>
      <c r="K29" s="5" t="str">
        <f>Data!$A29&amp;Data!$B29&amp;Data!$C29</f>
        <v>Klamath &amp; Lake Community Action ServicesDown Payment AssistanceLake</v>
      </c>
    </row>
    <row r="30" spans="1:11" ht="15" customHeight="1">
      <c r="A30" s="3" t="s">
        <v>172</v>
      </c>
      <c r="B30" s="5" t="s">
        <v>134</v>
      </c>
      <c r="C30" s="5" t="s">
        <v>7</v>
      </c>
      <c r="D30" s="7">
        <v>0</v>
      </c>
      <c r="E30" s="6">
        <v>25000</v>
      </c>
      <c r="F30" s="6">
        <v>0</v>
      </c>
      <c r="G30" s="6">
        <v>0</v>
      </c>
      <c r="H30" s="6">
        <v>0</v>
      </c>
      <c r="I30" s="6">
        <f t="shared" si="0"/>
        <v>25000</v>
      </c>
      <c r="J30" s="6">
        <v>0</v>
      </c>
      <c r="K30" s="5" t="str">
        <f>Data!$A30&amp;Data!$B30&amp;Data!$C30</f>
        <v>Native American Youth &amp; Family CenterDown Payment AssistanceClackamas</v>
      </c>
    </row>
    <row r="31" spans="1:11" ht="15" customHeight="1">
      <c r="A31" s="3" t="s">
        <v>172</v>
      </c>
      <c r="B31" s="5" t="s">
        <v>134</v>
      </c>
      <c r="C31" s="5" t="s">
        <v>0</v>
      </c>
      <c r="D31" s="7">
        <v>0</v>
      </c>
      <c r="E31" s="6">
        <v>25000</v>
      </c>
      <c r="F31" s="6">
        <v>0</v>
      </c>
      <c r="G31" s="6">
        <v>75000</v>
      </c>
      <c r="H31" s="6">
        <v>40000</v>
      </c>
      <c r="I31" s="6">
        <f t="shared" si="0"/>
        <v>140000</v>
      </c>
      <c r="J31" s="6">
        <v>50000</v>
      </c>
      <c r="K31" s="5" t="str">
        <f>Data!$A31&amp;Data!$B31&amp;Data!$C31</f>
        <v>Native American Youth &amp; Family CenterDown Payment AssistanceMultnomah</v>
      </c>
    </row>
    <row r="32" spans="1:11" ht="15" customHeight="1">
      <c r="A32" s="3" t="s">
        <v>172</v>
      </c>
      <c r="B32" s="5" t="s">
        <v>134</v>
      </c>
      <c r="C32" s="5" t="s">
        <v>2</v>
      </c>
      <c r="D32" s="7">
        <v>0</v>
      </c>
      <c r="E32" s="6">
        <v>25000</v>
      </c>
      <c r="F32" s="6">
        <v>0</v>
      </c>
      <c r="G32" s="6">
        <v>0</v>
      </c>
      <c r="H32" s="6">
        <v>0</v>
      </c>
      <c r="I32" s="6">
        <f t="shared" si="0"/>
        <v>25000</v>
      </c>
      <c r="J32" s="6">
        <v>0</v>
      </c>
      <c r="K32" s="5" t="str">
        <f>Data!$A32&amp;Data!$B32&amp;Data!$C32</f>
        <v>Native American Youth &amp; Family CenterDown Payment AssistanceWashington</v>
      </c>
    </row>
    <row r="33" spans="1:11" ht="15" customHeight="1">
      <c r="A33" s="3" t="s">
        <v>123</v>
      </c>
      <c r="B33" s="3" t="s">
        <v>134</v>
      </c>
      <c r="C33" s="3" t="s">
        <v>39</v>
      </c>
      <c r="D33" s="9">
        <v>12500</v>
      </c>
      <c r="E33" s="2">
        <v>37500</v>
      </c>
      <c r="F33" s="6">
        <v>0</v>
      </c>
      <c r="G33" s="6">
        <v>50000</v>
      </c>
      <c r="H33" s="6">
        <v>50000</v>
      </c>
      <c r="I33" s="6">
        <f t="shared" si="0"/>
        <v>150000</v>
      </c>
      <c r="J33" s="2">
        <v>0</v>
      </c>
      <c r="K33" s="3" t="str">
        <f>Data!$A33&amp;Data!$B33&amp;Data!$C33</f>
        <v>NEDCODown Payment AssistanceLane</v>
      </c>
    </row>
    <row r="34" spans="1:11" ht="15" customHeight="1">
      <c r="A34" s="5" t="s">
        <v>123</v>
      </c>
      <c r="B34" s="5" t="s">
        <v>134</v>
      </c>
      <c r="C34" s="5" t="s">
        <v>3</v>
      </c>
      <c r="D34" s="7">
        <v>12500</v>
      </c>
      <c r="E34" s="6">
        <v>37500</v>
      </c>
      <c r="F34" s="6">
        <v>0</v>
      </c>
      <c r="G34" s="6">
        <v>50000</v>
      </c>
      <c r="H34" s="6">
        <v>50000</v>
      </c>
      <c r="I34" s="6">
        <f t="shared" si="0"/>
        <v>150000</v>
      </c>
      <c r="J34" s="6">
        <v>0</v>
      </c>
      <c r="K34" s="5" t="str">
        <f>Data!$A34&amp;Data!$B34&amp;Data!$C34</f>
        <v>NEDCODown Payment AssistanceMarion</v>
      </c>
    </row>
    <row r="35" spans="1:11" ht="15" customHeight="1">
      <c r="A35" s="5" t="s">
        <v>115</v>
      </c>
      <c r="B35" s="5" t="s">
        <v>134</v>
      </c>
      <c r="C35" s="5" t="s">
        <v>61</v>
      </c>
      <c r="D35" s="6">
        <v>0</v>
      </c>
      <c r="E35" s="7">
        <v>0</v>
      </c>
      <c r="F35" s="6">
        <v>0</v>
      </c>
      <c r="G35" s="6">
        <v>33333.333333333336</v>
      </c>
      <c r="H35" s="6">
        <v>0</v>
      </c>
      <c r="I35" s="6">
        <f t="shared" si="0"/>
        <v>33333.333333333336</v>
      </c>
      <c r="J35" s="6">
        <v>0</v>
      </c>
      <c r="K35" s="5" t="str">
        <f>Data!$A35&amp;Data!$B35&amp;Data!$C35</f>
        <v>NeighborImpactDown Payment AssistanceCrook</v>
      </c>
    </row>
    <row r="36" spans="1:11" ht="15" customHeight="1">
      <c r="A36" s="5" t="s">
        <v>115</v>
      </c>
      <c r="B36" s="5" t="s">
        <v>134</v>
      </c>
      <c r="C36" s="5" t="s">
        <v>5</v>
      </c>
      <c r="D36" s="6">
        <v>0</v>
      </c>
      <c r="E36" s="7">
        <v>0</v>
      </c>
      <c r="F36" s="6">
        <v>0</v>
      </c>
      <c r="G36" s="6">
        <v>33333.333333333336</v>
      </c>
      <c r="H36" s="6">
        <v>0</v>
      </c>
      <c r="I36" s="6">
        <f t="shared" si="0"/>
        <v>33333.333333333336</v>
      </c>
      <c r="J36" s="6">
        <v>0</v>
      </c>
      <c r="K36" s="5" t="str">
        <f>Data!$A36&amp;Data!$B36&amp;Data!$C36</f>
        <v>NeighborImpactDown Payment AssistanceDeschutes</v>
      </c>
    </row>
    <row r="37" spans="1:11" ht="15" customHeight="1">
      <c r="A37" s="5" t="s">
        <v>115</v>
      </c>
      <c r="B37" s="5" t="s">
        <v>134</v>
      </c>
      <c r="C37" s="5" t="s">
        <v>6</v>
      </c>
      <c r="D37" s="6">
        <v>0</v>
      </c>
      <c r="E37" s="7">
        <v>0</v>
      </c>
      <c r="F37" s="6">
        <v>0</v>
      </c>
      <c r="G37" s="6">
        <v>33333.333333333336</v>
      </c>
      <c r="H37" s="6">
        <v>0</v>
      </c>
      <c r="I37" s="6">
        <f t="shared" si="0"/>
        <v>33333.333333333336</v>
      </c>
      <c r="J37" s="6">
        <v>0</v>
      </c>
      <c r="K37" s="5" t="str">
        <f>Data!$A37&amp;Data!$B37&amp;Data!$C37</f>
        <v>NeighborImpactDown Payment AssistanceJefferson</v>
      </c>
    </row>
    <row r="38" spans="1:11" ht="15" customHeight="1">
      <c r="A38" s="5" t="s">
        <v>191</v>
      </c>
      <c r="B38" s="5" t="s">
        <v>134</v>
      </c>
      <c r="C38" s="5" t="s">
        <v>63</v>
      </c>
      <c r="D38" s="7">
        <v>0</v>
      </c>
      <c r="E38" s="6">
        <v>0</v>
      </c>
      <c r="F38" s="6">
        <v>16666.666666666668</v>
      </c>
      <c r="G38" s="6">
        <v>-3333.3333333333335</v>
      </c>
      <c r="H38" s="6">
        <v>9000</v>
      </c>
      <c r="I38" s="6">
        <f t="shared" si="0"/>
        <v>22333.333333333336</v>
      </c>
      <c r="J38" s="6">
        <v>24333.33</v>
      </c>
      <c r="K38" s="5" t="str">
        <f>Data!$A38&amp;Data!$B38&amp;Data!$C38</f>
        <v>Neighborworks Umpqua RegionalDown Payment AssistanceCoos</v>
      </c>
    </row>
    <row r="39" spans="1:11" ht="15" customHeight="1">
      <c r="A39" s="5" t="s">
        <v>191</v>
      </c>
      <c r="B39" s="5" t="s">
        <v>134</v>
      </c>
      <c r="C39" s="5" t="s">
        <v>59</v>
      </c>
      <c r="D39" s="7">
        <v>0</v>
      </c>
      <c r="E39" s="6">
        <v>0</v>
      </c>
      <c r="F39" s="6">
        <v>16666.666666666668</v>
      </c>
      <c r="G39" s="6">
        <v>-3333.3333333333335</v>
      </c>
      <c r="H39" s="6">
        <v>9000</v>
      </c>
      <c r="I39" s="6">
        <f t="shared" si="0"/>
        <v>22333.333333333336</v>
      </c>
      <c r="J39" s="6">
        <v>24333.33</v>
      </c>
      <c r="K39" s="5" t="str">
        <f>Data!$A39&amp;Data!$B39&amp;Data!$C39</f>
        <v>Neighborworks Umpqua RegionalDown Payment AssistanceCurry</v>
      </c>
    </row>
    <row r="40" spans="1:11" ht="15" customHeight="1">
      <c r="A40" s="3" t="s">
        <v>191</v>
      </c>
      <c r="B40" s="5" t="s">
        <v>134</v>
      </c>
      <c r="C40" s="5" t="s">
        <v>1</v>
      </c>
      <c r="D40" s="7">
        <v>25000</v>
      </c>
      <c r="E40" s="6">
        <v>0</v>
      </c>
      <c r="F40" s="6">
        <v>16666.666666666668</v>
      </c>
      <c r="G40" s="6">
        <v>-3333.3333333333335</v>
      </c>
      <c r="H40" s="6">
        <v>9000</v>
      </c>
      <c r="I40" s="6">
        <f t="shared" si="0"/>
        <v>47333.333333333336</v>
      </c>
      <c r="J40" s="6">
        <v>24333.33</v>
      </c>
      <c r="K40" s="5" t="str">
        <f>Data!$A40&amp;Data!$B40&amp;Data!$C40</f>
        <v>Neighborworks Umpqua RegionalDown Payment AssistanceDouglas</v>
      </c>
    </row>
    <row r="41" spans="1:11" ht="15" customHeight="1">
      <c r="A41" s="5" t="s">
        <v>132</v>
      </c>
      <c r="B41" s="5" t="s">
        <v>134</v>
      </c>
      <c r="C41" s="5" t="s">
        <v>2</v>
      </c>
      <c r="D41" s="6">
        <v>0</v>
      </c>
      <c r="E41" s="7">
        <v>0</v>
      </c>
      <c r="F41" s="6">
        <v>0</v>
      </c>
      <c r="G41" s="6">
        <v>50000</v>
      </c>
      <c r="H41" s="6">
        <v>-16000</v>
      </c>
      <c r="I41" s="6">
        <f t="shared" si="0"/>
        <v>34000</v>
      </c>
      <c r="J41" s="6">
        <v>0</v>
      </c>
      <c r="K41" s="5" t="str">
        <f>Data!$A41&amp;Data!$B41&amp;Data!$C41</f>
        <v>Open Door Counseling CenterDown Payment AssistanceWashington</v>
      </c>
    </row>
    <row r="42" spans="1:11" ht="15" customHeight="1">
      <c r="A42" s="3" t="s">
        <v>159</v>
      </c>
      <c r="B42" s="5" t="s">
        <v>134</v>
      </c>
      <c r="C42" s="5" t="s">
        <v>137</v>
      </c>
      <c r="D42" s="7">
        <v>25000</v>
      </c>
      <c r="E42" s="6">
        <v>75000</v>
      </c>
      <c r="F42" s="6">
        <v>0</v>
      </c>
      <c r="G42" s="6">
        <v>0</v>
      </c>
      <c r="H42" s="6">
        <v>0</v>
      </c>
      <c r="I42" s="6">
        <f t="shared" si="0"/>
        <v>100000</v>
      </c>
      <c r="J42" s="6">
        <v>0</v>
      </c>
      <c r="K42" s="5" t="str">
        <f>Data!$A42&amp;Data!$B42&amp;Data!$C42</f>
        <v>Oregon Bankers AssociationDown Payment Assistance(Statewide)</v>
      </c>
    </row>
    <row r="43" spans="1:11" ht="15" customHeight="1">
      <c r="A43" s="3" t="s">
        <v>154</v>
      </c>
      <c r="B43" s="5" t="s">
        <v>134</v>
      </c>
      <c r="C43" s="5" t="s">
        <v>137</v>
      </c>
      <c r="D43" s="7">
        <v>0</v>
      </c>
      <c r="E43" s="6">
        <v>100721.25</v>
      </c>
      <c r="F43" s="6">
        <v>91620.51</v>
      </c>
      <c r="G43" s="6">
        <v>0</v>
      </c>
      <c r="H43" s="6">
        <v>0</v>
      </c>
      <c r="I43" s="6">
        <f t="shared" si="0"/>
        <v>192341.76</v>
      </c>
      <c r="J43" s="6">
        <v>107658.23999999999</v>
      </c>
      <c r="K43" s="5" t="str">
        <f>Data!$A43&amp;Data!$B43&amp;Data!$C43</f>
        <v>Oregon Bond ProgramDown Payment Assistance(Statewide)</v>
      </c>
    </row>
    <row r="44" spans="1:11" ht="15" customHeight="1">
      <c r="A44" s="5" t="s">
        <v>163</v>
      </c>
      <c r="B44" s="5" t="s">
        <v>134</v>
      </c>
      <c r="C44" s="5" t="s">
        <v>0</v>
      </c>
      <c r="D44" s="6">
        <v>0</v>
      </c>
      <c r="E44" s="7">
        <v>0</v>
      </c>
      <c r="F44" s="6">
        <v>0</v>
      </c>
      <c r="G44" s="6">
        <v>100000</v>
      </c>
      <c r="H44" s="6">
        <v>0</v>
      </c>
      <c r="I44" s="6">
        <f t="shared" si="0"/>
        <v>100000</v>
      </c>
      <c r="J44" s="6">
        <v>0</v>
      </c>
      <c r="K44" s="5" t="str">
        <f>Data!$A44&amp;Data!$B44&amp;Data!$C44</f>
        <v>Portland Community Reinvestment InitiativesDown Payment AssistanceMultnomah</v>
      </c>
    </row>
    <row r="45" spans="1:11" ht="15" customHeight="1">
      <c r="A45" s="5" t="s">
        <v>110</v>
      </c>
      <c r="B45" s="5" t="s">
        <v>134</v>
      </c>
      <c r="C45" s="5" t="s">
        <v>7</v>
      </c>
      <c r="D45" s="7">
        <v>8333.333333333334</v>
      </c>
      <c r="E45" s="6">
        <v>16346.220000000001</v>
      </c>
      <c r="F45" s="6">
        <v>33333.333333333336</v>
      </c>
      <c r="G45" s="6">
        <v>33333.33</v>
      </c>
      <c r="H45" s="6">
        <v>33333.333333333336</v>
      </c>
      <c r="I45" s="6">
        <f t="shared" si="0"/>
        <v>124679.55000000002</v>
      </c>
      <c r="J45" s="6">
        <v>0</v>
      </c>
      <c r="K45" s="5" t="str">
        <f>Data!$A45&amp;Data!$B45&amp;Data!$C45</f>
        <v>Portland Housing CenterDown Payment AssistanceClackamas</v>
      </c>
    </row>
    <row r="46" spans="1:11" ht="15" customHeight="1">
      <c r="A46" s="5" t="s">
        <v>110</v>
      </c>
      <c r="B46" s="5" t="s">
        <v>134</v>
      </c>
      <c r="C46" s="5" t="s">
        <v>0</v>
      </c>
      <c r="D46" s="7">
        <v>8333.333333333334</v>
      </c>
      <c r="E46" s="6">
        <v>16346.220000000001</v>
      </c>
      <c r="F46" s="6">
        <v>33333.333333333336</v>
      </c>
      <c r="G46" s="6">
        <v>33333.33</v>
      </c>
      <c r="H46" s="6">
        <v>33333.333333333336</v>
      </c>
      <c r="I46" s="6">
        <f t="shared" si="0"/>
        <v>124679.55000000002</v>
      </c>
      <c r="J46" s="6">
        <v>0</v>
      </c>
      <c r="K46" s="5" t="str">
        <f>Data!$A46&amp;Data!$B46&amp;Data!$C46</f>
        <v>Portland Housing CenterDown Payment AssistanceMultnomah</v>
      </c>
    </row>
    <row r="47" spans="1:11" ht="15" customHeight="1">
      <c r="A47" s="5" t="s">
        <v>110</v>
      </c>
      <c r="B47" s="5" t="s">
        <v>134</v>
      </c>
      <c r="C47" s="5" t="s">
        <v>2</v>
      </c>
      <c r="D47" s="7">
        <v>8333.333333333334</v>
      </c>
      <c r="E47" s="6">
        <v>16346.220000000001</v>
      </c>
      <c r="F47" s="6">
        <v>33333.333333333336</v>
      </c>
      <c r="G47" s="6">
        <v>33333.33</v>
      </c>
      <c r="H47" s="6">
        <v>33333.333333333336</v>
      </c>
      <c r="I47" s="6">
        <f t="shared" si="0"/>
        <v>124679.55000000002</v>
      </c>
      <c r="J47" s="6">
        <v>0</v>
      </c>
      <c r="K47" s="5" t="str">
        <f>Data!$A47&amp;Data!$B47&amp;Data!$C47</f>
        <v>Portland Housing CenterDown Payment AssistanceWashington</v>
      </c>
    </row>
    <row r="48" spans="1:11" ht="15" customHeight="1">
      <c r="A48" s="5" t="s">
        <v>124</v>
      </c>
      <c r="B48" s="5" t="s">
        <v>134</v>
      </c>
      <c r="C48" s="5" t="s">
        <v>7</v>
      </c>
      <c r="D48" s="7">
        <v>8333.333333333334</v>
      </c>
      <c r="E48" s="6">
        <v>8333.333333333334</v>
      </c>
      <c r="F48" s="6">
        <v>16666.666666666668</v>
      </c>
      <c r="G48" s="6">
        <v>0</v>
      </c>
      <c r="H48" s="6">
        <v>50000</v>
      </c>
      <c r="I48" s="6">
        <f t="shared" si="0"/>
        <v>83333.33333333334</v>
      </c>
      <c r="J48" s="6">
        <v>0</v>
      </c>
      <c r="K48" s="5" t="str">
        <f>Data!$A48&amp;Data!$B48&amp;Data!$C48</f>
        <v>Proud GroundDown Payment AssistanceClackamas</v>
      </c>
    </row>
    <row r="49" spans="1:11" ht="15" customHeight="1">
      <c r="A49" s="5" t="s">
        <v>124</v>
      </c>
      <c r="B49" s="5" t="s">
        <v>134</v>
      </c>
      <c r="C49" s="5" t="s">
        <v>0</v>
      </c>
      <c r="D49" s="7">
        <v>8333.333333333334</v>
      </c>
      <c r="E49" s="7">
        <v>8333.333333333334</v>
      </c>
      <c r="F49" s="7">
        <v>16666.666666666668</v>
      </c>
      <c r="G49" s="6">
        <v>0</v>
      </c>
      <c r="H49" s="6">
        <v>50000</v>
      </c>
      <c r="I49" s="6">
        <f t="shared" si="0"/>
        <v>83333.33333333334</v>
      </c>
      <c r="J49" s="6">
        <v>0</v>
      </c>
      <c r="K49" s="5" t="str">
        <f>Data!$A49&amp;Data!$B49&amp;Data!$C49</f>
        <v>Proud GroundDown Payment AssistanceMultnomah</v>
      </c>
    </row>
    <row r="50" spans="1:11" ht="15" customHeight="1">
      <c r="A50" s="5" t="s">
        <v>124</v>
      </c>
      <c r="B50" s="5" t="s">
        <v>134</v>
      </c>
      <c r="C50" s="5" t="s">
        <v>2</v>
      </c>
      <c r="D50" s="7">
        <v>8333.333333333334</v>
      </c>
      <c r="E50" s="6">
        <v>8333.333333333334</v>
      </c>
      <c r="F50" s="6">
        <v>16666.666666666668</v>
      </c>
      <c r="G50" s="6">
        <v>0</v>
      </c>
      <c r="H50" s="6">
        <v>0</v>
      </c>
      <c r="I50" s="6">
        <f t="shared" si="0"/>
        <v>33333.333333333336</v>
      </c>
      <c r="J50" s="6">
        <v>0</v>
      </c>
      <c r="K50" s="5" t="str">
        <f>Data!$A50&amp;Data!$B50&amp;Data!$C50</f>
        <v>Proud GroundDown Payment AssistanceWashington</v>
      </c>
    </row>
    <row r="51" spans="1:11" ht="15" customHeight="1">
      <c r="A51" s="5" t="s">
        <v>114</v>
      </c>
      <c r="B51" s="5" t="s">
        <v>134</v>
      </c>
      <c r="C51" s="5" t="s">
        <v>70</v>
      </c>
      <c r="D51" s="7">
        <v>0</v>
      </c>
      <c r="E51" s="6">
        <v>50000</v>
      </c>
      <c r="F51" s="6">
        <v>25000</v>
      </c>
      <c r="G51" s="6">
        <v>48600</v>
      </c>
      <c r="H51" s="6">
        <v>50000</v>
      </c>
      <c r="I51" s="6">
        <f t="shared" si="0"/>
        <v>173600</v>
      </c>
      <c r="J51" s="6">
        <v>0</v>
      </c>
      <c r="K51" s="5" t="str">
        <f>Data!$A51&amp;Data!$B51&amp;Data!$C51</f>
        <v>Willamette Neighborhood Housing ServicesDown Payment AssistanceBenton</v>
      </c>
    </row>
    <row r="52" spans="1:11" ht="15" customHeight="1">
      <c r="A52" s="5" t="s">
        <v>114</v>
      </c>
      <c r="B52" s="5" t="s">
        <v>134</v>
      </c>
      <c r="C52" s="5" t="s">
        <v>35</v>
      </c>
      <c r="D52" s="7">
        <v>0</v>
      </c>
      <c r="E52" s="6">
        <v>50000</v>
      </c>
      <c r="F52" s="6">
        <v>25000</v>
      </c>
      <c r="G52" s="6">
        <v>48600</v>
      </c>
      <c r="H52" s="6">
        <v>50000</v>
      </c>
      <c r="I52" s="6">
        <f t="shared" si="0"/>
        <v>173600</v>
      </c>
      <c r="J52" s="6">
        <v>0</v>
      </c>
      <c r="K52" s="5" t="str">
        <f>Data!$A52&amp;Data!$B52&amp;Data!$C52</f>
        <v>Willamette Neighborhood Housing ServicesDown Payment AssistanceLinn</v>
      </c>
    </row>
    <row r="53" spans="1:11" ht="15" customHeight="1">
      <c r="A53" s="3" t="s">
        <v>169</v>
      </c>
      <c r="B53" s="5" t="s">
        <v>131</v>
      </c>
      <c r="C53" s="5" t="s">
        <v>7</v>
      </c>
      <c r="D53" s="7">
        <v>0</v>
      </c>
      <c r="E53" s="6">
        <v>20000</v>
      </c>
      <c r="F53" s="6">
        <v>0</v>
      </c>
      <c r="G53" s="6">
        <v>0</v>
      </c>
      <c r="H53" s="6">
        <v>0</v>
      </c>
      <c r="I53" s="6">
        <f t="shared" si="0"/>
        <v>20000</v>
      </c>
      <c r="J53" s="6">
        <v>0</v>
      </c>
      <c r="K53" s="5" t="str">
        <f>Data!$A53&amp;Data!$B53&amp;Data!$C53</f>
        <v>African American Alliance for HomeownersHomeownership AssistanceClackamas</v>
      </c>
    </row>
    <row r="54" spans="1:11" ht="15" customHeight="1">
      <c r="A54" s="3" t="s">
        <v>169</v>
      </c>
      <c r="B54" s="5" t="s">
        <v>131</v>
      </c>
      <c r="C54" s="5" t="s">
        <v>0</v>
      </c>
      <c r="D54" s="7">
        <v>0</v>
      </c>
      <c r="E54" s="6">
        <v>20000</v>
      </c>
      <c r="F54" s="6">
        <v>0</v>
      </c>
      <c r="G54" s="6">
        <v>0</v>
      </c>
      <c r="H54" s="6">
        <v>0</v>
      </c>
      <c r="I54" s="6">
        <f t="shared" si="0"/>
        <v>20000</v>
      </c>
      <c r="J54" s="6">
        <v>0</v>
      </c>
      <c r="K54" s="5" t="str">
        <f>Data!$A54&amp;Data!$B54&amp;Data!$C54</f>
        <v>African American Alliance for HomeownersHomeownership AssistanceMultnomah</v>
      </c>
    </row>
    <row r="55" spans="1:11" ht="15" customHeight="1">
      <c r="A55" s="3" t="s">
        <v>169</v>
      </c>
      <c r="B55" s="5" t="s">
        <v>131</v>
      </c>
      <c r="C55" s="5" t="s">
        <v>2</v>
      </c>
      <c r="D55" s="7">
        <v>0</v>
      </c>
      <c r="E55" s="6">
        <v>20000</v>
      </c>
      <c r="F55" s="6">
        <v>0</v>
      </c>
      <c r="G55" s="6">
        <v>0</v>
      </c>
      <c r="H55" s="6">
        <v>0</v>
      </c>
      <c r="I55" s="6">
        <f t="shared" si="0"/>
        <v>20000</v>
      </c>
      <c r="J55" s="6">
        <v>0</v>
      </c>
      <c r="K55" s="5" t="str">
        <f>Data!$A55&amp;Data!$B55&amp;Data!$C55</f>
        <v>African American Alliance for HomeownersHomeownership AssistanceWashington</v>
      </c>
    </row>
    <row r="56" spans="1:11" ht="15" customHeight="1">
      <c r="A56" s="5" t="s">
        <v>121</v>
      </c>
      <c r="B56" s="5" t="s">
        <v>131</v>
      </c>
      <c r="C56" s="5" t="s">
        <v>5</v>
      </c>
      <c r="D56" s="7">
        <v>0</v>
      </c>
      <c r="E56" s="6">
        <v>100000</v>
      </c>
      <c r="F56" s="6">
        <v>0</v>
      </c>
      <c r="G56" s="6">
        <v>0</v>
      </c>
      <c r="H56" s="6">
        <v>0</v>
      </c>
      <c r="I56" s="6">
        <f t="shared" si="0"/>
        <v>100000</v>
      </c>
      <c r="J56" s="6">
        <v>0</v>
      </c>
      <c r="K56" s="5" t="str">
        <f>Data!$A56&amp;Data!$B56&amp;Data!$C56</f>
        <v>City of BendHomeownership AssistanceDeschutes</v>
      </c>
    </row>
    <row r="57" spans="1:11" ht="15" customHeight="1">
      <c r="A57" s="3" t="s">
        <v>173</v>
      </c>
      <c r="B57" s="5" t="s">
        <v>131</v>
      </c>
      <c r="C57" s="5" t="s">
        <v>0</v>
      </c>
      <c r="D57" s="7">
        <v>0</v>
      </c>
      <c r="E57" s="6">
        <v>8000</v>
      </c>
      <c r="F57" s="6">
        <v>0</v>
      </c>
      <c r="G57" s="6">
        <v>0</v>
      </c>
      <c r="H57" s="6">
        <v>0</v>
      </c>
      <c r="I57" s="6">
        <f t="shared" si="0"/>
        <v>8000</v>
      </c>
      <c r="J57" s="6">
        <v>0</v>
      </c>
      <c r="K57" s="5" t="str">
        <f>Data!$A57&amp;Data!$B57&amp;Data!$C57</f>
        <v>Community &amp; Shelter Assistance of OregonHomeownership AssistanceMultnomah</v>
      </c>
    </row>
    <row r="58" spans="1:11" ht="15" customHeight="1">
      <c r="A58" s="5" t="s">
        <v>126</v>
      </c>
      <c r="B58" s="5" t="s">
        <v>131</v>
      </c>
      <c r="C58" s="5" t="s">
        <v>7</v>
      </c>
      <c r="D58" s="7">
        <v>2500</v>
      </c>
      <c r="E58" s="6">
        <v>0</v>
      </c>
      <c r="F58" s="6">
        <v>0</v>
      </c>
      <c r="G58" s="6">
        <v>0</v>
      </c>
      <c r="H58" s="6">
        <v>0</v>
      </c>
      <c r="I58" s="6">
        <f t="shared" si="0"/>
        <v>2500</v>
      </c>
      <c r="J58" s="6">
        <v>0</v>
      </c>
      <c r="K58" s="5" t="str">
        <f>Data!$A58&amp;Data!$B58&amp;Data!$C58</f>
        <v>HaciendaHomeownership AssistanceClackamas</v>
      </c>
    </row>
    <row r="59" spans="1:11" ht="15" customHeight="1">
      <c r="A59" s="3" t="s">
        <v>126</v>
      </c>
      <c r="B59" s="5" t="s">
        <v>131</v>
      </c>
      <c r="C59" s="5" t="s">
        <v>0</v>
      </c>
      <c r="D59" s="7">
        <v>26500</v>
      </c>
      <c r="E59" s="6">
        <v>0</v>
      </c>
      <c r="F59" s="6">
        <v>0</v>
      </c>
      <c r="G59" s="6">
        <v>0</v>
      </c>
      <c r="H59" s="6">
        <v>0</v>
      </c>
      <c r="I59" s="6">
        <f t="shared" si="0"/>
        <v>26500</v>
      </c>
      <c r="J59" s="6">
        <v>0</v>
      </c>
      <c r="K59" s="5" t="str">
        <f>Data!$A59&amp;Data!$B59&amp;Data!$C59</f>
        <v>HaciendaHomeownership AssistanceMultnomah</v>
      </c>
    </row>
    <row r="60" spans="1:11" ht="15" customHeight="1">
      <c r="A60" s="5" t="s">
        <v>126</v>
      </c>
      <c r="B60" s="5" t="s">
        <v>131</v>
      </c>
      <c r="C60" s="5" t="s">
        <v>2</v>
      </c>
      <c r="D60" s="7">
        <v>2500</v>
      </c>
      <c r="E60" s="6">
        <v>0</v>
      </c>
      <c r="F60" s="6">
        <v>0</v>
      </c>
      <c r="G60" s="6">
        <v>0</v>
      </c>
      <c r="H60" s="6">
        <v>0</v>
      </c>
      <c r="I60" s="6">
        <f t="shared" si="0"/>
        <v>2500</v>
      </c>
      <c r="J60" s="6">
        <v>0</v>
      </c>
      <c r="K60" s="5" t="str">
        <f>Data!$A60&amp;Data!$B60&amp;Data!$C60</f>
        <v>HaciendaHomeownership AssistanceWashington</v>
      </c>
    </row>
    <row r="61" spans="1:11" ht="15" customHeight="1">
      <c r="A61" s="5" t="s">
        <v>122</v>
      </c>
      <c r="B61" s="5" t="s">
        <v>131</v>
      </c>
      <c r="C61" s="5" t="s">
        <v>0</v>
      </c>
      <c r="D61" s="7">
        <v>0</v>
      </c>
      <c r="E61" s="6">
        <v>0</v>
      </c>
      <c r="F61" s="6">
        <v>150</v>
      </c>
      <c r="G61" s="6">
        <v>450</v>
      </c>
      <c r="H61" s="6">
        <v>0</v>
      </c>
      <c r="I61" s="6">
        <f t="shared" si="0"/>
        <v>600</v>
      </c>
      <c r="J61" s="6">
        <v>2250</v>
      </c>
      <c r="K61" s="5" t="str">
        <f>Data!$A61&amp;Data!$B61&amp;Data!$C61</f>
        <v>Homeownership FairsHomeownership AssistanceMultnomah</v>
      </c>
    </row>
    <row r="62" spans="1:11" ht="15" customHeight="1">
      <c r="A62" s="3" t="s">
        <v>157</v>
      </c>
      <c r="B62" s="5" t="s">
        <v>131</v>
      </c>
      <c r="C62" s="5" t="s">
        <v>7</v>
      </c>
      <c r="D62" s="7">
        <v>25833.333333333332</v>
      </c>
      <c r="E62" s="6">
        <v>0</v>
      </c>
      <c r="F62" s="6">
        <v>0</v>
      </c>
      <c r="G62" s="6">
        <v>0</v>
      </c>
      <c r="H62" s="6">
        <v>0</v>
      </c>
      <c r="I62" s="6">
        <f t="shared" si="0"/>
        <v>25833.333333333332</v>
      </c>
      <c r="J62" s="6">
        <v>0</v>
      </c>
      <c r="K62" s="5" t="str">
        <f>Data!$A62&amp;Data!$B62&amp;Data!$C62</f>
        <v>Host DevelopmentHomeownership AssistanceClackamas</v>
      </c>
    </row>
    <row r="63" spans="1:11" ht="15" customHeight="1">
      <c r="A63" s="3" t="s">
        <v>157</v>
      </c>
      <c r="B63" s="5" t="s">
        <v>131</v>
      </c>
      <c r="C63" s="5" t="s">
        <v>0</v>
      </c>
      <c r="D63" s="7">
        <v>25833.333333333332</v>
      </c>
      <c r="E63" s="6">
        <v>0</v>
      </c>
      <c r="F63" s="6">
        <v>0</v>
      </c>
      <c r="G63" s="6">
        <v>0</v>
      </c>
      <c r="H63" s="6">
        <v>0</v>
      </c>
      <c r="I63" s="6">
        <f t="shared" si="0"/>
        <v>25833.333333333332</v>
      </c>
      <c r="J63" s="6">
        <v>0</v>
      </c>
      <c r="K63" s="5" t="str">
        <f>Data!$A63&amp;Data!$B63&amp;Data!$C63</f>
        <v>Host DevelopmentHomeownership AssistanceMultnomah</v>
      </c>
    </row>
    <row r="64" spans="1:11" ht="15" customHeight="1">
      <c r="A64" s="3" t="s">
        <v>157</v>
      </c>
      <c r="B64" s="5" t="s">
        <v>131</v>
      </c>
      <c r="C64" s="5" t="s">
        <v>2</v>
      </c>
      <c r="D64" s="7">
        <v>25833.333333333332</v>
      </c>
      <c r="E64" s="6">
        <v>0</v>
      </c>
      <c r="F64" s="6">
        <v>0</v>
      </c>
      <c r="G64" s="6">
        <v>0</v>
      </c>
      <c r="H64" s="6">
        <v>0</v>
      </c>
      <c r="I64" s="6">
        <f t="shared" si="0"/>
        <v>25833.333333333332</v>
      </c>
      <c r="J64" s="6">
        <v>0</v>
      </c>
      <c r="K64" s="5" t="str">
        <f>Data!$A64&amp;Data!$B64&amp;Data!$C64</f>
        <v>Host DevelopmentHomeownership AssistanceWashington</v>
      </c>
    </row>
    <row r="65" spans="1:11" ht="15" customHeight="1">
      <c r="A65" s="5" t="s">
        <v>174</v>
      </c>
      <c r="B65" s="5" t="s">
        <v>131</v>
      </c>
      <c r="C65" s="5" t="s">
        <v>4</v>
      </c>
      <c r="D65" s="7">
        <v>29231</v>
      </c>
      <c r="E65" s="6">
        <v>0</v>
      </c>
      <c r="F65" s="6">
        <v>0</v>
      </c>
      <c r="G65" s="6">
        <v>0</v>
      </c>
      <c r="H65" s="6">
        <v>0</v>
      </c>
      <c r="I65" s="6">
        <f t="shared" si="0"/>
        <v>29231</v>
      </c>
      <c r="J65" s="6">
        <v>0</v>
      </c>
      <c r="K65" s="5" t="str">
        <f>Data!$A65&amp;Data!$B65&amp;Data!$C65</f>
        <v>Klamath &amp; Lake Community Action ServicesHomeownership AssistanceKlamath</v>
      </c>
    </row>
    <row r="66" spans="1:11" ht="15">
      <c r="A66" s="5" t="s">
        <v>174</v>
      </c>
      <c r="B66" s="5" t="s">
        <v>131</v>
      </c>
      <c r="C66" s="5" t="s">
        <v>41</v>
      </c>
      <c r="D66" s="7">
        <v>29231</v>
      </c>
      <c r="E66" s="6">
        <v>0</v>
      </c>
      <c r="F66" s="6">
        <v>0</v>
      </c>
      <c r="G66" s="6">
        <v>0</v>
      </c>
      <c r="H66" s="6">
        <v>0</v>
      </c>
      <c r="I66" s="6">
        <f aca="true" t="shared" si="1" ref="I66:I129">SUM(D66:H66)</f>
        <v>29231</v>
      </c>
      <c r="J66" s="6">
        <v>0</v>
      </c>
      <c r="K66" s="5" t="str">
        <f>Data!$A66&amp;Data!$B66&amp;Data!$C66</f>
        <v>Klamath &amp; Lake Community Action ServicesHomeownership AssistanceLake</v>
      </c>
    </row>
    <row r="67" spans="1:11" ht="15">
      <c r="A67" s="42" t="s">
        <v>155</v>
      </c>
      <c r="B67" s="5" t="s">
        <v>131</v>
      </c>
      <c r="C67" s="5" t="s">
        <v>137</v>
      </c>
      <c r="D67" s="7">
        <v>0</v>
      </c>
      <c r="E67" s="6">
        <v>122597.92</v>
      </c>
      <c r="F67" s="6">
        <v>-27377.2</v>
      </c>
      <c r="G67" s="2">
        <v>16074.720000000001</v>
      </c>
      <c r="H67" s="6">
        <v>0</v>
      </c>
      <c r="I67" s="6">
        <f t="shared" si="1"/>
        <v>111295.44</v>
      </c>
      <c r="J67" s="6">
        <v>0</v>
      </c>
      <c r="K67" s="5" t="str">
        <f>Data!$A67&amp;Data!$B67&amp;Data!$C67</f>
        <v>Match to leverage Foreclosure Counseling FundsHomeownership Assistance(Statewide)</v>
      </c>
    </row>
    <row r="68" spans="1:11" ht="15">
      <c r="A68" s="45" t="s">
        <v>123</v>
      </c>
      <c r="B68" s="5" t="s">
        <v>131</v>
      </c>
      <c r="C68" s="5" t="s">
        <v>39</v>
      </c>
      <c r="D68" s="7">
        <v>13924</v>
      </c>
      <c r="E68" s="6">
        <v>34076</v>
      </c>
      <c r="F68" s="6">
        <v>0</v>
      </c>
      <c r="G68" s="6">
        <v>0</v>
      </c>
      <c r="H68" s="6">
        <v>0</v>
      </c>
      <c r="I68" s="6">
        <f t="shared" si="1"/>
        <v>48000</v>
      </c>
      <c r="J68" s="6">
        <v>0</v>
      </c>
      <c r="K68" s="5" t="str">
        <f>Data!$A68&amp;Data!$B68&amp;Data!$C68</f>
        <v>NEDCOHomeownership AssistanceLane</v>
      </c>
    </row>
    <row r="69" spans="1:11" ht="15">
      <c r="A69" s="45" t="s">
        <v>159</v>
      </c>
      <c r="B69" s="5" t="s">
        <v>131</v>
      </c>
      <c r="C69" s="5" t="s">
        <v>137</v>
      </c>
      <c r="D69" s="7">
        <v>-5044.5</v>
      </c>
      <c r="E69" s="6">
        <v>0</v>
      </c>
      <c r="F69" s="6">
        <v>0</v>
      </c>
      <c r="G69" s="6">
        <v>0</v>
      </c>
      <c r="H69" s="6">
        <v>0</v>
      </c>
      <c r="I69" s="6">
        <f t="shared" si="1"/>
        <v>-5044.5</v>
      </c>
      <c r="J69" s="6">
        <v>0</v>
      </c>
      <c r="K69" s="5" t="str">
        <f>Data!$A69&amp;Data!$B69&amp;Data!$C69</f>
        <v>Oregon Bankers AssociationHomeownership Assistance(Statewide)</v>
      </c>
    </row>
    <row r="70" spans="1:11" ht="15">
      <c r="A70" s="5" t="s">
        <v>120</v>
      </c>
      <c r="B70" s="5" t="s">
        <v>131</v>
      </c>
      <c r="C70" s="5" t="s">
        <v>39</v>
      </c>
      <c r="D70" s="7">
        <v>25774.17</v>
      </c>
      <c r="E70" s="6">
        <v>0</v>
      </c>
      <c r="F70" s="6">
        <v>0</v>
      </c>
      <c r="G70" s="6">
        <v>0</v>
      </c>
      <c r="H70" s="6">
        <v>0</v>
      </c>
      <c r="I70" s="6">
        <f t="shared" si="1"/>
        <v>25774.17</v>
      </c>
      <c r="J70" s="6">
        <v>0</v>
      </c>
      <c r="K70" s="5" t="str">
        <f>Data!$A70&amp;Data!$B70&amp;Data!$C70</f>
        <v>Oregon Homeownership AssociationHomeownership AssistanceLane</v>
      </c>
    </row>
    <row r="71" spans="1:11" ht="15">
      <c r="A71" s="45" t="s">
        <v>110</v>
      </c>
      <c r="B71" s="5" t="s">
        <v>131</v>
      </c>
      <c r="C71" s="5" t="s">
        <v>7</v>
      </c>
      <c r="D71" s="7">
        <v>3012</v>
      </c>
      <c r="E71" s="6">
        <v>0</v>
      </c>
      <c r="F71" s="6">
        <v>0</v>
      </c>
      <c r="G71" s="6">
        <v>0</v>
      </c>
      <c r="H71" s="6">
        <v>0</v>
      </c>
      <c r="I71" s="6">
        <f t="shared" si="1"/>
        <v>3012</v>
      </c>
      <c r="J71" s="6">
        <v>0</v>
      </c>
      <c r="K71" s="5" t="str">
        <f>Data!$A71&amp;Data!$B71&amp;Data!$C71</f>
        <v>Portland Housing CenterHomeownership AssistanceClackamas</v>
      </c>
    </row>
    <row r="72" spans="1:11" ht="15">
      <c r="A72" s="45" t="s">
        <v>110</v>
      </c>
      <c r="B72" s="5" t="s">
        <v>131</v>
      </c>
      <c r="C72" s="5" t="s">
        <v>0</v>
      </c>
      <c r="D72" s="7">
        <v>3012</v>
      </c>
      <c r="E72" s="6">
        <v>0</v>
      </c>
      <c r="F72" s="6">
        <v>0</v>
      </c>
      <c r="G72" s="6">
        <v>0</v>
      </c>
      <c r="H72" s="6">
        <v>0</v>
      </c>
      <c r="I72" s="6">
        <f t="shared" si="1"/>
        <v>3012</v>
      </c>
      <c r="J72" s="6">
        <v>0</v>
      </c>
      <c r="K72" s="5" t="str">
        <f>Data!$A72&amp;Data!$B72&amp;Data!$C72</f>
        <v>Portland Housing CenterHomeownership AssistanceMultnomah</v>
      </c>
    </row>
    <row r="73" spans="1:11" ht="15" customHeight="1">
      <c r="A73" s="45" t="s">
        <v>110</v>
      </c>
      <c r="B73" s="5" t="s">
        <v>131</v>
      </c>
      <c r="C73" s="5" t="s">
        <v>2</v>
      </c>
      <c r="D73" s="7">
        <v>3012</v>
      </c>
      <c r="E73" s="6">
        <v>0</v>
      </c>
      <c r="F73" s="6">
        <v>0</v>
      </c>
      <c r="G73" s="6">
        <v>0</v>
      </c>
      <c r="H73" s="6">
        <v>0</v>
      </c>
      <c r="I73" s="6">
        <f t="shared" si="1"/>
        <v>3012</v>
      </c>
      <c r="J73" s="6">
        <v>0</v>
      </c>
      <c r="K73" s="5" t="str">
        <f>Data!$A73&amp;Data!$B73&amp;Data!$C73</f>
        <v>Portland Housing CenterHomeownership AssistanceWashington</v>
      </c>
    </row>
    <row r="74" spans="1:11" ht="15" customHeight="1">
      <c r="A74" s="3" t="s">
        <v>156</v>
      </c>
      <c r="B74" s="5" t="s">
        <v>130</v>
      </c>
      <c r="C74" s="5" t="s">
        <v>47</v>
      </c>
      <c r="D74" s="7">
        <v>45844.155</v>
      </c>
      <c r="E74" s="6">
        <v>51793.45</v>
      </c>
      <c r="F74" s="6">
        <v>42700.08</v>
      </c>
      <c r="G74" s="6">
        <v>36275.15</v>
      </c>
      <c r="H74" s="6">
        <v>28261.04</v>
      </c>
      <c r="I74" s="6">
        <f t="shared" si="1"/>
        <v>204873.875</v>
      </c>
      <c r="J74" s="6">
        <v>3547.0250000000015</v>
      </c>
      <c r="K74" s="5" t="str">
        <f>Data!$A74&amp;Data!$B74&amp;Data!$C74</f>
        <v>ACCESSHomeownership CentersJackson</v>
      </c>
    </row>
    <row r="75" spans="1:11" ht="15" customHeight="1">
      <c r="A75" s="3" t="s">
        <v>156</v>
      </c>
      <c r="B75" s="5" t="s">
        <v>130</v>
      </c>
      <c r="C75" s="5" t="s">
        <v>44</v>
      </c>
      <c r="D75" s="7">
        <v>45844.155</v>
      </c>
      <c r="E75" s="7">
        <v>51793.45</v>
      </c>
      <c r="F75" s="7">
        <v>42700.08</v>
      </c>
      <c r="G75" s="7">
        <v>36275.15</v>
      </c>
      <c r="H75" s="6">
        <v>28261.04</v>
      </c>
      <c r="I75" s="6">
        <f t="shared" si="1"/>
        <v>204873.875</v>
      </c>
      <c r="J75" s="6">
        <v>3547.0250000000015</v>
      </c>
      <c r="K75" s="5" t="str">
        <f>Data!$A75&amp;Data!$B75&amp;Data!$C75</f>
        <v>ACCESSHomeownership CentersJosephine</v>
      </c>
    </row>
    <row r="76" spans="1:11" ht="15" customHeight="1">
      <c r="A76" s="3" t="s">
        <v>169</v>
      </c>
      <c r="B76" s="5" t="s">
        <v>130</v>
      </c>
      <c r="C76" s="5" t="s">
        <v>7</v>
      </c>
      <c r="D76" s="7">
        <v>0</v>
      </c>
      <c r="E76" s="6">
        <v>0</v>
      </c>
      <c r="F76" s="6">
        <v>30553</v>
      </c>
      <c r="G76" s="6">
        <v>27142.059999999998</v>
      </c>
      <c r="H76" s="6">
        <v>8932.936666666666</v>
      </c>
      <c r="I76" s="6">
        <f t="shared" si="1"/>
        <v>66627.99666666666</v>
      </c>
      <c r="J76" s="6">
        <v>8586.493333333341</v>
      </c>
      <c r="K76" s="5" t="str">
        <f>Data!$A76&amp;Data!$B76&amp;Data!$C76</f>
        <v>African American Alliance for HomeownersHomeownership CentersClackamas</v>
      </c>
    </row>
    <row r="77" spans="1:11" ht="15">
      <c r="A77" s="3" t="s">
        <v>169</v>
      </c>
      <c r="B77" s="5" t="s">
        <v>130</v>
      </c>
      <c r="C77" s="5" t="s">
        <v>0</v>
      </c>
      <c r="D77" s="7">
        <v>0</v>
      </c>
      <c r="E77" s="6">
        <v>0</v>
      </c>
      <c r="F77" s="6">
        <v>30553</v>
      </c>
      <c r="G77" s="6">
        <v>27142.059999999998</v>
      </c>
      <c r="H77" s="6">
        <v>8932.936666666666</v>
      </c>
      <c r="I77" s="6">
        <f t="shared" si="1"/>
        <v>66627.99666666666</v>
      </c>
      <c r="J77" s="6">
        <v>8586.493333333341</v>
      </c>
      <c r="K77" s="5" t="str">
        <f>Data!$A77&amp;Data!$B77&amp;Data!$C77</f>
        <v>African American Alliance for HomeownersHomeownership CentersMultnomah</v>
      </c>
    </row>
    <row r="78" spans="1:11" ht="15">
      <c r="A78" s="3" t="s">
        <v>169</v>
      </c>
      <c r="B78" s="5" t="s">
        <v>130</v>
      </c>
      <c r="C78" s="5" t="s">
        <v>2</v>
      </c>
      <c r="D78" s="7">
        <v>0</v>
      </c>
      <c r="E78" s="6">
        <v>0</v>
      </c>
      <c r="F78" s="6">
        <v>30553</v>
      </c>
      <c r="G78" s="6">
        <v>27142.059999999998</v>
      </c>
      <c r="H78" s="6">
        <v>8932.936666666666</v>
      </c>
      <c r="I78" s="6">
        <f t="shared" si="1"/>
        <v>66627.99666666666</v>
      </c>
      <c r="J78" s="6">
        <v>8586.493333333341</v>
      </c>
      <c r="K78" s="5" t="str">
        <f>Data!$A78&amp;Data!$B78&amp;Data!$C78</f>
        <v>African American Alliance for HomeownersHomeownership CentersWashington</v>
      </c>
    </row>
    <row r="79" spans="1:11" ht="15">
      <c r="A79" s="5" t="s">
        <v>118</v>
      </c>
      <c r="B79" s="5" t="s">
        <v>130</v>
      </c>
      <c r="C79" s="5" t="s">
        <v>55</v>
      </c>
      <c r="D79" s="7">
        <v>0</v>
      </c>
      <c r="E79" s="6">
        <v>10077.3425</v>
      </c>
      <c r="F79" s="6">
        <v>27377.4225</v>
      </c>
      <c r="G79" s="6">
        <v>22088.34</v>
      </c>
      <c r="H79" s="6">
        <v>4880.2075</v>
      </c>
      <c r="I79" s="6">
        <f t="shared" si="1"/>
        <v>64423.3125</v>
      </c>
      <c r="J79" s="6">
        <v>8070.570000000003</v>
      </c>
      <c r="K79" s="5" t="str">
        <f>Data!$A79&amp;Data!$B79&amp;Data!$C79</f>
        <v>Community Action Program East Central OregonHomeownership CentersGilliam</v>
      </c>
    </row>
    <row r="80" spans="1:11" ht="15">
      <c r="A80" s="5" t="s">
        <v>118</v>
      </c>
      <c r="B80" s="5" t="s">
        <v>130</v>
      </c>
      <c r="C80" s="5" t="s">
        <v>30</v>
      </c>
      <c r="D80" s="7">
        <v>0</v>
      </c>
      <c r="E80" s="6">
        <v>10077.3425</v>
      </c>
      <c r="F80" s="6">
        <v>27377.4225</v>
      </c>
      <c r="G80" s="6">
        <v>22088.34</v>
      </c>
      <c r="H80" s="6">
        <v>4880.2075</v>
      </c>
      <c r="I80" s="6">
        <f t="shared" si="1"/>
        <v>64423.3125</v>
      </c>
      <c r="J80" s="6">
        <v>8070.570000000003</v>
      </c>
      <c r="K80" s="5" t="str">
        <f>Data!$A80&amp;Data!$B80&amp;Data!$C80</f>
        <v>Community Action Program East Central OregonHomeownership CentersMorrow</v>
      </c>
    </row>
    <row r="81" spans="1:11" ht="15">
      <c r="A81" s="5" t="s">
        <v>118</v>
      </c>
      <c r="B81" s="5" t="s">
        <v>130</v>
      </c>
      <c r="C81" s="5" t="s">
        <v>21</v>
      </c>
      <c r="D81" s="7">
        <v>0</v>
      </c>
      <c r="E81" s="6">
        <v>10077.3425</v>
      </c>
      <c r="F81" s="6">
        <v>27377.4225</v>
      </c>
      <c r="G81" s="6">
        <v>22088.34</v>
      </c>
      <c r="H81" s="6">
        <v>4880.2075</v>
      </c>
      <c r="I81" s="6">
        <f t="shared" si="1"/>
        <v>64423.3125</v>
      </c>
      <c r="J81" s="6">
        <v>8070.570000000003</v>
      </c>
      <c r="K81" s="5" t="str">
        <f>Data!$A81&amp;Data!$B81&amp;Data!$C81</f>
        <v>Community Action Program East Central OregonHomeownership CentersUmatilla</v>
      </c>
    </row>
    <row r="82" spans="1:11" ht="15">
      <c r="A82" s="5" t="s">
        <v>118</v>
      </c>
      <c r="B82" s="5" t="s">
        <v>130</v>
      </c>
      <c r="C82" s="5" t="s">
        <v>12</v>
      </c>
      <c r="D82" s="7">
        <v>0</v>
      </c>
      <c r="E82" s="6">
        <v>10077.3425</v>
      </c>
      <c r="F82" s="6">
        <v>27377.4225</v>
      </c>
      <c r="G82" s="6">
        <v>22088.34</v>
      </c>
      <c r="H82" s="6">
        <v>4880.2075</v>
      </c>
      <c r="I82" s="6">
        <f t="shared" si="1"/>
        <v>64423.3125</v>
      </c>
      <c r="J82" s="6">
        <v>8070.570000000003</v>
      </c>
      <c r="K82" s="5" t="str">
        <f>Data!$A82&amp;Data!$B82&amp;Data!$C82</f>
        <v>Community Action Program East Central OregonHomeownership CentersWheeler</v>
      </c>
    </row>
    <row r="83" spans="1:11" ht="15">
      <c r="A83" s="5" t="s">
        <v>112</v>
      </c>
      <c r="B83" s="5" t="s">
        <v>130</v>
      </c>
      <c r="C83" s="5" t="s">
        <v>67</v>
      </c>
      <c r="D83" s="7">
        <v>0</v>
      </c>
      <c r="E83" s="6">
        <v>17754.63666666667</v>
      </c>
      <c r="F83" s="6">
        <v>31898.536666666667</v>
      </c>
      <c r="G83" s="6">
        <v>26393.6966666667</v>
      </c>
      <c r="H83" s="6">
        <v>14093.856666666667</v>
      </c>
      <c r="I83" s="6">
        <f t="shared" si="1"/>
        <v>90140.72666666671</v>
      </c>
      <c r="J83" s="6">
        <v>6506.476666666669</v>
      </c>
      <c r="K83" s="5" t="str">
        <f>Data!$A83&amp;Data!$B83&amp;Data!$C83</f>
        <v>Community Action TeamHomeownership CentersClatsop</v>
      </c>
    </row>
    <row r="84" spans="1:11" ht="15">
      <c r="A84" s="5" t="s">
        <v>112</v>
      </c>
      <c r="B84" s="5" t="s">
        <v>130</v>
      </c>
      <c r="C84" s="5" t="s">
        <v>65</v>
      </c>
      <c r="D84" s="7">
        <v>0</v>
      </c>
      <c r="E84" s="6">
        <v>17754.63666666667</v>
      </c>
      <c r="F84" s="6">
        <v>31898.536666666667</v>
      </c>
      <c r="G84" s="6">
        <v>26393.6966666667</v>
      </c>
      <c r="H84" s="6">
        <v>14093.856666666667</v>
      </c>
      <c r="I84" s="6">
        <f t="shared" si="1"/>
        <v>90140.72666666671</v>
      </c>
      <c r="J84" s="6">
        <v>6506.476666666669</v>
      </c>
      <c r="K84" s="5" t="str">
        <f>Data!$A84&amp;Data!$B84&amp;Data!$C84</f>
        <v>Community Action TeamHomeownership CentersColumbia</v>
      </c>
    </row>
    <row r="85" spans="1:11" ht="15">
      <c r="A85" s="5" t="s">
        <v>112</v>
      </c>
      <c r="B85" s="5" t="s">
        <v>130</v>
      </c>
      <c r="C85" s="5" t="s">
        <v>23</v>
      </c>
      <c r="D85" s="7">
        <v>0</v>
      </c>
      <c r="E85" s="6">
        <v>17754.63666666667</v>
      </c>
      <c r="F85" s="6">
        <v>31898.536666666667</v>
      </c>
      <c r="G85" s="6">
        <v>26393.6966666667</v>
      </c>
      <c r="H85" s="6">
        <v>14093.856666666667</v>
      </c>
      <c r="I85" s="6">
        <f t="shared" si="1"/>
        <v>90140.72666666671</v>
      </c>
      <c r="J85" s="6">
        <v>6506.476666666669</v>
      </c>
      <c r="K85" s="5" t="str">
        <f>Data!$A85&amp;Data!$B85&amp;Data!$C85</f>
        <v>Community Action TeamHomeownership CentersTillamook</v>
      </c>
    </row>
    <row r="86" spans="1:11" ht="15">
      <c r="A86" s="5" t="s">
        <v>117</v>
      </c>
      <c r="B86" s="5" t="s">
        <v>130</v>
      </c>
      <c r="C86" s="5" t="s">
        <v>72</v>
      </c>
      <c r="D86" s="7">
        <v>0</v>
      </c>
      <c r="E86" s="6">
        <v>9687.747500000001</v>
      </c>
      <c r="F86" s="6">
        <v>11128.89</v>
      </c>
      <c r="G86" s="6">
        <v>15622.859999999999</v>
      </c>
      <c r="H86" s="6">
        <v>8870.185</v>
      </c>
      <c r="I86" s="6">
        <f t="shared" si="1"/>
        <v>45309.682499999995</v>
      </c>
      <c r="J86" s="6">
        <v>7637.359999999997</v>
      </c>
      <c r="K86" s="5" t="str">
        <f>Data!$A86&amp;Data!$B86&amp;Data!$C86</f>
        <v>Community Connection of Northeast OregonHomeownership CentersBaker</v>
      </c>
    </row>
    <row r="87" spans="1:11" ht="15">
      <c r="A87" s="5" t="s">
        <v>117</v>
      </c>
      <c r="B87" s="5" t="s">
        <v>130</v>
      </c>
      <c r="C87" s="5" t="s">
        <v>53</v>
      </c>
      <c r="D87" s="7">
        <v>0</v>
      </c>
      <c r="E87" s="6">
        <v>9687.747500000001</v>
      </c>
      <c r="F87" s="6">
        <v>11128.89</v>
      </c>
      <c r="G87" s="6">
        <v>15622.859999999999</v>
      </c>
      <c r="H87" s="6">
        <v>8870.185</v>
      </c>
      <c r="I87" s="6">
        <f t="shared" si="1"/>
        <v>45309.682499999995</v>
      </c>
      <c r="J87" s="6">
        <v>7637.359999999997</v>
      </c>
      <c r="K87" s="5" t="str">
        <f>Data!$A87&amp;Data!$B87&amp;Data!$C87</f>
        <v>Community Connection of Northeast OregonHomeownership CentersGrant</v>
      </c>
    </row>
    <row r="88" spans="1:11" ht="15" customHeight="1">
      <c r="A88" s="5" t="s">
        <v>117</v>
      </c>
      <c r="B88" s="5" t="s">
        <v>130</v>
      </c>
      <c r="C88" s="5" t="s">
        <v>19</v>
      </c>
      <c r="D88" s="7">
        <v>0</v>
      </c>
      <c r="E88" s="6">
        <v>9687.747500000001</v>
      </c>
      <c r="F88" s="6">
        <v>11128.89</v>
      </c>
      <c r="G88" s="6">
        <v>15622.859999999999</v>
      </c>
      <c r="H88" s="6">
        <v>8870.185</v>
      </c>
      <c r="I88" s="6">
        <f t="shared" si="1"/>
        <v>45309.682499999995</v>
      </c>
      <c r="J88" s="6">
        <v>7637.359999999997</v>
      </c>
      <c r="K88" s="5" t="str">
        <f>Data!$A88&amp;Data!$B88&amp;Data!$C88</f>
        <v>Community Connection of Northeast OregonHomeownership CentersUnion</v>
      </c>
    </row>
    <row r="89" spans="1:11" ht="15" customHeight="1">
      <c r="A89" s="5" t="s">
        <v>117</v>
      </c>
      <c r="B89" s="5" t="s">
        <v>130</v>
      </c>
      <c r="C89" s="5" t="s">
        <v>17</v>
      </c>
      <c r="D89" s="7">
        <v>0</v>
      </c>
      <c r="E89" s="6">
        <v>9687.747500000001</v>
      </c>
      <c r="F89" s="6">
        <v>11128.89</v>
      </c>
      <c r="G89" s="6">
        <v>15622.859999999999</v>
      </c>
      <c r="H89" s="6">
        <v>8870.185</v>
      </c>
      <c r="I89" s="6">
        <f t="shared" si="1"/>
        <v>45309.682499999995</v>
      </c>
      <c r="J89" s="6">
        <v>7637.359999999997</v>
      </c>
      <c r="K89" s="5" t="str">
        <f>Data!$A89&amp;Data!$B89&amp;Data!$C89</f>
        <v>Community Connection of Northeast OregonHomeownership CentersWallowa</v>
      </c>
    </row>
    <row r="90" spans="1:11" ht="15" customHeight="1">
      <c r="A90" s="5" t="s">
        <v>119</v>
      </c>
      <c r="B90" s="5" t="s">
        <v>130</v>
      </c>
      <c r="C90" s="5" t="s">
        <v>37</v>
      </c>
      <c r="D90" s="7">
        <v>0</v>
      </c>
      <c r="E90" s="6">
        <v>22578.94</v>
      </c>
      <c r="F90" s="6">
        <v>8422.39</v>
      </c>
      <c r="G90" s="6">
        <v>0</v>
      </c>
      <c r="H90" s="6">
        <v>0</v>
      </c>
      <c r="I90" s="6">
        <f t="shared" si="1"/>
        <v>31001.329999999998</v>
      </c>
      <c r="J90" s="6">
        <v>0</v>
      </c>
      <c r="K90" s="5" t="str">
        <f>Data!$A90&amp;Data!$B90&amp;Data!$C90</f>
        <v>Community Housing ServicesHomeownership CentersLincoln</v>
      </c>
    </row>
    <row r="91" spans="1:11" ht="15">
      <c r="A91" s="5" t="s">
        <v>162</v>
      </c>
      <c r="B91" s="5" t="s">
        <v>130</v>
      </c>
      <c r="C91" s="5" t="s">
        <v>51</v>
      </c>
      <c r="D91" s="7">
        <v>0</v>
      </c>
      <c r="E91" s="7">
        <v>0</v>
      </c>
      <c r="F91" s="7">
        <v>0</v>
      </c>
      <c r="G91" s="7">
        <v>14507.695</v>
      </c>
      <c r="H91" s="6">
        <v>7545.04</v>
      </c>
      <c r="I91" s="6">
        <f t="shared" si="1"/>
        <v>22052.735</v>
      </c>
      <c r="J91" s="6">
        <v>7610.09</v>
      </c>
      <c r="K91" s="5" t="str">
        <f>Data!$A91&amp;Data!$B91&amp;Data!$C91</f>
        <v>Community in ActionHomeownership CentersHarney</v>
      </c>
    </row>
    <row r="92" spans="1:11" ht="15">
      <c r="A92" s="5" t="s">
        <v>162</v>
      </c>
      <c r="B92" s="5" t="s">
        <v>130</v>
      </c>
      <c r="C92" s="5" t="s">
        <v>33</v>
      </c>
      <c r="D92" s="7">
        <v>0</v>
      </c>
      <c r="E92" s="7">
        <v>0</v>
      </c>
      <c r="F92" s="7">
        <v>0</v>
      </c>
      <c r="G92" s="7">
        <v>14507.695</v>
      </c>
      <c r="H92" s="6">
        <v>7545.04</v>
      </c>
      <c r="I92" s="6">
        <f t="shared" si="1"/>
        <v>22052.735</v>
      </c>
      <c r="J92" s="6">
        <v>7610.09</v>
      </c>
      <c r="K92" s="5" t="str">
        <f>Data!$A92&amp;Data!$B92&amp;Data!$C92</f>
        <v>Community in ActionHomeownership CentersMalheur</v>
      </c>
    </row>
    <row r="93" spans="1:11" ht="15">
      <c r="A93" s="5" t="s">
        <v>126</v>
      </c>
      <c r="B93" s="5" t="s">
        <v>130</v>
      </c>
      <c r="C93" s="5" t="s">
        <v>7</v>
      </c>
      <c r="D93" s="6">
        <v>0</v>
      </c>
      <c r="E93" s="7">
        <v>0</v>
      </c>
      <c r="F93" s="6">
        <v>0</v>
      </c>
      <c r="G93" s="6">
        <v>29236.333333333332</v>
      </c>
      <c r="H93" s="6">
        <v>4213.606666666667</v>
      </c>
      <c r="I93" s="6">
        <f t="shared" si="1"/>
        <v>33449.94</v>
      </c>
      <c r="J93" s="6">
        <v>12611.446666666665</v>
      </c>
      <c r="K93" s="5" t="str">
        <f>Data!$A93&amp;Data!$B93&amp;Data!$C93</f>
        <v>HaciendaHomeownership CentersClackamas</v>
      </c>
    </row>
    <row r="94" spans="1:11" ht="15">
      <c r="A94" s="5" t="s">
        <v>126</v>
      </c>
      <c r="B94" s="5" t="s">
        <v>130</v>
      </c>
      <c r="C94" s="5" t="s">
        <v>0</v>
      </c>
      <c r="D94" s="6">
        <v>0</v>
      </c>
      <c r="E94" s="7">
        <v>0</v>
      </c>
      <c r="F94" s="6">
        <v>0</v>
      </c>
      <c r="G94" s="6">
        <v>29236.333333333332</v>
      </c>
      <c r="H94" s="6">
        <v>4213.606666666667</v>
      </c>
      <c r="I94" s="6">
        <f t="shared" si="1"/>
        <v>33449.94</v>
      </c>
      <c r="J94" s="6">
        <v>12611.446666666665</v>
      </c>
      <c r="K94" s="5" t="str">
        <f>Data!$A94&amp;Data!$B94&amp;Data!$C94</f>
        <v>HaciendaHomeownership CentersMultnomah</v>
      </c>
    </row>
    <row r="95" spans="1:11" ht="15" customHeight="1">
      <c r="A95" s="5" t="s">
        <v>126</v>
      </c>
      <c r="B95" s="5" t="s">
        <v>130</v>
      </c>
      <c r="C95" s="5" t="s">
        <v>2</v>
      </c>
      <c r="D95" s="6">
        <v>0</v>
      </c>
      <c r="E95" s="7">
        <v>0</v>
      </c>
      <c r="F95" s="6">
        <v>0</v>
      </c>
      <c r="G95" s="6">
        <v>29236.333333333332</v>
      </c>
      <c r="H95" s="6">
        <v>4213.606666666667</v>
      </c>
      <c r="I95" s="6">
        <f t="shared" si="1"/>
        <v>33449.94</v>
      </c>
      <c r="J95" s="6">
        <v>12611.446666666665</v>
      </c>
      <c r="K95" s="5" t="str">
        <f>Data!$A95&amp;Data!$B95&amp;Data!$C95</f>
        <v>HaciendaHomeownership CentersWashington</v>
      </c>
    </row>
    <row r="96" spans="1:11" ht="15" customHeight="1">
      <c r="A96" s="3" t="s">
        <v>182</v>
      </c>
      <c r="B96" s="5" t="s">
        <v>130</v>
      </c>
      <c r="C96" s="5" t="s">
        <v>39</v>
      </c>
      <c r="D96" s="7">
        <v>54856</v>
      </c>
      <c r="E96" s="6">
        <v>0</v>
      </c>
      <c r="F96" s="6">
        <v>0</v>
      </c>
      <c r="G96" s="6">
        <v>0</v>
      </c>
      <c r="H96" s="6">
        <v>0</v>
      </c>
      <c r="I96" s="6">
        <f t="shared" si="1"/>
        <v>54856</v>
      </c>
      <c r="J96" s="6">
        <v>0</v>
      </c>
      <c r="K96" s="5" t="str">
        <f>Data!$A96&amp;Data!$B96&amp;Data!$C96</f>
        <v>Homeownership Center of Lane CountyHomeownership CentersLane</v>
      </c>
    </row>
    <row r="97" spans="1:11" ht="15">
      <c r="A97" s="3" t="s">
        <v>183</v>
      </c>
      <c r="B97" s="5" t="s">
        <v>130</v>
      </c>
      <c r="C97" s="5" t="s">
        <v>3</v>
      </c>
      <c r="D97" s="7">
        <v>108000</v>
      </c>
      <c r="E97" s="6">
        <v>0</v>
      </c>
      <c r="F97" s="6">
        <v>0</v>
      </c>
      <c r="G97" s="6">
        <v>0</v>
      </c>
      <c r="H97" s="6">
        <v>0</v>
      </c>
      <c r="I97" s="6">
        <f t="shared" si="1"/>
        <v>108000</v>
      </c>
      <c r="J97" s="6">
        <v>0</v>
      </c>
      <c r="K97" s="5" t="str">
        <f>Data!$A97&amp;Data!$B97&amp;Data!$C97</f>
        <v>Homeownership Center of Marion CountyHomeownership CentersMarion</v>
      </c>
    </row>
    <row r="98" spans="1:11" ht="15">
      <c r="A98" s="10" t="s">
        <v>174</v>
      </c>
      <c r="B98" s="5" t="s">
        <v>130</v>
      </c>
      <c r="C98" s="5" t="s">
        <v>4</v>
      </c>
      <c r="D98" s="7">
        <v>7263</v>
      </c>
      <c r="E98" s="6">
        <v>45856</v>
      </c>
      <c r="F98" s="6">
        <v>44991</v>
      </c>
      <c r="G98" s="9">
        <v>41133.275</v>
      </c>
      <c r="H98" s="6">
        <v>15905.24</v>
      </c>
      <c r="I98" s="6">
        <f t="shared" si="1"/>
        <v>155148.51499999998</v>
      </c>
      <c r="J98" s="6">
        <v>9852.255000000005</v>
      </c>
      <c r="K98" s="5" t="str">
        <f>Data!$A98&amp;Data!$B98&amp;Data!$C98</f>
        <v>Klamath &amp; Lake Community Action ServicesHomeownership CentersKlamath</v>
      </c>
    </row>
    <row r="99" spans="1:11" ht="15" customHeight="1">
      <c r="A99" s="10" t="s">
        <v>174</v>
      </c>
      <c r="B99" s="5" t="s">
        <v>130</v>
      </c>
      <c r="C99" s="5" t="s">
        <v>41</v>
      </c>
      <c r="D99" s="7">
        <v>7263</v>
      </c>
      <c r="E99" s="7">
        <v>45856</v>
      </c>
      <c r="F99" s="7">
        <v>44991</v>
      </c>
      <c r="G99" s="7">
        <v>41133.275</v>
      </c>
      <c r="H99" s="6">
        <v>15905.24</v>
      </c>
      <c r="I99" s="6">
        <f t="shared" si="1"/>
        <v>155148.51499999998</v>
      </c>
      <c r="J99" s="6">
        <v>9852.255000000005</v>
      </c>
      <c r="K99" s="5" t="str">
        <f>Data!$A99&amp;Data!$B99&amp;Data!$C99</f>
        <v>Klamath &amp; Lake Community Action ServicesHomeownership CentersLake</v>
      </c>
    </row>
    <row r="100" spans="1:11" ht="15" customHeight="1">
      <c r="A100" s="5" t="s">
        <v>111</v>
      </c>
      <c r="B100" s="5" t="s">
        <v>130</v>
      </c>
      <c r="C100" s="5" t="s">
        <v>70</v>
      </c>
      <c r="D100" s="7">
        <v>10682.333333333334</v>
      </c>
      <c r="E100" s="6">
        <v>0</v>
      </c>
      <c r="F100" s="6">
        <v>0</v>
      </c>
      <c r="G100" s="6">
        <v>0</v>
      </c>
      <c r="H100" s="6">
        <v>0</v>
      </c>
      <c r="I100" s="6">
        <f t="shared" si="1"/>
        <v>10682.333333333334</v>
      </c>
      <c r="J100" s="6">
        <v>0</v>
      </c>
      <c r="K100" s="5" t="str">
        <f>Data!$A100&amp;Data!$B100&amp;Data!$C100</f>
        <v>Linn, Benton, Lincoln Regional Housing CenterHomeownership CentersBenton</v>
      </c>
    </row>
    <row r="101" spans="1:11" ht="15" customHeight="1">
      <c r="A101" s="5" t="s">
        <v>111</v>
      </c>
      <c r="B101" s="5" t="s">
        <v>130</v>
      </c>
      <c r="C101" s="5" t="s">
        <v>37</v>
      </c>
      <c r="D101" s="7">
        <v>10682.333333333334</v>
      </c>
      <c r="E101" s="6">
        <v>0</v>
      </c>
      <c r="F101" s="6">
        <v>0</v>
      </c>
      <c r="G101" s="6">
        <v>0</v>
      </c>
      <c r="H101" s="6">
        <v>0</v>
      </c>
      <c r="I101" s="6">
        <f t="shared" si="1"/>
        <v>10682.333333333334</v>
      </c>
      <c r="J101" s="6">
        <v>0</v>
      </c>
      <c r="K101" s="5" t="str">
        <f>Data!$A101&amp;Data!$B101&amp;Data!$C101</f>
        <v>Linn, Benton, Lincoln Regional Housing CenterHomeownership CentersLincoln</v>
      </c>
    </row>
    <row r="102" spans="1:11" ht="15">
      <c r="A102" s="5" t="s">
        <v>111</v>
      </c>
      <c r="B102" s="5" t="s">
        <v>130</v>
      </c>
      <c r="C102" s="5" t="s">
        <v>35</v>
      </c>
      <c r="D102" s="7">
        <v>10682.333333333334</v>
      </c>
      <c r="E102" s="6">
        <v>0</v>
      </c>
      <c r="F102" s="6">
        <v>0</v>
      </c>
      <c r="G102" s="6">
        <v>0</v>
      </c>
      <c r="H102" s="6">
        <v>0</v>
      </c>
      <c r="I102" s="6">
        <f t="shared" si="1"/>
        <v>10682.333333333334</v>
      </c>
      <c r="J102" s="6">
        <v>0</v>
      </c>
      <c r="K102" s="5" t="str">
        <f>Data!$A102&amp;Data!$B102&amp;Data!$C102</f>
        <v>Linn, Benton, Lincoln Regional Housing CenterHomeownership CentersLinn</v>
      </c>
    </row>
    <row r="103" spans="1:11" ht="15">
      <c r="A103" s="5" t="s">
        <v>116</v>
      </c>
      <c r="B103" s="5" t="s">
        <v>130</v>
      </c>
      <c r="C103" s="5" t="s">
        <v>49</v>
      </c>
      <c r="D103" s="7">
        <v>0</v>
      </c>
      <c r="E103" s="6">
        <v>12542.123333333335</v>
      </c>
      <c r="F103" s="6">
        <v>24154.423333333336</v>
      </c>
      <c r="G103" s="6">
        <v>21160.2633333333</v>
      </c>
      <c r="H103" s="6">
        <v>9943.733333333334</v>
      </c>
      <c r="I103" s="6">
        <f t="shared" si="1"/>
        <v>67800.5433333333</v>
      </c>
      <c r="J103" s="6">
        <v>7608.83666666667</v>
      </c>
      <c r="K103" s="5" t="str">
        <f>Data!$A103&amp;Data!$B103&amp;Data!$C103</f>
        <v>Mid Columbia Housing AuthorityHomeownership CentersHood River</v>
      </c>
    </row>
    <row r="104" spans="1:11" ht="15">
      <c r="A104" s="5" t="s">
        <v>116</v>
      </c>
      <c r="B104" s="5" t="s">
        <v>130</v>
      </c>
      <c r="C104" s="5" t="s">
        <v>25</v>
      </c>
      <c r="D104" s="7">
        <v>0</v>
      </c>
      <c r="E104" s="6">
        <v>12542.123333333335</v>
      </c>
      <c r="F104" s="6">
        <v>24154.423333333336</v>
      </c>
      <c r="G104" s="6">
        <v>21160.2633333333</v>
      </c>
      <c r="H104" s="6">
        <v>9943.733333333334</v>
      </c>
      <c r="I104" s="6">
        <f t="shared" si="1"/>
        <v>67800.5433333333</v>
      </c>
      <c r="J104" s="6">
        <v>7608.83666666667</v>
      </c>
      <c r="K104" s="5" t="str">
        <f>Data!$A104&amp;Data!$B104&amp;Data!$C104</f>
        <v>Mid Columbia Housing AuthorityHomeownership CentersSherman</v>
      </c>
    </row>
    <row r="105" spans="1:11" ht="15">
      <c r="A105" s="5" t="s">
        <v>116</v>
      </c>
      <c r="B105" s="5" t="s">
        <v>130</v>
      </c>
      <c r="C105" s="5" t="s">
        <v>15</v>
      </c>
      <c r="D105" s="7">
        <v>0</v>
      </c>
      <c r="E105" s="6">
        <v>12542.123333333335</v>
      </c>
      <c r="F105" s="6">
        <v>24154.423333333336</v>
      </c>
      <c r="G105" s="6">
        <v>21160.2633333333</v>
      </c>
      <c r="H105" s="6">
        <v>9943.733333333334</v>
      </c>
      <c r="I105" s="6">
        <f t="shared" si="1"/>
        <v>67800.5433333333</v>
      </c>
      <c r="J105" s="6">
        <v>7608.83666666667</v>
      </c>
      <c r="K105" s="5" t="str">
        <f>Data!$A105&amp;Data!$B105&amp;Data!$C105</f>
        <v>Mid Columbia Housing AuthorityHomeownership CentersWasco</v>
      </c>
    </row>
    <row r="106" spans="1:11" ht="15">
      <c r="A106" s="3" t="s">
        <v>172</v>
      </c>
      <c r="B106" s="5" t="s">
        <v>130</v>
      </c>
      <c r="C106" s="5" t="s">
        <v>7</v>
      </c>
      <c r="D106" s="7">
        <v>1328.64</v>
      </c>
      <c r="E106" s="6">
        <v>18671.36</v>
      </c>
      <c r="F106" s="6">
        <v>25688.2</v>
      </c>
      <c r="G106" s="6">
        <v>31529.063333333303</v>
      </c>
      <c r="H106" s="6">
        <v>13072.049999999997</v>
      </c>
      <c r="I106" s="6">
        <f t="shared" si="1"/>
        <v>90289.31333333331</v>
      </c>
      <c r="J106" s="6">
        <v>16307.13333333334</v>
      </c>
      <c r="K106" s="5" t="str">
        <f>Data!$A106&amp;Data!$B106&amp;Data!$C106</f>
        <v>Native American Youth &amp; Family CenterHomeownership CentersClackamas</v>
      </c>
    </row>
    <row r="107" spans="1:11" ht="15">
      <c r="A107" s="3" t="s">
        <v>172</v>
      </c>
      <c r="B107" s="5" t="s">
        <v>130</v>
      </c>
      <c r="C107" s="5" t="s">
        <v>0</v>
      </c>
      <c r="D107" s="7">
        <v>1328.64</v>
      </c>
      <c r="E107" s="6">
        <v>18671.36</v>
      </c>
      <c r="F107" s="6">
        <v>25688.2</v>
      </c>
      <c r="G107" s="6">
        <v>31529.063333333303</v>
      </c>
      <c r="H107" s="6">
        <v>13072.049999999997</v>
      </c>
      <c r="I107" s="6">
        <f t="shared" si="1"/>
        <v>90289.31333333331</v>
      </c>
      <c r="J107" s="6">
        <v>16307.13333333334</v>
      </c>
      <c r="K107" s="5" t="str">
        <f>Data!$A107&amp;Data!$B107&amp;Data!$C107</f>
        <v>Native American Youth &amp; Family CenterHomeownership CentersMultnomah</v>
      </c>
    </row>
    <row r="108" spans="1:11" ht="15">
      <c r="A108" s="3" t="s">
        <v>172</v>
      </c>
      <c r="B108" s="5" t="s">
        <v>130</v>
      </c>
      <c r="C108" s="5" t="s">
        <v>2</v>
      </c>
      <c r="D108" s="7">
        <v>1328.64</v>
      </c>
      <c r="E108" s="6">
        <v>18671.36</v>
      </c>
      <c r="F108" s="6">
        <v>25688.2</v>
      </c>
      <c r="G108" s="6">
        <v>31529.063333333303</v>
      </c>
      <c r="H108" s="6">
        <v>13072.049999999997</v>
      </c>
      <c r="I108" s="6">
        <f t="shared" si="1"/>
        <v>90289.31333333331</v>
      </c>
      <c r="J108" s="6">
        <v>16307.13333333334</v>
      </c>
      <c r="K108" s="5" t="str">
        <f>Data!$A108&amp;Data!$B108&amp;Data!$C108</f>
        <v>Native American Youth &amp; Family CenterHomeownership CentersWashington</v>
      </c>
    </row>
    <row r="109" spans="1:11" ht="15">
      <c r="A109" s="5" t="s">
        <v>123</v>
      </c>
      <c r="B109" s="5" t="s">
        <v>130</v>
      </c>
      <c r="C109" s="5" t="s">
        <v>39</v>
      </c>
      <c r="D109" s="7">
        <v>29522</v>
      </c>
      <c r="E109" s="6">
        <v>58814.24</v>
      </c>
      <c r="F109" s="6">
        <v>91464.98000000001</v>
      </c>
      <c r="G109" s="6">
        <v>85873.26000000001</v>
      </c>
      <c r="H109" s="6">
        <v>35037.095</v>
      </c>
      <c r="I109" s="6">
        <f t="shared" si="1"/>
        <v>300711.57499999995</v>
      </c>
      <c r="J109" s="6">
        <v>24708.185</v>
      </c>
      <c r="K109" s="5" t="str">
        <f>Data!$A109&amp;Data!$B109&amp;Data!$C109</f>
        <v>NEDCOHomeownership CentersLane</v>
      </c>
    </row>
    <row r="110" spans="1:11" ht="15">
      <c r="A110" s="5" t="s">
        <v>123</v>
      </c>
      <c r="B110" s="5" t="s">
        <v>130</v>
      </c>
      <c r="C110" s="5" t="s">
        <v>3</v>
      </c>
      <c r="D110" s="7">
        <v>12871</v>
      </c>
      <c r="E110" s="6">
        <v>90482.36</v>
      </c>
      <c r="F110" s="6">
        <v>92426.38</v>
      </c>
      <c r="G110" s="6">
        <v>88372.74</v>
      </c>
      <c r="H110" s="6">
        <v>35037.095</v>
      </c>
      <c r="I110" s="6">
        <f t="shared" si="1"/>
        <v>319189.57499999995</v>
      </c>
      <c r="J110" s="6">
        <v>24708.185</v>
      </c>
      <c r="K110" s="5" t="str">
        <f>Data!$A110&amp;Data!$B110&amp;Data!$C110</f>
        <v>NEDCOHomeownership CentersMarion</v>
      </c>
    </row>
    <row r="111" spans="1:11" ht="15">
      <c r="A111" s="5" t="s">
        <v>115</v>
      </c>
      <c r="B111" s="5" t="s">
        <v>130</v>
      </c>
      <c r="C111" s="5" t="s">
        <v>61</v>
      </c>
      <c r="D111" s="7">
        <v>0</v>
      </c>
      <c r="E111" s="6">
        <v>19643.156666666666</v>
      </c>
      <c r="F111" s="6">
        <v>34797.51</v>
      </c>
      <c r="G111" s="6">
        <v>25410.5866666666</v>
      </c>
      <c r="H111" s="6">
        <v>8158.706666666666</v>
      </c>
      <c r="I111" s="6">
        <f t="shared" si="1"/>
        <v>88009.95999999993</v>
      </c>
      <c r="J111" s="6">
        <v>9049.843333333332</v>
      </c>
      <c r="K111" s="5" t="str">
        <f>Data!$A111&amp;Data!$B111&amp;Data!$C111</f>
        <v>NeighborImpactHomeownership CentersCrook</v>
      </c>
    </row>
    <row r="112" spans="1:11" ht="15" customHeight="1">
      <c r="A112" s="5" t="s">
        <v>115</v>
      </c>
      <c r="B112" s="5" t="s">
        <v>130</v>
      </c>
      <c r="C112" s="5" t="s">
        <v>5</v>
      </c>
      <c r="D112" s="7">
        <v>0</v>
      </c>
      <c r="E112" s="6">
        <v>19643.156666666666</v>
      </c>
      <c r="F112" s="6">
        <v>34797.51</v>
      </c>
      <c r="G112" s="6">
        <v>25410.5866666666</v>
      </c>
      <c r="H112" s="6">
        <v>8158.706666666666</v>
      </c>
      <c r="I112" s="6">
        <f t="shared" si="1"/>
        <v>88009.95999999993</v>
      </c>
      <c r="J112" s="6">
        <v>9049.843333333332</v>
      </c>
      <c r="K112" s="5" t="str">
        <f>Data!$A112&amp;Data!$B112&amp;Data!$C112</f>
        <v>NeighborImpactHomeownership CentersDeschutes</v>
      </c>
    </row>
    <row r="113" spans="1:11" ht="15" customHeight="1">
      <c r="A113" s="5" t="s">
        <v>115</v>
      </c>
      <c r="B113" s="5" t="s">
        <v>130</v>
      </c>
      <c r="C113" s="5" t="s">
        <v>6</v>
      </c>
      <c r="D113" s="7">
        <v>0</v>
      </c>
      <c r="E113" s="6">
        <v>19643.156666666666</v>
      </c>
      <c r="F113" s="6">
        <v>34797.51</v>
      </c>
      <c r="G113" s="6">
        <v>25410.5866666666</v>
      </c>
      <c r="H113" s="6">
        <v>8158.706666666666</v>
      </c>
      <c r="I113" s="6">
        <f t="shared" si="1"/>
        <v>88009.95999999993</v>
      </c>
      <c r="J113" s="6">
        <v>9049.843333333332</v>
      </c>
      <c r="K113" s="5" t="str">
        <f>Data!$A113&amp;Data!$B113&amp;Data!$C113</f>
        <v>NeighborImpactHomeownership CentersJefferson</v>
      </c>
    </row>
    <row r="114" spans="1:11" ht="15" customHeight="1">
      <c r="A114" s="3" t="s">
        <v>191</v>
      </c>
      <c r="B114" s="5" t="s">
        <v>130</v>
      </c>
      <c r="C114" s="5" t="s">
        <v>63</v>
      </c>
      <c r="D114" s="7">
        <v>0</v>
      </c>
      <c r="E114" s="6">
        <v>43333.333333333336</v>
      </c>
      <c r="F114" s="6">
        <v>46280.145000000004</v>
      </c>
      <c r="G114" s="6">
        <v>41796.855</v>
      </c>
      <c r="H114" s="6">
        <v>6225.405</v>
      </c>
      <c r="I114" s="6">
        <f t="shared" si="1"/>
        <v>137635.73833333334</v>
      </c>
      <c r="J114" s="6">
        <v>6591.654999999999</v>
      </c>
      <c r="K114" s="5" t="str">
        <f>Data!$A114&amp;Data!$B114&amp;Data!$C114</f>
        <v>Neighborworks Umpqua RegionalHomeownership CentersCoos</v>
      </c>
    </row>
    <row r="115" spans="1:11" ht="15" customHeight="1">
      <c r="A115" s="3" t="s">
        <v>191</v>
      </c>
      <c r="B115" s="5" t="s">
        <v>130</v>
      </c>
      <c r="C115" s="5" t="s">
        <v>59</v>
      </c>
      <c r="D115" s="7">
        <v>0</v>
      </c>
      <c r="E115" s="6">
        <v>43333.333333333336</v>
      </c>
      <c r="F115" s="6">
        <v>46280.145000000004</v>
      </c>
      <c r="G115" s="6">
        <v>41796.855</v>
      </c>
      <c r="H115" s="6">
        <v>6225.405</v>
      </c>
      <c r="I115" s="6">
        <f t="shared" si="1"/>
        <v>137635.73833333334</v>
      </c>
      <c r="J115" s="6">
        <v>6591.654999999999</v>
      </c>
      <c r="K115" s="5" t="str">
        <f>Data!$A115&amp;Data!$B115&amp;Data!$C115</f>
        <v>Neighborworks Umpqua RegionalHomeownership CentersCurry</v>
      </c>
    </row>
    <row r="116" spans="1:11" ht="15" customHeight="1">
      <c r="A116" s="3" t="s">
        <v>191</v>
      </c>
      <c r="B116" s="5" t="s">
        <v>130</v>
      </c>
      <c r="C116" s="5" t="s">
        <v>1</v>
      </c>
      <c r="D116" s="7">
        <v>0</v>
      </c>
      <c r="E116" s="6">
        <v>71311.15333333334</v>
      </c>
      <c r="F116" s="6">
        <v>90037.73000000001</v>
      </c>
      <c r="G116" s="6">
        <v>93138.45</v>
      </c>
      <c r="H116" s="6">
        <v>13080.279999999999</v>
      </c>
      <c r="I116" s="6">
        <f t="shared" si="1"/>
        <v>267567.6133333334</v>
      </c>
      <c r="J116" s="6">
        <v>3423.350000000006</v>
      </c>
      <c r="K116" s="5" t="str">
        <f>Data!$A116&amp;Data!$B116&amp;Data!$C116</f>
        <v>Neighborworks Umpqua RegionalHomeownership CentersDouglas</v>
      </c>
    </row>
    <row r="117" spans="1:11" ht="15" customHeight="1">
      <c r="A117" s="5" t="s">
        <v>132</v>
      </c>
      <c r="B117" s="5" t="s">
        <v>130</v>
      </c>
      <c r="C117" s="5" t="s">
        <v>2</v>
      </c>
      <c r="D117" s="7">
        <v>0</v>
      </c>
      <c r="E117" s="6">
        <v>0</v>
      </c>
      <c r="F117" s="6">
        <v>53638.96</v>
      </c>
      <c r="G117" s="6">
        <v>78414.8</v>
      </c>
      <c r="H117" s="6">
        <v>16874.72</v>
      </c>
      <c r="I117" s="6">
        <f t="shared" si="1"/>
        <v>148928.48</v>
      </c>
      <c r="J117" s="6">
        <v>6965.52</v>
      </c>
      <c r="K117" s="5" t="str">
        <f>Data!$A117&amp;Data!$B117&amp;Data!$C117</f>
        <v>Open Door Counseling CenterHomeownership CentersWashington</v>
      </c>
    </row>
    <row r="118" spans="1:11" ht="15" customHeight="1">
      <c r="A118" s="5" t="s">
        <v>110</v>
      </c>
      <c r="B118" s="5" t="s">
        <v>130</v>
      </c>
      <c r="C118" s="5" t="s">
        <v>7</v>
      </c>
      <c r="D118" s="7">
        <v>5233.333333333333</v>
      </c>
      <c r="E118" s="6">
        <v>22244.786666666667</v>
      </c>
      <c r="F118" s="6">
        <v>64779.59000000001</v>
      </c>
      <c r="G118" s="6">
        <v>71528.8766666667</v>
      </c>
      <c r="H118" s="6">
        <v>18805.076666666664</v>
      </c>
      <c r="I118" s="6">
        <f t="shared" si="1"/>
        <v>182591.6633333334</v>
      </c>
      <c r="J118" s="6">
        <v>9187.039999999999</v>
      </c>
      <c r="K118" s="5" t="str">
        <f>Data!$A118&amp;Data!$B118&amp;Data!$C118</f>
        <v>Portland Housing CenterHomeownership CentersClackamas</v>
      </c>
    </row>
    <row r="119" spans="1:11" ht="15">
      <c r="A119" s="5" t="s">
        <v>110</v>
      </c>
      <c r="B119" s="5" t="s">
        <v>130</v>
      </c>
      <c r="C119" s="5" t="s">
        <v>0</v>
      </c>
      <c r="D119" s="7">
        <v>5233.333333333333</v>
      </c>
      <c r="E119" s="6">
        <v>22244.786666666667</v>
      </c>
      <c r="F119" s="6">
        <v>22555.88</v>
      </c>
      <c r="G119" s="6">
        <v>62402.5866666667</v>
      </c>
      <c r="H119" s="6">
        <v>18805.076666666664</v>
      </c>
      <c r="I119" s="6">
        <f t="shared" si="1"/>
        <v>131241.66333333336</v>
      </c>
      <c r="J119" s="6">
        <v>9187.039999999999</v>
      </c>
      <c r="K119" s="5" t="str">
        <f>Data!$A119&amp;Data!$B119&amp;Data!$C119</f>
        <v>Portland Housing CenterHomeownership CentersMultnomah</v>
      </c>
    </row>
    <row r="120" spans="1:11" ht="15">
      <c r="A120" s="5" t="s">
        <v>110</v>
      </c>
      <c r="B120" s="5" t="s">
        <v>130</v>
      </c>
      <c r="C120" s="5" t="s">
        <v>2</v>
      </c>
      <c r="D120" s="7">
        <v>5233.333333333333</v>
      </c>
      <c r="E120" s="6">
        <v>22244.786666666667</v>
      </c>
      <c r="F120" s="6">
        <v>22555.88</v>
      </c>
      <c r="G120" s="6">
        <v>62402.5866666667</v>
      </c>
      <c r="H120" s="6">
        <v>18805.076666666664</v>
      </c>
      <c r="I120" s="6">
        <f t="shared" si="1"/>
        <v>131241.66333333336</v>
      </c>
      <c r="J120" s="6">
        <v>9187.039999999999</v>
      </c>
      <c r="K120" s="5" t="str">
        <f>Data!$A120&amp;Data!$B120&amp;Data!$C120</f>
        <v>Portland Housing CenterHomeownership CentersWashington</v>
      </c>
    </row>
    <row r="121" spans="1:11" ht="15">
      <c r="A121" s="5" t="s">
        <v>114</v>
      </c>
      <c r="B121" s="5" t="s">
        <v>130</v>
      </c>
      <c r="C121" s="5" t="s">
        <v>70</v>
      </c>
      <c r="D121" s="7">
        <v>0</v>
      </c>
      <c r="E121" s="6">
        <v>23333.34</v>
      </c>
      <c r="F121" s="6">
        <v>53625.825</v>
      </c>
      <c r="G121" s="6">
        <v>46117.835</v>
      </c>
      <c r="H121" s="6">
        <v>18839.56</v>
      </c>
      <c r="I121" s="6">
        <f t="shared" si="1"/>
        <v>141916.56</v>
      </c>
      <c r="J121" s="6">
        <v>10286.01000000001</v>
      </c>
      <c r="K121" s="5" t="str">
        <f>Data!$A121&amp;Data!$B121&amp;Data!$C121</f>
        <v>Willamette Neighborhood Housing ServicesHomeownership CentersBenton</v>
      </c>
    </row>
    <row r="122" spans="1:11" ht="15" customHeight="1">
      <c r="A122" s="5" t="s">
        <v>114</v>
      </c>
      <c r="B122" s="5" t="s">
        <v>130</v>
      </c>
      <c r="C122" s="5" t="s">
        <v>37</v>
      </c>
      <c r="D122" s="7">
        <v>0</v>
      </c>
      <c r="E122" s="6">
        <v>0</v>
      </c>
      <c r="F122" s="6">
        <v>0</v>
      </c>
      <c r="G122" s="6">
        <v>13644</v>
      </c>
      <c r="H122" s="6">
        <v>13804</v>
      </c>
      <c r="I122" s="6">
        <f t="shared" si="1"/>
        <v>27448</v>
      </c>
      <c r="J122" s="6">
        <v>0</v>
      </c>
      <c r="K122" s="5" t="str">
        <f>Data!$A122&amp;Data!$B122&amp;Data!$C122</f>
        <v>Willamette Neighborhood Housing ServicesHomeownership CentersLincoln</v>
      </c>
    </row>
    <row r="123" spans="1:11" ht="15">
      <c r="A123" s="5" t="s">
        <v>114</v>
      </c>
      <c r="B123" s="5" t="s">
        <v>130</v>
      </c>
      <c r="C123" s="5" t="s">
        <v>35</v>
      </c>
      <c r="D123" s="7">
        <v>0</v>
      </c>
      <c r="E123" s="6">
        <v>23333.34</v>
      </c>
      <c r="F123" s="6">
        <v>53625.825</v>
      </c>
      <c r="G123" s="6">
        <v>46117.835</v>
      </c>
      <c r="H123" s="6">
        <v>18839.56</v>
      </c>
      <c r="I123" s="6">
        <f t="shared" si="1"/>
        <v>141916.56</v>
      </c>
      <c r="J123" s="6">
        <v>10286.01000000001</v>
      </c>
      <c r="K123" s="5" t="str">
        <f>Data!$A123&amp;Data!$B123&amp;Data!$C123</f>
        <v>Willamette Neighborhood Housing ServicesHomeownership CentersLinn</v>
      </c>
    </row>
    <row r="124" spans="1:11" ht="15">
      <c r="A124" s="5" t="s">
        <v>113</v>
      </c>
      <c r="B124" s="5" t="s">
        <v>130</v>
      </c>
      <c r="C124" s="5" t="s">
        <v>27</v>
      </c>
      <c r="D124" s="7">
        <v>0</v>
      </c>
      <c r="E124" s="6">
        <v>29167</v>
      </c>
      <c r="F124" s="6">
        <v>46579.5</v>
      </c>
      <c r="G124" s="2">
        <v>42153</v>
      </c>
      <c r="H124" s="6">
        <v>14336.5</v>
      </c>
      <c r="I124" s="6">
        <f t="shared" si="1"/>
        <v>132236</v>
      </c>
      <c r="J124" s="2">
        <v>9158.525000000001</v>
      </c>
      <c r="K124" s="5" t="str">
        <f>Data!$A124&amp;Data!$B124&amp;Data!$C124</f>
        <v>Yamhill County Affordable Housing CorporationHomeownership CentersPolk</v>
      </c>
    </row>
    <row r="125" spans="1:11" ht="15" customHeight="1">
      <c r="A125" s="5" t="s">
        <v>113</v>
      </c>
      <c r="B125" s="5" t="s">
        <v>130</v>
      </c>
      <c r="C125" s="5" t="s">
        <v>10</v>
      </c>
      <c r="D125" s="7">
        <v>0</v>
      </c>
      <c r="E125" s="6">
        <v>29167</v>
      </c>
      <c r="F125" s="6">
        <v>46579.5</v>
      </c>
      <c r="G125" s="6">
        <v>42153</v>
      </c>
      <c r="H125" s="6">
        <v>14336.5</v>
      </c>
      <c r="I125" s="6">
        <f t="shared" si="1"/>
        <v>132236</v>
      </c>
      <c r="J125" s="6">
        <v>9158.525000000001</v>
      </c>
      <c r="K125" s="5" t="str">
        <f>Data!$A125&amp;Data!$B125&amp;Data!$C125</f>
        <v>Yamhill County Affordable Housing CorporationHomeownership CentersYamhill</v>
      </c>
    </row>
    <row r="126" spans="1:11" ht="15">
      <c r="A126" s="5" t="s">
        <v>156</v>
      </c>
      <c r="B126" s="5" t="s">
        <v>133</v>
      </c>
      <c r="C126" s="5" t="s">
        <v>47</v>
      </c>
      <c r="D126" s="7">
        <v>0</v>
      </c>
      <c r="E126" s="6">
        <v>0</v>
      </c>
      <c r="F126" s="6">
        <v>0</v>
      </c>
      <c r="G126" s="6">
        <v>31250</v>
      </c>
      <c r="H126" s="6">
        <v>0</v>
      </c>
      <c r="I126" s="6">
        <f t="shared" si="1"/>
        <v>31250</v>
      </c>
      <c r="J126" s="6">
        <v>0</v>
      </c>
      <c r="K126" s="5" t="str">
        <f>Data!$A126&amp;Data!$B126&amp;Data!$C126</f>
        <v>ACCESSHomeownership InnovationJackson</v>
      </c>
    </row>
    <row r="127" spans="1:11" ht="15" customHeight="1">
      <c r="A127" s="5" t="s">
        <v>156</v>
      </c>
      <c r="B127" s="5" t="s">
        <v>133</v>
      </c>
      <c r="C127" s="5" t="s">
        <v>44</v>
      </c>
      <c r="D127" s="7">
        <v>0</v>
      </c>
      <c r="E127" s="6">
        <v>0</v>
      </c>
      <c r="F127" s="6">
        <v>0</v>
      </c>
      <c r="G127" s="6">
        <v>31250</v>
      </c>
      <c r="H127" s="6">
        <v>0</v>
      </c>
      <c r="I127" s="6">
        <f t="shared" si="1"/>
        <v>31250</v>
      </c>
      <c r="J127" s="6">
        <v>0</v>
      </c>
      <c r="K127" s="5" t="str">
        <f>Data!$A127&amp;Data!$B127&amp;Data!$C127</f>
        <v>ACCESSHomeownership InnovationJosephine</v>
      </c>
    </row>
    <row r="128" spans="1:11" ht="15">
      <c r="A128" s="3" t="s">
        <v>127</v>
      </c>
      <c r="B128" s="5" t="s">
        <v>133</v>
      </c>
      <c r="C128" s="5" t="s">
        <v>10</v>
      </c>
      <c r="D128" s="7">
        <v>0</v>
      </c>
      <c r="E128" s="6">
        <v>37948.1</v>
      </c>
      <c r="F128" s="6">
        <v>62051.9</v>
      </c>
      <c r="G128" s="6">
        <v>0</v>
      </c>
      <c r="H128" s="6">
        <v>0</v>
      </c>
      <c r="I128" s="6">
        <f t="shared" si="1"/>
        <v>100000</v>
      </c>
      <c r="J128" s="6">
        <v>0</v>
      </c>
      <c r="K128" s="5" t="str">
        <f>Data!$A128&amp;Data!$B128&amp;Data!$C128</f>
        <v>Housing Authority of Yamhill CountyHomeownership InnovationYamhill</v>
      </c>
    </row>
    <row r="129" spans="1:11" ht="15">
      <c r="A129" s="3" t="s">
        <v>172</v>
      </c>
      <c r="B129" s="5" t="s">
        <v>133</v>
      </c>
      <c r="C129" s="5" t="s">
        <v>7</v>
      </c>
      <c r="D129" s="7">
        <v>0</v>
      </c>
      <c r="E129" s="6">
        <v>0</v>
      </c>
      <c r="F129" s="6">
        <v>0</v>
      </c>
      <c r="G129" s="6">
        <v>20833.333333333332</v>
      </c>
      <c r="H129" s="6">
        <v>0</v>
      </c>
      <c r="I129" s="6">
        <f t="shared" si="1"/>
        <v>20833.333333333332</v>
      </c>
      <c r="J129" s="6">
        <v>-7000</v>
      </c>
      <c r="K129" s="5" t="str">
        <f>Data!$A129&amp;Data!$B129&amp;Data!$C129</f>
        <v>Native American Youth &amp; Family CenterHomeownership InnovationClackamas</v>
      </c>
    </row>
    <row r="130" spans="1:11" ht="15">
      <c r="A130" s="3" t="s">
        <v>172</v>
      </c>
      <c r="B130" s="5" t="s">
        <v>133</v>
      </c>
      <c r="C130" s="5" t="s">
        <v>0</v>
      </c>
      <c r="D130" s="7">
        <v>0</v>
      </c>
      <c r="E130" s="6">
        <v>0</v>
      </c>
      <c r="F130" s="6">
        <v>0</v>
      </c>
      <c r="G130" s="6">
        <v>20833.333333333332</v>
      </c>
      <c r="H130" s="6">
        <v>0</v>
      </c>
      <c r="I130" s="6">
        <f aca="true" t="shared" si="2" ref="I130:I160">SUM(D130:H130)</f>
        <v>20833.333333333332</v>
      </c>
      <c r="J130" s="6">
        <v>-7000</v>
      </c>
      <c r="K130" s="5" t="str">
        <f>Data!$A130&amp;Data!$B130&amp;Data!$C130</f>
        <v>Native American Youth &amp; Family CenterHomeownership InnovationMultnomah</v>
      </c>
    </row>
    <row r="131" spans="1:11" ht="15">
      <c r="A131" s="3" t="s">
        <v>172</v>
      </c>
      <c r="B131" s="5" t="s">
        <v>133</v>
      </c>
      <c r="C131" s="5" t="s">
        <v>2</v>
      </c>
      <c r="D131" s="7">
        <v>0</v>
      </c>
      <c r="E131" s="6">
        <v>0</v>
      </c>
      <c r="F131" s="6">
        <v>0</v>
      </c>
      <c r="G131" s="6">
        <v>20833.333333333332</v>
      </c>
      <c r="H131" s="6">
        <v>0</v>
      </c>
      <c r="I131" s="6">
        <f t="shared" si="2"/>
        <v>20833.333333333332</v>
      </c>
      <c r="J131" s="6">
        <v>-7000</v>
      </c>
      <c r="K131" s="5" t="str">
        <f>Data!$A131&amp;Data!$B131&amp;Data!$C131</f>
        <v>Native American Youth &amp; Family CenterHomeownership InnovationWashington</v>
      </c>
    </row>
    <row r="132" spans="1:11" ht="15">
      <c r="A132" s="5" t="s">
        <v>123</v>
      </c>
      <c r="B132" s="5" t="s">
        <v>133</v>
      </c>
      <c r="C132" s="5" t="s">
        <v>39</v>
      </c>
      <c r="D132" s="7">
        <v>0</v>
      </c>
      <c r="E132" s="6">
        <v>5992.69</v>
      </c>
      <c r="F132" s="6">
        <v>128541.78</v>
      </c>
      <c r="G132" s="6">
        <v>0</v>
      </c>
      <c r="H132" s="6">
        <v>0</v>
      </c>
      <c r="I132" s="6">
        <f t="shared" si="2"/>
        <v>134534.47</v>
      </c>
      <c r="J132" s="6">
        <v>0</v>
      </c>
      <c r="K132" s="5" t="str">
        <f>Data!$A132&amp;Data!$B132&amp;Data!$C132</f>
        <v>NEDCOHomeownership InnovationLane</v>
      </c>
    </row>
    <row r="133" spans="1:11" ht="15">
      <c r="A133" s="5" t="s">
        <v>191</v>
      </c>
      <c r="B133" s="5" t="s">
        <v>133</v>
      </c>
      <c r="C133" s="5" t="s">
        <v>63</v>
      </c>
      <c r="D133" s="6">
        <v>0</v>
      </c>
      <c r="E133" s="7">
        <v>0</v>
      </c>
      <c r="F133" s="6">
        <v>0</v>
      </c>
      <c r="G133" s="6">
        <v>7988.17</v>
      </c>
      <c r="H133" s="6">
        <v>2900.2033333333334</v>
      </c>
      <c r="I133" s="6">
        <f t="shared" si="2"/>
        <v>10888.373333333333</v>
      </c>
      <c r="J133" s="6">
        <v>37444.956666666665</v>
      </c>
      <c r="K133" s="5" t="str">
        <f>Data!$A133&amp;Data!$B133&amp;Data!$C133</f>
        <v>Neighborworks Umpqua RegionalHomeownership InnovationCoos</v>
      </c>
    </row>
    <row r="134" spans="1:11" ht="15">
      <c r="A134" s="5" t="s">
        <v>191</v>
      </c>
      <c r="B134" s="5" t="s">
        <v>133</v>
      </c>
      <c r="C134" s="5" t="s">
        <v>59</v>
      </c>
      <c r="D134" s="6">
        <v>0</v>
      </c>
      <c r="E134" s="7">
        <v>0</v>
      </c>
      <c r="F134" s="6">
        <v>0</v>
      </c>
      <c r="G134" s="6">
        <v>7988.17</v>
      </c>
      <c r="H134" s="6">
        <v>2900.2033333333334</v>
      </c>
      <c r="I134" s="6">
        <f t="shared" si="2"/>
        <v>10888.373333333333</v>
      </c>
      <c r="J134" s="6">
        <v>37444.956666666665</v>
      </c>
      <c r="K134" s="5" t="str">
        <f>Data!$A134&amp;Data!$B134&amp;Data!$C134</f>
        <v>Neighborworks Umpqua RegionalHomeownership InnovationCurry</v>
      </c>
    </row>
    <row r="135" spans="1:11" ht="15">
      <c r="A135" s="5" t="s">
        <v>191</v>
      </c>
      <c r="B135" s="5" t="s">
        <v>133</v>
      </c>
      <c r="C135" s="5" t="s">
        <v>1</v>
      </c>
      <c r="D135" s="6">
        <v>0</v>
      </c>
      <c r="E135" s="7">
        <v>0</v>
      </c>
      <c r="F135" s="6">
        <v>0</v>
      </c>
      <c r="G135" s="6">
        <v>7988.17</v>
      </c>
      <c r="H135" s="6">
        <v>2900.2033333333334</v>
      </c>
      <c r="I135" s="6">
        <f t="shared" si="2"/>
        <v>10888.373333333333</v>
      </c>
      <c r="J135" s="6">
        <v>37444.956666666665</v>
      </c>
      <c r="K135" s="5" t="str">
        <f>Data!$A135&amp;Data!$B135&amp;Data!$C135</f>
        <v>Neighborworks Umpqua RegionalHomeownership InnovationDouglas</v>
      </c>
    </row>
    <row r="136" spans="1:11" ht="15">
      <c r="A136" s="5" t="s">
        <v>110</v>
      </c>
      <c r="B136" s="5" t="s">
        <v>133</v>
      </c>
      <c r="C136" s="5" t="s">
        <v>7</v>
      </c>
      <c r="D136" s="7">
        <v>0</v>
      </c>
      <c r="E136" s="6">
        <v>14517.096666666666</v>
      </c>
      <c r="F136" s="6">
        <v>4482.903333333333</v>
      </c>
      <c r="G136" s="6">
        <v>8019.26666666667</v>
      </c>
      <c r="H136" s="6">
        <v>0</v>
      </c>
      <c r="I136" s="6">
        <f t="shared" si="2"/>
        <v>27019.26666666667</v>
      </c>
      <c r="J136" s="6">
        <v>0</v>
      </c>
      <c r="K136" s="5" t="str">
        <f>Data!$A136&amp;Data!$B136&amp;Data!$C136</f>
        <v>Portland Housing CenterHomeownership InnovationClackamas</v>
      </c>
    </row>
    <row r="137" spans="1:11" ht="15">
      <c r="A137" s="5" t="s">
        <v>110</v>
      </c>
      <c r="B137" s="5" t="s">
        <v>133</v>
      </c>
      <c r="C137" s="5" t="s">
        <v>0</v>
      </c>
      <c r="D137" s="7">
        <v>0</v>
      </c>
      <c r="E137" s="6">
        <v>14517.096666666666</v>
      </c>
      <c r="F137" s="6">
        <v>4482.903333333333</v>
      </c>
      <c r="G137" s="6">
        <v>8019.26666666667</v>
      </c>
      <c r="H137" s="6">
        <v>0</v>
      </c>
      <c r="I137" s="6">
        <f t="shared" si="2"/>
        <v>27019.26666666667</v>
      </c>
      <c r="J137" s="6">
        <v>0</v>
      </c>
      <c r="K137" s="5" t="str">
        <f>Data!$A137&amp;Data!$B137&amp;Data!$C137</f>
        <v>Portland Housing CenterHomeownership InnovationMultnomah</v>
      </c>
    </row>
    <row r="138" spans="1:11" ht="15">
      <c r="A138" s="5" t="s">
        <v>110</v>
      </c>
      <c r="B138" s="5" t="s">
        <v>133</v>
      </c>
      <c r="C138" s="5" t="s">
        <v>2</v>
      </c>
      <c r="D138" s="7">
        <v>0</v>
      </c>
      <c r="E138" s="6">
        <v>14517.096666666666</v>
      </c>
      <c r="F138" s="6">
        <v>4482.903333333333</v>
      </c>
      <c r="G138" s="6">
        <v>8019.26666666667</v>
      </c>
      <c r="H138" s="6">
        <v>0</v>
      </c>
      <c r="I138" s="6">
        <f t="shared" si="2"/>
        <v>27019.26666666667</v>
      </c>
      <c r="J138" s="6">
        <v>0</v>
      </c>
      <c r="K138" s="5" t="str">
        <f>Data!$A138&amp;Data!$B138&amp;Data!$C138</f>
        <v>Portland Housing CenterHomeownership InnovationWashington</v>
      </c>
    </row>
    <row r="139" spans="1:11" ht="15">
      <c r="A139" s="5" t="s">
        <v>153</v>
      </c>
      <c r="B139" s="5" t="s">
        <v>136</v>
      </c>
      <c r="C139" s="5" t="s">
        <v>137</v>
      </c>
      <c r="D139" s="7">
        <v>0</v>
      </c>
      <c r="E139" s="6">
        <v>0</v>
      </c>
      <c r="F139" s="6">
        <v>250000</v>
      </c>
      <c r="G139" s="6">
        <v>0</v>
      </c>
      <c r="H139" s="6">
        <v>0</v>
      </c>
      <c r="I139" s="6">
        <f t="shared" si="2"/>
        <v>250000</v>
      </c>
      <c r="J139" s="6">
        <v>0</v>
      </c>
      <c r="K139" s="5" t="str">
        <f>Data!$A139&amp;Data!$B139&amp;Data!$C139</f>
        <v>Oregon Department of Veterans Affairs Interagency AgreementODVA(Statewide)</v>
      </c>
    </row>
    <row r="140" spans="1:11" ht="15">
      <c r="A140" s="58" t="s">
        <v>112</v>
      </c>
      <c r="B140" s="5" t="s">
        <v>136</v>
      </c>
      <c r="C140" s="3" t="s">
        <v>67</v>
      </c>
      <c r="D140" s="7">
        <v>0</v>
      </c>
      <c r="E140" s="6">
        <v>0</v>
      </c>
      <c r="F140" s="6">
        <v>0</v>
      </c>
      <c r="G140" s="6">
        <v>0</v>
      </c>
      <c r="H140" s="6">
        <v>0</v>
      </c>
      <c r="I140" s="6">
        <f t="shared" si="2"/>
        <v>0</v>
      </c>
      <c r="J140" s="60">
        <v>50000</v>
      </c>
      <c r="K140" s="58" t="str">
        <f>Data!$A140&amp;Data!$B140&amp;Data!$C140</f>
        <v>Community Action TeamODVAClatsop</v>
      </c>
    </row>
    <row r="141" spans="1:11" ht="15">
      <c r="A141" s="58" t="s">
        <v>112</v>
      </c>
      <c r="B141" s="58" t="s">
        <v>136</v>
      </c>
      <c r="C141" s="58" t="s">
        <v>65</v>
      </c>
      <c r="D141" s="7">
        <v>0</v>
      </c>
      <c r="E141" s="6">
        <v>0</v>
      </c>
      <c r="F141" s="6">
        <v>0</v>
      </c>
      <c r="G141" s="6">
        <v>0</v>
      </c>
      <c r="H141" s="6">
        <v>0</v>
      </c>
      <c r="I141" s="6">
        <f t="shared" si="2"/>
        <v>0</v>
      </c>
      <c r="J141" s="60">
        <v>50000</v>
      </c>
      <c r="K141" s="58" t="str">
        <f>Data!$A141&amp;Data!$B141&amp;Data!$C141</f>
        <v>Community Action TeamODVAColumbia</v>
      </c>
    </row>
    <row r="142" spans="1:11" ht="15">
      <c r="A142" s="58" t="s">
        <v>112</v>
      </c>
      <c r="B142" s="58" t="s">
        <v>136</v>
      </c>
      <c r="C142" s="58" t="s">
        <v>23</v>
      </c>
      <c r="D142" s="7">
        <v>0</v>
      </c>
      <c r="E142" s="6">
        <v>0</v>
      </c>
      <c r="F142" s="6">
        <v>0</v>
      </c>
      <c r="G142" s="6">
        <v>0</v>
      </c>
      <c r="H142" s="6">
        <v>0</v>
      </c>
      <c r="I142" s="6">
        <f t="shared" si="2"/>
        <v>0</v>
      </c>
      <c r="J142" s="60">
        <v>50000</v>
      </c>
      <c r="K142" s="58" t="str">
        <f>Data!$A142&amp;Data!$B142&amp;Data!$C142</f>
        <v>Community Action TeamODVATillamook</v>
      </c>
    </row>
    <row r="143" spans="1:11" ht="15">
      <c r="A143" s="58" t="s">
        <v>177</v>
      </c>
      <c r="B143" s="5" t="s">
        <v>136</v>
      </c>
      <c r="C143" s="3" t="s">
        <v>51</v>
      </c>
      <c r="D143" s="7">
        <v>0</v>
      </c>
      <c r="E143" s="6">
        <v>0</v>
      </c>
      <c r="F143" s="6">
        <v>0</v>
      </c>
      <c r="G143" s="6">
        <v>0</v>
      </c>
      <c r="H143" s="6">
        <v>0</v>
      </c>
      <c r="I143" s="6">
        <f t="shared" si="2"/>
        <v>0</v>
      </c>
      <c r="J143" s="60">
        <v>75000</v>
      </c>
      <c r="K143" s="58" t="str">
        <f>Data!$A143&amp;Data!$B143&amp;Data!$C143</f>
        <v>Community In ActionODVAHarney</v>
      </c>
    </row>
    <row r="144" spans="1:11" ht="15">
      <c r="A144" s="58" t="s">
        <v>162</v>
      </c>
      <c r="B144" s="58" t="s">
        <v>136</v>
      </c>
      <c r="C144" s="58" t="s">
        <v>33</v>
      </c>
      <c r="D144" s="59">
        <v>0</v>
      </c>
      <c r="E144" s="60">
        <v>0</v>
      </c>
      <c r="F144" s="60">
        <v>0</v>
      </c>
      <c r="G144" s="60">
        <v>0</v>
      </c>
      <c r="H144" s="2">
        <v>0</v>
      </c>
      <c r="I144" s="6">
        <f t="shared" si="2"/>
        <v>0</v>
      </c>
      <c r="J144" s="60">
        <v>75000</v>
      </c>
      <c r="K144" s="58" t="str">
        <f>Data!$A144&amp;Data!$B144&amp;Data!$C144</f>
        <v>Community in ActionODVAMalheur</v>
      </c>
    </row>
    <row r="145" spans="1:11" ht="15">
      <c r="A145" s="58" t="s">
        <v>117</v>
      </c>
      <c r="B145" s="5" t="s">
        <v>136</v>
      </c>
      <c r="C145" s="3" t="s">
        <v>72</v>
      </c>
      <c r="D145" s="7">
        <v>0</v>
      </c>
      <c r="E145" s="6">
        <v>0</v>
      </c>
      <c r="F145" s="6">
        <v>0</v>
      </c>
      <c r="G145" s="6">
        <v>0</v>
      </c>
      <c r="H145" s="6">
        <v>0</v>
      </c>
      <c r="I145" s="6">
        <f t="shared" si="2"/>
        <v>0</v>
      </c>
      <c r="J145" s="60">
        <v>37500</v>
      </c>
      <c r="K145" s="58" t="str">
        <f>Data!$A145&amp;Data!$B145&amp;Data!$C145</f>
        <v>Community Connection of Northeast OregonODVABaker</v>
      </c>
    </row>
    <row r="146" spans="1:11" ht="15">
      <c r="A146" s="58" t="s">
        <v>117</v>
      </c>
      <c r="B146" s="5" t="s">
        <v>136</v>
      </c>
      <c r="C146" s="58" t="s">
        <v>53</v>
      </c>
      <c r="D146" s="7">
        <v>0</v>
      </c>
      <c r="E146" s="6">
        <v>0</v>
      </c>
      <c r="F146" s="6">
        <v>0</v>
      </c>
      <c r="G146" s="6">
        <v>0</v>
      </c>
      <c r="H146" s="6">
        <v>0</v>
      </c>
      <c r="I146" s="6">
        <f t="shared" si="2"/>
        <v>0</v>
      </c>
      <c r="J146" s="60">
        <v>37500</v>
      </c>
      <c r="K146" s="58" t="str">
        <f>Data!$A146&amp;Data!$B146&amp;Data!$C146</f>
        <v>Community Connection of Northeast OregonODVAGrant</v>
      </c>
    </row>
    <row r="147" spans="1:11" ht="15">
      <c r="A147" s="58" t="s">
        <v>117</v>
      </c>
      <c r="B147" s="5" t="s">
        <v>136</v>
      </c>
      <c r="C147" s="58" t="s">
        <v>19</v>
      </c>
      <c r="D147" s="7">
        <v>0</v>
      </c>
      <c r="E147" s="6">
        <v>0</v>
      </c>
      <c r="F147" s="6">
        <v>0</v>
      </c>
      <c r="G147" s="6">
        <v>0</v>
      </c>
      <c r="H147" s="6">
        <v>0</v>
      </c>
      <c r="I147" s="6">
        <f t="shared" si="2"/>
        <v>0</v>
      </c>
      <c r="J147" s="60">
        <v>37500</v>
      </c>
      <c r="K147" s="58" t="str">
        <f>Data!$A147&amp;Data!$B147&amp;Data!$C147</f>
        <v>Community Connection of Northeast OregonODVAUnion</v>
      </c>
    </row>
    <row r="148" spans="1:11" ht="15">
      <c r="A148" s="58" t="s">
        <v>117</v>
      </c>
      <c r="B148" s="5" t="s">
        <v>136</v>
      </c>
      <c r="C148" s="58" t="s">
        <v>17</v>
      </c>
      <c r="D148" s="7">
        <v>0</v>
      </c>
      <c r="E148" s="6">
        <v>0</v>
      </c>
      <c r="F148" s="6">
        <v>0</v>
      </c>
      <c r="G148" s="6">
        <v>0</v>
      </c>
      <c r="H148" s="6">
        <v>0</v>
      </c>
      <c r="I148" s="6">
        <f t="shared" si="2"/>
        <v>0</v>
      </c>
      <c r="J148" s="60">
        <v>37500</v>
      </c>
      <c r="K148" s="58" t="str">
        <f>Data!$A148&amp;Data!$B148&amp;Data!$C148</f>
        <v>Community Connection of Northeast OregonODVAWallowa</v>
      </c>
    </row>
    <row r="149" spans="1:11" ht="15">
      <c r="A149" s="58" t="s">
        <v>128</v>
      </c>
      <c r="B149" s="5" t="s">
        <v>136</v>
      </c>
      <c r="C149" s="5" t="s">
        <v>137</v>
      </c>
      <c r="D149" s="7">
        <v>0</v>
      </c>
      <c r="E149" s="6">
        <v>0</v>
      </c>
      <c r="F149" s="6">
        <v>0</v>
      </c>
      <c r="G149" s="6">
        <v>0</v>
      </c>
      <c r="H149" s="6">
        <v>75000</v>
      </c>
      <c r="I149" s="6">
        <f t="shared" si="2"/>
        <v>75000</v>
      </c>
      <c r="J149" s="60">
        <v>75000</v>
      </c>
      <c r="K149" s="58" t="str">
        <f>Data!$A149&amp;Data!$B149&amp;Data!$C149</f>
        <v>Habitat for Humanity of OregonODVA(Statewide)</v>
      </c>
    </row>
    <row r="150" spans="1:11" ht="15">
      <c r="A150" s="58" t="s">
        <v>127</v>
      </c>
      <c r="B150" s="5" t="s">
        <v>136</v>
      </c>
      <c r="C150" s="3" t="s">
        <v>10</v>
      </c>
      <c r="D150" s="7">
        <v>0</v>
      </c>
      <c r="E150" s="6">
        <v>0</v>
      </c>
      <c r="F150" s="6">
        <v>0</v>
      </c>
      <c r="G150" s="6">
        <v>0</v>
      </c>
      <c r="H150" s="6">
        <v>0</v>
      </c>
      <c r="I150" s="6">
        <f t="shared" si="2"/>
        <v>0</v>
      </c>
      <c r="J150" s="60">
        <v>150000</v>
      </c>
      <c r="K150" s="58" t="str">
        <f>Data!$A150&amp;Data!$B150&amp;Data!$C150</f>
        <v>Housing Authority of Yamhill CountyODVAYamhill</v>
      </c>
    </row>
    <row r="151" spans="1:11" ht="15">
      <c r="A151" s="58" t="s">
        <v>191</v>
      </c>
      <c r="B151" s="5" t="s">
        <v>136</v>
      </c>
      <c r="C151" s="3" t="s">
        <v>63</v>
      </c>
      <c r="D151" s="7">
        <v>0</v>
      </c>
      <c r="E151" s="6">
        <v>0</v>
      </c>
      <c r="F151" s="6">
        <v>0</v>
      </c>
      <c r="G151" s="6">
        <v>0</v>
      </c>
      <c r="H151" s="6">
        <v>0</v>
      </c>
      <c r="I151" s="6">
        <f t="shared" si="2"/>
        <v>0</v>
      </c>
      <c r="J151" s="60">
        <v>50000</v>
      </c>
      <c r="K151" s="58" t="str">
        <f>Data!$A151&amp;Data!$B151&amp;Data!$C151</f>
        <v>Neighborworks Umpqua RegionalODVACoos</v>
      </c>
    </row>
    <row r="152" spans="1:11" ht="15">
      <c r="A152" s="58" t="s">
        <v>191</v>
      </c>
      <c r="B152" s="58" t="s">
        <v>136</v>
      </c>
      <c r="C152" s="58" t="s">
        <v>59</v>
      </c>
      <c r="D152" s="7">
        <v>0</v>
      </c>
      <c r="E152" s="6">
        <v>0</v>
      </c>
      <c r="F152" s="6">
        <v>0</v>
      </c>
      <c r="G152" s="6">
        <v>0</v>
      </c>
      <c r="H152" s="6">
        <v>0</v>
      </c>
      <c r="I152" s="6">
        <f t="shared" si="2"/>
        <v>0</v>
      </c>
      <c r="J152" s="60">
        <v>50000</v>
      </c>
      <c r="K152" s="58" t="str">
        <f>Data!$A152&amp;Data!$B152&amp;Data!$C152</f>
        <v>Neighborworks Umpqua RegionalODVACurry</v>
      </c>
    </row>
    <row r="153" spans="1:11" ht="15">
      <c r="A153" s="58" t="s">
        <v>191</v>
      </c>
      <c r="B153" s="58" t="s">
        <v>136</v>
      </c>
      <c r="C153" s="58" t="s">
        <v>1</v>
      </c>
      <c r="D153" s="7">
        <v>0</v>
      </c>
      <c r="E153" s="6">
        <v>0</v>
      </c>
      <c r="F153" s="6">
        <v>0</v>
      </c>
      <c r="G153" s="6">
        <v>0</v>
      </c>
      <c r="H153" s="6">
        <v>0</v>
      </c>
      <c r="I153" s="6">
        <f t="shared" si="2"/>
        <v>0</v>
      </c>
      <c r="J153" s="60">
        <v>50000</v>
      </c>
      <c r="K153" s="58" t="str">
        <f>Data!$A153&amp;Data!$B153&amp;Data!$C153</f>
        <v>Neighborworks Umpqua RegionalODVADouglas</v>
      </c>
    </row>
    <row r="154" spans="1:11" ht="15">
      <c r="A154" s="58" t="s">
        <v>163</v>
      </c>
      <c r="B154" s="5" t="s">
        <v>136</v>
      </c>
      <c r="C154" s="5" t="s">
        <v>0</v>
      </c>
      <c r="D154" s="7">
        <v>0</v>
      </c>
      <c r="E154" s="6">
        <v>0</v>
      </c>
      <c r="F154" s="6">
        <v>0</v>
      </c>
      <c r="G154" s="6">
        <v>0</v>
      </c>
      <c r="H154" s="6">
        <v>75000</v>
      </c>
      <c r="I154" s="6">
        <f t="shared" si="2"/>
        <v>75000</v>
      </c>
      <c r="J154" s="60">
        <v>75000</v>
      </c>
      <c r="K154" s="58" t="str">
        <f>Data!$A154&amp;Data!$B154&amp;Data!$C154</f>
        <v>Portland Community Reinvestment InitiativesODVAMultnomah</v>
      </c>
    </row>
    <row r="155" spans="1:11" ht="15">
      <c r="A155" s="58" t="s">
        <v>192</v>
      </c>
      <c r="B155" s="5" t="s">
        <v>136</v>
      </c>
      <c r="C155" s="5" t="s">
        <v>2</v>
      </c>
      <c r="D155" s="7">
        <v>0</v>
      </c>
      <c r="E155" s="6">
        <v>0</v>
      </c>
      <c r="F155" s="6">
        <v>0</v>
      </c>
      <c r="G155" s="6">
        <v>0</v>
      </c>
      <c r="H155" s="6">
        <v>0</v>
      </c>
      <c r="I155" s="6">
        <f t="shared" si="2"/>
        <v>0</v>
      </c>
      <c r="J155" s="60">
        <v>150000</v>
      </c>
      <c r="K155" s="58" t="str">
        <f>Data!$A155&amp;Data!$B155&amp;Data!$C155</f>
        <v>Washington County Office of Community DevelopmentODVAWashington</v>
      </c>
    </row>
    <row r="156" spans="1:11" ht="15">
      <c r="A156" s="58" t="s">
        <v>114</v>
      </c>
      <c r="B156" s="3" t="s">
        <v>136</v>
      </c>
      <c r="C156" s="3" t="s">
        <v>70</v>
      </c>
      <c r="D156" s="7">
        <v>0</v>
      </c>
      <c r="E156" s="6">
        <v>0</v>
      </c>
      <c r="F156" s="6">
        <v>0</v>
      </c>
      <c r="G156" s="6">
        <v>0</v>
      </c>
      <c r="H156" s="6">
        <v>37500</v>
      </c>
      <c r="I156" s="6">
        <f t="shared" si="2"/>
        <v>37500</v>
      </c>
      <c r="J156" s="60">
        <v>37500</v>
      </c>
      <c r="K156" s="58" t="str">
        <f>Data!$A156&amp;Data!$B156&amp;Data!$C156</f>
        <v>Willamette Neighborhood Housing ServicesODVABenton</v>
      </c>
    </row>
    <row r="157" spans="1:11" ht="15">
      <c r="A157" s="58" t="s">
        <v>114</v>
      </c>
      <c r="B157" s="58" t="s">
        <v>136</v>
      </c>
      <c r="C157" s="58" t="s">
        <v>35</v>
      </c>
      <c r="D157" s="59">
        <v>0</v>
      </c>
      <c r="E157" s="60">
        <v>0</v>
      </c>
      <c r="F157" s="60">
        <v>0</v>
      </c>
      <c r="G157" s="60">
        <v>0</v>
      </c>
      <c r="H157" s="2">
        <v>37500</v>
      </c>
      <c r="I157" s="6">
        <f t="shared" si="2"/>
        <v>37500</v>
      </c>
      <c r="J157" s="60">
        <v>37500</v>
      </c>
      <c r="K157" s="58" t="str">
        <f>Data!$A157&amp;Data!$B157&amp;Data!$C157</f>
        <v>Willamette Neighborhood Housing ServicesODVALinn</v>
      </c>
    </row>
    <row r="158" spans="1:11" ht="15">
      <c r="A158" s="58" t="s">
        <v>184</v>
      </c>
      <c r="B158" s="5" t="s">
        <v>136</v>
      </c>
      <c r="C158" s="3" t="s">
        <v>2</v>
      </c>
      <c r="D158" s="7">
        <v>0</v>
      </c>
      <c r="E158" s="6">
        <v>0</v>
      </c>
      <c r="F158" s="6">
        <v>0</v>
      </c>
      <c r="G158" s="6">
        <v>0</v>
      </c>
      <c r="H158" s="6">
        <v>75000</v>
      </c>
      <c r="I158" s="6">
        <f t="shared" si="2"/>
        <v>75000</v>
      </c>
      <c r="J158" s="60">
        <v>75000</v>
      </c>
      <c r="K158" s="58" t="str">
        <f>Data!$A158&amp;Data!$B158&amp;Data!$C158</f>
        <v>Habitat for Humanity Willamette WestODVAWashington</v>
      </c>
    </row>
    <row r="159" spans="1:11" ht="15">
      <c r="A159" s="5" t="s">
        <v>164</v>
      </c>
      <c r="B159" s="5" t="s">
        <v>135</v>
      </c>
      <c r="C159" s="5" t="s">
        <v>137</v>
      </c>
      <c r="D159" s="6">
        <v>0</v>
      </c>
      <c r="E159" s="7">
        <v>0</v>
      </c>
      <c r="F159" s="6">
        <v>0</v>
      </c>
      <c r="G159" s="6">
        <v>0</v>
      </c>
      <c r="H159" s="6">
        <v>0</v>
      </c>
      <c r="I159" s="6">
        <f t="shared" si="2"/>
        <v>0</v>
      </c>
      <c r="J159" s="6">
        <v>656.98</v>
      </c>
      <c r="K159" s="5" t="str">
        <f>Data!$A159&amp;Data!$B159&amp;Data!$C159</f>
        <v>Homeownership Center Data Training w/ Counselor MaxTraining(Statewide)</v>
      </c>
    </row>
    <row r="160" spans="1:11" ht="15">
      <c r="A160" s="5" t="s">
        <v>152</v>
      </c>
      <c r="B160" s="5" t="s">
        <v>135</v>
      </c>
      <c r="C160" s="5" t="s">
        <v>137</v>
      </c>
      <c r="D160" s="7">
        <v>6655.17</v>
      </c>
      <c r="E160" s="6">
        <v>80027.93</v>
      </c>
      <c r="F160" s="6">
        <v>81318.61</v>
      </c>
      <c r="G160" s="2">
        <v>83465.29000000001</v>
      </c>
      <c r="H160" s="6">
        <v>28686.4</v>
      </c>
      <c r="I160" s="6">
        <f t="shared" si="2"/>
        <v>280153.4</v>
      </c>
      <c r="J160" s="6">
        <v>37848.31</v>
      </c>
      <c r="K160" s="5" t="str">
        <f>Data!$A160&amp;Data!$B160&amp;Data!$C160</f>
        <v>Oregon Opportunity NetworkTraining(Statewide)</v>
      </c>
    </row>
  </sheetData>
  <sheetProtection/>
  <conditionalFormatting sqref="K1:K65536">
    <cfRule type="duplicateValues" priority="1" dxfId="2">
      <formula>AND(COUNTIF($K$1:$K$65536,K1)&gt;1,NOT(ISBLANK(K1)))</formula>
    </cfRule>
  </conditionalFormatting>
  <printOptions/>
  <pageMargins left="0.7" right="0.7" top="0.75" bottom="0.75" header="0.3" footer="0.3"/>
  <pageSetup horizontalDpi="600" verticalDpi="600" orientation="portrait" r:id="rId2"/>
  <customProperties>
    <customPr name="ESRI_SHEET_ID" r:id="rId3"/>
  </customPropertie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t="s">
        <v>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D81"/>
  <sheetViews>
    <sheetView zoomScale="80" zoomScaleNormal="80" zoomScalePageLayoutView="0" workbookViewId="0" topLeftCell="A1">
      <selection activeCell="D15" sqref="D15"/>
    </sheetView>
  </sheetViews>
  <sheetFormatPr defaultColWidth="9.33203125" defaultRowHeight="10.5"/>
  <cols>
    <col min="1" max="1" width="75.33203125" style="1" bestFit="1" customWidth="1"/>
    <col min="2" max="2" width="34.16015625" style="1" bestFit="1" customWidth="1"/>
    <col min="3" max="3" width="92.5" style="1" bestFit="1" customWidth="1"/>
    <col min="4" max="4" width="44.33203125" style="1" bestFit="1" customWidth="1"/>
    <col min="5" max="16384" width="9.33203125" style="1" customWidth="1"/>
  </cols>
  <sheetData>
    <row r="1" spans="1:4" ht="15">
      <c r="A1" s="44" t="s">
        <v>150</v>
      </c>
      <c r="B1" s="44" t="s">
        <v>87</v>
      </c>
      <c r="C1" s="44" t="s">
        <v>84</v>
      </c>
      <c r="D1" s="44" t="s">
        <v>151</v>
      </c>
    </row>
    <row r="2" spans="1:4" ht="15">
      <c r="A2" s="1" t="s">
        <v>156</v>
      </c>
      <c r="B2" s="1" t="s">
        <v>134</v>
      </c>
      <c r="C2" s="1" t="str">
        <f aca="true" t="shared" si="0" ref="C2:C40">A2&amp;B2</f>
        <v>ACCESSDown Payment Assistance</v>
      </c>
      <c r="D2" s="1" t="s">
        <v>138</v>
      </c>
    </row>
    <row r="3" spans="1:4" ht="15">
      <c r="A3" s="1" t="s">
        <v>156</v>
      </c>
      <c r="B3" s="1" t="s">
        <v>130</v>
      </c>
      <c r="C3" s="1" t="str">
        <f t="shared" si="0"/>
        <v>ACCESSHomeownership Centers</v>
      </c>
      <c r="D3" s="1" t="s">
        <v>138</v>
      </c>
    </row>
    <row r="4" spans="1:4" ht="15">
      <c r="A4" s="1" t="s">
        <v>156</v>
      </c>
      <c r="B4" s="1" t="s">
        <v>133</v>
      </c>
      <c r="C4" s="1" t="str">
        <f t="shared" si="0"/>
        <v>ACCESSHomeownership Innovation</v>
      </c>
      <c r="D4" s="1" t="s">
        <v>138</v>
      </c>
    </row>
    <row r="5" spans="1:4" ht="15">
      <c r="A5" s="1" t="s">
        <v>169</v>
      </c>
      <c r="B5" s="1" t="s">
        <v>131</v>
      </c>
      <c r="C5" s="1" t="str">
        <f t="shared" si="0"/>
        <v>African American Alliance for HomeownersHomeownership Assistance</v>
      </c>
      <c r="D5" s="1" t="s">
        <v>139</v>
      </c>
    </row>
    <row r="6" spans="1:4" ht="15">
      <c r="A6" s="1" t="s">
        <v>169</v>
      </c>
      <c r="B6" s="1" t="s">
        <v>130</v>
      </c>
      <c r="C6" s="1" t="str">
        <f t="shared" si="0"/>
        <v>African American Alliance for HomeownersHomeownership Centers</v>
      </c>
      <c r="D6" s="1" t="s">
        <v>139</v>
      </c>
    </row>
    <row r="7" spans="1:4" ht="15">
      <c r="A7" s="1" t="s">
        <v>171</v>
      </c>
      <c r="B7" s="1" t="s">
        <v>134</v>
      </c>
      <c r="C7" s="1" t="str">
        <f t="shared" si="0"/>
        <v>Asian &amp; Pacific Islander CommunityDown Payment Assistance</v>
      </c>
      <c r="D7" s="1" t="s">
        <v>139</v>
      </c>
    </row>
    <row r="8" spans="1:4" ht="15">
      <c r="A8" s="1" t="s">
        <v>121</v>
      </c>
      <c r="B8" s="1" t="s">
        <v>131</v>
      </c>
      <c r="C8" s="1" t="str">
        <f t="shared" si="0"/>
        <v>City of BendHomeownership Assistance</v>
      </c>
      <c r="D8" s="1" t="s">
        <v>5</v>
      </c>
    </row>
    <row r="9" spans="1:4" ht="15">
      <c r="A9" s="1" t="s">
        <v>121</v>
      </c>
      <c r="B9" s="1" t="s">
        <v>134</v>
      </c>
      <c r="C9" s="1" t="str">
        <f t="shared" si="0"/>
        <v>City of BendDown Payment Assistance</v>
      </c>
      <c r="D9" s="1" t="s">
        <v>5</v>
      </c>
    </row>
    <row r="10" spans="1:4" ht="15">
      <c r="A10" s="1" t="s">
        <v>125</v>
      </c>
      <c r="B10" s="1" t="s">
        <v>134</v>
      </c>
      <c r="C10" s="1" t="str">
        <f t="shared" si="0"/>
        <v>Columbia Cascade HousingDown Payment Assistance</v>
      </c>
      <c r="D10" s="1" t="s">
        <v>140</v>
      </c>
    </row>
    <row r="11" spans="1:4" ht="15">
      <c r="A11" s="1" t="s">
        <v>173</v>
      </c>
      <c r="B11" s="1" t="s">
        <v>131</v>
      </c>
      <c r="C11" s="1" t="str">
        <f t="shared" si="0"/>
        <v>Community &amp; Shelter Assistance of OregonHomeownership Assistance</v>
      </c>
      <c r="D11" s="1" t="s">
        <v>0</v>
      </c>
    </row>
    <row r="12" spans="1:4" ht="15">
      <c r="A12" s="1" t="s">
        <v>118</v>
      </c>
      <c r="B12" s="1" t="s">
        <v>134</v>
      </c>
      <c r="C12" s="1" t="str">
        <f t="shared" si="0"/>
        <v>Community Action Program East Central OregonDown Payment Assistance</v>
      </c>
      <c r="D12" s="1" t="s">
        <v>146</v>
      </c>
    </row>
    <row r="13" spans="1:4" ht="15">
      <c r="A13" s="1" t="s">
        <v>118</v>
      </c>
      <c r="B13" s="1" t="s">
        <v>130</v>
      </c>
      <c r="C13" s="1" t="str">
        <f t="shared" si="0"/>
        <v>Community Action Program East Central OregonHomeownership Centers</v>
      </c>
      <c r="D13" s="1" t="s">
        <v>146</v>
      </c>
    </row>
    <row r="14" spans="1:4" ht="15">
      <c r="A14" s="1" t="s">
        <v>112</v>
      </c>
      <c r="B14" s="1" t="s">
        <v>134</v>
      </c>
      <c r="C14" s="1" t="str">
        <f t="shared" si="0"/>
        <v>Community Action TeamDown Payment Assistance</v>
      </c>
      <c r="D14" s="1" t="s">
        <v>141</v>
      </c>
    </row>
    <row r="15" spans="1:4" ht="15">
      <c r="A15" s="1" t="s">
        <v>112</v>
      </c>
      <c r="B15" s="1" t="s">
        <v>130</v>
      </c>
      <c r="C15" s="1" t="str">
        <f t="shared" si="0"/>
        <v>Community Action TeamHomeownership Centers</v>
      </c>
      <c r="D15" s="1" t="s">
        <v>141</v>
      </c>
    </row>
    <row r="16" spans="1:4" ht="15">
      <c r="A16" s="1" t="s">
        <v>112</v>
      </c>
      <c r="B16" s="1" t="s">
        <v>136</v>
      </c>
      <c r="C16" s="1" t="str">
        <f t="shared" si="0"/>
        <v>Community Action TeamODVA</v>
      </c>
      <c r="D16" s="1" t="s">
        <v>141</v>
      </c>
    </row>
    <row r="17" spans="1:4" ht="15">
      <c r="A17" s="1" t="s">
        <v>117</v>
      </c>
      <c r="B17" s="1" t="s">
        <v>130</v>
      </c>
      <c r="C17" s="1" t="str">
        <f t="shared" si="0"/>
        <v>Community Connection of Northeast OregonHomeownership Centers</v>
      </c>
      <c r="D17" s="1" t="s">
        <v>147</v>
      </c>
    </row>
    <row r="18" spans="1:4" ht="15">
      <c r="A18" s="1" t="s">
        <v>117</v>
      </c>
      <c r="B18" s="1" t="s">
        <v>136</v>
      </c>
      <c r="C18" s="1" t="str">
        <f t="shared" si="0"/>
        <v>Community Connection of Northeast OregonODVA</v>
      </c>
      <c r="D18" s="1" t="s">
        <v>147</v>
      </c>
    </row>
    <row r="19" spans="1:4" ht="15">
      <c r="A19" s="1" t="s">
        <v>119</v>
      </c>
      <c r="B19" s="1" t="s">
        <v>130</v>
      </c>
      <c r="C19" s="1" t="str">
        <f t="shared" si="0"/>
        <v>Community Housing ServicesHomeownership Centers</v>
      </c>
      <c r="D19" s="1" t="s">
        <v>37</v>
      </c>
    </row>
    <row r="20" spans="1:4" ht="15">
      <c r="A20" s="1" t="s">
        <v>162</v>
      </c>
      <c r="B20" s="1" t="s">
        <v>134</v>
      </c>
      <c r="C20" s="1" t="str">
        <f t="shared" si="0"/>
        <v>Community in ActionDown Payment Assistance</v>
      </c>
      <c r="D20" s="1" t="s">
        <v>33</v>
      </c>
    </row>
    <row r="21" spans="1:4" ht="15">
      <c r="A21" s="1" t="s">
        <v>162</v>
      </c>
      <c r="B21" s="1" t="s">
        <v>130</v>
      </c>
      <c r="C21" s="1" t="str">
        <f t="shared" si="0"/>
        <v>Community in ActionHomeownership Centers</v>
      </c>
      <c r="D21" s="1" t="s">
        <v>170</v>
      </c>
    </row>
    <row r="22" spans="1:4" ht="15">
      <c r="A22" s="1" t="s">
        <v>162</v>
      </c>
      <c r="B22" s="1" t="s">
        <v>136</v>
      </c>
      <c r="C22" s="1" t="str">
        <f t="shared" si="0"/>
        <v>Community in ActionODVA</v>
      </c>
      <c r="D22" s="1" t="s">
        <v>170</v>
      </c>
    </row>
    <row r="23" spans="1:4" ht="15">
      <c r="A23" s="1" t="s">
        <v>176</v>
      </c>
      <c r="B23" s="1" t="s">
        <v>134</v>
      </c>
      <c r="C23" s="1" t="str">
        <f t="shared" si="0"/>
        <v>DPA ReservedDown Payment Assistance</v>
      </c>
      <c r="D23" s="1" t="s">
        <v>137</v>
      </c>
    </row>
    <row r="24" spans="1:4" ht="15">
      <c r="A24" s="1" t="s">
        <v>181</v>
      </c>
      <c r="B24" s="1" t="s">
        <v>134</v>
      </c>
      <c r="C24" s="1" t="str">
        <f t="shared" si="0"/>
        <v>Habitat for Humanity BendDown Payment Assistance</v>
      </c>
      <c r="D24" s="1" t="s">
        <v>5</v>
      </c>
    </row>
    <row r="25" spans="1:4" ht="15">
      <c r="A25" s="1" t="s">
        <v>128</v>
      </c>
      <c r="B25" s="1" t="s">
        <v>134</v>
      </c>
      <c r="C25" s="1" t="str">
        <f t="shared" si="0"/>
        <v>Habitat for Humanity of OregonDown Payment Assistance</v>
      </c>
      <c r="D25" s="1" t="s">
        <v>137</v>
      </c>
    </row>
    <row r="26" spans="1:4" ht="15">
      <c r="A26" s="1" t="s">
        <v>128</v>
      </c>
      <c r="B26" s="1" t="s">
        <v>136</v>
      </c>
      <c r="C26" s="1" t="str">
        <f t="shared" si="0"/>
        <v>Habitat for Humanity of OregonODVA</v>
      </c>
      <c r="D26" s="1" t="s">
        <v>137</v>
      </c>
    </row>
    <row r="27" spans="1:4" ht="15">
      <c r="A27" s="1" t="s">
        <v>129</v>
      </c>
      <c r="B27" s="1" t="s">
        <v>134</v>
      </c>
      <c r="C27" s="1" t="str">
        <f t="shared" si="0"/>
        <v>Habitat for Humanity Portland/MetroDown Payment Assistance</v>
      </c>
      <c r="D27" s="1" t="s">
        <v>142</v>
      </c>
    </row>
    <row r="28" spans="1:4" ht="15">
      <c r="A28" s="1" t="s">
        <v>184</v>
      </c>
      <c r="B28" s="1" t="s">
        <v>134</v>
      </c>
      <c r="C28" s="1" t="str">
        <f t="shared" si="0"/>
        <v>Habitat for Humanity Willamette WestDown Payment Assistance</v>
      </c>
      <c r="D28" s="1" t="s">
        <v>2</v>
      </c>
    </row>
    <row r="29" spans="1:4" ht="15">
      <c r="A29" s="1" t="s">
        <v>184</v>
      </c>
      <c r="B29" s="1" t="s">
        <v>136</v>
      </c>
      <c r="C29" s="1" t="str">
        <f t="shared" si="0"/>
        <v>Habitat for Humanity Willamette WestODVA</v>
      </c>
      <c r="D29" s="1" t="s">
        <v>2</v>
      </c>
    </row>
    <row r="30" spans="1:4" ht="15">
      <c r="A30" s="1" t="s">
        <v>126</v>
      </c>
      <c r="B30" s="1" t="s">
        <v>134</v>
      </c>
      <c r="C30" s="1" t="str">
        <f t="shared" si="0"/>
        <v>HaciendaDown Payment Assistance</v>
      </c>
      <c r="D30" s="1" t="s">
        <v>139</v>
      </c>
    </row>
    <row r="31" spans="1:4" ht="15">
      <c r="A31" s="1" t="s">
        <v>126</v>
      </c>
      <c r="B31" s="1" t="s">
        <v>131</v>
      </c>
      <c r="C31" s="1" t="str">
        <f t="shared" si="0"/>
        <v>HaciendaHomeownership Assistance</v>
      </c>
      <c r="D31" s="1" t="s">
        <v>0</v>
      </c>
    </row>
    <row r="32" spans="1:4" ht="15">
      <c r="A32" s="1" t="s">
        <v>126</v>
      </c>
      <c r="B32" s="1" t="s">
        <v>130</v>
      </c>
      <c r="C32" s="1" t="str">
        <f t="shared" si="0"/>
        <v>HaciendaHomeownership Centers</v>
      </c>
      <c r="D32" s="1" t="s">
        <v>139</v>
      </c>
    </row>
    <row r="33" spans="1:4" ht="15">
      <c r="A33" s="1" t="s">
        <v>164</v>
      </c>
      <c r="B33" s="1" t="s">
        <v>135</v>
      </c>
      <c r="C33" s="1" t="str">
        <f t="shared" si="0"/>
        <v>Homeownership Center Data Training w/ Counselor MaxTraining</v>
      </c>
      <c r="D33" s="1" t="s">
        <v>137</v>
      </c>
    </row>
    <row r="34" spans="1:4" ht="15">
      <c r="A34" s="1" t="s">
        <v>182</v>
      </c>
      <c r="B34" s="1" t="s">
        <v>130</v>
      </c>
      <c r="C34" s="1" t="str">
        <f t="shared" si="0"/>
        <v>Homeownership Center of Lane CountyHomeownership Centers</v>
      </c>
      <c r="D34" s="1" t="s">
        <v>39</v>
      </c>
    </row>
    <row r="35" spans="1:4" ht="15">
      <c r="A35" s="1" t="s">
        <v>183</v>
      </c>
      <c r="B35" s="1" t="s">
        <v>130</v>
      </c>
      <c r="C35" s="1" t="str">
        <f t="shared" si="0"/>
        <v>Homeownership Center of Marion CountyHomeownership Centers</v>
      </c>
      <c r="D35" s="1" t="s">
        <v>3</v>
      </c>
    </row>
    <row r="36" spans="1:4" ht="15">
      <c r="A36" s="1" t="s">
        <v>122</v>
      </c>
      <c r="B36" s="1" t="s">
        <v>131</v>
      </c>
      <c r="C36" s="1" t="str">
        <f t="shared" si="0"/>
        <v>Homeownership FairsHomeownership Assistance</v>
      </c>
      <c r="D36" s="1" t="s">
        <v>0</v>
      </c>
    </row>
    <row r="37" spans="1:4" ht="15">
      <c r="A37" s="1" t="s">
        <v>157</v>
      </c>
      <c r="B37" s="1" t="s">
        <v>131</v>
      </c>
      <c r="C37" s="1" t="str">
        <f t="shared" si="0"/>
        <v>Host DevelopmentHomeownership Assistance</v>
      </c>
      <c r="D37" s="1" t="s">
        <v>139</v>
      </c>
    </row>
    <row r="38" spans="1:4" ht="15">
      <c r="A38" s="1" t="s">
        <v>127</v>
      </c>
      <c r="B38" s="1" t="s">
        <v>134</v>
      </c>
      <c r="C38" s="1" t="str">
        <f t="shared" si="0"/>
        <v>Housing Authority of Yamhill CountyDown Payment Assistance</v>
      </c>
      <c r="D38" s="1" t="s">
        <v>10</v>
      </c>
    </row>
    <row r="39" spans="1:4" ht="15">
      <c r="A39" s="1" t="s">
        <v>127</v>
      </c>
      <c r="B39" s="1" t="s">
        <v>133</v>
      </c>
      <c r="C39" s="1" t="str">
        <f t="shared" si="0"/>
        <v>Housing Authority of Yamhill CountyHomeownership Innovation</v>
      </c>
      <c r="D39" s="1" t="s">
        <v>10</v>
      </c>
    </row>
    <row r="40" spans="1:4" ht="15">
      <c r="A40" s="1" t="s">
        <v>127</v>
      </c>
      <c r="B40" s="1" t="s">
        <v>136</v>
      </c>
      <c r="C40" s="1" t="str">
        <f t="shared" si="0"/>
        <v>Housing Authority of Yamhill CountyODVA</v>
      </c>
      <c r="D40" s="1" t="s">
        <v>10</v>
      </c>
    </row>
    <row r="41" spans="1:4" ht="15">
      <c r="A41" s="1" t="s">
        <v>174</v>
      </c>
      <c r="B41" s="1" t="s">
        <v>134</v>
      </c>
      <c r="C41" s="1" t="str">
        <f aca="true" t="shared" si="1" ref="C41:C74">A41&amp;B41</f>
        <v>Klamath &amp; Lake Community Action ServicesDown Payment Assistance</v>
      </c>
      <c r="D41" s="1" t="s">
        <v>145</v>
      </c>
    </row>
    <row r="42" spans="1:4" ht="15">
      <c r="A42" s="1" t="s">
        <v>174</v>
      </c>
      <c r="B42" s="1" t="s">
        <v>131</v>
      </c>
      <c r="C42" s="1" t="str">
        <f t="shared" si="1"/>
        <v>Klamath &amp; Lake Community Action ServicesHomeownership Assistance</v>
      </c>
      <c r="D42" s="1" t="s">
        <v>145</v>
      </c>
    </row>
    <row r="43" spans="1:4" ht="15">
      <c r="A43" s="1" t="s">
        <v>174</v>
      </c>
      <c r="B43" s="1" t="s">
        <v>130</v>
      </c>
      <c r="C43" s="1" t="str">
        <f t="shared" si="1"/>
        <v>Klamath &amp; Lake Community Action ServicesHomeownership Centers</v>
      </c>
      <c r="D43" s="1" t="s">
        <v>145</v>
      </c>
    </row>
    <row r="44" spans="1:4" ht="15">
      <c r="A44" s="1" t="s">
        <v>175</v>
      </c>
      <c r="B44" s="1" t="s">
        <v>130</v>
      </c>
      <c r="C44" s="1" t="str">
        <f t="shared" si="1"/>
        <v>Lincoln/Malheur Counties &amp; Harney County RFAHomeownership Centers</v>
      </c>
      <c r="D44" s="1" t="s">
        <v>166</v>
      </c>
    </row>
    <row r="45" spans="1:4" ht="15">
      <c r="A45" s="1" t="s">
        <v>111</v>
      </c>
      <c r="B45" s="1" t="s">
        <v>130</v>
      </c>
      <c r="C45" s="1" t="str">
        <f t="shared" si="1"/>
        <v>Linn, Benton, Lincoln Regional Housing CenterHomeownership Centers</v>
      </c>
      <c r="D45" s="1" t="s">
        <v>148</v>
      </c>
    </row>
    <row r="46" spans="1:4" ht="15">
      <c r="A46" s="1" t="s">
        <v>155</v>
      </c>
      <c r="B46" s="1" t="s">
        <v>131</v>
      </c>
      <c r="C46" s="1" t="str">
        <f t="shared" si="1"/>
        <v>Match to leverage Foreclosure Counseling FundsHomeownership Assistance</v>
      </c>
      <c r="D46" s="1" t="s">
        <v>137</v>
      </c>
    </row>
    <row r="47" spans="1:4" ht="15">
      <c r="A47" s="1" t="s">
        <v>116</v>
      </c>
      <c r="B47" s="1" t="s">
        <v>130</v>
      </c>
      <c r="C47" s="1" t="str">
        <f t="shared" si="1"/>
        <v>Mid Columbia Housing AuthorityHomeownership Centers</v>
      </c>
      <c r="D47" s="1" t="s">
        <v>140</v>
      </c>
    </row>
    <row r="48" spans="1:4" ht="15">
      <c r="A48" s="1" t="s">
        <v>172</v>
      </c>
      <c r="B48" s="1" t="s">
        <v>134</v>
      </c>
      <c r="C48" s="1" t="str">
        <f t="shared" si="1"/>
        <v>Native American Youth &amp; Family CenterDown Payment Assistance</v>
      </c>
      <c r="D48" s="1" t="s">
        <v>139</v>
      </c>
    </row>
    <row r="49" spans="1:4" ht="15">
      <c r="A49" s="1" t="s">
        <v>172</v>
      </c>
      <c r="B49" s="1" t="s">
        <v>130</v>
      </c>
      <c r="C49" s="1" t="str">
        <f t="shared" si="1"/>
        <v>Native American Youth &amp; Family CenterHomeownership Centers</v>
      </c>
      <c r="D49" s="1" t="s">
        <v>139</v>
      </c>
    </row>
    <row r="50" spans="1:4" ht="15">
      <c r="A50" s="1" t="s">
        <v>172</v>
      </c>
      <c r="B50" s="1" t="s">
        <v>133</v>
      </c>
      <c r="C50" s="1" t="str">
        <f t="shared" si="1"/>
        <v>Native American Youth &amp; Family CenterHomeownership Innovation</v>
      </c>
      <c r="D50" s="1" t="s">
        <v>139</v>
      </c>
    </row>
    <row r="51" spans="1:4" ht="15">
      <c r="A51" s="1" t="s">
        <v>123</v>
      </c>
      <c r="B51" s="1" t="s">
        <v>134</v>
      </c>
      <c r="C51" s="1" t="str">
        <f t="shared" si="1"/>
        <v>NEDCODown Payment Assistance</v>
      </c>
      <c r="D51" s="1" t="s">
        <v>160</v>
      </c>
    </row>
    <row r="52" spans="1:4" ht="15">
      <c r="A52" s="1" t="s">
        <v>123</v>
      </c>
      <c r="B52" s="1" t="s">
        <v>131</v>
      </c>
      <c r="C52" s="1" t="str">
        <f t="shared" si="1"/>
        <v>NEDCOHomeownership Assistance</v>
      </c>
      <c r="D52" s="1" t="s">
        <v>160</v>
      </c>
    </row>
    <row r="53" spans="1:4" ht="15">
      <c r="A53" s="1" t="s">
        <v>123</v>
      </c>
      <c r="B53" s="1" t="s">
        <v>130</v>
      </c>
      <c r="C53" s="1" t="str">
        <f t="shared" si="1"/>
        <v>NEDCOHomeownership Centers</v>
      </c>
      <c r="D53" s="1" t="s">
        <v>160</v>
      </c>
    </row>
    <row r="54" spans="1:4" ht="15">
      <c r="A54" s="1" t="s">
        <v>123</v>
      </c>
      <c r="B54" s="1" t="s">
        <v>133</v>
      </c>
      <c r="C54" s="1" t="str">
        <f t="shared" si="1"/>
        <v>NEDCOHomeownership Innovation</v>
      </c>
      <c r="D54" s="1" t="s">
        <v>39</v>
      </c>
    </row>
    <row r="55" spans="1:4" ht="15">
      <c r="A55" s="1" t="s">
        <v>115</v>
      </c>
      <c r="B55" s="1" t="s">
        <v>134</v>
      </c>
      <c r="C55" s="1" t="str">
        <f t="shared" si="1"/>
        <v>NeighborImpactDown Payment Assistance</v>
      </c>
      <c r="D55" s="1" t="s">
        <v>149</v>
      </c>
    </row>
    <row r="56" spans="1:4" ht="15">
      <c r="A56" s="1" t="s">
        <v>115</v>
      </c>
      <c r="B56" s="1" t="s">
        <v>130</v>
      </c>
      <c r="C56" s="1" t="str">
        <f t="shared" si="1"/>
        <v>NeighborImpactHomeownership Centers</v>
      </c>
      <c r="D56" s="1" t="s">
        <v>149</v>
      </c>
    </row>
    <row r="57" spans="1:4" ht="15">
      <c r="A57" s="1" t="s">
        <v>191</v>
      </c>
      <c r="B57" s="1" t="s">
        <v>134</v>
      </c>
      <c r="C57" s="1" t="str">
        <f t="shared" si="1"/>
        <v>Neighborworks Umpqua RegionalDown Payment Assistance</v>
      </c>
      <c r="D57" s="1" t="s">
        <v>143</v>
      </c>
    </row>
    <row r="58" spans="1:4" ht="15">
      <c r="A58" s="1" t="s">
        <v>191</v>
      </c>
      <c r="B58" s="1" t="s">
        <v>130</v>
      </c>
      <c r="C58" s="1" t="str">
        <f t="shared" si="1"/>
        <v>Neighborworks Umpqua RegionalHomeownership Centers</v>
      </c>
      <c r="D58" s="1" t="s">
        <v>143</v>
      </c>
    </row>
    <row r="59" spans="1:4" ht="15">
      <c r="A59" s="1" t="s">
        <v>191</v>
      </c>
      <c r="B59" s="1" t="s">
        <v>133</v>
      </c>
      <c r="C59" s="1" t="str">
        <f t="shared" si="1"/>
        <v>Neighborworks Umpqua RegionalHomeownership Innovation</v>
      </c>
      <c r="D59" s="1" t="s">
        <v>143</v>
      </c>
    </row>
    <row r="60" spans="1:4" ht="15">
      <c r="A60" s="1" t="s">
        <v>191</v>
      </c>
      <c r="B60" s="1" t="s">
        <v>136</v>
      </c>
      <c r="C60" s="1" t="str">
        <f t="shared" si="1"/>
        <v>Neighborworks Umpqua RegionalODVA</v>
      </c>
      <c r="D60" s="1" t="s">
        <v>143</v>
      </c>
    </row>
    <row r="61" spans="1:4" ht="15">
      <c r="A61" s="1" t="s">
        <v>132</v>
      </c>
      <c r="B61" s="1" t="s">
        <v>134</v>
      </c>
      <c r="C61" s="1" t="str">
        <f t="shared" si="1"/>
        <v>Open Door Counseling CenterDown Payment Assistance</v>
      </c>
      <c r="D61" s="1" t="s">
        <v>2</v>
      </c>
    </row>
    <row r="62" spans="1:4" ht="15">
      <c r="A62" s="1" t="s">
        <v>132</v>
      </c>
      <c r="B62" s="1" t="s">
        <v>130</v>
      </c>
      <c r="C62" s="1" t="str">
        <f t="shared" si="1"/>
        <v>Open Door Counseling CenterHomeownership Centers</v>
      </c>
      <c r="D62" s="1" t="s">
        <v>2</v>
      </c>
    </row>
    <row r="63" spans="1:4" ht="15">
      <c r="A63" s="1" t="s">
        <v>159</v>
      </c>
      <c r="B63" s="1" t="s">
        <v>134</v>
      </c>
      <c r="C63" s="1" t="str">
        <f t="shared" si="1"/>
        <v>Oregon Bankers AssociationDown Payment Assistance</v>
      </c>
      <c r="D63" s="1" t="s">
        <v>137</v>
      </c>
    </row>
    <row r="64" spans="1:4" ht="15">
      <c r="A64" s="1" t="s">
        <v>159</v>
      </c>
      <c r="B64" s="1" t="s">
        <v>131</v>
      </c>
      <c r="C64" s="1" t="str">
        <f t="shared" si="1"/>
        <v>Oregon Bankers AssociationHomeownership Assistance</v>
      </c>
      <c r="D64" s="1" t="s">
        <v>137</v>
      </c>
    </row>
    <row r="65" spans="1:4" ht="15">
      <c r="A65" s="1" t="s">
        <v>154</v>
      </c>
      <c r="B65" s="1" t="s">
        <v>134</v>
      </c>
      <c r="C65" s="1" t="str">
        <f t="shared" si="1"/>
        <v>Oregon Bond ProgramDown Payment Assistance</v>
      </c>
      <c r="D65" s="1" t="s">
        <v>137</v>
      </c>
    </row>
    <row r="66" spans="1:4" ht="15">
      <c r="A66" s="43" t="s">
        <v>153</v>
      </c>
      <c r="B66" s="1" t="s">
        <v>136</v>
      </c>
      <c r="C66" s="1" t="str">
        <f t="shared" si="1"/>
        <v>Oregon Department of Veterans Affairs Interagency AgreementODVA</v>
      </c>
      <c r="D66" s="1" t="s">
        <v>137</v>
      </c>
    </row>
    <row r="67" spans="1:4" ht="15">
      <c r="A67" s="1" t="s">
        <v>165</v>
      </c>
      <c r="B67" s="1" t="s">
        <v>136</v>
      </c>
      <c r="C67" s="1" t="str">
        <f t="shared" si="1"/>
        <v>Oregon Dept of Veteran Affairs (IAA)ODVA</v>
      </c>
      <c r="D67" s="1" t="s">
        <v>137</v>
      </c>
    </row>
    <row r="68" spans="1:4" ht="15">
      <c r="A68" s="1" t="s">
        <v>120</v>
      </c>
      <c r="B68" s="1" t="s">
        <v>131</v>
      </c>
      <c r="C68" s="1" t="str">
        <f t="shared" si="1"/>
        <v>Oregon Homeownership AssociationHomeownership Assistance</v>
      </c>
      <c r="D68" s="1" t="s">
        <v>39</v>
      </c>
    </row>
    <row r="69" spans="1:4" ht="15">
      <c r="A69" s="1" t="s">
        <v>152</v>
      </c>
      <c r="B69" s="1" t="s">
        <v>135</v>
      </c>
      <c r="C69" s="1" t="str">
        <f t="shared" si="1"/>
        <v>Oregon Opportunity NetworkTraining</v>
      </c>
      <c r="D69" s="1" t="s">
        <v>137</v>
      </c>
    </row>
    <row r="70" spans="1:4" ht="15">
      <c r="A70" s="1" t="s">
        <v>163</v>
      </c>
      <c r="B70" s="1" t="s">
        <v>134</v>
      </c>
      <c r="C70" s="1" t="str">
        <f t="shared" si="1"/>
        <v>Portland Community Reinvestment InitiativesDown Payment Assistance</v>
      </c>
      <c r="D70" s="1" t="s">
        <v>0</v>
      </c>
    </row>
    <row r="71" spans="1:4" ht="15">
      <c r="A71" s="1" t="s">
        <v>163</v>
      </c>
      <c r="B71" s="1" t="s">
        <v>136</v>
      </c>
      <c r="C71" s="1" t="str">
        <f t="shared" si="1"/>
        <v>Portland Community Reinvestment InitiativesODVA</v>
      </c>
      <c r="D71" s="1" t="s">
        <v>0</v>
      </c>
    </row>
    <row r="72" spans="1:4" ht="15">
      <c r="A72" s="1" t="s">
        <v>110</v>
      </c>
      <c r="B72" s="1" t="s">
        <v>134</v>
      </c>
      <c r="C72" s="1" t="str">
        <f t="shared" si="1"/>
        <v>Portland Housing CenterDown Payment Assistance</v>
      </c>
      <c r="D72" s="1" t="s">
        <v>139</v>
      </c>
    </row>
    <row r="73" spans="1:4" ht="15">
      <c r="A73" s="1" t="s">
        <v>110</v>
      </c>
      <c r="B73" s="1" t="s">
        <v>131</v>
      </c>
      <c r="C73" s="1" t="str">
        <f t="shared" si="1"/>
        <v>Portland Housing CenterHomeownership Assistance</v>
      </c>
      <c r="D73" s="1" t="s">
        <v>139</v>
      </c>
    </row>
    <row r="74" spans="1:4" ht="15">
      <c r="A74" s="1" t="s">
        <v>110</v>
      </c>
      <c r="B74" s="1" t="s">
        <v>130</v>
      </c>
      <c r="C74" s="1" t="str">
        <f t="shared" si="1"/>
        <v>Portland Housing CenterHomeownership Centers</v>
      </c>
      <c r="D74" s="1" t="s">
        <v>139</v>
      </c>
    </row>
    <row r="75" spans="1:4" ht="15">
      <c r="A75" s="1" t="s">
        <v>110</v>
      </c>
      <c r="B75" s="1" t="s">
        <v>133</v>
      </c>
      <c r="C75" s="1" t="str">
        <f aca="true" t="shared" si="2" ref="C75:C81">A75&amp;B75</f>
        <v>Portland Housing CenterHomeownership Innovation</v>
      </c>
      <c r="D75" s="1" t="s">
        <v>139</v>
      </c>
    </row>
    <row r="76" spans="1:4" ht="15">
      <c r="A76" s="1" t="s">
        <v>124</v>
      </c>
      <c r="B76" s="1" t="s">
        <v>134</v>
      </c>
      <c r="C76" s="1" t="str">
        <f t="shared" si="2"/>
        <v>Proud GroundDown Payment Assistance</v>
      </c>
      <c r="D76" s="1" t="s">
        <v>139</v>
      </c>
    </row>
    <row r="77" spans="1:4" ht="15">
      <c r="A77" s="1" t="s">
        <v>192</v>
      </c>
      <c r="B77" s="1" t="s">
        <v>136</v>
      </c>
      <c r="C77" s="1" t="str">
        <f t="shared" si="2"/>
        <v>Washington County Office of Community DevelopmentODVA</v>
      </c>
      <c r="D77" s="1" t="s">
        <v>2</v>
      </c>
    </row>
    <row r="78" spans="1:4" ht="15">
      <c r="A78" s="1" t="s">
        <v>114</v>
      </c>
      <c r="B78" s="1" t="s">
        <v>134</v>
      </c>
      <c r="C78" s="1" t="str">
        <f t="shared" si="2"/>
        <v>Willamette Neighborhood Housing ServicesDown Payment Assistance</v>
      </c>
      <c r="D78" s="1" t="s">
        <v>144</v>
      </c>
    </row>
    <row r="79" spans="1:4" ht="15">
      <c r="A79" s="1" t="s">
        <v>114</v>
      </c>
      <c r="B79" s="1" t="s">
        <v>130</v>
      </c>
      <c r="C79" s="1" t="str">
        <f t="shared" si="2"/>
        <v>Willamette Neighborhood Housing ServicesHomeownership Centers</v>
      </c>
      <c r="D79" s="1" t="s">
        <v>144</v>
      </c>
    </row>
    <row r="80" spans="1:4" ht="15">
      <c r="A80" s="1" t="s">
        <v>114</v>
      </c>
      <c r="B80" s="1" t="s">
        <v>136</v>
      </c>
      <c r="C80" s="1" t="str">
        <f t="shared" si="2"/>
        <v>Willamette Neighborhood Housing ServicesODVA</v>
      </c>
      <c r="D80" s="1" t="s">
        <v>144</v>
      </c>
    </row>
    <row r="81" spans="1:4" ht="15">
      <c r="A81" s="1" t="s">
        <v>113</v>
      </c>
      <c r="B81" s="1" t="s">
        <v>130</v>
      </c>
      <c r="C81" s="1" t="str">
        <f t="shared" si="2"/>
        <v>Yamhill County Affordable Housing CorporationHomeownership Centers</v>
      </c>
      <c r="D81" s="1" t="s">
        <v>158</v>
      </c>
    </row>
  </sheetData>
  <sheetProtection/>
  <autoFilter ref="A1:D81">
    <sortState ref="A2:D81">
      <sortCondition sortBy="value" ref="A2:A81"/>
    </sortState>
  </autoFilter>
  <conditionalFormatting sqref="C1:C65536">
    <cfRule type="duplicateValues" priority="1" dxfId="2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Recording Fee: DRF-03-31-2018 Homeownership Assistance</dc:title>
  <dc:subject/>
  <dc:creator>Kenneth Tennies</dc:creator>
  <cp:keywords>Document Recording Fee: DRF-03-31-2018 Homeownership Assistance</cp:keywords>
  <dc:description/>
  <cp:lastModifiedBy>Suzanne Harris</cp:lastModifiedBy>
  <dcterms:created xsi:type="dcterms:W3CDTF">2015-10-29T18:10:12Z</dcterms:created>
  <dcterms:modified xsi:type="dcterms:W3CDTF">2018-07-03T20:04:37Z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MapIdIndex">
    <vt:lpwstr>12</vt:lpwstr>
  </property>
  <property fmtid="{D5CDD505-2E9C-101B-9397-08002B2CF9AE}" pid="3" name="ESRI_WORKBOOK_ID">
    <vt:lpwstr>20167af1e97647c1a634b03e10926dbe</vt:lpwstr>
  </property>
  <property fmtid="{D5CDD505-2E9C-101B-9397-08002B2CF9AE}" pid="4" name="DocumentLocale">
    <vt:lpwstr>en</vt:lpwstr>
  </property>
  <property fmtid="{D5CDD505-2E9C-101B-9397-08002B2CF9AE}" pid="5" name="CopyToStateLib">
    <vt:lpwstr>0</vt:lpwstr>
  </property>
  <property fmtid="{D5CDD505-2E9C-101B-9397-08002B2CF9AE}" pid="6" name="Metadata">
    <vt:lpwstr>Document Recording Fee: DRF-03-31-2018 Homeownership Assistance</vt:lpwstr>
  </property>
  <property fmtid="{D5CDD505-2E9C-101B-9397-08002B2CF9AE}" pid="7" name="RoutingRuleDescription">
    <vt:lpwstr>Document Recording Fee: DRF-03-31-2018 Homeownership Assistance</vt:lpwstr>
  </property>
</Properties>
</file>