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External Report" sheetId="1" r:id="rId1"/>
  </sheets>
  <externalReferences>
    <externalReference r:id="rId4"/>
  </externalReferences>
  <definedNames>
    <definedName name="_1PROJECT_COSTS">#N/A</definedName>
    <definedName name="AWARDED">#N/A</definedName>
  </definedNames>
  <calcPr fullCalcOnLoad="1"/>
</workbook>
</file>

<file path=xl/comments1.xml><?xml version="1.0" encoding="utf-8"?>
<comments xmlns="http://schemas.openxmlformats.org/spreadsheetml/2006/main">
  <authors>
    <author>Carol Wagner</author>
  </authors>
  <commentList>
    <comment ref="J7" authorId="0">
      <text>
        <r>
          <rPr>
            <sz val="9"/>
            <rFont val="Tahoma"/>
            <family val="2"/>
          </rPr>
          <t xml:space="preserve">Includes Harney and Malheur Community Action Agency and Community in Action
</t>
        </r>
      </text>
    </comment>
  </commentList>
</comments>
</file>

<file path=xl/sharedStrings.xml><?xml version="1.0" encoding="utf-8"?>
<sst xmlns="http://schemas.openxmlformats.org/spreadsheetml/2006/main" count="387" uniqueCount="101">
  <si>
    <t>Program Statement</t>
  </si>
  <si>
    <t>Emergency Housing Account</t>
  </si>
  <si>
    <t>Funded through Document Recording Fee and State of Oregon General Fund</t>
  </si>
  <si>
    <t>July 1, 2009 through December 31, 2019</t>
  </si>
  <si>
    <t xml:space="preserve"> </t>
  </si>
  <si>
    <t>OHCS</t>
  </si>
  <si>
    <t>DISCRETIONARY</t>
  </si>
  <si>
    <t>ACCESS</t>
  </si>
  <si>
    <t>CAO</t>
  </si>
  <si>
    <t>CAPECO</t>
  </si>
  <si>
    <t>CAT</t>
  </si>
  <si>
    <t>CCN</t>
  </si>
  <si>
    <t>CCSSD</t>
  </si>
  <si>
    <t>CINA</t>
  </si>
  <si>
    <t>CSC</t>
  </si>
  <si>
    <t>KLCAS</t>
  </si>
  <si>
    <t>LCHHS</t>
  </si>
  <si>
    <t>MCCAC</t>
  </si>
  <si>
    <t>MULTCO</t>
  </si>
  <si>
    <t>MWVCAA</t>
  </si>
  <si>
    <t>NIMPACT</t>
  </si>
  <si>
    <t>OHDC</t>
  </si>
  <si>
    <t>ORCCA</t>
  </si>
  <si>
    <t>UCAN</t>
  </si>
  <si>
    <t>YCAP</t>
  </si>
  <si>
    <t>ADMIN</t>
  </si>
  <si>
    <t>OTHER</t>
  </si>
  <si>
    <t>Jackson</t>
  </si>
  <si>
    <t>Washington</t>
  </si>
  <si>
    <t>Gilliam, Morrow, Umatilla, Wheeler</t>
  </si>
  <si>
    <t>Clatsop, Columbia, Tillamook</t>
  </si>
  <si>
    <t>Baker, Grant, Union, Wallowa</t>
  </si>
  <si>
    <t>Clackamas</t>
  </si>
  <si>
    <t>Harney, Malheur</t>
  </si>
  <si>
    <t>Benton, Lincoln, Linn</t>
  </si>
  <si>
    <t>Klamath, Lake</t>
  </si>
  <si>
    <t>Lane</t>
  </si>
  <si>
    <t>Hood River, Sherman, Wasco</t>
  </si>
  <si>
    <t>Multnomah</t>
  </si>
  <si>
    <t>Marion, Polk</t>
  </si>
  <si>
    <t>Crook, Deschutes, Jefferson</t>
  </si>
  <si>
    <t>Farmworkers</t>
  </si>
  <si>
    <t>Coos, Curry</t>
  </si>
  <si>
    <t>Douglas, Josephine</t>
  </si>
  <si>
    <t>Yamhill</t>
  </si>
  <si>
    <t>Total</t>
  </si>
  <si>
    <t>Starting Balance - July 1, 2009</t>
  </si>
  <si>
    <t>Revenues:</t>
  </si>
  <si>
    <t xml:space="preserve">  General Fund </t>
  </si>
  <si>
    <t xml:space="preserve">  Document Recording Fee</t>
  </si>
  <si>
    <t xml:space="preserve">  Treasury Interest</t>
  </si>
  <si>
    <t>Total Revenues</t>
  </si>
  <si>
    <t>Expenditures:</t>
  </si>
  <si>
    <t xml:space="preserve">  OHCS Administration</t>
  </si>
  <si>
    <t xml:space="preserve">  Administration</t>
  </si>
  <si>
    <t xml:space="preserve">  Discretionary Administration</t>
  </si>
  <si>
    <t xml:space="preserve">  Discretionary Program</t>
  </si>
  <si>
    <t xml:space="preserve">  Program</t>
  </si>
  <si>
    <t>Total Expenditures</t>
  </si>
  <si>
    <t>Cash Balance at June 30, 2011</t>
  </si>
  <si>
    <t xml:space="preserve">  Allocated but not Expended at June 30, 2011</t>
  </si>
  <si>
    <t>Unobligated Cash Balance at June 30, 2011</t>
  </si>
  <si>
    <t>Starting Balance - July 1, 2011</t>
  </si>
  <si>
    <t>Cash Balance at June 30, 2013</t>
  </si>
  <si>
    <t xml:space="preserve">  Allocated but not Expended at June 30, 2013</t>
  </si>
  <si>
    <t>Unobligated Cash Balance at June 30, 2013</t>
  </si>
  <si>
    <t>Starting Balance - July 1, 2013</t>
  </si>
  <si>
    <t xml:space="preserve">  Document Recording Fee - Vets</t>
  </si>
  <si>
    <t xml:space="preserve">  OHCS Administration - Vets</t>
  </si>
  <si>
    <t xml:space="preserve">  Administration - Vets </t>
  </si>
  <si>
    <t xml:space="preserve">  Program - Vets </t>
  </si>
  <si>
    <t>Cash Balance at June 30, 2015</t>
  </si>
  <si>
    <t xml:space="preserve">  Allocated but not Expended at June 30, 2015</t>
  </si>
  <si>
    <t>Unobligated Cash Balance at June 30, 2015</t>
  </si>
  <si>
    <t>Starting Balance - July 1, 2015</t>
  </si>
  <si>
    <t xml:space="preserve">  Administration - February 2016 Appropriation</t>
  </si>
  <si>
    <t xml:space="preserve">  Program- February 2016 Appropriation</t>
  </si>
  <si>
    <t>Cash Balance at June 30, 2017</t>
  </si>
  <si>
    <t xml:space="preserve">  Allocated but not Expended at June 30, 2017</t>
  </si>
  <si>
    <t xml:space="preserve">  Allocated but not Expended at June 30, 2017 - February 2016 Appropriation</t>
  </si>
  <si>
    <t xml:space="preserve">  </t>
  </si>
  <si>
    <t>Unobligated Cash Balance at June 30, 2017</t>
  </si>
  <si>
    <t>Starting Balance - July 1, 2017</t>
  </si>
  <si>
    <t xml:space="preserve">  HB 5201</t>
  </si>
  <si>
    <t xml:space="preserve">  Conference Registration</t>
  </si>
  <si>
    <t xml:space="preserve">  Returned Funds</t>
  </si>
  <si>
    <t xml:space="preserve">  Administration - February 2016 Appropriation &amp; HB 5201</t>
  </si>
  <si>
    <t xml:space="preserve">  Program- February 2016 Appropriation &amp; HB 5201</t>
  </si>
  <si>
    <t>Cash Balance at June 30, 2019</t>
  </si>
  <si>
    <t xml:space="preserve">  Allocated but not Expended at June 30, 2019</t>
  </si>
  <si>
    <t xml:space="preserve">  Allocated but not Expended at June 30, 2019 - HB 5201</t>
  </si>
  <si>
    <t>Unobligated Cash Balance at June 30, 2019</t>
  </si>
  <si>
    <t>Starting Balance - July 1, 2019</t>
  </si>
  <si>
    <t xml:space="preserve">  Security Deposit Interest</t>
  </si>
  <si>
    <t xml:space="preserve">  Administration - GF</t>
  </si>
  <si>
    <t xml:space="preserve">  Admin HB 5201</t>
  </si>
  <si>
    <t xml:space="preserve">  Program- GF</t>
  </si>
  <si>
    <t xml:space="preserve">  Program HB 5201</t>
  </si>
  <si>
    <t>Cash Balance at December 31, 2019</t>
  </si>
  <si>
    <t xml:space="preserve">  Allocated but not Expended at December 31, 2019</t>
  </si>
  <si>
    <t>Unobligated Cash Balance at December 31,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</si>
</sst>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8"/>
      <name val="MS Sans Serif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2">
    <xf numFmtId="0" fontId="0" fillId="0" borderId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43" fontId="20" fillId="0" borderId="0" applyNumberFormat="0">
      <alignment vertical="top"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 vertical="top"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9" fontId="19" fillId="0" borderId="0" xfId="58" applyFont="1" applyAlignment="1" applyProtection="1">
      <alignment/>
      <protection/>
    </xf>
    <xf numFmtId="43" fontId="21" fillId="0" borderId="0" xfId="55" applyFont="1">
      <alignment vertical="top"/>
      <protection/>
    </xf>
    <xf numFmtId="14" fontId="19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/>
      <protection/>
    </xf>
    <xf numFmtId="9" fontId="18" fillId="0" borderId="0" xfId="58" applyFont="1" applyAlignment="1" applyProtection="1">
      <alignment horizontal="center"/>
      <protection/>
    </xf>
    <xf numFmtId="43" fontId="18" fillId="0" borderId="0" xfId="55" applyFont="1" applyFill="1" applyAlignment="1">
      <alignment horizontal="center" vertical="top"/>
      <protection/>
    </xf>
    <xf numFmtId="14" fontId="18" fillId="0" borderId="0" xfId="0" applyNumberFormat="1" applyFont="1" applyAlignment="1" applyProtection="1">
      <alignment horizontal="center"/>
      <protection/>
    </xf>
    <xf numFmtId="0" fontId="18" fillId="0" borderId="10" xfId="0" applyFont="1" applyBorder="1" applyAlignment="1" applyProtection="1">
      <alignment horizontal="center" vertical="top"/>
      <protection/>
    </xf>
    <xf numFmtId="0" fontId="18" fillId="0" borderId="10" xfId="0" applyFont="1" applyFill="1" applyBorder="1" applyAlignment="1" applyProtection="1">
      <alignment horizontal="center" vertical="top"/>
      <protection/>
    </xf>
    <xf numFmtId="0" fontId="18" fillId="0" borderId="10" xfId="0" applyFont="1" applyFill="1" applyBorder="1" applyAlignment="1" applyProtection="1">
      <alignment horizontal="center" vertical="top" wrapText="1"/>
      <protection/>
    </xf>
    <xf numFmtId="9" fontId="18" fillId="0" borderId="10" xfId="58" applyFont="1" applyBorder="1" applyAlignment="1" applyProtection="1">
      <alignment horizontal="center" vertical="top"/>
      <protection/>
    </xf>
    <xf numFmtId="43" fontId="18" fillId="0" borderId="10" xfId="55" applyFont="1" applyFill="1" applyBorder="1" applyAlignment="1">
      <alignment horizontal="center" vertical="top" wrapText="1"/>
      <protection/>
    </xf>
    <xf numFmtId="14" fontId="18" fillId="0" borderId="10" xfId="0" applyNumberFormat="1" applyFont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39" fontId="19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37" fontId="19" fillId="0" borderId="0" xfId="0" applyNumberFormat="1" applyFont="1" applyFill="1" applyAlignment="1" applyProtection="1">
      <alignment/>
      <protection/>
    </xf>
    <xf numFmtId="37" fontId="19" fillId="0" borderId="0" xfId="0" applyNumberFormat="1" applyFont="1" applyAlignment="1" applyProtection="1">
      <alignment/>
      <protection/>
    </xf>
    <xf numFmtId="0" fontId="19" fillId="0" borderId="10" xfId="0" applyFont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9" fontId="19" fillId="0" borderId="10" xfId="58" applyFont="1" applyBorder="1" applyAlignment="1" applyProtection="1">
      <alignment/>
      <protection/>
    </xf>
    <xf numFmtId="43" fontId="21" fillId="0" borderId="10" xfId="55" applyFont="1" applyBorder="1">
      <alignment vertical="top"/>
      <protection/>
    </xf>
    <xf numFmtId="14" fontId="19" fillId="0" borderId="10" xfId="0" applyNumberFormat="1" applyFont="1" applyBorder="1" applyAlignment="1" applyProtection="1">
      <alignment/>
      <protection/>
    </xf>
    <xf numFmtId="37" fontId="19" fillId="0" borderId="10" xfId="0" applyNumberFormat="1" applyFont="1" applyBorder="1" applyAlignment="1" applyProtection="1">
      <alignment/>
      <protection/>
    </xf>
    <xf numFmtId="39" fontId="19" fillId="0" borderId="0" xfId="0" applyNumberFormat="1" applyFont="1" applyFill="1" applyAlignment="1" applyProtection="1">
      <alignment/>
      <protection/>
    </xf>
    <xf numFmtId="39" fontId="19" fillId="0" borderId="0" xfId="58" applyNumberFormat="1" applyFont="1" applyAlignment="1" applyProtection="1">
      <alignment/>
      <protection/>
    </xf>
    <xf numFmtId="39" fontId="21" fillId="0" borderId="0" xfId="55" applyNumberFormat="1" applyFont="1">
      <alignment vertical="top"/>
      <protection/>
    </xf>
    <xf numFmtId="37" fontId="19" fillId="0" borderId="0" xfId="58" applyNumberFormat="1" applyFont="1" applyAlignment="1" applyProtection="1">
      <alignment/>
      <protection/>
    </xf>
    <xf numFmtId="37" fontId="19" fillId="0" borderId="0" xfId="55" applyNumberFormat="1" applyFont="1">
      <alignment vertical="top"/>
      <protection/>
    </xf>
    <xf numFmtId="37" fontId="19" fillId="0" borderId="10" xfId="0" applyNumberFormat="1" applyFont="1" applyFill="1" applyBorder="1" applyAlignment="1" applyProtection="1">
      <alignment/>
      <protection/>
    </xf>
    <xf numFmtId="37" fontId="19" fillId="0" borderId="10" xfId="58" applyNumberFormat="1" applyFont="1" applyBorder="1" applyAlignment="1" applyProtection="1">
      <alignment/>
      <protection/>
    </xf>
    <xf numFmtId="37" fontId="19" fillId="0" borderId="10" xfId="55" applyNumberFormat="1" applyFont="1" applyBorder="1">
      <alignment vertical="top"/>
      <protection/>
    </xf>
    <xf numFmtId="37" fontId="21" fillId="0" borderId="0" xfId="55" applyNumberFormat="1" applyFont="1">
      <alignment vertical="top"/>
      <protection/>
    </xf>
    <xf numFmtId="37" fontId="19" fillId="0" borderId="11" xfId="0" applyNumberFormat="1" applyFont="1" applyBorder="1" applyAlignment="1" applyProtection="1">
      <alignment/>
      <protection/>
    </xf>
    <xf numFmtId="37" fontId="19" fillId="0" borderId="11" xfId="0" applyNumberFormat="1" applyFont="1" applyFill="1" applyBorder="1" applyAlignment="1" applyProtection="1">
      <alignment/>
      <protection/>
    </xf>
    <xf numFmtId="37" fontId="19" fillId="0" borderId="11" xfId="58" applyNumberFormat="1" applyFont="1" applyBorder="1" applyAlignment="1" applyProtection="1">
      <alignment/>
      <protection/>
    </xf>
    <xf numFmtId="37" fontId="21" fillId="0" borderId="11" xfId="55" applyNumberFormat="1" applyFont="1" applyBorder="1">
      <alignment vertical="top"/>
      <protection/>
    </xf>
    <xf numFmtId="37" fontId="21" fillId="0" borderId="10" xfId="55" applyNumberFormat="1" applyFont="1" applyBorder="1">
      <alignment vertical="top"/>
      <protection/>
    </xf>
    <xf numFmtId="37" fontId="19" fillId="0" borderId="11" xfId="55" applyNumberFormat="1" applyFont="1" applyBorder="1">
      <alignment vertical="top"/>
      <protection/>
    </xf>
    <xf numFmtId="39" fontId="19" fillId="0" borderId="0" xfId="55" applyNumberFormat="1" applyFont="1">
      <alignment vertical="top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Fill="1" applyBorder="1" applyAlignment="1" applyProtection="1">
      <alignment/>
      <protection/>
    </xf>
    <xf numFmtId="37" fontId="19" fillId="0" borderId="0" xfId="58" applyNumberFormat="1" applyFont="1" applyBorder="1" applyAlignment="1" applyProtection="1">
      <alignment/>
      <protection/>
    </xf>
    <xf numFmtId="37" fontId="19" fillId="0" borderId="0" xfId="55" applyNumberFormat="1" applyFont="1" applyBorder="1">
      <alignment vertical="top"/>
      <protection/>
    </xf>
    <xf numFmtId="0" fontId="19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9" fontId="19" fillId="0" borderId="0" xfId="58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 05 CSS Prog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HA%2021%20%2012_31_19%20drft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nt Mgmt Rpt 19-21"/>
      <sheetName val="External Report"/>
      <sheetName val="Program Statement 17-19"/>
      <sheetName val="Program Statement from 070109"/>
      <sheetName val="Cash Flow 19-21"/>
      <sheetName val="Obligations 17-19 12-31-19"/>
      <sheetName val="Obligations 19-21 12-31-19"/>
      <sheetName val="Capacity Obligations"/>
      <sheetName val="Discretionary obligations"/>
      <sheetName val="Obligations 15-17"/>
      <sheetName val="GMR Working Copy"/>
      <sheetName val="Grant Mgmt Rpt 17-19"/>
      <sheetName val="Program Statement GF"/>
      <sheetName val="Program Statement DRF"/>
      <sheetName val="Program Statement DRF Vets"/>
      <sheetName val="Cash Flow 17-19"/>
      <sheetName val="Obligations 17-19"/>
      <sheetName val="Grant Mgmt Rpt 15-17"/>
      <sheetName val="Program Statement"/>
      <sheetName val="Cash Flow 15-17"/>
      <sheetName val="Sheet4"/>
    </sheetNames>
    <sheetDataSet>
      <sheetData sheetId="10">
        <row r="104">
          <cell r="V104">
            <v>14457890</v>
          </cell>
        </row>
        <row r="105">
          <cell r="V105">
            <v>2253706.38</v>
          </cell>
        </row>
        <row r="106">
          <cell r="V106">
            <v>751235.45</v>
          </cell>
        </row>
        <row r="107">
          <cell r="V107">
            <v>81680.82</v>
          </cell>
        </row>
        <row r="112">
          <cell r="B112">
            <v>570326.1799999999</v>
          </cell>
        </row>
        <row r="113">
          <cell r="B113">
            <v>80527.21</v>
          </cell>
        </row>
        <row r="114">
          <cell r="C114" t="str">
            <v> </v>
          </cell>
          <cell r="D114">
            <v>46941</v>
          </cell>
          <cell r="E114">
            <v>43952</v>
          </cell>
          <cell r="F114">
            <v>13868.38</v>
          </cell>
          <cell r="G114">
            <v>6644</v>
          </cell>
          <cell r="H114">
            <v>13345</v>
          </cell>
          <cell r="I114">
            <v>74096.24</v>
          </cell>
          <cell r="J114">
            <v>11384</v>
          </cell>
          <cell r="K114">
            <v>58218</v>
          </cell>
          <cell r="L114">
            <v>18185.3</v>
          </cell>
          <cell r="M114">
            <v>72955</v>
          </cell>
          <cell r="N114">
            <v>13302.47</v>
          </cell>
          <cell r="O114">
            <v>178741.03</v>
          </cell>
          <cell r="P114">
            <v>56370</v>
          </cell>
          <cell r="Q114">
            <v>50261</v>
          </cell>
          <cell r="R114">
            <v>22499.57</v>
          </cell>
          <cell r="S114">
            <v>22472</v>
          </cell>
          <cell r="T114">
            <v>33775</v>
          </cell>
          <cell r="U114">
            <v>17701</v>
          </cell>
        </row>
        <row r="115">
          <cell r="C115">
            <v>13829</v>
          </cell>
          <cell r="D115">
            <v>5829</v>
          </cell>
          <cell r="F115">
            <v>342</v>
          </cell>
          <cell r="I115">
            <v>476</v>
          </cell>
          <cell r="J115">
            <v>1244</v>
          </cell>
          <cell r="M115">
            <v>4370</v>
          </cell>
          <cell r="Q115">
            <v>2100</v>
          </cell>
        </row>
        <row r="116">
          <cell r="D116">
            <v>998</v>
          </cell>
          <cell r="E116">
            <v>4984</v>
          </cell>
          <cell r="F116">
            <v>998.28</v>
          </cell>
          <cell r="G116">
            <v>1773</v>
          </cell>
          <cell r="H116">
            <v>640</v>
          </cell>
          <cell r="I116">
            <v>3058.19</v>
          </cell>
          <cell r="J116">
            <v>996</v>
          </cell>
          <cell r="K116">
            <v>6414</v>
          </cell>
          <cell r="L116">
            <v>1365.05</v>
          </cell>
          <cell r="M116">
            <v>10203</v>
          </cell>
          <cell r="N116">
            <v>1268</v>
          </cell>
          <cell r="O116">
            <v>9368</v>
          </cell>
          <cell r="P116">
            <v>3887</v>
          </cell>
          <cell r="Q116">
            <v>633</v>
          </cell>
          <cell r="S116">
            <v>628</v>
          </cell>
          <cell r="T116">
            <v>4064</v>
          </cell>
          <cell r="U116">
            <v>428.28</v>
          </cell>
        </row>
        <row r="117">
          <cell r="D117">
            <v>15303</v>
          </cell>
          <cell r="E117">
            <v>24596</v>
          </cell>
          <cell r="F117">
            <v>8475.68</v>
          </cell>
          <cell r="G117">
            <v>2169.25</v>
          </cell>
          <cell r="H117">
            <v>10126</v>
          </cell>
          <cell r="I117">
            <v>25021.22</v>
          </cell>
          <cell r="J117">
            <v>6788</v>
          </cell>
          <cell r="K117">
            <v>26681</v>
          </cell>
          <cell r="L117">
            <v>3718.78</v>
          </cell>
          <cell r="M117">
            <v>85066</v>
          </cell>
          <cell r="N117">
            <v>8541.99</v>
          </cell>
          <cell r="O117">
            <v>170025</v>
          </cell>
          <cell r="P117">
            <v>13620</v>
          </cell>
          <cell r="Q117">
            <v>5776</v>
          </cell>
          <cell r="R117">
            <v>7185.05</v>
          </cell>
          <cell r="S117">
            <v>57</v>
          </cell>
          <cell r="T117">
            <v>41331</v>
          </cell>
          <cell r="U117">
            <v>11843.5</v>
          </cell>
        </row>
        <row r="118">
          <cell r="B118">
            <v>28094.69</v>
          </cell>
          <cell r="C118">
            <v>37378.3</v>
          </cell>
          <cell r="D118">
            <v>23928</v>
          </cell>
          <cell r="E118">
            <v>530</v>
          </cell>
          <cell r="F118">
            <v>9522</v>
          </cell>
          <cell r="H118">
            <v>9063</v>
          </cell>
          <cell r="I118">
            <v>11759.86</v>
          </cell>
          <cell r="J118">
            <v>1908</v>
          </cell>
          <cell r="K118">
            <v>12590</v>
          </cell>
          <cell r="L118">
            <v>7125</v>
          </cell>
          <cell r="M118">
            <v>90688</v>
          </cell>
          <cell r="N118">
            <v>8941</v>
          </cell>
          <cell r="O118">
            <v>17824</v>
          </cell>
          <cell r="P118">
            <v>1837</v>
          </cell>
          <cell r="Q118">
            <v>55064</v>
          </cell>
          <cell r="R118">
            <v>1274</v>
          </cell>
          <cell r="T118">
            <v>11277</v>
          </cell>
          <cell r="U118">
            <v>1809</v>
          </cell>
        </row>
        <row r="119">
          <cell r="D119">
            <v>324921.02</v>
          </cell>
          <cell r="E119">
            <v>625831</v>
          </cell>
          <cell r="F119">
            <v>132209.8</v>
          </cell>
          <cell r="G119">
            <v>236590.85</v>
          </cell>
          <cell r="H119">
            <v>119492</v>
          </cell>
          <cell r="I119">
            <v>492313.01</v>
          </cell>
          <cell r="J119">
            <v>87593</v>
          </cell>
          <cell r="K119">
            <v>547030</v>
          </cell>
          <cell r="L119">
            <v>138035</v>
          </cell>
          <cell r="M119">
            <v>742665</v>
          </cell>
          <cell r="N119">
            <v>93814.57</v>
          </cell>
          <cell r="O119">
            <v>1460854.14</v>
          </cell>
          <cell r="P119">
            <v>664593</v>
          </cell>
          <cell r="Q119">
            <v>442796</v>
          </cell>
          <cell r="R119">
            <v>243886.41</v>
          </cell>
          <cell r="S119">
            <v>173047</v>
          </cell>
          <cell r="T119">
            <v>375021</v>
          </cell>
          <cell r="U119">
            <v>159296.7</v>
          </cell>
        </row>
        <row r="120">
          <cell r="D120">
            <v>12537.38</v>
          </cell>
          <cell r="E120">
            <v>60747</v>
          </cell>
          <cell r="F120">
            <v>14433.12</v>
          </cell>
          <cell r="G120">
            <v>27410.49</v>
          </cell>
          <cell r="H120">
            <v>7667</v>
          </cell>
          <cell r="I120">
            <v>21773.59</v>
          </cell>
          <cell r="J120">
            <v>8703</v>
          </cell>
          <cell r="K120">
            <v>42216</v>
          </cell>
          <cell r="L120">
            <v>12243.3</v>
          </cell>
          <cell r="M120">
            <v>60762</v>
          </cell>
          <cell r="N120">
            <v>9426.48</v>
          </cell>
          <cell r="O120">
            <v>137203.22</v>
          </cell>
          <cell r="P120">
            <v>71246</v>
          </cell>
          <cell r="Q120">
            <v>37722</v>
          </cell>
          <cell r="S120">
            <v>6639</v>
          </cell>
          <cell r="T120">
            <v>39734</v>
          </cell>
          <cell r="U120">
            <v>3670.5</v>
          </cell>
        </row>
        <row r="121">
          <cell r="D121">
            <v>203428</v>
          </cell>
          <cell r="E121">
            <v>432381</v>
          </cell>
          <cell r="F121">
            <v>124429.87</v>
          </cell>
          <cell r="G121">
            <v>66091.92</v>
          </cell>
          <cell r="H121">
            <v>54375</v>
          </cell>
          <cell r="I121">
            <v>321659</v>
          </cell>
          <cell r="J121">
            <v>75894</v>
          </cell>
          <cell r="K121">
            <v>246562</v>
          </cell>
          <cell r="L121">
            <v>129187.19</v>
          </cell>
          <cell r="M121">
            <v>663211</v>
          </cell>
          <cell r="N121">
            <v>82822.7</v>
          </cell>
          <cell r="O121">
            <v>1132728.91</v>
          </cell>
          <cell r="P121">
            <v>628832</v>
          </cell>
          <cell r="Q121">
            <v>360674</v>
          </cell>
          <cell r="R121">
            <v>79833.89</v>
          </cell>
          <cell r="S121">
            <v>145638</v>
          </cell>
          <cell r="T121">
            <v>349132</v>
          </cell>
          <cell r="U121">
            <v>92429.68</v>
          </cell>
        </row>
        <row r="127">
          <cell r="C127">
            <v>10577.5</v>
          </cell>
          <cell r="D127">
            <v>204908.67</v>
          </cell>
          <cell r="E127">
            <v>107916</v>
          </cell>
          <cell r="F127">
            <v>1051.15</v>
          </cell>
          <cell r="G127">
            <v>75928.66</v>
          </cell>
          <cell r="H127">
            <v>5707</v>
          </cell>
          <cell r="I127">
            <v>126011.91</v>
          </cell>
          <cell r="J127">
            <v>3809</v>
          </cell>
          <cell r="K127">
            <v>30818</v>
          </cell>
          <cell r="L127">
            <v>3230.35</v>
          </cell>
          <cell r="M127">
            <v>147369</v>
          </cell>
          <cell r="N127">
            <v>3275.42</v>
          </cell>
          <cell r="O127">
            <v>441749.79</v>
          </cell>
          <cell r="P127">
            <v>63180</v>
          </cell>
          <cell r="Q127">
            <v>18373</v>
          </cell>
          <cell r="R127">
            <v>5388.79</v>
          </cell>
          <cell r="S127">
            <v>38089</v>
          </cell>
          <cell r="T127">
            <v>73245</v>
          </cell>
          <cell r="U127">
            <v>12871.52</v>
          </cell>
        </row>
        <row r="128">
          <cell r="D128">
            <v>238213</v>
          </cell>
          <cell r="E128">
            <v>262630</v>
          </cell>
          <cell r="F128">
            <v>4040.45</v>
          </cell>
          <cell r="G128">
            <v>180456.83</v>
          </cell>
          <cell r="H128">
            <v>38168</v>
          </cell>
          <cell r="I128">
            <v>0</v>
          </cell>
          <cell r="J128">
            <v>2717</v>
          </cell>
          <cell r="K128">
            <v>0</v>
          </cell>
          <cell r="L128">
            <v>16396.03</v>
          </cell>
          <cell r="M128">
            <v>102378</v>
          </cell>
          <cell r="N128">
            <v>9322.31</v>
          </cell>
          <cell r="O128">
            <v>397493.09</v>
          </cell>
          <cell r="P128">
            <v>127437</v>
          </cell>
          <cell r="Q128">
            <v>47199</v>
          </cell>
          <cell r="R128">
            <v>12981.06</v>
          </cell>
          <cell r="S128">
            <v>74407</v>
          </cell>
          <cell r="T128">
            <v>44564</v>
          </cell>
          <cell r="U128">
            <v>68040.82</v>
          </cell>
        </row>
        <row r="145">
          <cell r="V145">
            <v>4104731.89</v>
          </cell>
        </row>
        <row r="148">
          <cell r="V148">
            <v>27896832</v>
          </cell>
        </row>
        <row r="149">
          <cell r="V149">
            <v>3521768.7800000003</v>
          </cell>
        </row>
        <row r="150">
          <cell r="V150">
            <v>1173922.9100000001</v>
          </cell>
        </row>
        <row r="154">
          <cell r="V154">
            <v>457402.98</v>
          </cell>
        </row>
        <row r="162">
          <cell r="B162">
            <v>1657257.22</v>
          </cell>
          <cell r="V162">
            <v>1657257.22</v>
          </cell>
        </row>
        <row r="163">
          <cell r="B163">
            <v>2189.38</v>
          </cell>
          <cell r="V163">
            <v>2189.38</v>
          </cell>
        </row>
        <row r="164">
          <cell r="C164">
            <v>0</v>
          </cell>
          <cell r="D164">
            <v>160007.79</v>
          </cell>
          <cell r="E164">
            <v>135538</v>
          </cell>
          <cell r="F164">
            <v>37271.71</v>
          </cell>
          <cell r="G164">
            <v>93750.88</v>
          </cell>
          <cell r="H164">
            <v>30948</v>
          </cell>
          <cell r="I164">
            <v>154906.34</v>
          </cell>
          <cell r="J164">
            <v>29533</v>
          </cell>
          <cell r="K164">
            <v>178885</v>
          </cell>
          <cell r="L164">
            <v>56578.7</v>
          </cell>
          <cell r="M164">
            <v>197720</v>
          </cell>
          <cell r="N164">
            <v>31144.49</v>
          </cell>
          <cell r="O164">
            <v>217365.06</v>
          </cell>
          <cell r="P164">
            <v>218027</v>
          </cell>
          <cell r="Q164">
            <v>87881</v>
          </cell>
          <cell r="R164">
            <v>15333.54</v>
          </cell>
          <cell r="S164">
            <v>24756</v>
          </cell>
          <cell r="T164">
            <v>173571</v>
          </cell>
          <cell r="U164">
            <v>50891.96</v>
          </cell>
          <cell r="V164">
            <v>1894109.47</v>
          </cell>
        </row>
        <row r="165">
          <cell r="C165">
            <v>42742.24</v>
          </cell>
          <cell r="D165">
            <v>2850</v>
          </cell>
          <cell r="F165">
            <v>0</v>
          </cell>
          <cell r="I165">
            <v>0</v>
          </cell>
          <cell r="J165">
            <v>0</v>
          </cell>
          <cell r="M165">
            <v>0</v>
          </cell>
          <cell r="P165">
            <v>1478</v>
          </cell>
          <cell r="Q165">
            <v>0</v>
          </cell>
          <cell r="R165">
            <v>31190.82</v>
          </cell>
          <cell r="V165">
            <v>78261.06</v>
          </cell>
        </row>
        <row r="166">
          <cell r="D166">
            <v>10240.46</v>
          </cell>
          <cell r="E166">
            <v>3789</v>
          </cell>
          <cell r="F166">
            <v>1182.76</v>
          </cell>
          <cell r="G166">
            <v>2222</v>
          </cell>
          <cell r="H166">
            <v>1662</v>
          </cell>
          <cell r="I166">
            <v>9807.76</v>
          </cell>
          <cell r="J166">
            <v>687.64</v>
          </cell>
          <cell r="K166">
            <v>5529</v>
          </cell>
          <cell r="L166">
            <v>655.71</v>
          </cell>
          <cell r="M166">
            <v>7521</v>
          </cell>
          <cell r="N166">
            <v>1208</v>
          </cell>
          <cell r="O166">
            <v>12519.07</v>
          </cell>
          <cell r="P166">
            <v>12316.41</v>
          </cell>
          <cell r="Q166">
            <v>177</v>
          </cell>
          <cell r="S166">
            <v>1926</v>
          </cell>
          <cell r="T166">
            <v>6738</v>
          </cell>
          <cell r="U166">
            <v>2273.13</v>
          </cell>
          <cell r="V166">
            <v>80454.94</v>
          </cell>
        </row>
        <row r="167">
          <cell r="D167">
            <v>3507</v>
          </cell>
          <cell r="E167">
            <v>46524</v>
          </cell>
          <cell r="F167">
            <v>1219.32</v>
          </cell>
          <cell r="G167">
            <v>22702.75</v>
          </cell>
          <cell r="H167">
            <v>6566</v>
          </cell>
          <cell r="I167">
            <v>25763.78</v>
          </cell>
          <cell r="J167">
            <v>1752</v>
          </cell>
          <cell r="K167">
            <v>16316</v>
          </cell>
          <cell r="L167">
            <v>11211.22</v>
          </cell>
          <cell r="M167">
            <v>13932</v>
          </cell>
          <cell r="N167">
            <v>1527.01</v>
          </cell>
          <cell r="O167">
            <v>0</v>
          </cell>
          <cell r="P167">
            <v>0</v>
          </cell>
          <cell r="Q167">
            <v>3046</v>
          </cell>
          <cell r="R167">
            <v>1071.82</v>
          </cell>
          <cell r="S167">
            <v>2893</v>
          </cell>
          <cell r="T167">
            <v>2172</v>
          </cell>
          <cell r="U167">
            <v>4417.05</v>
          </cell>
          <cell r="V167">
            <v>164620.95</v>
          </cell>
        </row>
        <row r="168">
          <cell r="B168">
            <v>0</v>
          </cell>
          <cell r="C168">
            <v>10592.56</v>
          </cell>
          <cell r="D168">
            <v>26161.55</v>
          </cell>
          <cell r="E168">
            <v>14333</v>
          </cell>
          <cell r="F168">
            <v>0</v>
          </cell>
          <cell r="G168">
            <v>2611</v>
          </cell>
          <cell r="H168">
            <v>0</v>
          </cell>
          <cell r="I168">
            <v>11821.98</v>
          </cell>
          <cell r="J168">
            <v>89</v>
          </cell>
          <cell r="K168">
            <v>1727</v>
          </cell>
          <cell r="L168">
            <v>208</v>
          </cell>
          <cell r="M168">
            <v>66817</v>
          </cell>
          <cell r="N168">
            <v>0</v>
          </cell>
          <cell r="O168">
            <v>5430.93</v>
          </cell>
          <cell r="P168">
            <v>20764</v>
          </cell>
          <cell r="Q168">
            <v>60980</v>
          </cell>
          <cell r="R168">
            <v>359663.23</v>
          </cell>
          <cell r="S168">
            <v>2001</v>
          </cell>
          <cell r="T168">
            <v>3289</v>
          </cell>
          <cell r="U168">
            <v>3784.33</v>
          </cell>
          <cell r="V168">
            <v>590273.58</v>
          </cell>
        </row>
        <row r="169">
          <cell r="D169">
            <v>1048163.09</v>
          </cell>
          <cell r="E169">
            <v>2348455</v>
          </cell>
          <cell r="F169">
            <v>414492.56</v>
          </cell>
          <cell r="G169">
            <v>585809.63</v>
          </cell>
          <cell r="H169">
            <v>254497</v>
          </cell>
          <cell r="I169">
            <v>1135237.23</v>
          </cell>
          <cell r="J169">
            <v>247088.68</v>
          </cell>
          <cell r="K169">
            <v>1378474</v>
          </cell>
          <cell r="L169">
            <v>375229.04</v>
          </cell>
          <cell r="M169">
            <v>2686093</v>
          </cell>
          <cell r="N169">
            <v>276484.76</v>
          </cell>
          <cell r="O169">
            <v>4721547.14</v>
          </cell>
          <cell r="P169">
            <v>2338771</v>
          </cell>
          <cell r="Q169">
            <v>1141698</v>
          </cell>
          <cell r="R169">
            <v>183128.11</v>
          </cell>
          <cell r="S169">
            <v>497447</v>
          </cell>
          <cell r="T169">
            <v>1452870</v>
          </cell>
          <cell r="U169">
            <v>322086.16</v>
          </cell>
          <cell r="V169">
            <v>21407571.4</v>
          </cell>
        </row>
        <row r="170">
          <cell r="D170">
            <v>95378.53</v>
          </cell>
          <cell r="E170">
            <v>70059</v>
          </cell>
          <cell r="F170">
            <v>10619.38</v>
          </cell>
          <cell r="G170">
            <v>29808.72</v>
          </cell>
          <cell r="H170">
            <v>13552</v>
          </cell>
          <cell r="I170">
            <v>84507.75</v>
          </cell>
          <cell r="J170">
            <v>5849</v>
          </cell>
          <cell r="K170">
            <v>63005</v>
          </cell>
          <cell r="L170">
            <v>19321</v>
          </cell>
          <cell r="M170">
            <v>72295</v>
          </cell>
          <cell r="N170">
            <v>6553.39</v>
          </cell>
          <cell r="O170">
            <v>147872.24</v>
          </cell>
          <cell r="P170">
            <v>74213.25</v>
          </cell>
          <cell r="Q170">
            <v>64000</v>
          </cell>
          <cell r="S170">
            <v>18267</v>
          </cell>
          <cell r="T170">
            <v>62201</v>
          </cell>
          <cell r="U170">
            <v>28774.88</v>
          </cell>
          <cell r="V170">
            <v>866277.14</v>
          </cell>
        </row>
        <row r="171">
          <cell r="D171">
            <v>472706</v>
          </cell>
          <cell r="E171">
            <v>563933</v>
          </cell>
          <cell r="F171">
            <v>2821.13</v>
          </cell>
          <cell r="G171">
            <v>157754.08</v>
          </cell>
          <cell r="H171">
            <v>98749</v>
          </cell>
          <cell r="I171">
            <v>636963.53</v>
          </cell>
          <cell r="J171">
            <v>965</v>
          </cell>
          <cell r="K171">
            <v>140430</v>
          </cell>
          <cell r="L171">
            <v>5154.81</v>
          </cell>
          <cell r="M171">
            <v>395243</v>
          </cell>
          <cell r="N171">
            <v>7795.3</v>
          </cell>
          <cell r="O171">
            <v>2770844.09</v>
          </cell>
          <cell r="P171">
            <v>172727.41</v>
          </cell>
          <cell r="Q171">
            <v>344510</v>
          </cell>
          <cell r="R171">
            <v>11909.11</v>
          </cell>
          <cell r="S171">
            <v>71514</v>
          </cell>
          <cell r="T171">
            <v>42392</v>
          </cell>
          <cell r="U171">
            <v>62652.3</v>
          </cell>
          <cell r="V171">
            <v>5959063.76</v>
          </cell>
        </row>
        <row r="175">
          <cell r="V175">
            <v>9479190.899999999</v>
          </cell>
        </row>
        <row r="177">
          <cell r="B177">
            <v>0</v>
          </cell>
          <cell r="C177">
            <v>19255.7</v>
          </cell>
          <cell r="D177">
            <v>703916.25</v>
          </cell>
          <cell r="E177">
            <v>341013</v>
          </cell>
          <cell r="F177">
            <v>77011.74</v>
          </cell>
          <cell r="G177">
            <v>232562.43</v>
          </cell>
          <cell r="H177">
            <v>80603</v>
          </cell>
          <cell r="I177">
            <v>711598.85</v>
          </cell>
          <cell r="J177">
            <v>27543.68</v>
          </cell>
          <cell r="K177">
            <v>221450</v>
          </cell>
          <cell r="L177">
            <v>153516.9</v>
          </cell>
          <cell r="M177">
            <v>563505</v>
          </cell>
          <cell r="N177">
            <v>75505.78</v>
          </cell>
          <cell r="O177">
            <v>1509386.35</v>
          </cell>
          <cell r="P177">
            <v>390435.34</v>
          </cell>
          <cell r="Q177">
            <v>358254</v>
          </cell>
          <cell r="R177">
            <v>16073.09</v>
          </cell>
          <cell r="S177">
            <v>223427</v>
          </cell>
          <cell r="T177">
            <v>131563</v>
          </cell>
          <cell r="U177">
            <v>354907.06</v>
          </cell>
          <cell r="V177">
            <v>6191528.169999999</v>
          </cell>
        </row>
        <row r="178">
          <cell r="D178">
            <v>25202</v>
          </cell>
          <cell r="E178">
            <v>224146</v>
          </cell>
          <cell r="F178">
            <v>0</v>
          </cell>
          <cell r="G178">
            <v>0</v>
          </cell>
          <cell r="H178">
            <v>74336</v>
          </cell>
          <cell r="I178">
            <v>280555.47</v>
          </cell>
          <cell r="J178">
            <v>0</v>
          </cell>
          <cell r="K178">
            <v>0</v>
          </cell>
          <cell r="L178">
            <v>0</v>
          </cell>
          <cell r="M178">
            <v>191482</v>
          </cell>
          <cell r="N178">
            <v>0</v>
          </cell>
          <cell r="O178">
            <v>0</v>
          </cell>
          <cell r="P178">
            <v>0</v>
          </cell>
          <cell r="Q178">
            <v>19128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814849.47</v>
          </cell>
        </row>
        <row r="180">
          <cell r="V180">
            <v>2472813.26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Y210"/>
  <sheetViews>
    <sheetView tabSelected="1" zoomScalePageLayoutView="0" workbookViewId="0" topLeftCell="A1">
      <selection activeCell="V209" sqref="V209"/>
    </sheetView>
  </sheetViews>
  <sheetFormatPr defaultColWidth="9.33203125" defaultRowHeight="10.5"/>
  <cols>
    <col min="1" max="1" width="48" style="2" customWidth="1"/>
    <col min="2" max="2" width="12.5" style="2" customWidth="1"/>
    <col min="3" max="3" width="18.83203125" style="3" bestFit="1" customWidth="1"/>
    <col min="4" max="4" width="15" style="3" bestFit="1" customWidth="1"/>
    <col min="5" max="5" width="16.66015625" style="3" bestFit="1" customWidth="1"/>
    <col min="6" max="6" width="18.83203125" style="3" customWidth="1"/>
    <col min="7" max="7" width="20.5" style="3" bestFit="1" customWidth="1"/>
    <col min="8" max="8" width="15" style="2" bestFit="1" customWidth="1"/>
    <col min="9" max="9" width="14" style="4" bestFit="1" customWidth="1"/>
    <col min="10" max="10" width="15.66015625" style="2" customWidth="1"/>
    <col min="11" max="11" width="12.66015625" style="2" bestFit="1" customWidth="1"/>
    <col min="12" max="12" width="12.5" style="2" customWidth="1"/>
    <col min="13" max="13" width="10.83203125" style="2" bestFit="1" customWidth="1"/>
    <col min="14" max="14" width="13.5" style="2" customWidth="1"/>
    <col min="15" max="15" width="12.33203125" style="2" bestFit="1" customWidth="1"/>
    <col min="16" max="16" width="10.83203125" style="2" bestFit="1" customWidth="1"/>
    <col min="17" max="17" width="11.66015625" style="2" customWidth="1"/>
    <col min="18" max="18" width="13.66015625" style="2" bestFit="1" customWidth="1"/>
    <col min="19" max="19" width="10.83203125" style="2" bestFit="1" customWidth="1"/>
    <col min="20" max="20" width="10.66015625" style="2" customWidth="1"/>
    <col min="21" max="21" width="10.83203125" style="2" bestFit="1" customWidth="1"/>
    <col min="22" max="22" width="13" style="2" bestFit="1" customWidth="1"/>
    <col min="23" max="23" width="15.5" style="2" customWidth="1"/>
    <col min="24" max="24" width="12.33203125" style="2" bestFit="1" customWidth="1"/>
    <col min="25" max="25" width="11.33203125" style="2" bestFit="1" customWidth="1"/>
    <col min="26" max="16384" width="9.33203125" style="2" customWidth="1"/>
  </cols>
  <sheetData>
    <row r="1" spans="1:22" ht="11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1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1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1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12" ht="12.75">
      <c r="A5" s="2" t="s">
        <v>4</v>
      </c>
      <c r="J5" s="5" t="s">
        <v>4</v>
      </c>
      <c r="K5" s="6" t="s">
        <v>4</v>
      </c>
      <c r="L5" s="6"/>
    </row>
    <row r="6" spans="10:12" ht="12.75">
      <c r="J6" s="5"/>
      <c r="K6" s="6"/>
      <c r="L6" s="6"/>
    </row>
    <row r="7" spans="2:21" ht="11.25">
      <c r="B7" s="7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9" t="s">
        <v>12</v>
      </c>
      <c r="J7" s="10" t="s">
        <v>13</v>
      </c>
      <c r="K7" s="11" t="s">
        <v>14</v>
      </c>
      <c r="L7" s="11" t="s">
        <v>15</v>
      </c>
      <c r="M7" s="7" t="s">
        <v>16</v>
      </c>
      <c r="N7" s="7" t="s">
        <v>17</v>
      </c>
      <c r="O7" s="7" t="s">
        <v>18</v>
      </c>
      <c r="P7" s="7" t="s">
        <v>19</v>
      </c>
      <c r="Q7" s="7" t="s">
        <v>20</v>
      </c>
      <c r="R7" s="7" t="s">
        <v>21</v>
      </c>
      <c r="S7" s="7" t="s">
        <v>22</v>
      </c>
      <c r="T7" s="7" t="s">
        <v>23</v>
      </c>
      <c r="U7" s="7" t="s">
        <v>24</v>
      </c>
    </row>
    <row r="8" spans="2:22" ht="33.75">
      <c r="B8" s="12" t="s">
        <v>25</v>
      </c>
      <c r="C8" s="13" t="s">
        <v>26</v>
      </c>
      <c r="D8" s="13" t="s">
        <v>27</v>
      </c>
      <c r="E8" s="13" t="s">
        <v>28</v>
      </c>
      <c r="F8" s="14" t="s">
        <v>29</v>
      </c>
      <c r="G8" s="14" t="s">
        <v>30</v>
      </c>
      <c r="H8" s="14" t="s">
        <v>31</v>
      </c>
      <c r="I8" s="15" t="s">
        <v>32</v>
      </c>
      <c r="J8" s="16" t="s">
        <v>33</v>
      </c>
      <c r="K8" s="17" t="s">
        <v>34</v>
      </c>
      <c r="L8" s="17" t="s">
        <v>35</v>
      </c>
      <c r="M8" s="12" t="s">
        <v>36</v>
      </c>
      <c r="N8" s="18" t="s">
        <v>37</v>
      </c>
      <c r="O8" s="12" t="s">
        <v>38</v>
      </c>
      <c r="P8" s="18" t="s">
        <v>39</v>
      </c>
      <c r="Q8" s="18" t="s">
        <v>40</v>
      </c>
      <c r="R8" s="12" t="s">
        <v>41</v>
      </c>
      <c r="S8" s="18" t="s">
        <v>42</v>
      </c>
      <c r="T8" s="18" t="s">
        <v>43</v>
      </c>
      <c r="U8" s="12" t="s">
        <v>44</v>
      </c>
      <c r="V8" s="12" t="s">
        <v>45</v>
      </c>
    </row>
    <row r="9" spans="10:22" ht="12.75">
      <c r="J9" s="5"/>
      <c r="K9" s="6"/>
      <c r="L9" s="6"/>
      <c r="V9" s="19"/>
    </row>
    <row r="10" spans="1:22" ht="12.75">
      <c r="A10" s="20" t="s">
        <v>46</v>
      </c>
      <c r="J10" s="5"/>
      <c r="K10" s="6"/>
      <c r="L10" s="6"/>
      <c r="V10" s="21">
        <f>770.6+910072.05+125000</f>
        <v>1035842.65</v>
      </c>
    </row>
    <row r="11" spans="10:22" ht="12.75">
      <c r="J11" s="5"/>
      <c r="K11" s="6"/>
      <c r="L11" s="6"/>
      <c r="V11" s="22"/>
    </row>
    <row r="12" spans="1:22" ht="12.75">
      <c r="A12" s="20" t="s">
        <v>47</v>
      </c>
      <c r="J12" s="5"/>
      <c r="K12" s="6"/>
      <c r="L12" s="6"/>
      <c r="V12" s="22"/>
    </row>
    <row r="13" spans="1:22" ht="12.75">
      <c r="A13" s="2" t="s">
        <v>48</v>
      </c>
      <c r="J13" s="5"/>
      <c r="K13" s="6"/>
      <c r="L13" s="6"/>
      <c r="V13" s="22">
        <v>5013032.61</v>
      </c>
    </row>
    <row r="14" spans="1:22" ht="12.75">
      <c r="A14" s="2" t="s">
        <v>49</v>
      </c>
      <c r="J14" s="5"/>
      <c r="K14" s="6"/>
      <c r="L14" s="6"/>
      <c r="V14" s="22">
        <f>1876678.48-235606.78</f>
        <v>1641071.7</v>
      </c>
    </row>
    <row r="15" spans="1:22" ht="12.75">
      <c r="A15" s="2" t="s">
        <v>50</v>
      </c>
      <c r="B15" s="23"/>
      <c r="C15" s="24"/>
      <c r="D15" s="24"/>
      <c r="E15" s="24"/>
      <c r="F15" s="24"/>
      <c r="G15" s="24"/>
      <c r="H15" s="23"/>
      <c r="I15" s="25"/>
      <c r="J15" s="26"/>
      <c r="K15" s="27"/>
      <c r="L15" s="27"/>
      <c r="M15" s="23"/>
      <c r="N15" s="23"/>
      <c r="O15" s="23"/>
      <c r="P15" s="23"/>
      <c r="Q15" s="23"/>
      <c r="R15" s="23"/>
      <c r="S15" s="23"/>
      <c r="T15" s="23"/>
      <c r="U15" s="23"/>
      <c r="V15" s="28">
        <v>13142.56</v>
      </c>
    </row>
    <row r="16" spans="10:22" ht="12.75">
      <c r="J16" s="5"/>
      <c r="K16" s="6"/>
      <c r="L16" s="6"/>
      <c r="V16" s="22"/>
    </row>
    <row r="17" spans="1:22" ht="12.75">
      <c r="A17" s="20" t="s">
        <v>51</v>
      </c>
      <c r="J17" s="5"/>
      <c r="K17" s="6"/>
      <c r="L17" s="6"/>
      <c r="V17" s="22">
        <f>SUM(V13:V15)</f>
        <v>6667246.87</v>
      </c>
    </row>
    <row r="18" spans="10:22" ht="12.75">
      <c r="J18" s="5"/>
      <c r="K18" s="6"/>
      <c r="L18" s="6"/>
      <c r="V18" s="22"/>
    </row>
    <row r="19" spans="1:22" ht="12.75">
      <c r="A19" s="20" t="s">
        <v>52</v>
      </c>
      <c r="J19" s="5"/>
      <c r="K19" s="6"/>
      <c r="L19" s="6"/>
      <c r="V19" s="22"/>
    </row>
    <row r="20" spans="1:22" ht="12.75">
      <c r="A20" s="2" t="s">
        <v>53</v>
      </c>
      <c r="B20" s="22">
        <f>194678.91+102670.55-18992.16</f>
        <v>278357.30000000005</v>
      </c>
      <c r="C20" s="29"/>
      <c r="D20" s="29"/>
      <c r="E20" s="29"/>
      <c r="F20" s="29"/>
      <c r="G20" s="29"/>
      <c r="H20" s="19"/>
      <c r="I20" s="30"/>
      <c r="J20" s="31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22">
        <f>SUM(B20:C20)</f>
        <v>278357.30000000005</v>
      </c>
    </row>
    <row r="21" spans="1:22" ht="11.25">
      <c r="A21" s="2" t="s">
        <v>54</v>
      </c>
      <c r="B21" s="22"/>
      <c r="C21" s="21"/>
      <c r="D21" s="21">
        <v>33663</v>
      </c>
      <c r="E21" s="21">
        <v>53179</v>
      </c>
      <c r="F21" s="21">
        <v>10790.16</v>
      </c>
      <c r="G21" s="21">
        <v>15959</v>
      </c>
      <c r="H21" s="22">
        <v>10199</v>
      </c>
      <c r="I21" s="32">
        <v>44321</v>
      </c>
      <c r="J21" s="33">
        <v>6518</v>
      </c>
      <c r="K21" s="22">
        <v>42305</v>
      </c>
      <c r="L21" s="22">
        <v>13845</v>
      </c>
      <c r="M21" s="22">
        <v>68955</v>
      </c>
      <c r="N21" s="22">
        <v>4184.98</v>
      </c>
      <c r="O21" s="22">
        <v>136205</v>
      </c>
      <c r="P21" s="22">
        <v>64716</v>
      </c>
      <c r="Q21" s="22">
        <f>37864</f>
        <v>37864</v>
      </c>
      <c r="R21" s="22">
        <v>15468</v>
      </c>
      <c r="S21" s="22">
        <v>16409</v>
      </c>
      <c r="T21" s="22">
        <v>35343</v>
      </c>
      <c r="U21" s="22">
        <v>5679.28</v>
      </c>
      <c r="V21" s="22">
        <f>SUM(C21:U21)</f>
        <v>615603.42</v>
      </c>
    </row>
    <row r="22" spans="1:22" ht="11.25">
      <c r="A22" s="2" t="s">
        <v>55</v>
      </c>
      <c r="B22" s="22"/>
      <c r="C22" s="21">
        <f>590</f>
        <v>590</v>
      </c>
      <c r="D22" s="21">
        <v>534</v>
      </c>
      <c r="E22" s="21">
        <v>974</v>
      </c>
      <c r="F22" s="21"/>
      <c r="G22" s="21">
        <v>275</v>
      </c>
      <c r="H22" s="22"/>
      <c r="I22" s="32">
        <v>3852</v>
      </c>
      <c r="J22" s="33">
        <v>117</v>
      </c>
      <c r="K22" s="22"/>
      <c r="L22" s="22">
        <v>112</v>
      </c>
      <c r="M22" s="22"/>
      <c r="N22" s="22"/>
      <c r="O22" s="22">
        <v>907</v>
      </c>
      <c r="P22" s="22"/>
      <c r="Q22" s="22">
        <v>477</v>
      </c>
      <c r="R22" s="22"/>
      <c r="S22" s="22">
        <v>185</v>
      </c>
      <c r="T22" s="22">
        <v>595</v>
      </c>
      <c r="U22" s="22"/>
      <c r="V22" s="22">
        <f>SUM(C22:U22)</f>
        <v>8618</v>
      </c>
    </row>
    <row r="23" spans="1:22" ht="11.25">
      <c r="A23" s="2" t="s">
        <v>56</v>
      </c>
      <c r="B23" s="22"/>
      <c r="C23" s="21">
        <f>1700+4199.66+1700+6500+30421.18</f>
        <v>44520.84</v>
      </c>
      <c r="D23" s="21">
        <v>4807</v>
      </c>
      <c r="E23" s="21">
        <v>8768</v>
      </c>
      <c r="F23" s="21"/>
      <c r="G23" s="21">
        <v>20476</v>
      </c>
      <c r="H23" s="22">
        <v>170</v>
      </c>
      <c r="I23" s="32">
        <v>28851</v>
      </c>
      <c r="J23" s="33">
        <v>1051</v>
      </c>
      <c r="K23" s="22"/>
      <c r="L23" s="22">
        <v>1114</v>
      </c>
      <c r="M23" s="22"/>
      <c r="N23" s="22"/>
      <c r="O23" s="22">
        <v>19383</v>
      </c>
      <c r="P23" s="22"/>
      <c r="Q23" s="22">
        <v>4291</v>
      </c>
      <c r="R23" s="22"/>
      <c r="S23" s="22">
        <v>2314</v>
      </c>
      <c r="T23" s="22">
        <v>5352</v>
      </c>
      <c r="U23" s="22"/>
      <c r="V23" s="22">
        <f>SUM(C23:U23)</f>
        <v>141097.84</v>
      </c>
    </row>
    <row r="24" spans="1:22" ht="11.25">
      <c r="A24" s="2" t="s">
        <v>57</v>
      </c>
      <c r="B24" s="28"/>
      <c r="C24" s="34"/>
      <c r="D24" s="34">
        <v>302968</v>
      </c>
      <c r="E24" s="34">
        <v>550026</v>
      </c>
      <c r="F24" s="34">
        <v>93094.28</v>
      </c>
      <c r="G24" s="34">
        <v>189674.14</v>
      </c>
      <c r="H24" s="28">
        <v>101348</v>
      </c>
      <c r="I24" s="35">
        <v>355469</v>
      </c>
      <c r="J24" s="36">
        <f>53796+4276</f>
        <v>58072</v>
      </c>
      <c r="K24" s="28">
        <v>336667</v>
      </c>
      <c r="L24" s="28">
        <v>98488</v>
      </c>
      <c r="M24" s="28">
        <v>630551</v>
      </c>
      <c r="N24" s="28">
        <v>60777.25</v>
      </c>
      <c r="O24" s="28">
        <v>1161282</v>
      </c>
      <c r="P24" s="28">
        <v>559941</v>
      </c>
      <c r="Q24" s="28">
        <v>241249</v>
      </c>
      <c r="R24" s="28">
        <v>154678</v>
      </c>
      <c r="S24" s="28">
        <v>142271</v>
      </c>
      <c r="T24" s="28">
        <v>300986</v>
      </c>
      <c r="U24" s="28">
        <v>72326.71</v>
      </c>
      <c r="V24" s="28">
        <f>SUM(C24:U24)</f>
        <v>5409868.38</v>
      </c>
    </row>
    <row r="25" spans="2:22" ht="11.25">
      <c r="B25" s="22"/>
      <c r="C25" s="21"/>
      <c r="D25" s="21"/>
      <c r="E25" s="21"/>
      <c r="F25" s="21"/>
      <c r="G25" s="21"/>
      <c r="H25" s="22"/>
      <c r="I25" s="32"/>
      <c r="J25" s="33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1.25">
      <c r="A26" s="20" t="s">
        <v>58</v>
      </c>
      <c r="B26" s="22">
        <f aca="true" t="shared" si="0" ref="B26:M26">SUM(B20:B24)</f>
        <v>278357.30000000005</v>
      </c>
      <c r="C26" s="22">
        <f t="shared" si="0"/>
        <v>45110.84</v>
      </c>
      <c r="D26" s="21">
        <f t="shared" si="0"/>
        <v>341972</v>
      </c>
      <c r="E26" s="21">
        <f t="shared" si="0"/>
        <v>612947</v>
      </c>
      <c r="F26" s="21">
        <f t="shared" si="0"/>
        <v>103884.44</v>
      </c>
      <c r="G26" s="21">
        <f t="shared" si="0"/>
        <v>226384.14</v>
      </c>
      <c r="H26" s="21">
        <f t="shared" si="0"/>
        <v>111717</v>
      </c>
      <c r="I26" s="21">
        <f t="shared" si="0"/>
        <v>432493</v>
      </c>
      <c r="J26" s="21">
        <f t="shared" si="0"/>
        <v>65758</v>
      </c>
      <c r="K26" s="21">
        <f t="shared" si="0"/>
        <v>378972</v>
      </c>
      <c r="L26" s="21">
        <f t="shared" si="0"/>
        <v>113559</v>
      </c>
      <c r="M26" s="21">
        <f t="shared" si="0"/>
        <v>699506</v>
      </c>
      <c r="N26" s="21">
        <f aca="true" t="shared" si="1" ref="N26:U26">SUM(N20:N24)</f>
        <v>64962.229999999996</v>
      </c>
      <c r="O26" s="21">
        <f t="shared" si="1"/>
        <v>1317777</v>
      </c>
      <c r="P26" s="21">
        <f t="shared" si="1"/>
        <v>624657</v>
      </c>
      <c r="Q26" s="21">
        <f t="shared" si="1"/>
        <v>283881</v>
      </c>
      <c r="R26" s="21">
        <f t="shared" si="1"/>
        <v>170146</v>
      </c>
      <c r="S26" s="21">
        <f t="shared" si="1"/>
        <v>161179</v>
      </c>
      <c r="T26" s="21">
        <f t="shared" si="1"/>
        <v>342276</v>
      </c>
      <c r="U26" s="21">
        <f t="shared" si="1"/>
        <v>78005.99</v>
      </c>
      <c r="V26" s="22">
        <f>SUM(V20:V24)</f>
        <v>6453544.9399999995</v>
      </c>
    </row>
    <row r="27" spans="2:22" ht="12.75">
      <c r="B27" s="22"/>
      <c r="C27" s="21"/>
      <c r="D27" s="21"/>
      <c r="E27" s="21"/>
      <c r="F27" s="21"/>
      <c r="G27" s="21"/>
      <c r="H27" s="22"/>
      <c r="I27" s="32"/>
      <c r="J27" s="37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3" ht="13.5" thickBot="1">
      <c r="A28" s="20" t="s">
        <v>59</v>
      </c>
      <c r="B28" s="38"/>
      <c r="C28" s="39"/>
      <c r="D28" s="39"/>
      <c r="E28" s="39"/>
      <c r="F28" s="39"/>
      <c r="G28" s="39"/>
      <c r="H28" s="38"/>
      <c r="I28" s="40"/>
      <c r="J28" s="41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>
        <f>V10+V17-V26</f>
        <v>1249544.580000001</v>
      </c>
      <c r="W28" s="19"/>
    </row>
    <row r="29" spans="2:22" ht="13.5" thickTop="1">
      <c r="B29" s="22"/>
      <c r="C29" s="21"/>
      <c r="D29" s="21"/>
      <c r="E29" s="21"/>
      <c r="F29" s="21"/>
      <c r="G29" s="21"/>
      <c r="H29" s="22"/>
      <c r="I29" s="32"/>
      <c r="J29" s="37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ht="11.25">
      <c r="A30" s="2" t="s">
        <v>60</v>
      </c>
      <c r="B30" s="22"/>
      <c r="C30" s="21">
        <f>1110.34</f>
        <v>1110.34</v>
      </c>
      <c r="D30" s="21">
        <f>1323+11901</f>
        <v>13224</v>
      </c>
      <c r="E30" s="21">
        <f>10457+34398</f>
        <v>44855</v>
      </c>
      <c r="F30" s="21">
        <f>2985.6+36546.47+221+1997</f>
        <v>41750.07</v>
      </c>
      <c r="G30" s="21">
        <f>3008+12645</f>
        <v>15653</v>
      </c>
      <c r="H30" s="22">
        <f>2897+26568+164+1304</f>
        <v>30933</v>
      </c>
      <c r="I30" s="32">
        <f>74964+5814</f>
        <v>80778</v>
      </c>
      <c r="J30" s="33">
        <f>624+10494</f>
        <v>11118</v>
      </c>
      <c r="K30" s="22">
        <f>16489+87095+694+6255</f>
        <v>110533</v>
      </c>
      <c r="L30" s="22">
        <f>3617+30908+120+973</f>
        <v>35618</v>
      </c>
      <c r="M30" s="22">
        <f>4967+39015+1087+9780</f>
        <v>54849</v>
      </c>
      <c r="N30" s="22">
        <f>3517+7717+121+1087</f>
        <v>12442</v>
      </c>
      <c r="O30" s="22">
        <f>15623+213421+1433+1680</f>
        <v>232157</v>
      </c>
      <c r="P30" s="22">
        <f>6302+31723+1002+9017</f>
        <v>48044</v>
      </c>
      <c r="Q30" s="22">
        <f>960+27453</f>
        <v>28413</v>
      </c>
      <c r="R30" s="22">
        <f>5676+36757</f>
        <v>42433</v>
      </c>
      <c r="S30" s="22">
        <f>72</f>
        <v>72</v>
      </c>
      <c r="T30" s="22">
        <f>1040+28342</f>
        <v>29382</v>
      </c>
      <c r="U30" s="22">
        <f>7928.72+53007.29+207+1867</f>
        <v>63010.01</v>
      </c>
      <c r="V30" s="22">
        <f>SUM(B30:U30)</f>
        <v>896374.42</v>
      </c>
    </row>
    <row r="31" spans="2:22" ht="12.75">
      <c r="B31" s="22"/>
      <c r="C31" s="21"/>
      <c r="D31" s="21"/>
      <c r="E31" s="21"/>
      <c r="F31" s="21"/>
      <c r="G31" s="21"/>
      <c r="H31" s="22"/>
      <c r="I31" s="32"/>
      <c r="J31" s="37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3" ht="13.5" thickBot="1">
      <c r="A32" s="20" t="s">
        <v>61</v>
      </c>
      <c r="B32" s="38"/>
      <c r="C32" s="39"/>
      <c r="D32" s="39"/>
      <c r="E32" s="39"/>
      <c r="F32" s="39"/>
      <c r="G32" s="39"/>
      <c r="H32" s="38"/>
      <c r="I32" s="40"/>
      <c r="J32" s="41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>
        <f>V28-V30</f>
        <v>353170.16000000096</v>
      </c>
      <c r="W32" s="19"/>
    </row>
    <row r="33" spans="10:12" ht="13.5" thickTop="1">
      <c r="J33" s="5"/>
      <c r="K33" s="6"/>
      <c r="L33" s="6"/>
    </row>
    <row r="34" spans="10:12" ht="12.75">
      <c r="J34" s="5"/>
      <c r="K34" s="6"/>
      <c r="L34" s="6"/>
    </row>
    <row r="35" spans="10:12" ht="12.75">
      <c r="J35" s="5"/>
      <c r="K35" s="6"/>
      <c r="L35" s="6"/>
    </row>
    <row r="36" spans="2:21" ht="11.25">
      <c r="B36" s="7" t="s">
        <v>5</v>
      </c>
      <c r="C36" s="8" t="s">
        <v>6</v>
      </c>
      <c r="D36" s="8" t="s">
        <v>7</v>
      </c>
      <c r="E36" s="8" t="s">
        <v>8</v>
      </c>
      <c r="F36" s="8" t="s">
        <v>9</v>
      </c>
      <c r="G36" s="8" t="s">
        <v>10</v>
      </c>
      <c r="H36" s="8" t="s">
        <v>11</v>
      </c>
      <c r="I36" s="9" t="s">
        <v>12</v>
      </c>
      <c r="J36" s="10" t="s">
        <v>13</v>
      </c>
      <c r="K36" s="11" t="s">
        <v>14</v>
      </c>
      <c r="L36" s="11" t="s">
        <v>15</v>
      </c>
      <c r="M36" s="7" t="s">
        <v>16</v>
      </c>
      <c r="N36" s="7" t="s">
        <v>17</v>
      </c>
      <c r="O36" s="7" t="s">
        <v>18</v>
      </c>
      <c r="P36" s="7" t="s">
        <v>19</v>
      </c>
      <c r="Q36" s="7" t="s">
        <v>20</v>
      </c>
      <c r="R36" s="7" t="s">
        <v>21</v>
      </c>
      <c r="S36" s="7" t="s">
        <v>22</v>
      </c>
      <c r="T36" s="7" t="s">
        <v>23</v>
      </c>
      <c r="U36" s="7" t="s">
        <v>24</v>
      </c>
    </row>
    <row r="37" spans="2:22" ht="45">
      <c r="B37" s="12" t="s">
        <v>25</v>
      </c>
      <c r="C37" s="13" t="s">
        <v>26</v>
      </c>
      <c r="D37" s="13" t="s">
        <v>27</v>
      </c>
      <c r="E37" s="13" t="s">
        <v>28</v>
      </c>
      <c r="F37" s="14" t="s">
        <v>29</v>
      </c>
      <c r="G37" s="14" t="s">
        <v>30</v>
      </c>
      <c r="H37" s="14" t="s">
        <v>31</v>
      </c>
      <c r="I37" s="15" t="s">
        <v>32</v>
      </c>
      <c r="J37" s="16" t="s">
        <v>33</v>
      </c>
      <c r="K37" s="17" t="s">
        <v>34</v>
      </c>
      <c r="L37" s="17" t="s">
        <v>35</v>
      </c>
      <c r="M37" s="12" t="s">
        <v>36</v>
      </c>
      <c r="N37" s="18" t="s">
        <v>37</v>
      </c>
      <c r="O37" s="12" t="s">
        <v>38</v>
      </c>
      <c r="P37" s="18" t="s">
        <v>39</v>
      </c>
      <c r="Q37" s="18" t="s">
        <v>40</v>
      </c>
      <c r="R37" s="12" t="s">
        <v>41</v>
      </c>
      <c r="S37" s="18" t="s">
        <v>42</v>
      </c>
      <c r="T37" s="18" t="s">
        <v>43</v>
      </c>
      <c r="U37" s="12" t="s">
        <v>44</v>
      </c>
      <c r="V37" s="12" t="s">
        <v>45</v>
      </c>
    </row>
    <row r="38" spans="10:12" ht="12.75">
      <c r="J38" s="5"/>
      <c r="K38" s="6"/>
      <c r="L38" s="6"/>
    </row>
    <row r="39" spans="10:12" ht="12.75">
      <c r="J39" s="5"/>
      <c r="K39" s="6"/>
      <c r="L39" s="6"/>
    </row>
    <row r="40" spans="10:12" ht="12.75">
      <c r="J40" s="5"/>
      <c r="K40" s="6"/>
      <c r="L40" s="6"/>
    </row>
    <row r="41" spans="1:25" ht="12.75">
      <c r="A41" s="20" t="s">
        <v>62</v>
      </c>
      <c r="B41" s="22"/>
      <c r="C41" s="21"/>
      <c r="D41" s="21"/>
      <c r="E41" s="21"/>
      <c r="F41" s="21"/>
      <c r="G41" s="21"/>
      <c r="H41" s="22"/>
      <c r="I41" s="32"/>
      <c r="J41" s="37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1">
        <f>V28</f>
        <v>1249544.580000001</v>
      </c>
      <c r="X41" s="19"/>
      <c r="Y41" s="19"/>
    </row>
    <row r="42" spans="2:22" ht="12.75">
      <c r="B42" s="22"/>
      <c r="C42" s="21"/>
      <c r="D42" s="21"/>
      <c r="E42" s="21"/>
      <c r="F42" s="21"/>
      <c r="G42" s="21"/>
      <c r="H42" s="22"/>
      <c r="I42" s="32"/>
      <c r="J42" s="37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2" ht="12.75">
      <c r="A43" s="20" t="s">
        <v>47</v>
      </c>
      <c r="B43" s="22"/>
      <c r="C43" s="21"/>
      <c r="D43" s="21"/>
      <c r="E43" s="21"/>
      <c r="F43" s="21"/>
      <c r="G43" s="21"/>
      <c r="H43" s="22"/>
      <c r="I43" s="32"/>
      <c r="J43" s="37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1:22" ht="12.75">
      <c r="A44" s="2" t="s">
        <v>48</v>
      </c>
      <c r="B44" s="22"/>
      <c r="C44" s="21"/>
      <c r="D44" s="21"/>
      <c r="E44" s="21"/>
      <c r="F44" s="21"/>
      <c r="G44" s="21"/>
      <c r="H44" s="22"/>
      <c r="I44" s="32"/>
      <c r="J44" s="37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>
        <v>4763259.83</v>
      </c>
    </row>
    <row r="45" spans="1:22" ht="12.75">
      <c r="A45" s="2" t="s">
        <v>49</v>
      </c>
      <c r="B45" s="22"/>
      <c r="C45" s="21"/>
      <c r="D45" s="21"/>
      <c r="E45" s="21"/>
      <c r="F45" s="21"/>
      <c r="G45" s="21"/>
      <c r="H45" s="22"/>
      <c r="I45" s="32"/>
      <c r="J45" s="37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>
        <f>2221183.59-307923.53+235606.78</f>
        <v>2148866.84</v>
      </c>
    </row>
    <row r="46" spans="1:22" ht="12.75">
      <c r="A46" s="2" t="s">
        <v>50</v>
      </c>
      <c r="B46" s="28"/>
      <c r="C46" s="34"/>
      <c r="D46" s="34"/>
      <c r="E46" s="34"/>
      <c r="F46" s="34"/>
      <c r="G46" s="34"/>
      <c r="H46" s="28"/>
      <c r="I46" s="35"/>
      <c r="J46" s="42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>
        <v>14688.64</v>
      </c>
    </row>
    <row r="47" spans="2:22" ht="12.75">
      <c r="B47" s="22"/>
      <c r="C47" s="21"/>
      <c r="D47" s="21"/>
      <c r="E47" s="21"/>
      <c r="F47" s="21"/>
      <c r="G47" s="21"/>
      <c r="H47" s="22"/>
      <c r="I47" s="32"/>
      <c r="J47" s="37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1:22" ht="12.75">
      <c r="A48" s="20" t="s">
        <v>51</v>
      </c>
      <c r="B48" s="22"/>
      <c r="C48" s="21"/>
      <c r="D48" s="21"/>
      <c r="E48" s="21"/>
      <c r="F48" s="21"/>
      <c r="G48" s="21"/>
      <c r="H48" s="22"/>
      <c r="I48" s="32"/>
      <c r="J48" s="37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>
        <f>SUM(V44:V46)</f>
        <v>6926815.31</v>
      </c>
    </row>
    <row r="49" spans="2:22" ht="12.75">
      <c r="B49" s="22"/>
      <c r="C49" s="21"/>
      <c r="D49" s="21"/>
      <c r="E49" s="21"/>
      <c r="F49" s="21"/>
      <c r="G49" s="21"/>
      <c r="H49" s="22"/>
      <c r="I49" s="32"/>
      <c r="J49" s="37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ht="12.75">
      <c r="A50" s="20" t="s">
        <v>52</v>
      </c>
      <c r="B50" s="22"/>
      <c r="C50" s="21"/>
      <c r="D50" s="21"/>
      <c r="E50" s="21"/>
      <c r="F50" s="21"/>
      <c r="G50" s="21"/>
      <c r="H50" s="22"/>
      <c r="I50" s="32"/>
      <c r="J50" s="37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</row>
    <row r="51" spans="1:22" ht="11.25">
      <c r="A51" s="2" t="s">
        <v>53</v>
      </c>
      <c r="B51" s="22">
        <f>359731.31+93453.82-46.44+18992.16</f>
        <v>472130.85</v>
      </c>
      <c r="C51" s="21"/>
      <c r="D51" s="21"/>
      <c r="E51" s="21"/>
      <c r="F51" s="21"/>
      <c r="G51" s="21"/>
      <c r="H51" s="22"/>
      <c r="I51" s="32"/>
      <c r="J51" s="33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>
        <f>SUM(B51:C51)</f>
        <v>472130.85</v>
      </c>
    </row>
    <row r="52" spans="1:22" ht="11.25">
      <c r="A52" s="2" t="s">
        <v>54</v>
      </c>
      <c r="B52" s="22"/>
      <c r="C52" s="21"/>
      <c r="D52" s="21">
        <v>32419</v>
      </c>
      <c r="E52" s="21">
        <v>64959</v>
      </c>
      <c r="F52" s="21">
        <v>10603.87</v>
      </c>
      <c r="G52" s="21">
        <v>17209</v>
      </c>
      <c r="H52" s="22">
        <v>10418</v>
      </c>
      <c r="I52" s="32">
        <v>45003</v>
      </c>
      <c r="J52" s="33">
        <v>6846</v>
      </c>
      <c r="K52" s="22">
        <v>51181</v>
      </c>
      <c r="L52" s="22">
        <v>16625</v>
      </c>
      <c r="M52" s="22">
        <v>71905</v>
      </c>
      <c r="N52" s="22">
        <v>9397.15</v>
      </c>
      <c r="O52" s="22">
        <v>131306.3</v>
      </c>
      <c r="P52" s="22">
        <v>66204</v>
      </c>
      <c r="Q52" s="22">
        <v>28752</v>
      </c>
      <c r="R52" s="22">
        <v>19147</v>
      </c>
      <c r="S52" s="22">
        <v>17243</v>
      </c>
      <c r="T52" s="22">
        <f>6617+28687</f>
        <v>35304</v>
      </c>
      <c r="U52" s="22">
        <v>21919.72</v>
      </c>
      <c r="V52" s="22">
        <f>SUM(C52:U52)</f>
        <v>656442.04</v>
      </c>
    </row>
    <row r="53" spans="1:22" ht="11.25">
      <c r="A53" s="2" t="s">
        <v>55</v>
      </c>
      <c r="B53" s="22"/>
      <c r="C53" s="21"/>
      <c r="D53" s="21">
        <v>2944.33</v>
      </c>
      <c r="E53" s="21"/>
      <c r="F53" s="21">
        <v>221</v>
      </c>
      <c r="G53" s="21"/>
      <c r="H53" s="22"/>
      <c r="I53" s="32"/>
      <c r="J53" s="33">
        <v>1401</v>
      </c>
      <c r="K53" s="22"/>
      <c r="L53" s="22">
        <v>120</v>
      </c>
      <c r="M53" s="22">
        <v>2702</v>
      </c>
      <c r="N53" s="22"/>
      <c r="O53" s="22"/>
      <c r="P53" s="22"/>
      <c r="Q53" s="22"/>
      <c r="R53" s="22"/>
      <c r="S53" s="22"/>
      <c r="T53" s="22"/>
      <c r="U53" s="22">
        <v>207</v>
      </c>
      <c r="V53" s="22">
        <f>SUM(C53:U53)</f>
        <v>7595.33</v>
      </c>
    </row>
    <row r="54" spans="1:22" ht="11.25">
      <c r="A54" s="2" t="s">
        <v>56</v>
      </c>
      <c r="B54" s="22"/>
      <c r="C54" s="21">
        <f>23812.5+1110.34+6714.01+16737.63+52500</f>
        <v>100874.48</v>
      </c>
      <c r="D54" s="21">
        <v>27035</v>
      </c>
      <c r="E54" s="21"/>
      <c r="F54" s="21">
        <v>101.19</v>
      </c>
      <c r="G54" s="21"/>
      <c r="H54" s="22"/>
      <c r="I54" s="32"/>
      <c r="J54" s="33"/>
      <c r="K54" s="22"/>
      <c r="L54" s="22">
        <v>1546</v>
      </c>
      <c r="M54" s="22">
        <v>28673</v>
      </c>
      <c r="N54" s="22"/>
      <c r="O54" s="22"/>
      <c r="P54" s="22"/>
      <c r="Q54" s="22"/>
      <c r="R54" s="22"/>
      <c r="S54" s="22"/>
      <c r="T54" s="22"/>
      <c r="U54" s="22">
        <v>1867</v>
      </c>
      <c r="V54" s="22">
        <f>SUM(C54:U54)</f>
        <v>160096.66999999998</v>
      </c>
    </row>
    <row r="55" spans="1:22" ht="11.25">
      <c r="A55" s="2" t="s">
        <v>57</v>
      </c>
      <c r="B55" s="28"/>
      <c r="C55" s="34"/>
      <c r="D55" s="34">
        <v>303712.36</v>
      </c>
      <c r="E55" s="34">
        <v>545931</v>
      </c>
      <c r="F55" s="34">
        <v>135869.36</v>
      </c>
      <c r="G55" s="34">
        <v>157660</v>
      </c>
      <c r="H55" s="28">
        <v>86161</v>
      </c>
      <c r="I55" s="35">
        <v>397648.86</v>
      </c>
      <c r="J55" s="36">
        <v>68048</v>
      </c>
      <c r="K55" s="28">
        <v>420980</v>
      </c>
      <c r="L55" s="28">
        <v>152657</v>
      </c>
      <c r="M55" s="28">
        <v>616965</v>
      </c>
      <c r="N55" s="28">
        <v>77726.36</v>
      </c>
      <c r="O55" s="28">
        <v>1180665.7</v>
      </c>
      <c r="P55" s="28">
        <v>568031</v>
      </c>
      <c r="Q55" s="28">
        <v>280103</v>
      </c>
      <c r="R55" s="28">
        <v>191462</v>
      </c>
      <c r="S55" s="28">
        <v>149235</v>
      </c>
      <c r="T55" s="28">
        <f>77556.67+243863</f>
        <v>321419.67</v>
      </c>
      <c r="U55" s="28">
        <v>161506.29</v>
      </c>
      <c r="V55" s="28">
        <f>SUM(C55:U55)</f>
        <v>5815781.6</v>
      </c>
    </row>
    <row r="56" spans="2:22" ht="11.25">
      <c r="B56" s="22"/>
      <c r="C56" s="21"/>
      <c r="D56" s="21"/>
      <c r="E56" s="21"/>
      <c r="F56" s="21"/>
      <c r="G56" s="21"/>
      <c r="H56" s="22"/>
      <c r="I56" s="32"/>
      <c r="J56" s="33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1:22" ht="11.25">
      <c r="A57" s="20" t="s">
        <v>58</v>
      </c>
      <c r="B57" s="22">
        <f>SUM(B51:B55)</f>
        <v>472130.85</v>
      </c>
      <c r="C57" s="22">
        <f>SUM(C51:C55)</f>
        <v>100874.48</v>
      </c>
      <c r="D57" s="21">
        <f>SUM(D52:D55)</f>
        <v>366110.69</v>
      </c>
      <c r="E57" s="21">
        <f>SUM(E52:E55)</f>
        <v>610890</v>
      </c>
      <c r="F57" s="21">
        <f>SUM(F52:F55)</f>
        <v>146795.41999999998</v>
      </c>
      <c r="G57" s="21">
        <f>SUM(G52:G55)</f>
        <v>174869</v>
      </c>
      <c r="H57" s="21">
        <f>SUM(H52:H55)</f>
        <v>96579</v>
      </c>
      <c r="I57" s="21">
        <f aca="true" t="shared" si="2" ref="I57:U57">SUM(I52:I55)</f>
        <v>442651.86</v>
      </c>
      <c r="J57" s="21">
        <f t="shared" si="2"/>
        <v>76295</v>
      </c>
      <c r="K57" s="21">
        <f t="shared" si="2"/>
        <v>472161</v>
      </c>
      <c r="L57" s="21">
        <f t="shared" si="2"/>
        <v>170948</v>
      </c>
      <c r="M57" s="21">
        <f t="shared" si="2"/>
        <v>720245</v>
      </c>
      <c r="N57" s="21">
        <f t="shared" si="2"/>
        <v>87123.51</v>
      </c>
      <c r="O57" s="21">
        <f t="shared" si="2"/>
        <v>1311972</v>
      </c>
      <c r="P57" s="21">
        <f t="shared" si="2"/>
        <v>634235</v>
      </c>
      <c r="Q57" s="21">
        <f t="shared" si="2"/>
        <v>308855</v>
      </c>
      <c r="R57" s="21">
        <f t="shared" si="2"/>
        <v>210609</v>
      </c>
      <c r="S57" s="21">
        <f t="shared" si="2"/>
        <v>166478</v>
      </c>
      <c r="T57" s="21">
        <f t="shared" si="2"/>
        <v>356723.67</v>
      </c>
      <c r="U57" s="21">
        <f t="shared" si="2"/>
        <v>185500.01</v>
      </c>
      <c r="V57" s="22">
        <f>SUM(V51:V55)</f>
        <v>7112046.49</v>
      </c>
    </row>
    <row r="58" spans="2:22" ht="11.25">
      <c r="B58" s="22"/>
      <c r="C58" s="21"/>
      <c r="D58" s="21"/>
      <c r="E58" s="21"/>
      <c r="F58" s="21"/>
      <c r="G58" s="21"/>
      <c r="H58" s="22"/>
      <c r="I58" s="32"/>
      <c r="J58" s="33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1:23" ht="12" thickBot="1">
      <c r="A59" s="20" t="s">
        <v>63</v>
      </c>
      <c r="B59" s="38"/>
      <c r="C59" s="39"/>
      <c r="D59" s="39"/>
      <c r="E59" s="39"/>
      <c r="F59" s="39"/>
      <c r="G59" s="39"/>
      <c r="H59" s="38"/>
      <c r="I59" s="40"/>
      <c r="J59" s="43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>
        <f>V41+V48-V57</f>
        <v>1064313.4000000004</v>
      </c>
      <c r="W59" s="19"/>
    </row>
    <row r="60" spans="2:22" ht="12" thickTop="1">
      <c r="B60" s="22"/>
      <c r="C60" s="21"/>
      <c r="D60" s="21"/>
      <c r="E60" s="21"/>
      <c r="F60" s="21"/>
      <c r="G60" s="21"/>
      <c r="H60" s="22"/>
      <c r="I60" s="32"/>
      <c r="J60" s="33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</row>
    <row r="61" spans="1:22" ht="11.25">
      <c r="A61" s="2" t="s">
        <v>64</v>
      </c>
      <c r="B61" s="22"/>
      <c r="C61" s="21"/>
      <c r="D61" s="21">
        <f>3035+15370.64</f>
        <v>18405.64</v>
      </c>
      <c r="E61" s="21">
        <f>5035+24317</f>
        <v>29352</v>
      </c>
      <c r="F61" s="21">
        <f>4861.73+14868.92</f>
        <v>19730.65</v>
      </c>
      <c r="G61" s="21">
        <f>3839+17340</f>
        <v>21179</v>
      </c>
      <c r="H61" s="22">
        <f>1346+19925</f>
        <v>21271</v>
      </c>
      <c r="I61" s="32">
        <f>1935+99759.14</f>
        <v>101694.14</v>
      </c>
      <c r="J61" s="33">
        <f>511+3073</f>
        <v>3584</v>
      </c>
      <c r="K61" s="22">
        <f>4648+20167</f>
        <v>24815</v>
      </c>
      <c r="L61" s="22">
        <f>696+18342</f>
        <v>19038</v>
      </c>
      <c r="M61" s="22">
        <f>24486+986+4521</f>
        <v>29993</v>
      </c>
      <c r="N61" s="22">
        <f>2687.85+7083.64</f>
        <v>9771.49</v>
      </c>
      <c r="O61" s="22">
        <f>13266.7+182168.3</f>
        <v>195435</v>
      </c>
      <c r="P61" s="22">
        <f>2812</f>
        <v>2812</v>
      </c>
      <c r="Q61" s="22">
        <f>6701+57788</f>
        <v>64489</v>
      </c>
      <c r="R61" s="22">
        <f>6529+25295</f>
        <v>31824</v>
      </c>
      <c r="S61" s="22">
        <f>76+5978</f>
        <v>6054</v>
      </c>
      <c r="T61" s="22">
        <f>3287+45221</f>
        <v>48508</v>
      </c>
      <c r="U61" s="22">
        <v>17396</v>
      </c>
      <c r="V61" s="22">
        <f>SUM(B61:U61)</f>
        <v>665351.9199999999</v>
      </c>
    </row>
    <row r="62" spans="2:22" ht="11.25">
      <c r="B62" s="22"/>
      <c r="C62" s="21"/>
      <c r="D62" s="21"/>
      <c r="E62" s="21"/>
      <c r="F62" s="21"/>
      <c r="G62" s="21"/>
      <c r="H62" s="22"/>
      <c r="I62" s="32"/>
      <c r="J62" s="33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</row>
    <row r="63" spans="1:23" ht="12" thickBot="1">
      <c r="A63" s="20" t="s">
        <v>65</v>
      </c>
      <c r="B63" s="38"/>
      <c r="C63" s="39"/>
      <c r="D63" s="39"/>
      <c r="E63" s="39"/>
      <c r="F63" s="39"/>
      <c r="G63" s="39"/>
      <c r="H63" s="38"/>
      <c r="I63" s="40"/>
      <c r="J63" s="43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>
        <f>V59-V61</f>
        <v>398961.48000000045</v>
      </c>
      <c r="W63" s="19"/>
    </row>
    <row r="64" spans="1:22" ht="12" thickTop="1">
      <c r="A64" s="20"/>
      <c r="B64" s="19"/>
      <c r="C64" s="29"/>
      <c r="D64" s="29"/>
      <c r="E64" s="29"/>
      <c r="F64" s="29"/>
      <c r="G64" s="29"/>
      <c r="H64" s="19"/>
      <c r="I64" s="30"/>
      <c r="J64" s="44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0:12" ht="12.75">
      <c r="J65" s="5"/>
      <c r="K65" s="6"/>
      <c r="L65" s="6"/>
    </row>
    <row r="66" spans="10:12" ht="12.75">
      <c r="J66" s="5"/>
      <c r="K66" s="6"/>
      <c r="L66" s="6"/>
    </row>
    <row r="67" spans="2:21" ht="11.25">
      <c r="B67" s="7" t="s">
        <v>5</v>
      </c>
      <c r="C67" s="8" t="s">
        <v>6</v>
      </c>
      <c r="D67" s="8" t="s">
        <v>7</v>
      </c>
      <c r="E67" s="8" t="s">
        <v>8</v>
      </c>
      <c r="F67" s="8" t="s">
        <v>9</v>
      </c>
      <c r="G67" s="8" t="s">
        <v>10</v>
      </c>
      <c r="H67" s="8" t="s">
        <v>11</v>
      </c>
      <c r="I67" s="9" t="s">
        <v>12</v>
      </c>
      <c r="J67" s="10" t="s">
        <v>13</v>
      </c>
      <c r="K67" s="11" t="s">
        <v>14</v>
      </c>
      <c r="L67" s="11" t="s">
        <v>15</v>
      </c>
      <c r="M67" s="7" t="s">
        <v>16</v>
      </c>
      <c r="N67" s="7" t="s">
        <v>17</v>
      </c>
      <c r="O67" s="7" t="s">
        <v>18</v>
      </c>
      <c r="P67" s="7" t="s">
        <v>19</v>
      </c>
      <c r="Q67" s="7" t="s">
        <v>20</v>
      </c>
      <c r="R67" s="7" t="s">
        <v>21</v>
      </c>
      <c r="S67" s="7" t="s">
        <v>22</v>
      </c>
      <c r="T67" s="7" t="s">
        <v>23</v>
      </c>
      <c r="U67" s="7" t="s">
        <v>24</v>
      </c>
    </row>
    <row r="68" spans="2:22" ht="45">
      <c r="B68" s="12" t="s">
        <v>25</v>
      </c>
      <c r="C68" s="13" t="s">
        <v>26</v>
      </c>
      <c r="D68" s="13" t="s">
        <v>27</v>
      </c>
      <c r="E68" s="13" t="s">
        <v>28</v>
      </c>
      <c r="F68" s="14" t="s">
        <v>29</v>
      </c>
      <c r="G68" s="14" t="s">
        <v>30</v>
      </c>
      <c r="H68" s="14" t="s">
        <v>31</v>
      </c>
      <c r="I68" s="15" t="s">
        <v>32</v>
      </c>
      <c r="J68" s="16" t="s">
        <v>33</v>
      </c>
      <c r="K68" s="17" t="s">
        <v>34</v>
      </c>
      <c r="L68" s="17" t="s">
        <v>35</v>
      </c>
      <c r="M68" s="12" t="s">
        <v>36</v>
      </c>
      <c r="N68" s="18" t="s">
        <v>37</v>
      </c>
      <c r="O68" s="12" t="s">
        <v>38</v>
      </c>
      <c r="P68" s="18" t="s">
        <v>39</v>
      </c>
      <c r="Q68" s="18" t="s">
        <v>40</v>
      </c>
      <c r="R68" s="12" t="s">
        <v>41</v>
      </c>
      <c r="S68" s="18" t="s">
        <v>42</v>
      </c>
      <c r="T68" s="18" t="s">
        <v>43</v>
      </c>
      <c r="U68" s="12" t="s">
        <v>44</v>
      </c>
      <c r="V68" s="12" t="s">
        <v>45</v>
      </c>
    </row>
    <row r="69" spans="10:22" ht="12.75">
      <c r="J69" s="5"/>
      <c r="K69" s="6"/>
      <c r="L69" s="6"/>
      <c r="V69" s="19"/>
    </row>
    <row r="70" spans="1:25" ht="11.25">
      <c r="A70" s="20" t="s">
        <v>66</v>
      </c>
      <c r="B70" s="22"/>
      <c r="C70" s="21"/>
      <c r="D70" s="21"/>
      <c r="E70" s="21"/>
      <c r="F70" s="21"/>
      <c r="G70" s="21"/>
      <c r="H70" s="22"/>
      <c r="I70" s="32"/>
      <c r="J70" s="33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1">
        <f>V59</f>
        <v>1064313.4000000004</v>
      </c>
      <c r="X70" s="19"/>
      <c r="Y70" s="19"/>
    </row>
    <row r="71" spans="2:22" ht="11.25">
      <c r="B71" s="22"/>
      <c r="C71" s="21"/>
      <c r="D71" s="21"/>
      <c r="E71" s="21"/>
      <c r="F71" s="21"/>
      <c r="G71" s="21"/>
      <c r="H71" s="22"/>
      <c r="I71" s="32"/>
      <c r="J71" s="33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</row>
    <row r="72" spans="1:22" ht="11.25">
      <c r="A72" s="20" t="s">
        <v>47</v>
      </c>
      <c r="B72" s="22"/>
      <c r="C72" s="21"/>
      <c r="D72" s="21"/>
      <c r="E72" s="21"/>
      <c r="F72" s="21"/>
      <c r="G72" s="21"/>
      <c r="H72" s="22"/>
      <c r="I72" s="32"/>
      <c r="J72" s="33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</row>
    <row r="73" spans="1:22" ht="11.25">
      <c r="A73" s="2" t="s">
        <v>48</v>
      </c>
      <c r="B73" s="22"/>
      <c r="C73" s="21"/>
      <c r="D73" s="21"/>
      <c r="E73" s="21"/>
      <c r="F73" s="21"/>
      <c r="G73" s="21"/>
      <c r="H73" s="22"/>
      <c r="I73" s="32"/>
      <c r="J73" s="33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>
        <v>6278610</v>
      </c>
    </row>
    <row r="74" spans="1:22" ht="11.25">
      <c r="A74" s="2" t="s">
        <v>49</v>
      </c>
      <c r="B74" s="22"/>
      <c r="C74" s="21"/>
      <c r="D74" s="21"/>
      <c r="E74" s="21"/>
      <c r="F74" s="21"/>
      <c r="G74" s="21"/>
      <c r="H74" s="22"/>
      <c r="I74" s="32"/>
      <c r="J74" s="33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>
        <f>1635274.8+307923.53</f>
        <v>1943198.33</v>
      </c>
    </row>
    <row r="75" spans="1:22" ht="11.25">
      <c r="A75" s="2" t="s">
        <v>67</v>
      </c>
      <c r="B75" s="22"/>
      <c r="C75" s="21"/>
      <c r="D75" s="21"/>
      <c r="E75" s="21"/>
      <c r="F75" s="21"/>
      <c r="G75" s="21"/>
      <c r="H75" s="22"/>
      <c r="I75" s="32"/>
      <c r="J75" s="33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45">
        <v>372777.1</v>
      </c>
    </row>
    <row r="76" spans="1:22" ht="11.25">
      <c r="A76" s="2" t="s">
        <v>50</v>
      </c>
      <c r="B76" s="28"/>
      <c r="C76" s="34"/>
      <c r="D76" s="34"/>
      <c r="E76" s="34"/>
      <c r="F76" s="34"/>
      <c r="G76" s="34"/>
      <c r="H76" s="28"/>
      <c r="I76" s="35"/>
      <c r="J76" s="36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>
        <v>15788.92</v>
      </c>
    </row>
    <row r="77" spans="1:22" ht="11.25">
      <c r="A77" s="20"/>
      <c r="B77" s="22"/>
      <c r="C77" s="21"/>
      <c r="D77" s="21"/>
      <c r="E77" s="21"/>
      <c r="F77" s="21"/>
      <c r="G77" s="21"/>
      <c r="H77" s="22"/>
      <c r="I77" s="32"/>
      <c r="J77" s="33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 t="s">
        <v>4</v>
      </c>
    </row>
    <row r="78" spans="1:22" ht="11.25">
      <c r="A78" s="20" t="s">
        <v>51</v>
      </c>
      <c r="B78" s="22"/>
      <c r="C78" s="21"/>
      <c r="D78" s="21"/>
      <c r="E78" s="21"/>
      <c r="F78" s="21"/>
      <c r="G78" s="21"/>
      <c r="H78" s="22"/>
      <c r="I78" s="32"/>
      <c r="J78" s="33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>
        <f>SUM(V73:V76)</f>
        <v>8610374.35</v>
      </c>
    </row>
    <row r="79" spans="2:22" ht="11.25">
      <c r="B79" s="22"/>
      <c r="C79" s="21"/>
      <c r="D79" s="21"/>
      <c r="E79" s="21"/>
      <c r="F79" s="21"/>
      <c r="G79" s="21"/>
      <c r="H79" s="22"/>
      <c r="I79" s="32"/>
      <c r="J79" s="33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</row>
    <row r="80" spans="1:22" ht="11.25">
      <c r="A80" s="20" t="s">
        <v>52</v>
      </c>
      <c r="B80" s="22"/>
      <c r="C80" s="21"/>
      <c r="D80" s="21"/>
      <c r="E80" s="21"/>
      <c r="F80" s="21"/>
      <c r="G80" s="21"/>
      <c r="H80" s="22"/>
      <c r="I80" s="32"/>
      <c r="J80" s="33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</row>
    <row r="81" spans="1:22" ht="11.25">
      <c r="A81" s="2" t="s">
        <v>53</v>
      </c>
      <c r="B81" s="22">
        <f>381801.9+111804.91-9070.22+46.44</f>
        <v>484583.0300000001</v>
      </c>
      <c r="C81" s="21"/>
      <c r="D81" s="21"/>
      <c r="E81" s="21"/>
      <c r="F81" s="21"/>
      <c r="G81" s="21"/>
      <c r="H81" s="22"/>
      <c r="I81" s="32"/>
      <c r="J81" s="33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>
        <f>SUM(B81:C81)</f>
        <v>484583.0300000001</v>
      </c>
    </row>
    <row r="82" spans="1:22" ht="11.25">
      <c r="A82" s="2" t="s">
        <v>68</v>
      </c>
      <c r="B82" s="22">
        <f>19601.13+2240.42</f>
        <v>21841.550000000003</v>
      </c>
      <c r="C82" s="21"/>
      <c r="D82" s="21"/>
      <c r="E82" s="21"/>
      <c r="F82" s="21"/>
      <c r="G82" s="21"/>
      <c r="H82" s="22"/>
      <c r="I82" s="32"/>
      <c r="J82" s="33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>
        <f>SUM(B82:C82)</f>
        <v>21841.550000000003</v>
      </c>
    </row>
    <row r="83" spans="1:22" ht="11.25">
      <c r="A83" s="2" t="s">
        <v>54</v>
      </c>
      <c r="B83" s="22"/>
      <c r="C83" s="21"/>
      <c r="D83" s="21">
        <v>43854</v>
      </c>
      <c r="E83" s="21">
        <v>68516</v>
      </c>
      <c r="F83" s="21">
        <v>12952.47</v>
      </c>
      <c r="G83" s="21">
        <v>19644</v>
      </c>
      <c r="H83" s="22">
        <v>8198</v>
      </c>
      <c r="I83" s="32">
        <v>32294.2</v>
      </c>
      <c r="J83" s="33">
        <v>8076</v>
      </c>
      <c r="K83" s="22">
        <v>33913</v>
      </c>
      <c r="L83" s="22">
        <v>12472</v>
      </c>
      <c r="M83" s="22">
        <v>80796</v>
      </c>
      <c r="N83" s="22">
        <v>9582.38</v>
      </c>
      <c r="O83" s="22">
        <v>146085.95</v>
      </c>
      <c r="P83" s="22">
        <v>73871</v>
      </c>
      <c r="Q83" s="22">
        <v>38795</v>
      </c>
      <c r="R83" s="22">
        <v>14549.64</v>
      </c>
      <c r="S83" s="22">
        <v>15844</v>
      </c>
      <c r="T83" s="22">
        <f>17272+29537</f>
        <v>46809</v>
      </c>
      <c r="U83" s="22">
        <v>16914</v>
      </c>
      <c r="V83" s="22">
        <f>SUM(C83:U83)</f>
        <v>683166.64</v>
      </c>
    </row>
    <row r="84" spans="1:22" ht="11.25">
      <c r="A84" s="2" t="s">
        <v>55</v>
      </c>
      <c r="B84" s="22"/>
      <c r="C84" s="21"/>
      <c r="D84" s="21"/>
      <c r="E84" s="21"/>
      <c r="F84" s="21"/>
      <c r="G84" s="21"/>
      <c r="H84" s="22"/>
      <c r="I84" s="32"/>
      <c r="J84" s="33"/>
      <c r="K84" s="22"/>
      <c r="L84" s="22"/>
      <c r="M84" s="22">
        <v>4674</v>
      </c>
      <c r="N84" s="22"/>
      <c r="O84" s="22"/>
      <c r="P84" s="22"/>
      <c r="Q84" s="22"/>
      <c r="R84" s="22"/>
      <c r="S84" s="22"/>
      <c r="T84" s="22"/>
      <c r="U84" s="22"/>
      <c r="V84" s="22">
        <f>SUM(C84:U84)</f>
        <v>4674</v>
      </c>
    </row>
    <row r="85" spans="1:22" ht="11.25">
      <c r="A85" s="2" t="s">
        <v>56</v>
      </c>
      <c r="B85" s="22"/>
      <c r="C85" s="21">
        <f>24857.2+18760.06+6000</f>
        <v>49617.26</v>
      </c>
      <c r="D85" s="21">
        <v>17550</v>
      </c>
      <c r="E85" s="21"/>
      <c r="F85" s="21"/>
      <c r="G85" s="21"/>
      <c r="H85" s="22"/>
      <c r="I85" s="32">
        <v>28345.14</v>
      </c>
      <c r="J85" s="33"/>
      <c r="K85" s="22"/>
      <c r="L85" s="22"/>
      <c r="M85" s="22">
        <v>37515</v>
      </c>
      <c r="N85" s="22"/>
      <c r="O85" s="22"/>
      <c r="P85" s="22"/>
      <c r="Q85" s="22">
        <v>16620</v>
      </c>
      <c r="R85" s="22"/>
      <c r="S85" s="22"/>
      <c r="T85" s="22"/>
      <c r="U85" s="22"/>
      <c r="V85" s="22">
        <f>SUM(C85:U85)</f>
        <v>149647.40000000002</v>
      </c>
    </row>
    <row r="86" spans="1:23" ht="11.25">
      <c r="A86" s="2" t="s">
        <v>69</v>
      </c>
      <c r="B86" s="22"/>
      <c r="C86" s="21"/>
      <c r="D86" s="21" t="s">
        <v>4</v>
      </c>
      <c r="E86" s="21">
        <v>1452</v>
      </c>
      <c r="F86" s="21">
        <v>75.1</v>
      </c>
      <c r="G86" s="21"/>
      <c r="H86" s="22"/>
      <c r="I86" s="32"/>
      <c r="J86" s="33">
        <v>225</v>
      </c>
      <c r="K86" s="22"/>
      <c r="L86" s="22">
        <v>187</v>
      </c>
      <c r="M86" s="22"/>
      <c r="N86" s="22"/>
      <c r="O86" s="22">
        <v>824.54</v>
      </c>
      <c r="P86" s="22">
        <v>531</v>
      </c>
      <c r="Q86" s="22">
        <v>1222</v>
      </c>
      <c r="R86" s="22"/>
      <c r="S86" s="22">
        <v>758</v>
      </c>
      <c r="T86" s="22">
        <v>1780</v>
      </c>
      <c r="U86" s="22">
        <v>685</v>
      </c>
      <c r="V86" s="22">
        <f>SUM(C86:U86)</f>
        <v>7739.639999999999</v>
      </c>
      <c r="W86" s="19"/>
    </row>
    <row r="87" spans="1:22" ht="11.25">
      <c r="A87" s="2" t="s">
        <v>70</v>
      </c>
      <c r="B87" s="45"/>
      <c r="C87" s="46"/>
      <c r="D87" s="46">
        <v>7638.95</v>
      </c>
      <c r="E87" s="46">
        <v>14913</v>
      </c>
      <c r="F87" s="46">
        <v>3162.43</v>
      </c>
      <c r="G87" s="46">
        <v>450</v>
      </c>
      <c r="H87" s="45"/>
      <c r="I87" s="47">
        <v>9756.64</v>
      </c>
      <c r="J87" s="48">
        <v>2573</v>
      </c>
      <c r="K87" s="45">
        <v>15439</v>
      </c>
      <c r="L87" s="45">
        <v>5442</v>
      </c>
      <c r="M87" s="45">
        <v>24073</v>
      </c>
      <c r="N87" s="45">
        <v>1508.37</v>
      </c>
      <c r="O87" s="45">
        <v>16523.9</v>
      </c>
      <c r="P87" s="45">
        <v>4969</v>
      </c>
      <c r="Q87" s="45">
        <v>11113</v>
      </c>
      <c r="R87" s="45"/>
      <c r="S87" s="45">
        <v>6820</v>
      </c>
      <c r="T87" s="45">
        <v>13139</v>
      </c>
      <c r="U87" s="45">
        <v>6167</v>
      </c>
      <c r="V87" s="45">
        <f>SUM(C87:U87)</f>
        <v>143688.29</v>
      </c>
    </row>
    <row r="88" spans="1:22" ht="11.25">
      <c r="A88" s="2" t="s">
        <v>57</v>
      </c>
      <c r="B88" s="28"/>
      <c r="C88" s="34"/>
      <c r="D88" s="34">
        <v>328553.62</v>
      </c>
      <c r="E88" s="34">
        <v>631067</v>
      </c>
      <c r="F88" s="34">
        <v>141268.92</v>
      </c>
      <c r="G88" s="34">
        <v>149885</v>
      </c>
      <c r="H88" s="28">
        <v>82213</v>
      </c>
      <c r="I88" s="35">
        <v>478166.36</v>
      </c>
      <c r="J88" s="36">
        <v>82426</v>
      </c>
      <c r="K88" s="28">
        <v>364679</v>
      </c>
      <c r="L88" s="28">
        <v>152649</v>
      </c>
      <c r="M88" s="28">
        <v>683900</v>
      </c>
      <c r="N88" s="28">
        <v>92211.8</v>
      </c>
      <c r="O88" s="28">
        <v>1428372.43</v>
      </c>
      <c r="P88" s="28">
        <v>645149</v>
      </c>
      <c r="Q88" s="28">
        <v>372374</v>
      </c>
      <c r="R88" s="28">
        <v>145499.59</v>
      </c>
      <c r="S88" s="28">
        <v>152906</v>
      </c>
      <c r="T88" s="28">
        <f>135645+276719</f>
        <v>412364</v>
      </c>
      <c r="U88" s="28">
        <v>169612</v>
      </c>
      <c r="V88" s="28">
        <f>SUM(C88:U88)</f>
        <v>6513296.72</v>
      </c>
    </row>
    <row r="89" spans="2:22" ht="11.25">
      <c r="B89" s="22"/>
      <c r="C89" s="21"/>
      <c r="D89" s="21"/>
      <c r="E89" s="21"/>
      <c r="F89" s="21"/>
      <c r="G89" s="21"/>
      <c r="H89" s="22"/>
      <c r="I89" s="32"/>
      <c r="J89" s="33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</row>
    <row r="90" spans="1:22" ht="11.25">
      <c r="A90" s="20" t="s">
        <v>58</v>
      </c>
      <c r="B90" s="22">
        <f>SUM(B81:B88)</f>
        <v>506424.5800000001</v>
      </c>
      <c r="C90" s="22">
        <f aca="true" t="shared" si="3" ref="C90:U90">SUM(C81:C88)</f>
        <v>49617.26</v>
      </c>
      <c r="D90" s="22">
        <f t="shared" si="3"/>
        <v>397596.57</v>
      </c>
      <c r="E90" s="22">
        <f t="shared" si="3"/>
        <v>715948</v>
      </c>
      <c r="F90" s="22">
        <f t="shared" si="3"/>
        <v>157458.92</v>
      </c>
      <c r="G90" s="22">
        <f t="shared" si="3"/>
        <v>169979</v>
      </c>
      <c r="H90" s="22">
        <f t="shared" si="3"/>
        <v>90411</v>
      </c>
      <c r="I90" s="22">
        <f t="shared" si="3"/>
        <v>548562.34</v>
      </c>
      <c r="J90" s="22">
        <f t="shared" si="3"/>
        <v>93300</v>
      </c>
      <c r="K90" s="22">
        <f t="shared" si="3"/>
        <v>414031</v>
      </c>
      <c r="L90" s="22">
        <f t="shared" si="3"/>
        <v>170750</v>
      </c>
      <c r="M90" s="22">
        <f t="shared" si="3"/>
        <v>830958</v>
      </c>
      <c r="N90" s="22">
        <f t="shared" si="3"/>
        <v>103302.55</v>
      </c>
      <c r="O90" s="22">
        <f t="shared" si="3"/>
        <v>1591806.8199999998</v>
      </c>
      <c r="P90" s="22">
        <f t="shared" si="3"/>
        <v>724520</v>
      </c>
      <c r="Q90" s="22">
        <f t="shared" si="3"/>
        <v>440124</v>
      </c>
      <c r="R90" s="22">
        <f t="shared" si="3"/>
        <v>160049.22999999998</v>
      </c>
      <c r="S90" s="22">
        <f t="shared" si="3"/>
        <v>176328</v>
      </c>
      <c r="T90" s="22">
        <f t="shared" si="3"/>
        <v>474092</v>
      </c>
      <c r="U90" s="22">
        <f t="shared" si="3"/>
        <v>193378</v>
      </c>
      <c r="V90" s="22">
        <f>SUM(V81:V88)</f>
        <v>8008637.27</v>
      </c>
    </row>
    <row r="91" spans="2:22" ht="11.25">
      <c r="B91" s="22"/>
      <c r="C91" s="21"/>
      <c r="D91" s="21"/>
      <c r="E91" s="21"/>
      <c r="F91" s="21"/>
      <c r="G91" s="21"/>
      <c r="H91" s="22"/>
      <c r="I91" s="32"/>
      <c r="J91" s="33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</row>
    <row r="92" spans="1:23" ht="12" thickBot="1">
      <c r="A92" s="20" t="s">
        <v>71</v>
      </c>
      <c r="B92" s="38"/>
      <c r="C92" s="39"/>
      <c r="D92" s="39"/>
      <c r="E92" s="39"/>
      <c r="F92" s="39"/>
      <c r="G92" s="39"/>
      <c r="H92" s="38"/>
      <c r="I92" s="40"/>
      <c r="J92" s="43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>
        <f>V70+V78-V90</f>
        <v>1666050.4800000004</v>
      </c>
      <c r="W92" s="19"/>
    </row>
    <row r="93" spans="2:22" ht="12" thickTop="1">
      <c r="B93" s="22"/>
      <c r="C93" s="21"/>
      <c r="D93" s="21"/>
      <c r="E93" s="21"/>
      <c r="F93" s="21"/>
      <c r="G93" s="21"/>
      <c r="H93" s="22"/>
      <c r="I93" s="32"/>
      <c r="J93" s="33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</row>
    <row r="94" spans="1:22" ht="11.25">
      <c r="A94" s="2" t="s">
        <v>72</v>
      </c>
      <c r="B94" s="22"/>
      <c r="C94" s="21">
        <v>11955.8</v>
      </c>
      <c r="D94" s="21">
        <f>54193.02+1654+7246.05</f>
        <v>63093.07</v>
      </c>
      <c r="E94" s="21">
        <f>5040+9936+1325+10073</f>
        <v>26374</v>
      </c>
      <c r="F94" s="21">
        <f>5953.26+492.9+1959.57</f>
        <v>8405.73</v>
      </c>
      <c r="G94" s="21">
        <f>4817+53043+836+7070</f>
        <v>65766</v>
      </c>
      <c r="H94" s="22">
        <f>2799+24572+391+3520</f>
        <v>31282</v>
      </c>
      <c r="I94" s="32">
        <f>24134.8+112053.78+1654.86+2207+10115.36</f>
        <v>150165.8</v>
      </c>
      <c r="J94" s="33">
        <f>2622+12317+188+1141</f>
        <v>16268</v>
      </c>
      <c r="K94" s="22">
        <f>18403+84498+1931+1944</f>
        <v>106776</v>
      </c>
      <c r="L94" s="22">
        <f>648+418</f>
        <v>1066</v>
      </c>
      <c r="M94" s="22">
        <f>67742+3273+5390</f>
        <v>76405</v>
      </c>
      <c r="N94" s="22">
        <f>2588.47+206.84+385+1947.63</f>
        <v>5127.9400000000005</v>
      </c>
      <c r="O94" s="22">
        <f>31555.75+233186.87+5835.46+43416.1</f>
        <v>313994.18</v>
      </c>
      <c r="P94" s="22">
        <f>2362+21057</f>
        <v>23419</v>
      </c>
      <c r="Q94" s="22">
        <f>10513+68854+504+4424</f>
        <v>84295</v>
      </c>
      <c r="R94" s="22">
        <f>7888.36+63886.41</f>
        <v>71774.77</v>
      </c>
      <c r="S94" s="22">
        <f>2935+21386</f>
        <v>24321</v>
      </c>
      <c r="T94" s="22">
        <f>427+29542+2888</f>
        <v>32857</v>
      </c>
      <c r="U94" s="22">
        <v>0</v>
      </c>
      <c r="V94" s="22">
        <f>SUM(B94:U94)</f>
        <v>1113346.2899999998</v>
      </c>
    </row>
    <row r="95" spans="2:22" ht="11.25">
      <c r="B95" s="22"/>
      <c r="C95" s="21"/>
      <c r="D95" s="21"/>
      <c r="E95" s="21"/>
      <c r="F95" s="21"/>
      <c r="G95" s="21"/>
      <c r="H95" s="22"/>
      <c r="I95" s="32"/>
      <c r="J95" s="33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</row>
    <row r="96" spans="1:23" ht="12" thickBot="1">
      <c r="A96" s="20" t="s">
        <v>73</v>
      </c>
      <c r="B96" s="38"/>
      <c r="C96" s="39"/>
      <c r="D96" s="39"/>
      <c r="E96" s="39"/>
      <c r="F96" s="39"/>
      <c r="G96" s="39"/>
      <c r="H96" s="38"/>
      <c r="I96" s="40"/>
      <c r="J96" s="43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>
        <f>V92-V94</f>
        <v>552704.1900000006</v>
      </c>
      <c r="W96" s="19"/>
    </row>
    <row r="97" spans="1:22" ht="12" thickTop="1">
      <c r="A97" s="20"/>
      <c r="B97" s="19"/>
      <c r="C97" s="29"/>
      <c r="D97" s="29"/>
      <c r="E97" s="29"/>
      <c r="F97" s="29"/>
      <c r="G97" s="29"/>
      <c r="H97" s="19"/>
      <c r="I97" s="30"/>
      <c r="J97" s="44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spans="1:22" ht="11.25">
      <c r="A98" s="20"/>
      <c r="B98" s="19"/>
      <c r="C98" s="29"/>
      <c r="D98" s="29"/>
      <c r="E98" s="29"/>
      <c r="F98" s="29"/>
      <c r="G98" s="29"/>
      <c r="H98" s="19"/>
      <c r="I98" s="30"/>
      <c r="J98" s="44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spans="1:22" ht="11.25">
      <c r="A99" s="20"/>
      <c r="B99" s="19"/>
      <c r="C99" s="29"/>
      <c r="D99" s="29"/>
      <c r="E99" s="29"/>
      <c r="F99" s="29"/>
      <c r="G99" s="29"/>
      <c r="H99" s="19"/>
      <c r="I99" s="30"/>
      <c r="J99" s="44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</row>
    <row r="100" spans="1:21" ht="11.25">
      <c r="A100" s="20"/>
      <c r="B100" s="7" t="s">
        <v>5</v>
      </c>
      <c r="C100" s="8" t="s">
        <v>6</v>
      </c>
      <c r="D100" s="8" t="s">
        <v>7</v>
      </c>
      <c r="E100" s="8" t="s">
        <v>8</v>
      </c>
      <c r="F100" s="8" t="s">
        <v>9</v>
      </c>
      <c r="G100" s="8" t="s">
        <v>10</v>
      </c>
      <c r="H100" s="8" t="s">
        <v>11</v>
      </c>
      <c r="I100" s="9" t="s">
        <v>12</v>
      </c>
      <c r="J100" s="10" t="s">
        <v>13</v>
      </c>
      <c r="K100" s="11" t="s">
        <v>14</v>
      </c>
      <c r="L100" s="11" t="s">
        <v>15</v>
      </c>
      <c r="M100" s="7" t="s">
        <v>16</v>
      </c>
      <c r="N100" s="7" t="s">
        <v>17</v>
      </c>
      <c r="O100" s="7" t="s">
        <v>18</v>
      </c>
      <c r="P100" s="7" t="s">
        <v>19</v>
      </c>
      <c r="Q100" s="7" t="s">
        <v>20</v>
      </c>
      <c r="R100" s="7" t="s">
        <v>21</v>
      </c>
      <c r="S100" s="7" t="s">
        <v>22</v>
      </c>
      <c r="T100" s="7" t="s">
        <v>23</v>
      </c>
      <c r="U100" s="7" t="s">
        <v>24</v>
      </c>
    </row>
    <row r="101" spans="1:22" ht="45">
      <c r="A101" s="20"/>
      <c r="B101" s="12" t="s">
        <v>25</v>
      </c>
      <c r="C101" s="13" t="s">
        <v>26</v>
      </c>
      <c r="D101" s="13" t="s">
        <v>27</v>
      </c>
      <c r="E101" s="13" t="s">
        <v>28</v>
      </c>
      <c r="F101" s="14" t="s">
        <v>29</v>
      </c>
      <c r="G101" s="14" t="s">
        <v>30</v>
      </c>
      <c r="H101" s="14" t="s">
        <v>31</v>
      </c>
      <c r="I101" s="15" t="s">
        <v>32</v>
      </c>
      <c r="J101" s="16" t="s">
        <v>33</v>
      </c>
      <c r="K101" s="17" t="s">
        <v>34</v>
      </c>
      <c r="L101" s="17" t="s">
        <v>35</v>
      </c>
      <c r="M101" s="12" t="s">
        <v>36</v>
      </c>
      <c r="N101" s="18" t="s">
        <v>37</v>
      </c>
      <c r="O101" s="12" t="s">
        <v>38</v>
      </c>
      <c r="P101" s="18" t="s">
        <v>39</v>
      </c>
      <c r="Q101" s="18" t="s">
        <v>40</v>
      </c>
      <c r="R101" s="12" t="s">
        <v>41</v>
      </c>
      <c r="S101" s="18" t="s">
        <v>42</v>
      </c>
      <c r="T101" s="18" t="s">
        <v>43</v>
      </c>
      <c r="U101" s="12" t="s">
        <v>44</v>
      </c>
      <c r="V101" s="12" t="s">
        <v>45</v>
      </c>
    </row>
    <row r="102" spans="1:22" ht="11.25">
      <c r="A102" s="20"/>
      <c r="B102" s="19"/>
      <c r="C102" s="29"/>
      <c r="D102" s="29"/>
      <c r="E102" s="29"/>
      <c r="F102" s="29"/>
      <c r="G102" s="29"/>
      <c r="H102" s="19"/>
      <c r="I102" s="30"/>
      <c r="J102" s="44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</row>
    <row r="103" spans="1:25" ht="11.25">
      <c r="A103" s="20" t="s">
        <v>74</v>
      </c>
      <c r="B103" s="22"/>
      <c r="C103" s="21"/>
      <c r="D103" s="21"/>
      <c r="E103" s="21"/>
      <c r="F103" s="21"/>
      <c r="G103" s="21"/>
      <c r="H103" s="22"/>
      <c r="I103" s="32"/>
      <c r="J103" s="33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1">
        <f>V92</f>
        <v>1666050.4800000004</v>
      </c>
      <c r="X103" s="19"/>
      <c r="Y103" s="19"/>
    </row>
    <row r="104" spans="2:22" ht="11.25">
      <c r="B104" s="22"/>
      <c r="C104" s="21"/>
      <c r="D104" s="21"/>
      <c r="E104" s="21"/>
      <c r="F104" s="21"/>
      <c r="G104" s="21"/>
      <c r="H104" s="22"/>
      <c r="I104" s="32"/>
      <c r="J104" s="33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</row>
    <row r="105" spans="1:22" ht="11.25">
      <c r="A105" s="20" t="s">
        <v>47</v>
      </c>
      <c r="B105" s="22"/>
      <c r="C105" s="21"/>
      <c r="D105" s="21"/>
      <c r="E105" s="21"/>
      <c r="F105" s="21"/>
      <c r="G105" s="21"/>
      <c r="H105" s="22"/>
      <c r="I105" s="32"/>
      <c r="J105" s="33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</row>
    <row r="106" spans="1:22" ht="11.25">
      <c r="A106" s="2" t="s">
        <v>48</v>
      </c>
      <c r="B106" s="22"/>
      <c r="C106" s="21"/>
      <c r="D106" s="21"/>
      <c r="E106" s="21"/>
      <c r="F106" s="21"/>
      <c r="G106" s="21"/>
      <c r="H106" s="22"/>
      <c r="I106" s="32"/>
      <c r="J106" s="33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>
        <f>'[1]GMR Working Copy'!V104</f>
        <v>14457890</v>
      </c>
    </row>
    <row r="107" spans="1:22" ht="11.25">
      <c r="A107" s="2" t="s">
        <v>49</v>
      </c>
      <c r="B107" s="22"/>
      <c r="C107" s="21"/>
      <c r="D107" s="21"/>
      <c r="E107" s="21"/>
      <c r="F107" s="21"/>
      <c r="G107" s="21"/>
      <c r="H107" s="22"/>
      <c r="I107" s="32"/>
      <c r="J107" s="33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>
        <f>'[1]GMR Working Copy'!V105</f>
        <v>2253706.38</v>
      </c>
    </row>
    <row r="108" spans="1:22" ht="11.25">
      <c r="A108" s="2" t="s">
        <v>67</v>
      </c>
      <c r="B108" s="22"/>
      <c r="C108" s="21"/>
      <c r="D108" s="21"/>
      <c r="E108" s="21"/>
      <c r="F108" s="21"/>
      <c r="G108" s="21"/>
      <c r="H108" s="22"/>
      <c r="I108" s="32"/>
      <c r="J108" s="33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>
        <f>'[1]GMR Working Copy'!V106</f>
        <v>751235.45</v>
      </c>
    </row>
    <row r="109" spans="1:22" ht="11.25">
      <c r="A109" s="2" t="s">
        <v>50</v>
      </c>
      <c r="B109" s="28"/>
      <c r="C109" s="34"/>
      <c r="D109" s="34"/>
      <c r="E109" s="34"/>
      <c r="F109" s="34"/>
      <c r="G109" s="34"/>
      <c r="H109" s="28"/>
      <c r="I109" s="35"/>
      <c r="J109" s="36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>
        <f>'[1]GMR Working Copy'!V107</f>
        <v>81680.82</v>
      </c>
    </row>
    <row r="110" spans="1:22" ht="11.25">
      <c r="A110" s="20"/>
      <c r="B110" s="22"/>
      <c r="C110" s="21"/>
      <c r="D110" s="21"/>
      <c r="E110" s="21"/>
      <c r="F110" s="21"/>
      <c r="G110" s="21"/>
      <c r="H110" s="22"/>
      <c r="I110" s="32"/>
      <c r="J110" s="33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</row>
    <row r="111" spans="1:22" ht="11.25">
      <c r="A111" s="20" t="s">
        <v>51</v>
      </c>
      <c r="B111" s="22"/>
      <c r="C111" s="21"/>
      <c r="D111" s="21"/>
      <c r="E111" s="21"/>
      <c r="F111" s="21"/>
      <c r="G111" s="21"/>
      <c r="H111" s="22"/>
      <c r="I111" s="32"/>
      <c r="J111" s="33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>
        <f>SUM(V106:V109)</f>
        <v>17544512.65</v>
      </c>
    </row>
    <row r="112" spans="2:22" ht="11.25">
      <c r="B112" s="22"/>
      <c r="C112" s="21"/>
      <c r="D112" s="21"/>
      <c r="E112" s="21"/>
      <c r="F112" s="21"/>
      <c r="G112" s="21"/>
      <c r="H112" s="22"/>
      <c r="I112" s="32"/>
      <c r="J112" s="33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</row>
    <row r="113" spans="1:22" ht="11.25">
      <c r="A113" s="20" t="s">
        <v>52</v>
      </c>
      <c r="B113" s="22"/>
      <c r="C113" s="21"/>
      <c r="D113" s="21"/>
      <c r="E113" s="21"/>
      <c r="F113" s="21"/>
      <c r="G113" s="21"/>
      <c r="H113" s="22"/>
      <c r="I113" s="32"/>
      <c r="J113" s="33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</row>
    <row r="114" spans="1:22" ht="11.25">
      <c r="A114" s="2" t="s">
        <v>53</v>
      </c>
      <c r="B114" s="22">
        <f>'[1]GMR Working Copy'!B112</f>
        <v>570326.1799999999</v>
      </c>
      <c r="C114" s="21"/>
      <c r="D114" s="21"/>
      <c r="E114" s="21"/>
      <c r="F114" s="21"/>
      <c r="G114" s="21"/>
      <c r="H114" s="22"/>
      <c r="I114" s="32"/>
      <c r="J114" s="33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>
        <f>SUM(B114:C114)</f>
        <v>570326.1799999999</v>
      </c>
    </row>
    <row r="115" spans="1:22" ht="11.25">
      <c r="A115" s="2" t="s">
        <v>68</v>
      </c>
      <c r="B115" s="22">
        <f>'[1]GMR Working Copy'!B113</f>
        <v>80527.21</v>
      </c>
      <c r="C115" s="21"/>
      <c r="D115" s="21"/>
      <c r="E115" s="21"/>
      <c r="F115" s="21"/>
      <c r="G115" s="21"/>
      <c r="H115" s="22"/>
      <c r="I115" s="32"/>
      <c r="J115" s="33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>
        <f>SUM(B115:C115)</f>
        <v>80527.21</v>
      </c>
    </row>
    <row r="116" spans="1:22" ht="11.25">
      <c r="A116" s="2" t="s">
        <v>54</v>
      </c>
      <c r="B116" s="22" t="s">
        <v>4</v>
      </c>
      <c r="C116" s="21" t="str">
        <f>'[1]GMR Working Copy'!C114</f>
        <v> </v>
      </c>
      <c r="D116" s="21">
        <f>'[1]GMR Working Copy'!D114</f>
        <v>46941</v>
      </c>
      <c r="E116" s="21">
        <f>'[1]GMR Working Copy'!E114</f>
        <v>43952</v>
      </c>
      <c r="F116" s="21">
        <f>'[1]GMR Working Copy'!F114</f>
        <v>13868.38</v>
      </c>
      <c r="G116" s="21">
        <f>'[1]GMR Working Copy'!G114</f>
        <v>6644</v>
      </c>
      <c r="H116" s="21">
        <f>'[1]GMR Working Copy'!H114</f>
        <v>13345</v>
      </c>
      <c r="I116" s="21">
        <f>'[1]GMR Working Copy'!I114</f>
        <v>74096.24</v>
      </c>
      <c r="J116" s="21">
        <f>'[1]GMR Working Copy'!J114</f>
        <v>11384</v>
      </c>
      <c r="K116" s="21">
        <f>'[1]GMR Working Copy'!K114</f>
        <v>58218</v>
      </c>
      <c r="L116" s="21">
        <f>'[1]GMR Working Copy'!L114</f>
        <v>18185.3</v>
      </c>
      <c r="M116" s="21">
        <f>'[1]GMR Working Copy'!M114</f>
        <v>72955</v>
      </c>
      <c r="N116" s="21">
        <f>'[1]GMR Working Copy'!N114</f>
        <v>13302.47</v>
      </c>
      <c r="O116" s="21">
        <f>'[1]GMR Working Copy'!O114</f>
        <v>178741.03</v>
      </c>
      <c r="P116" s="21">
        <f>'[1]GMR Working Copy'!P114</f>
        <v>56370</v>
      </c>
      <c r="Q116" s="21">
        <f>'[1]GMR Working Copy'!Q114</f>
        <v>50261</v>
      </c>
      <c r="R116" s="21">
        <f>'[1]GMR Working Copy'!R114</f>
        <v>22499.57</v>
      </c>
      <c r="S116" s="21">
        <f>'[1]GMR Working Copy'!S114</f>
        <v>22472</v>
      </c>
      <c r="T116" s="21">
        <f>'[1]GMR Working Copy'!T114</f>
        <v>33775</v>
      </c>
      <c r="U116" s="21">
        <f>'[1]GMR Working Copy'!U114</f>
        <v>17701</v>
      </c>
      <c r="V116" s="22">
        <f aca="true" t="shared" si="4" ref="V116:V123">SUM(B116:U116)</f>
        <v>754710.9899999999</v>
      </c>
    </row>
    <row r="117" spans="1:22" ht="11.25">
      <c r="A117" s="2" t="s">
        <v>75</v>
      </c>
      <c r="B117" s="22"/>
      <c r="C117" s="21"/>
      <c r="D117" s="21">
        <f>'[1]GMR Working Copy'!D117</f>
        <v>15303</v>
      </c>
      <c r="E117" s="21">
        <f>'[1]GMR Working Copy'!E117</f>
        <v>24596</v>
      </c>
      <c r="F117" s="21">
        <f>'[1]GMR Working Copy'!F117</f>
        <v>8475.68</v>
      </c>
      <c r="G117" s="21">
        <f>'[1]GMR Working Copy'!G117</f>
        <v>2169.25</v>
      </c>
      <c r="H117" s="22">
        <f>'[1]GMR Working Copy'!H117</f>
        <v>10126</v>
      </c>
      <c r="I117" s="32">
        <f>'[1]GMR Working Copy'!I117</f>
        <v>25021.22</v>
      </c>
      <c r="J117" s="33">
        <f>'[1]GMR Working Copy'!J117</f>
        <v>6788</v>
      </c>
      <c r="K117" s="22">
        <f>'[1]GMR Working Copy'!K117</f>
        <v>26681</v>
      </c>
      <c r="L117" s="22">
        <f>'[1]GMR Working Copy'!L117</f>
        <v>3718.78</v>
      </c>
      <c r="M117" s="22">
        <f>'[1]GMR Working Copy'!M117</f>
        <v>85066</v>
      </c>
      <c r="N117" s="22">
        <f>'[1]GMR Working Copy'!N117</f>
        <v>8541.99</v>
      </c>
      <c r="O117" s="22">
        <f>'[1]GMR Working Copy'!O117</f>
        <v>170025</v>
      </c>
      <c r="P117" s="22">
        <f>'[1]GMR Working Copy'!P117</f>
        <v>13620</v>
      </c>
      <c r="Q117" s="22">
        <f>'[1]GMR Working Copy'!Q117</f>
        <v>5776</v>
      </c>
      <c r="R117" s="22">
        <f>'[1]GMR Working Copy'!R117</f>
        <v>7185.05</v>
      </c>
      <c r="S117" s="22">
        <f>'[1]GMR Working Copy'!S117</f>
        <v>57</v>
      </c>
      <c r="T117" s="22">
        <f>'[1]GMR Working Copy'!T117</f>
        <v>41331</v>
      </c>
      <c r="U117" s="22">
        <f>'[1]GMR Working Copy'!U117</f>
        <v>11843.5</v>
      </c>
      <c r="V117" s="22">
        <f t="shared" si="4"/>
        <v>466324.47</v>
      </c>
    </row>
    <row r="118" spans="1:22" ht="11.25">
      <c r="A118" s="2" t="s">
        <v>69</v>
      </c>
      <c r="B118" s="22"/>
      <c r="C118" s="21"/>
      <c r="D118" s="21">
        <f>'[1]GMR Working Copy'!D116</f>
        <v>998</v>
      </c>
      <c r="E118" s="21">
        <f>'[1]GMR Working Copy'!E116</f>
        <v>4984</v>
      </c>
      <c r="F118" s="21">
        <f>'[1]GMR Working Copy'!F116</f>
        <v>998.28</v>
      </c>
      <c r="G118" s="21">
        <f>'[1]GMR Working Copy'!G116</f>
        <v>1773</v>
      </c>
      <c r="H118" s="21">
        <f>'[1]GMR Working Copy'!H116</f>
        <v>640</v>
      </c>
      <c r="I118" s="21">
        <f>'[1]GMR Working Copy'!I116</f>
        <v>3058.19</v>
      </c>
      <c r="J118" s="21">
        <f>'[1]GMR Working Copy'!J116</f>
        <v>996</v>
      </c>
      <c r="K118" s="21">
        <f>'[1]GMR Working Copy'!K116</f>
        <v>6414</v>
      </c>
      <c r="L118" s="21">
        <f>'[1]GMR Working Copy'!L116</f>
        <v>1365.05</v>
      </c>
      <c r="M118" s="21">
        <f>'[1]GMR Working Copy'!M116</f>
        <v>10203</v>
      </c>
      <c r="N118" s="21">
        <f>'[1]GMR Working Copy'!N116</f>
        <v>1268</v>
      </c>
      <c r="O118" s="21">
        <f>'[1]GMR Working Copy'!O116</f>
        <v>9368</v>
      </c>
      <c r="P118" s="21">
        <f>'[1]GMR Working Copy'!P116</f>
        <v>3887</v>
      </c>
      <c r="Q118" s="21">
        <f>'[1]GMR Working Copy'!Q116</f>
        <v>633</v>
      </c>
      <c r="R118" s="21">
        <f>'[1]GMR Working Copy'!R116</f>
        <v>0</v>
      </c>
      <c r="S118" s="21">
        <f>'[1]GMR Working Copy'!S116</f>
        <v>628</v>
      </c>
      <c r="T118" s="21">
        <f>'[1]GMR Working Copy'!T116</f>
        <v>4064</v>
      </c>
      <c r="U118" s="21">
        <f>'[1]GMR Working Copy'!U116</f>
        <v>428.28</v>
      </c>
      <c r="V118" s="22">
        <f t="shared" si="4"/>
        <v>51705.8</v>
      </c>
    </row>
    <row r="119" spans="1:22" ht="11.25">
      <c r="A119" s="2" t="s">
        <v>55</v>
      </c>
      <c r="B119" s="22"/>
      <c r="C119" s="21">
        <f>'[1]GMR Working Copy'!C115</f>
        <v>13829</v>
      </c>
      <c r="D119" s="21">
        <f>'[1]GMR Working Copy'!D115</f>
        <v>5829</v>
      </c>
      <c r="E119" s="21"/>
      <c r="F119" s="21">
        <f>'[1]GMR Working Copy'!F115</f>
        <v>342</v>
      </c>
      <c r="G119" s="21"/>
      <c r="H119" s="22"/>
      <c r="I119" s="32">
        <f>'[1]GMR Working Copy'!I115</f>
        <v>476</v>
      </c>
      <c r="J119" s="33">
        <f>'[1]GMR Working Copy'!J115</f>
        <v>1244</v>
      </c>
      <c r="K119" s="22"/>
      <c r="L119" s="22"/>
      <c r="M119" s="22">
        <f>'[1]GMR Working Copy'!M115</f>
        <v>4370</v>
      </c>
      <c r="N119" s="22"/>
      <c r="O119" s="22"/>
      <c r="P119" s="22"/>
      <c r="Q119" s="22">
        <f>'[1]GMR Working Copy'!Q115</f>
        <v>2100</v>
      </c>
      <c r="R119" s="22"/>
      <c r="S119" s="22"/>
      <c r="T119" s="22"/>
      <c r="U119" s="22"/>
      <c r="V119" s="22">
        <f t="shared" si="4"/>
        <v>28190</v>
      </c>
    </row>
    <row r="120" spans="1:22" ht="11.25">
      <c r="A120" s="2" t="s">
        <v>56</v>
      </c>
      <c r="B120" s="22">
        <f>'[1]GMR Working Copy'!B118</f>
        <v>28094.69</v>
      </c>
      <c r="C120" s="21">
        <f>'[1]GMR Working Copy'!C118</f>
        <v>37378.3</v>
      </c>
      <c r="D120" s="21">
        <f>'[1]GMR Working Copy'!D118</f>
        <v>23928</v>
      </c>
      <c r="E120" s="21">
        <f>'[1]GMR Working Copy'!E118</f>
        <v>530</v>
      </c>
      <c r="F120" s="21">
        <f>'[1]GMR Working Copy'!F118</f>
        <v>9522</v>
      </c>
      <c r="G120" s="21">
        <f>'[1]GMR Working Copy'!G118</f>
        <v>0</v>
      </c>
      <c r="H120" s="21">
        <f>'[1]GMR Working Copy'!H118</f>
        <v>9063</v>
      </c>
      <c r="I120" s="21">
        <f>'[1]GMR Working Copy'!I118</f>
        <v>11759.86</v>
      </c>
      <c r="J120" s="21">
        <f>'[1]GMR Working Copy'!J118</f>
        <v>1908</v>
      </c>
      <c r="K120" s="21">
        <f>'[1]GMR Working Copy'!K118</f>
        <v>12590</v>
      </c>
      <c r="L120" s="21">
        <f>'[1]GMR Working Copy'!L118</f>
        <v>7125</v>
      </c>
      <c r="M120" s="21">
        <f>'[1]GMR Working Copy'!M118</f>
        <v>90688</v>
      </c>
      <c r="N120" s="21">
        <f>'[1]GMR Working Copy'!N118</f>
        <v>8941</v>
      </c>
      <c r="O120" s="21">
        <f>'[1]GMR Working Copy'!O118</f>
        <v>17824</v>
      </c>
      <c r="P120" s="21">
        <f>'[1]GMR Working Copy'!P118</f>
        <v>1837</v>
      </c>
      <c r="Q120" s="21">
        <f>'[1]GMR Working Copy'!Q118</f>
        <v>55064</v>
      </c>
      <c r="R120" s="21">
        <f>'[1]GMR Working Copy'!R118</f>
        <v>1274</v>
      </c>
      <c r="S120" s="21">
        <f>'[1]GMR Working Copy'!S118</f>
        <v>0</v>
      </c>
      <c r="T120" s="21">
        <f>'[1]GMR Working Copy'!T118</f>
        <v>11277</v>
      </c>
      <c r="U120" s="21">
        <f>'[1]GMR Working Copy'!U118</f>
        <v>1809</v>
      </c>
      <c r="V120" s="22">
        <f t="shared" si="4"/>
        <v>330612.85</v>
      </c>
    </row>
    <row r="121" spans="1:22" ht="11.25">
      <c r="A121" s="2" t="s">
        <v>57</v>
      </c>
      <c r="B121" s="45"/>
      <c r="C121" s="46"/>
      <c r="D121" s="46">
        <f>'[1]GMR Working Copy'!D119</f>
        <v>324921.02</v>
      </c>
      <c r="E121" s="46">
        <f>'[1]GMR Working Copy'!E119</f>
        <v>625831</v>
      </c>
      <c r="F121" s="46">
        <f>'[1]GMR Working Copy'!F119</f>
        <v>132209.8</v>
      </c>
      <c r="G121" s="46">
        <f>'[1]GMR Working Copy'!G119</f>
        <v>236590.85</v>
      </c>
      <c r="H121" s="46">
        <f>'[1]GMR Working Copy'!H119</f>
        <v>119492</v>
      </c>
      <c r="I121" s="46">
        <f>'[1]GMR Working Copy'!I119</f>
        <v>492313.01</v>
      </c>
      <c r="J121" s="46">
        <f>'[1]GMR Working Copy'!J119</f>
        <v>87593</v>
      </c>
      <c r="K121" s="46">
        <f>'[1]GMR Working Copy'!K119</f>
        <v>547030</v>
      </c>
      <c r="L121" s="46">
        <f>'[1]GMR Working Copy'!L119</f>
        <v>138035</v>
      </c>
      <c r="M121" s="46">
        <f>'[1]GMR Working Copy'!M119</f>
        <v>742665</v>
      </c>
      <c r="N121" s="46">
        <f>'[1]GMR Working Copy'!N119</f>
        <v>93814.57</v>
      </c>
      <c r="O121" s="46">
        <f>'[1]GMR Working Copy'!O119</f>
        <v>1460854.14</v>
      </c>
      <c r="P121" s="46">
        <f>'[1]GMR Working Copy'!P119</f>
        <v>664593</v>
      </c>
      <c r="Q121" s="46">
        <f>'[1]GMR Working Copy'!Q119</f>
        <v>442796</v>
      </c>
      <c r="R121" s="46">
        <f>'[1]GMR Working Copy'!R119</f>
        <v>243886.41</v>
      </c>
      <c r="S121" s="46">
        <f>'[1]GMR Working Copy'!S119</f>
        <v>173047</v>
      </c>
      <c r="T121" s="46">
        <f>'[1]GMR Working Copy'!T119</f>
        <v>375021</v>
      </c>
      <c r="U121" s="46">
        <f>'[1]GMR Working Copy'!U119</f>
        <v>159296.7</v>
      </c>
      <c r="V121" s="45">
        <f t="shared" si="4"/>
        <v>7059989.5</v>
      </c>
    </row>
    <row r="122" spans="1:22" ht="11.25">
      <c r="A122" s="2" t="s">
        <v>76</v>
      </c>
      <c r="B122" s="45"/>
      <c r="C122" s="46"/>
      <c r="D122" s="46">
        <f>'[1]GMR Working Copy'!D121</f>
        <v>203428</v>
      </c>
      <c r="E122" s="46">
        <f>'[1]GMR Working Copy'!E121</f>
        <v>432381</v>
      </c>
      <c r="F122" s="46">
        <f>'[1]GMR Working Copy'!F121</f>
        <v>124429.87</v>
      </c>
      <c r="G122" s="46">
        <f>'[1]GMR Working Copy'!G121</f>
        <v>66091.92</v>
      </c>
      <c r="H122" s="46">
        <f>'[1]GMR Working Copy'!H121</f>
        <v>54375</v>
      </c>
      <c r="I122" s="46">
        <f>'[1]GMR Working Copy'!I121</f>
        <v>321659</v>
      </c>
      <c r="J122" s="46">
        <f>'[1]GMR Working Copy'!J121</f>
        <v>75894</v>
      </c>
      <c r="K122" s="46">
        <f>'[1]GMR Working Copy'!K121</f>
        <v>246562</v>
      </c>
      <c r="L122" s="46">
        <f>'[1]GMR Working Copy'!L121</f>
        <v>129187.19</v>
      </c>
      <c r="M122" s="46">
        <f>'[1]GMR Working Copy'!M121</f>
        <v>663211</v>
      </c>
      <c r="N122" s="46">
        <f>'[1]GMR Working Copy'!N121</f>
        <v>82822.7</v>
      </c>
      <c r="O122" s="46">
        <f>'[1]GMR Working Copy'!O121</f>
        <v>1132728.91</v>
      </c>
      <c r="P122" s="46">
        <f>'[1]GMR Working Copy'!P121</f>
        <v>628832</v>
      </c>
      <c r="Q122" s="46">
        <f>'[1]GMR Working Copy'!Q121</f>
        <v>360674</v>
      </c>
      <c r="R122" s="46">
        <f>'[1]GMR Working Copy'!R121</f>
        <v>79833.89</v>
      </c>
      <c r="S122" s="46">
        <f>'[1]GMR Working Copy'!S121</f>
        <v>145638</v>
      </c>
      <c r="T122" s="46">
        <f>'[1]GMR Working Copy'!T121</f>
        <v>349132</v>
      </c>
      <c r="U122" s="46">
        <f>'[1]GMR Working Copy'!U121</f>
        <v>92429.68</v>
      </c>
      <c r="V122" s="45">
        <f t="shared" si="4"/>
        <v>5189310.159999999</v>
      </c>
    </row>
    <row r="123" spans="1:22" ht="11.25">
      <c r="A123" s="2" t="s">
        <v>70</v>
      </c>
      <c r="B123" s="28"/>
      <c r="C123" s="34"/>
      <c r="D123" s="34">
        <f>'[1]GMR Working Copy'!D120</f>
        <v>12537.38</v>
      </c>
      <c r="E123" s="34">
        <f>'[1]GMR Working Copy'!E120</f>
        <v>60747</v>
      </c>
      <c r="F123" s="34">
        <f>'[1]GMR Working Copy'!F120</f>
        <v>14433.12</v>
      </c>
      <c r="G123" s="34">
        <f>'[1]GMR Working Copy'!G120</f>
        <v>27410.49</v>
      </c>
      <c r="H123" s="34">
        <f>'[1]GMR Working Copy'!H120</f>
        <v>7667</v>
      </c>
      <c r="I123" s="34">
        <f>'[1]GMR Working Copy'!I120</f>
        <v>21773.59</v>
      </c>
      <c r="J123" s="34">
        <f>'[1]GMR Working Copy'!J120</f>
        <v>8703</v>
      </c>
      <c r="K123" s="34">
        <f>'[1]GMR Working Copy'!K120</f>
        <v>42216</v>
      </c>
      <c r="L123" s="34">
        <f>'[1]GMR Working Copy'!L120</f>
        <v>12243.3</v>
      </c>
      <c r="M123" s="34">
        <f>'[1]GMR Working Copy'!M120</f>
        <v>60762</v>
      </c>
      <c r="N123" s="34">
        <f>'[1]GMR Working Copy'!N120</f>
        <v>9426.48</v>
      </c>
      <c r="O123" s="34">
        <f>'[1]GMR Working Copy'!O120</f>
        <v>137203.22</v>
      </c>
      <c r="P123" s="34">
        <f>'[1]GMR Working Copy'!P120</f>
        <v>71246</v>
      </c>
      <c r="Q123" s="34">
        <f>'[1]GMR Working Copy'!Q120</f>
        <v>37722</v>
      </c>
      <c r="R123" s="34">
        <f>'[1]GMR Working Copy'!R120</f>
        <v>0</v>
      </c>
      <c r="S123" s="34">
        <f>'[1]GMR Working Copy'!S120</f>
        <v>6639</v>
      </c>
      <c r="T123" s="34">
        <f>'[1]GMR Working Copy'!T120</f>
        <v>39734</v>
      </c>
      <c r="U123" s="34">
        <f>'[1]GMR Working Copy'!U120</f>
        <v>3670.5</v>
      </c>
      <c r="V123" s="28">
        <f t="shared" si="4"/>
        <v>574134.08</v>
      </c>
    </row>
    <row r="124" spans="2:22" ht="11.25">
      <c r="B124" s="22"/>
      <c r="C124" s="21"/>
      <c r="D124" s="21"/>
      <c r="E124" s="21"/>
      <c r="F124" s="21"/>
      <c r="G124" s="21"/>
      <c r="H124" s="22"/>
      <c r="I124" s="32"/>
      <c r="J124" s="33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</row>
    <row r="125" spans="1:22" ht="11.25">
      <c r="A125" s="20" t="s">
        <v>58</v>
      </c>
      <c r="B125" s="22">
        <f>SUM(B114:B123)</f>
        <v>678948.0799999998</v>
      </c>
      <c r="C125" s="22">
        <f aca="true" t="shared" si="5" ref="C125:U125">SUM(C114:C123)</f>
        <v>51207.3</v>
      </c>
      <c r="D125" s="22">
        <f t="shared" si="5"/>
        <v>633885.4</v>
      </c>
      <c r="E125" s="22">
        <f t="shared" si="5"/>
        <v>1193021</v>
      </c>
      <c r="F125" s="22">
        <f t="shared" si="5"/>
        <v>304279.13</v>
      </c>
      <c r="G125" s="22">
        <f t="shared" si="5"/>
        <v>340679.51</v>
      </c>
      <c r="H125" s="22">
        <f t="shared" si="5"/>
        <v>214708</v>
      </c>
      <c r="I125" s="22">
        <f t="shared" si="5"/>
        <v>950157.11</v>
      </c>
      <c r="J125" s="22">
        <f t="shared" si="5"/>
        <v>194510</v>
      </c>
      <c r="K125" s="22">
        <f t="shared" si="5"/>
        <v>939711</v>
      </c>
      <c r="L125" s="22">
        <f t="shared" si="5"/>
        <v>309859.62</v>
      </c>
      <c r="M125" s="22">
        <f t="shared" si="5"/>
        <v>1729920</v>
      </c>
      <c r="N125" s="22">
        <f t="shared" si="5"/>
        <v>218117.21</v>
      </c>
      <c r="O125" s="22">
        <f t="shared" si="5"/>
        <v>3106744.3000000003</v>
      </c>
      <c r="P125" s="22">
        <f t="shared" si="5"/>
        <v>1440385</v>
      </c>
      <c r="Q125" s="22">
        <f t="shared" si="5"/>
        <v>955026</v>
      </c>
      <c r="R125" s="22">
        <f t="shared" si="5"/>
        <v>354678.92000000004</v>
      </c>
      <c r="S125" s="22">
        <f t="shared" si="5"/>
        <v>348481</v>
      </c>
      <c r="T125" s="22">
        <f t="shared" si="5"/>
        <v>854334</v>
      </c>
      <c r="U125" s="22">
        <f t="shared" si="5"/>
        <v>287178.66000000003</v>
      </c>
      <c r="V125" s="22">
        <f>SUM(V114:V123)</f>
        <v>15105831.24</v>
      </c>
    </row>
    <row r="126" spans="2:22" ht="11.25">
      <c r="B126" s="22"/>
      <c r="C126" s="21"/>
      <c r="D126" s="21"/>
      <c r="E126" s="21"/>
      <c r="F126" s="21"/>
      <c r="G126" s="21"/>
      <c r="H126" s="22"/>
      <c r="I126" s="32"/>
      <c r="J126" s="33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</row>
    <row r="127" spans="1:25" ht="12" thickBot="1">
      <c r="A127" s="20" t="s">
        <v>77</v>
      </c>
      <c r="B127" s="38"/>
      <c r="C127" s="39"/>
      <c r="D127" s="39"/>
      <c r="E127" s="39"/>
      <c r="F127" s="39"/>
      <c r="G127" s="39"/>
      <c r="H127" s="38"/>
      <c r="I127" s="40"/>
      <c r="J127" s="43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>
        <f>V103+V111-V125</f>
        <v>4104731.8899999987</v>
      </c>
      <c r="W127" s="19"/>
      <c r="X127" s="19"/>
      <c r="Y127" s="19"/>
    </row>
    <row r="128" spans="2:22" ht="12" thickTop="1">
      <c r="B128" s="22"/>
      <c r="C128" s="21"/>
      <c r="D128" s="21"/>
      <c r="E128" s="21"/>
      <c r="F128" s="21"/>
      <c r="G128" s="21"/>
      <c r="H128" s="22"/>
      <c r="I128" s="32"/>
      <c r="J128" s="33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</row>
    <row r="129" spans="1:25" ht="11.25">
      <c r="A129" s="2" t="s">
        <v>78</v>
      </c>
      <c r="B129" s="22"/>
      <c r="C129" s="21">
        <f>'[1]GMR Working Copy'!C127</f>
        <v>10577.5</v>
      </c>
      <c r="D129" s="21">
        <f>'[1]GMR Working Copy'!D127</f>
        <v>204908.67</v>
      </c>
      <c r="E129" s="21">
        <f>'[1]GMR Working Copy'!E127</f>
        <v>107916</v>
      </c>
      <c r="F129" s="21">
        <f>'[1]GMR Working Copy'!F127</f>
        <v>1051.15</v>
      </c>
      <c r="G129" s="21">
        <f>'[1]GMR Working Copy'!G127</f>
        <v>75928.66</v>
      </c>
      <c r="H129" s="21">
        <f>'[1]GMR Working Copy'!H127</f>
        <v>5707</v>
      </c>
      <c r="I129" s="21">
        <f>'[1]GMR Working Copy'!I127</f>
        <v>126011.91</v>
      </c>
      <c r="J129" s="21">
        <f>'[1]GMR Working Copy'!J127</f>
        <v>3809</v>
      </c>
      <c r="K129" s="21">
        <f>'[1]GMR Working Copy'!K127</f>
        <v>30818</v>
      </c>
      <c r="L129" s="21">
        <f>'[1]GMR Working Copy'!L127</f>
        <v>3230.35</v>
      </c>
      <c r="M129" s="21">
        <f>'[1]GMR Working Copy'!M127</f>
        <v>147369</v>
      </c>
      <c r="N129" s="21">
        <f>'[1]GMR Working Copy'!N127</f>
        <v>3275.42</v>
      </c>
      <c r="O129" s="21">
        <f>'[1]GMR Working Copy'!O127</f>
        <v>441749.79</v>
      </c>
      <c r="P129" s="21">
        <f>'[1]GMR Working Copy'!P127</f>
        <v>63180</v>
      </c>
      <c r="Q129" s="21">
        <f>'[1]GMR Working Copy'!Q127</f>
        <v>18373</v>
      </c>
      <c r="R129" s="21">
        <f>'[1]GMR Working Copy'!R127</f>
        <v>5388.79</v>
      </c>
      <c r="S129" s="21">
        <f>'[1]GMR Working Copy'!S127</f>
        <v>38089</v>
      </c>
      <c r="T129" s="21">
        <f>'[1]GMR Working Copy'!T127</f>
        <v>73245</v>
      </c>
      <c r="U129" s="21">
        <f>'[1]GMR Working Copy'!U127</f>
        <v>12871.52</v>
      </c>
      <c r="V129" s="22">
        <f>SUM(B129:U129)</f>
        <v>1373499.7600000002</v>
      </c>
      <c r="X129" s="19"/>
      <c r="Y129" s="19"/>
    </row>
    <row r="130" spans="1:25" ht="24" customHeight="1">
      <c r="A130" s="49" t="s">
        <v>79</v>
      </c>
      <c r="B130" s="22"/>
      <c r="C130" s="21">
        <f>'[1]GMR Working Copy'!C128</f>
        <v>0</v>
      </c>
      <c r="D130" s="21">
        <f>'[1]GMR Working Copy'!D128</f>
        <v>238213</v>
      </c>
      <c r="E130" s="21">
        <f>'[1]GMR Working Copy'!E128</f>
        <v>262630</v>
      </c>
      <c r="F130" s="21">
        <f>'[1]GMR Working Copy'!F128</f>
        <v>4040.45</v>
      </c>
      <c r="G130" s="21">
        <f>'[1]GMR Working Copy'!G128</f>
        <v>180456.83</v>
      </c>
      <c r="H130" s="21">
        <f>'[1]GMR Working Copy'!H128</f>
        <v>38168</v>
      </c>
      <c r="I130" s="21">
        <f>'[1]GMR Working Copy'!I128</f>
        <v>0</v>
      </c>
      <c r="J130" s="21">
        <f>'[1]GMR Working Copy'!J128</f>
        <v>2717</v>
      </c>
      <c r="K130" s="21">
        <f>'[1]GMR Working Copy'!K128</f>
        <v>0</v>
      </c>
      <c r="L130" s="21">
        <f>'[1]GMR Working Copy'!L128</f>
        <v>16396.03</v>
      </c>
      <c r="M130" s="21">
        <f>'[1]GMR Working Copy'!M128</f>
        <v>102378</v>
      </c>
      <c r="N130" s="21">
        <f>'[1]GMR Working Copy'!N128</f>
        <v>9322.31</v>
      </c>
      <c r="O130" s="21">
        <f>'[1]GMR Working Copy'!O128</f>
        <v>397493.09</v>
      </c>
      <c r="P130" s="21">
        <f>'[1]GMR Working Copy'!P128</f>
        <v>127437</v>
      </c>
      <c r="Q130" s="21">
        <f>'[1]GMR Working Copy'!Q128</f>
        <v>47199</v>
      </c>
      <c r="R130" s="21">
        <f>'[1]GMR Working Copy'!R128</f>
        <v>12981.06</v>
      </c>
      <c r="S130" s="21">
        <f>'[1]GMR Working Copy'!S128</f>
        <v>74407</v>
      </c>
      <c r="T130" s="21">
        <f>'[1]GMR Working Copy'!T128</f>
        <v>44564</v>
      </c>
      <c r="U130" s="21">
        <f>'[1]GMR Working Copy'!U128</f>
        <v>68040.82</v>
      </c>
      <c r="V130" s="22">
        <f>SUM(B130:U130)</f>
        <v>1626443.5900000003</v>
      </c>
      <c r="X130" s="19"/>
      <c r="Y130" s="19"/>
    </row>
    <row r="131" spans="1:22" ht="11.25">
      <c r="A131" s="2" t="s">
        <v>80</v>
      </c>
      <c r="B131" s="22"/>
      <c r="C131" s="21"/>
      <c r="D131" s="21"/>
      <c r="E131" s="21"/>
      <c r="F131" s="21"/>
      <c r="G131" s="21"/>
      <c r="H131" s="22"/>
      <c r="I131" s="32"/>
      <c r="J131" s="33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</row>
    <row r="132" spans="1:23" ht="12" thickBot="1">
      <c r="A132" s="20" t="s">
        <v>81</v>
      </c>
      <c r="B132" s="38"/>
      <c r="C132" s="39"/>
      <c r="D132" s="39"/>
      <c r="E132" s="39"/>
      <c r="F132" s="39"/>
      <c r="G132" s="39"/>
      <c r="H132" s="38"/>
      <c r="I132" s="40"/>
      <c r="J132" s="43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>
        <f>V127-V129-V130</f>
        <v>1104788.5399999982</v>
      </c>
      <c r="W132" s="19"/>
    </row>
    <row r="133" spans="1:22" ht="12" thickTop="1">
      <c r="A133" s="20"/>
      <c r="B133" s="19"/>
      <c r="C133" s="29"/>
      <c r="D133" s="29"/>
      <c r="E133" s="29"/>
      <c r="F133" s="29"/>
      <c r="G133" s="29"/>
      <c r="H133" s="19"/>
      <c r="I133" s="30"/>
      <c r="J133" s="44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</row>
    <row r="134" spans="1:22" ht="11.25">
      <c r="A134" s="20"/>
      <c r="B134" s="19"/>
      <c r="C134" s="29"/>
      <c r="D134" s="29"/>
      <c r="E134" s="29"/>
      <c r="F134" s="29"/>
      <c r="G134" s="29"/>
      <c r="H134" s="19"/>
      <c r="I134" s="30"/>
      <c r="J134" s="44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</row>
    <row r="135" spans="1:22" ht="11.25">
      <c r="A135" s="20"/>
      <c r="B135" s="19"/>
      <c r="C135" s="29"/>
      <c r="D135" s="29"/>
      <c r="E135" s="29"/>
      <c r="F135" s="29"/>
      <c r="G135" s="29"/>
      <c r="H135" s="19"/>
      <c r="I135" s="30"/>
      <c r="J135" s="44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</row>
    <row r="136" spans="2:21" ht="11.25">
      <c r="B136" s="7" t="s">
        <v>5</v>
      </c>
      <c r="C136" s="8" t="s">
        <v>6</v>
      </c>
      <c r="D136" s="8" t="s">
        <v>7</v>
      </c>
      <c r="E136" s="8" t="s">
        <v>8</v>
      </c>
      <c r="F136" s="8" t="s">
        <v>9</v>
      </c>
      <c r="G136" s="8" t="s">
        <v>10</v>
      </c>
      <c r="H136" s="8" t="s">
        <v>11</v>
      </c>
      <c r="I136" s="9" t="s">
        <v>12</v>
      </c>
      <c r="J136" s="10" t="s">
        <v>13</v>
      </c>
      <c r="K136" s="11" t="s">
        <v>14</v>
      </c>
      <c r="L136" s="11" t="s">
        <v>15</v>
      </c>
      <c r="M136" s="7" t="s">
        <v>16</v>
      </c>
      <c r="N136" s="7" t="s">
        <v>17</v>
      </c>
      <c r="O136" s="7" t="s">
        <v>18</v>
      </c>
      <c r="P136" s="7" t="s">
        <v>19</v>
      </c>
      <c r="Q136" s="7" t="s">
        <v>20</v>
      </c>
      <c r="R136" s="7" t="s">
        <v>21</v>
      </c>
      <c r="S136" s="7" t="s">
        <v>22</v>
      </c>
      <c r="T136" s="7" t="s">
        <v>23</v>
      </c>
      <c r="U136" s="7" t="s">
        <v>24</v>
      </c>
    </row>
    <row r="137" spans="2:22" ht="45">
      <c r="B137" s="12" t="s">
        <v>25</v>
      </c>
      <c r="C137" s="13" t="s">
        <v>26</v>
      </c>
      <c r="D137" s="13" t="s">
        <v>27</v>
      </c>
      <c r="E137" s="13" t="s">
        <v>28</v>
      </c>
      <c r="F137" s="14" t="s">
        <v>29</v>
      </c>
      <c r="G137" s="14" t="s">
        <v>30</v>
      </c>
      <c r="H137" s="14" t="s">
        <v>31</v>
      </c>
      <c r="I137" s="15" t="s">
        <v>32</v>
      </c>
      <c r="J137" s="16" t="s">
        <v>33</v>
      </c>
      <c r="K137" s="17" t="s">
        <v>34</v>
      </c>
      <c r="L137" s="17" t="s">
        <v>35</v>
      </c>
      <c r="M137" s="12" t="s">
        <v>36</v>
      </c>
      <c r="N137" s="18" t="s">
        <v>37</v>
      </c>
      <c r="O137" s="12" t="s">
        <v>38</v>
      </c>
      <c r="P137" s="18" t="s">
        <v>39</v>
      </c>
      <c r="Q137" s="18" t="s">
        <v>40</v>
      </c>
      <c r="R137" s="12" t="s">
        <v>41</v>
      </c>
      <c r="S137" s="18" t="s">
        <v>42</v>
      </c>
      <c r="T137" s="18" t="s">
        <v>43</v>
      </c>
      <c r="U137" s="12" t="s">
        <v>44</v>
      </c>
      <c r="V137" s="12" t="s">
        <v>45</v>
      </c>
    </row>
    <row r="138" spans="1:10" ht="11.25">
      <c r="A138" s="50"/>
      <c r="I138" s="51"/>
      <c r="J138" s="52"/>
    </row>
    <row r="139" spans="1:22" ht="11.25">
      <c r="A139" s="20" t="s">
        <v>82</v>
      </c>
      <c r="B139" s="22"/>
      <c r="C139" s="21"/>
      <c r="D139" s="21"/>
      <c r="E139" s="21"/>
      <c r="F139" s="21"/>
      <c r="G139" s="21"/>
      <c r="H139" s="22"/>
      <c r="I139" s="47"/>
      <c r="J139" s="45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>
        <f>'[1]GMR Working Copy'!V145</f>
        <v>4104731.89</v>
      </c>
    </row>
    <row r="140" spans="2:22" ht="11.25">
      <c r="B140" s="22"/>
      <c r="C140" s="21"/>
      <c r="D140" s="21"/>
      <c r="E140" s="21"/>
      <c r="F140" s="21"/>
      <c r="G140" s="21"/>
      <c r="H140" s="22"/>
      <c r="I140" s="47"/>
      <c r="J140" s="45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</row>
    <row r="141" spans="1:22" ht="11.25">
      <c r="A141" s="20" t="s">
        <v>47</v>
      </c>
      <c r="B141" s="22"/>
      <c r="C141" s="21"/>
      <c r="D141" s="21"/>
      <c r="E141" s="21"/>
      <c r="F141" s="21"/>
      <c r="G141" s="21"/>
      <c r="H141" s="22"/>
      <c r="I141" s="47"/>
      <c r="J141" s="45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</row>
    <row r="142" spans="1:22" ht="11.25">
      <c r="A142" s="2" t="s">
        <v>48</v>
      </c>
      <c r="B142" s="22"/>
      <c r="C142" s="21"/>
      <c r="D142" s="21"/>
      <c r="E142" s="21"/>
      <c r="F142" s="21"/>
      <c r="G142" s="21"/>
      <c r="H142" s="22"/>
      <c r="I142" s="3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>
        <f>'[1]GMR Working Copy'!V148</f>
        <v>27896832</v>
      </c>
    </row>
    <row r="143" spans="1:22" ht="11.25">
      <c r="A143" s="2" t="s">
        <v>49</v>
      </c>
      <c r="B143" s="22"/>
      <c r="C143" s="21"/>
      <c r="D143" s="21"/>
      <c r="E143" s="21"/>
      <c r="F143" s="21"/>
      <c r="G143" s="21"/>
      <c r="H143" s="22"/>
      <c r="I143" s="3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>
        <f>'[1]GMR Working Copy'!V149</f>
        <v>3521768.7800000003</v>
      </c>
    </row>
    <row r="144" spans="1:22" ht="11.25">
      <c r="A144" s="2" t="s">
        <v>67</v>
      </c>
      <c r="B144" s="22"/>
      <c r="C144" s="21"/>
      <c r="D144" s="21"/>
      <c r="E144" s="21"/>
      <c r="F144" s="21"/>
      <c r="G144" s="21"/>
      <c r="H144" s="22"/>
      <c r="I144" s="3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>
        <f>'[1]GMR Working Copy'!V150</f>
        <v>1173922.9100000001</v>
      </c>
    </row>
    <row r="145" spans="1:22" ht="11.25">
      <c r="A145" s="2" t="s">
        <v>83</v>
      </c>
      <c r="B145" s="22"/>
      <c r="C145" s="21"/>
      <c r="D145" s="21"/>
      <c r="E145" s="21"/>
      <c r="F145" s="21"/>
      <c r="G145" s="21"/>
      <c r="H145" s="22"/>
      <c r="I145" s="3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>
        <v>5000000</v>
      </c>
    </row>
    <row r="146" spans="1:22" ht="11.25">
      <c r="A146" s="2" t="s">
        <v>84</v>
      </c>
      <c r="B146" s="22"/>
      <c r="C146" s="21"/>
      <c r="D146" s="21"/>
      <c r="E146" s="21"/>
      <c r="F146" s="21"/>
      <c r="G146" s="21"/>
      <c r="H146" s="22"/>
      <c r="I146" s="3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>
        <v>7175</v>
      </c>
    </row>
    <row r="147" spans="1:22" ht="11.25">
      <c r="A147" s="2" t="s">
        <v>50</v>
      </c>
      <c r="B147" s="45"/>
      <c r="C147" s="46"/>
      <c r="D147" s="46"/>
      <c r="E147" s="46"/>
      <c r="F147" s="46"/>
      <c r="G147" s="46"/>
      <c r="H147" s="45"/>
      <c r="I147" s="47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>
        <f>'[1]GMR Working Copy'!V154</f>
        <v>457402.98</v>
      </c>
    </row>
    <row r="148" spans="1:22" ht="11.25">
      <c r="A148" s="2" t="s">
        <v>85</v>
      </c>
      <c r="B148" s="28"/>
      <c r="C148" s="34"/>
      <c r="D148" s="34"/>
      <c r="E148" s="34"/>
      <c r="F148" s="34"/>
      <c r="G148" s="34"/>
      <c r="H148" s="28"/>
      <c r="I148" s="35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>
        <v>17436.24</v>
      </c>
    </row>
    <row r="149" spans="1:22" ht="11.25">
      <c r="A149" s="20"/>
      <c r="B149" s="22"/>
      <c r="C149" s="21"/>
      <c r="D149" s="21"/>
      <c r="E149" s="21"/>
      <c r="F149" s="21"/>
      <c r="G149" s="21"/>
      <c r="H149" s="22"/>
      <c r="I149" s="3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1"/>
    </row>
    <row r="150" spans="1:22" ht="11.25">
      <c r="A150" s="20" t="s">
        <v>51</v>
      </c>
      <c r="B150" s="22"/>
      <c r="C150" s="21"/>
      <c r="D150" s="21"/>
      <c r="E150" s="21"/>
      <c r="F150" s="21"/>
      <c r="G150" s="21"/>
      <c r="H150" s="22"/>
      <c r="I150" s="3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1">
        <f>SUM(V142:V148)</f>
        <v>38074537.91</v>
      </c>
    </row>
    <row r="151" spans="2:22" ht="11.25">
      <c r="B151" s="22"/>
      <c r="C151" s="21"/>
      <c r="D151" s="21"/>
      <c r="E151" s="21"/>
      <c r="F151" s="21"/>
      <c r="G151" s="21"/>
      <c r="H151" s="22"/>
      <c r="I151" s="3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1"/>
    </row>
    <row r="152" spans="1:22" ht="11.25">
      <c r="A152" s="20" t="s">
        <v>52</v>
      </c>
      <c r="B152" s="22"/>
      <c r="C152" s="21"/>
      <c r="D152" s="21"/>
      <c r="E152" s="21"/>
      <c r="F152" s="21"/>
      <c r="G152" s="21"/>
      <c r="H152" s="22"/>
      <c r="I152" s="3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1"/>
    </row>
    <row r="153" spans="1:22" ht="11.25">
      <c r="A153" s="2" t="s">
        <v>53</v>
      </c>
      <c r="B153" s="22">
        <f>'[1]GMR Working Copy'!B162</f>
        <v>1657257.22</v>
      </c>
      <c r="C153" s="21"/>
      <c r="D153" s="21"/>
      <c r="E153" s="21"/>
      <c r="F153" s="21"/>
      <c r="G153" s="21"/>
      <c r="H153" s="22"/>
      <c r="I153" s="3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1">
        <f>'[1]GMR Working Copy'!V162</f>
        <v>1657257.22</v>
      </c>
    </row>
    <row r="154" spans="1:22" ht="11.25">
      <c r="A154" s="2" t="s">
        <v>68</v>
      </c>
      <c r="B154" s="22">
        <f>'[1]GMR Working Copy'!B163</f>
        <v>2189.38</v>
      </c>
      <c r="C154" s="21"/>
      <c r="D154" s="21"/>
      <c r="E154" s="21"/>
      <c r="F154" s="21"/>
      <c r="G154" s="21"/>
      <c r="H154" s="22"/>
      <c r="I154" s="3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1">
        <f>'[1]GMR Working Copy'!V163</f>
        <v>2189.38</v>
      </c>
    </row>
    <row r="155" spans="1:22" ht="11.25">
      <c r="A155" s="2" t="s">
        <v>54</v>
      </c>
      <c r="B155" s="22"/>
      <c r="C155" s="21">
        <f>'[1]GMR Working Copy'!C164</f>
        <v>0</v>
      </c>
      <c r="D155" s="21">
        <f>'[1]GMR Working Copy'!D164</f>
        <v>160007.79</v>
      </c>
      <c r="E155" s="21">
        <f>'[1]GMR Working Copy'!E164</f>
        <v>135538</v>
      </c>
      <c r="F155" s="21">
        <f>'[1]GMR Working Copy'!F164</f>
        <v>37271.71</v>
      </c>
      <c r="G155" s="21">
        <f>'[1]GMR Working Copy'!G164</f>
        <v>93750.88</v>
      </c>
      <c r="H155" s="21">
        <f>'[1]GMR Working Copy'!H164</f>
        <v>30948</v>
      </c>
      <c r="I155" s="21">
        <f>'[1]GMR Working Copy'!I164</f>
        <v>154906.34</v>
      </c>
      <c r="J155" s="21">
        <f>'[1]GMR Working Copy'!J164</f>
        <v>29533</v>
      </c>
      <c r="K155" s="21">
        <f>'[1]GMR Working Copy'!K164</f>
        <v>178885</v>
      </c>
      <c r="L155" s="21">
        <f>'[1]GMR Working Copy'!L164</f>
        <v>56578.7</v>
      </c>
      <c r="M155" s="21">
        <f>'[1]GMR Working Copy'!M164</f>
        <v>197720</v>
      </c>
      <c r="N155" s="21">
        <f>'[1]GMR Working Copy'!N164</f>
        <v>31144.49</v>
      </c>
      <c r="O155" s="21">
        <f>'[1]GMR Working Copy'!O164</f>
        <v>217365.06</v>
      </c>
      <c r="P155" s="21">
        <f>'[1]GMR Working Copy'!P164</f>
        <v>218027</v>
      </c>
      <c r="Q155" s="21">
        <f>'[1]GMR Working Copy'!Q164</f>
        <v>87881</v>
      </c>
      <c r="R155" s="21">
        <f>'[1]GMR Working Copy'!R164</f>
        <v>15333.54</v>
      </c>
      <c r="S155" s="21">
        <f>'[1]GMR Working Copy'!S164</f>
        <v>24756</v>
      </c>
      <c r="T155" s="21">
        <f>'[1]GMR Working Copy'!T164</f>
        <v>173571</v>
      </c>
      <c r="U155" s="21">
        <f>'[1]GMR Working Copy'!U164</f>
        <v>50891.96</v>
      </c>
      <c r="V155" s="21">
        <f>'[1]GMR Working Copy'!V164</f>
        <v>1894109.47</v>
      </c>
    </row>
    <row r="156" spans="1:22" ht="11.25">
      <c r="A156" s="2" t="s">
        <v>86</v>
      </c>
      <c r="B156" s="22"/>
      <c r="C156" s="21"/>
      <c r="D156" s="21">
        <f>'[1]GMR Working Copy'!D167</f>
        <v>3507</v>
      </c>
      <c r="E156" s="21">
        <f>'[1]GMR Working Copy'!E167</f>
        <v>46524</v>
      </c>
      <c r="F156" s="21">
        <f>'[1]GMR Working Copy'!F167</f>
        <v>1219.32</v>
      </c>
      <c r="G156" s="21">
        <f>'[1]GMR Working Copy'!G167</f>
        <v>22702.75</v>
      </c>
      <c r="H156" s="21">
        <f>'[1]GMR Working Copy'!H167</f>
        <v>6566</v>
      </c>
      <c r="I156" s="21">
        <f>'[1]GMR Working Copy'!I167</f>
        <v>25763.78</v>
      </c>
      <c r="J156" s="21">
        <f>'[1]GMR Working Copy'!J167</f>
        <v>1752</v>
      </c>
      <c r="K156" s="21">
        <f>'[1]GMR Working Copy'!K167</f>
        <v>16316</v>
      </c>
      <c r="L156" s="21">
        <f>'[1]GMR Working Copy'!L167</f>
        <v>11211.22</v>
      </c>
      <c r="M156" s="21">
        <f>'[1]GMR Working Copy'!M167</f>
        <v>13932</v>
      </c>
      <c r="N156" s="21">
        <f>'[1]GMR Working Copy'!N167</f>
        <v>1527.01</v>
      </c>
      <c r="O156" s="21">
        <f>'[1]GMR Working Copy'!O167</f>
        <v>0</v>
      </c>
      <c r="P156" s="21">
        <f>'[1]GMR Working Copy'!P167</f>
        <v>0</v>
      </c>
      <c r="Q156" s="21">
        <f>'[1]GMR Working Copy'!Q167</f>
        <v>3046</v>
      </c>
      <c r="R156" s="21">
        <f>'[1]GMR Working Copy'!R167</f>
        <v>1071.82</v>
      </c>
      <c r="S156" s="21">
        <f>'[1]GMR Working Copy'!S167</f>
        <v>2893</v>
      </c>
      <c r="T156" s="21">
        <f>'[1]GMR Working Copy'!T167</f>
        <v>2172</v>
      </c>
      <c r="U156" s="21">
        <f>'[1]GMR Working Copy'!U167</f>
        <v>4417.05</v>
      </c>
      <c r="V156" s="21">
        <f>'[1]GMR Working Copy'!V167</f>
        <v>164620.95</v>
      </c>
    </row>
    <row r="157" spans="1:22" ht="11.25">
      <c r="A157" s="2" t="s">
        <v>69</v>
      </c>
      <c r="B157" s="22"/>
      <c r="C157" s="21"/>
      <c r="D157" s="21">
        <f>'[1]GMR Working Copy'!D166</f>
        <v>10240.46</v>
      </c>
      <c r="E157" s="21">
        <f>'[1]GMR Working Copy'!E166</f>
        <v>3789</v>
      </c>
      <c r="F157" s="21">
        <f>'[1]GMR Working Copy'!F166</f>
        <v>1182.76</v>
      </c>
      <c r="G157" s="21">
        <f>'[1]GMR Working Copy'!G166</f>
        <v>2222</v>
      </c>
      <c r="H157" s="21">
        <f>'[1]GMR Working Copy'!H166</f>
        <v>1662</v>
      </c>
      <c r="I157" s="21">
        <f>'[1]GMR Working Copy'!I166</f>
        <v>9807.76</v>
      </c>
      <c r="J157" s="21">
        <f>'[1]GMR Working Copy'!J166</f>
        <v>687.64</v>
      </c>
      <c r="K157" s="21">
        <f>'[1]GMR Working Copy'!K166</f>
        <v>5529</v>
      </c>
      <c r="L157" s="21">
        <f>'[1]GMR Working Copy'!L166</f>
        <v>655.71</v>
      </c>
      <c r="M157" s="21">
        <f>'[1]GMR Working Copy'!M166</f>
        <v>7521</v>
      </c>
      <c r="N157" s="21">
        <f>'[1]GMR Working Copy'!N166</f>
        <v>1208</v>
      </c>
      <c r="O157" s="21">
        <f>'[1]GMR Working Copy'!O166</f>
        <v>12519.07</v>
      </c>
      <c r="P157" s="21">
        <f>'[1]GMR Working Copy'!P166</f>
        <v>12316.41</v>
      </c>
      <c r="Q157" s="21">
        <f>'[1]GMR Working Copy'!Q166</f>
        <v>177</v>
      </c>
      <c r="R157" s="21">
        <f>'[1]GMR Working Copy'!R166</f>
        <v>0</v>
      </c>
      <c r="S157" s="21">
        <f>'[1]GMR Working Copy'!S166</f>
        <v>1926</v>
      </c>
      <c r="T157" s="21">
        <f>'[1]GMR Working Copy'!T166</f>
        <v>6738</v>
      </c>
      <c r="U157" s="21">
        <f>'[1]GMR Working Copy'!U166</f>
        <v>2273.13</v>
      </c>
      <c r="V157" s="21">
        <f>'[1]GMR Working Copy'!V166</f>
        <v>80454.94</v>
      </c>
    </row>
    <row r="158" spans="1:22" ht="11.25">
      <c r="A158" s="2" t="s">
        <v>55</v>
      </c>
      <c r="B158" s="22"/>
      <c r="C158" s="21">
        <f>'[1]GMR Working Copy'!C165</f>
        <v>42742.24</v>
      </c>
      <c r="D158" s="21">
        <f>'[1]GMR Working Copy'!D165</f>
        <v>2850</v>
      </c>
      <c r="E158" s="21">
        <f>'[1]GMR Working Copy'!E165</f>
        <v>0</v>
      </c>
      <c r="F158" s="21">
        <f>'[1]GMR Working Copy'!F165</f>
        <v>0</v>
      </c>
      <c r="G158" s="21">
        <f>'[1]GMR Working Copy'!G165</f>
        <v>0</v>
      </c>
      <c r="H158" s="21">
        <f>'[1]GMR Working Copy'!H165</f>
        <v>0</v>
      </c>
      <c r="I158" s="21">
        <f>'[1]GMR Working Copy'!I165</f>
        <v>0</v>
      </c>
      <c r="J158" s="21">
        <f>'[1]GMR Working Copy'!J165</f>
        <v>0</v>
      </c>
      <c r="K158" s="21">
        <f>'[1]GMR Working Copy'!K165</f>
        <v>0</v>
      </c>
      <c r="L158" s="21">
        <f>'[1]GMR Working Copy'!L165</f>
        <v>0</v>
      </c>
      <c r="M158" s="21">
        <f>'[1]GMR Working Copy'!M165</f>
        <v>0</v>
      </c>
      <c r="N158" s="21">
        <f>'[1]GMR Working Copy'!N165</f>
        <v>0</v>
      </c>
      <c r="O158" s="21">
        <f>'[1]GMR Working Copy'!O165</f>
        <v>0</v>
      </c>
      <c r="P158" s="21">
        <f>'[1]GMR Working Copy'!P165</f>
        <v>1478</v>
      </c>
      <c r="Q158" s="21">
        <f>'[1]GMR Working Copy'!Q165</f>
        <v>0</v>
      </c>
      <c r="R158" s="21">
        <f>'[1]GMR Working Copy'!R165</f>
        <v>31190.82</v>
      </c>
      <c r="S158" s="21">
        <f>'[1]GMR Working Copy'!S165</f>
        <v>0</v>
      </c>
      <c r="T158" s="21">
        <f>'[1]GMR Working Copy'!T165</f>
        <v>0</v>
      </c>
      <c r="U158" s="21">
        <f>'[1]GMR Working Copy'!U165</f>
        <v>0</v>
      </c>
      <c r="V158" s="21">
        <f>'[1]GMR Working Copy'!V165</f>
        <v>78261.06</v>
      </c>
    </row>
    <row r="159" spans="1:22" ht="11.25">
      <c r="A159" s="2" t="s">
        <v>56</v>
      </c>
      <c r="B159" s="22">
        <f>'[1]GMR Working Copy'!B168</f>
        <v>0</v>
      </c>
      <c r="C159" s="21">
        <f>'[1]GMR Working Copy'!C168</f>
        <v>10592.56</v>
      </c>
      <c r="D159" s="21">
        <f>'[1]GMR Working Copy'!D168</f>
        <v>26161.55</v>
      </c>
      <c r="E159" s="21">
        <f>'[1]GMR Working Copy'!E168</f>
        <v>14333</v>
      </c>
      <c r="F159" s="21">
        <f>'[1]GMR Working Copy'!F168</f>
        <v>0</v>
      </c>
      <c r="G159" s="21">
        <f>'[1]GMR Working Copy'!G168</f>
        <v>2611</v>
      </c>
      <c r="H159" s="21">
        <f>'[1]GMR Working Copy'!H168</f>
        <v>0</v>
      </c>
      <c r="I159" s="21">
        <f>'[1]GMR Working Copy'!I168</f>
        <v>11821.98</v>
      </c>
      <c r="J159" s="21">
        <f>'[1]GMR Working Copy'!J168</f>
        <v>89</v>
      </c>
      <c r="K159" s="21">
        <f>'[1]GMR Working Copy'!K168</f>
        <v>1727</v>
      </c>
      <c r="L159" s="21">
        <f>'[1]GMR Working Copy'!L168</f>
        <v>208</v>
      </c>
      <c r="M159" s="21">
        <f>'[1]GMR Working Copy'!M168</f>
        <v>66817</v>
      </c>
      <c r="N159" s="21">
        <f>'[1]GMR Working Copy'!N168</f>
        <v>0</v>
      </c>
      <c r="O159" s="21">
        <f>'[1]GMR Working Copy'!O168</f>
        <v>5430.93</v>
      </c>
      <c r="P159" s="21">
        <f>'[1]GMR Working Copy'!P168</f>
        <v>20764</v>
      </c>
      <c r="Q159" s="21">
        <f>'[1]GMR Working Copy'!Q168</f>
        <v>60980</v>
      </c>
      <c r="R159" s="21">
        <f>'[1]GMR Working Copy'!R168</f>
        <v>359663.23</v>
      </c>
      <c r="S159" s="21">
        <f>'[1]GMR Working Copy'!S168</f>
        <v>2001</v>
      </c>
      <c r="T159" s="21">
        <f>'[1]GMR Working Copy'!T168</f>
        <v>3289</v>
      </c>
      <c r="U159" s="21">
        <f>'[1]GMR Working Copy'!U168</f>
        <v>3784.33</v>
      </c>
      <c r="V159" s="21">
        <f>'[1]GMR Working Copy'!V168</f>
        <v>590273.58</v>
      </c>
    </row>
    <row r="160" spans="1:22" ht="11.25">
      <c r="A160" s="2" t="s">
        <v>57</v>
      </c>
      <c r="B160" s="22"/>
      <c r="C160" s="21"/>
      <c r="D160" s="21">
        <f>'[1]GMR Working Copy'!D169</f>
        <v>1048163.09</v>
      </c>
      <c r="E160" s="21">
        <f>'[1]GMR Working Copy'!E169</f>
        <v>2348455</v>
      </c>
      <c r="F160" s="21">
        <f>'[1]GMR Working Copy'!F169</f>
        <v>414492.56</v>
      </c>
      <c r="G160" s="21">
        <f>'[1]GMR Working Copy'!G169</f>
        <v>585809.63</v>
      </c>
      <c r="H160" s="21">
        <f>'[1]GMR Working Copy'!H169</f>
        <v>254497</v>
      </c>
      <c r="I160" s="21">
        <f>'[1]GMR Working Copy'!I169</f>
        <v>1135237.23</v>
      </c>
      <c r="J160" s="21">
        <f>'[1]GMR Working Copy'!J169</f>
        <v>247088.68</v>
      </c>
      <c r="K160" s="21">
        <f>'[1]GMR Working Copy'!K169</f>
        <v>1378474</v>
      </c>
      <c r="L160" s="21">
        <f>'[1]GMR Working Copy'!L169</f>
        <v>375229.04</v>
      </c>
      <c r="M160" s="21">
        <f>'[1]GMR Working Copy'!M169</f>
        <v>2686093</v>
      </c>
      <c r="N160" s="21">
        <f>'[1]GMR Working Copy'!N169</f>
        <v>276484.76</v>
      </c>
      <c r="O160" s="21">
        <f>'[1]GMR Working Copy'!O169</f>
        <v>4721547.14</v>
      </c>
      <c r="P160" s="21">
        <f>'[1]GMR Working Copy'!P169</f>
        <v>2338771</v>
      </c>
      <c r="Q160" s="21">
        <f>'[1]GMR Working Copy'!Q169</f>
        <v>1141698</v>
      </c>
      <c r="R160" s="21">
        <f>'[1]GMR Working Copy'!R169</f>
        <v>183128.11</v>
      </c>
      <c r="S160" s="21">
        <f>'[1]GMR Working Copy'!S169</f>
        <v>497447</v>
      </c>
      <c r="T160" s="21">
        <f>'[1]GMR Working Copy'!T169</f>
        <v>1452870</v>
      </c>
      <c r="U160" s="21">
        <f>'[1]GMR Working Copy'!U169</f>
        <v>322086.16</v>
      </c>
      <c r="V160" s="21">
        <f>'[1]GMR Working Copy'!V169</f>
        <v>21407571.4</v>
      </c>
    </row>
    <row r="161" spans="1:22" ht="11.25">
      <c r="A161" s="2" t="s">
        <v>87</v>
      </c>
      <c r="B161" s="22"/>
      <c r="C161" s="21"/>
      <c r="D161" s="21">
        <f>'[1]GMR Working Copy'!D171</f>
        <v>472706</v>
      </c>
      <c r="E161" s="21">
        <f>'[1]GMR Working Copy'!E171</f>
        <v>563933</v>
      </c>
      <c r="F161" s="21">
        <f>'[1]GMR Working Copy'!F171</f>
        <v>2821.13</v>
      </c>
      <c r="G161" s="21">
        <f>'[1]GMR Working Copy'!G171</f>
        <v>157754.08</v>
      </c>
      <c r="H161" s="21">
        <f>'[1]GMR Working Copy'!H171</f>
        <v>98749</v>
      </c>
      <c r="I161" s="21">
        <f>'[1]GMR Working Copy'!I171</f>
        <v>636963.53</v>
      </c>
      <c r="J161" s="21">
        <f>'[1]GMR Working Copy'!J171</f>
        <v>965</v>
      </c>
      <c r="K161" s="21">
        <f>'[1]GMR Working Copy'!K171</f>
        <v>140430</v>
      </c>
      <c r="L161" s="21">
        <f>'[1]GMR Working Copy'!L171</f>
        <v>5154.81</v>
      </c>
      <c r="M161" s="21">
        <f>'[1]GMR Working Copy'!M171</f>
        <v>395243</v>
      </c>
      <c r="N161" s="21">
        <f>'[1]GMR Working Copy'!N171</f>
        <v>7795.3</v>
      </c>
      <c r="O161" s="21">
        <f>'[1]GMR Working Copy'!O171</f>
        <v>2770844.09</v>
      </c>
      <c r="P161" s="21">
        <f>'[1]GMR Working Copy'!P171</f>
        <v>172727.41</v>
      </c>
      <c r="Q161" s="21">
        <f>'[1]GMR Working Copy'!Q171</f>
        <v>344510</v>
      </c>
      <c r="R161" s="21">
        <f>'[1]GMR Working Copy'!R171</f>
        <v>11909.11</v>
      </c>
      <c r="S161" s="21">
        <f>'[1]GMR Working Copy'!S171</f>
        <v>71514</v>
      </c>
      <c r="T161" s="21">
        <f>'[1]GMR Working Copy'!T171</f>
        <v>42392</v>
      </c>
      <c r="U161" s="21">
        <f>'[1]GMR Working Copy'!U171</f>
        <v>62652.3</v>
      </c>
      <c r="V161" s="21">
        <f>'[1]GMR Working Copy'!V171</f>
        <v>5959063.76</v>
      </c>
    </row>
    <row r="162" spans="1:22" ht="11.25">
      <c r="A162" s="2" t="s">
        <v>70</v>
      </c>
      <c r="B162" s="28"/>
      <c r="C162" s="34"/>
      <c r="D162" s="34">
        <f>'[1]GMR Working Copy'!D170</f>
        <v>95378.53</v>
      </c>
      <c r="E162" s="34">
        <f>'[1]GMR Working Copy'!E170</f>
        <v>70059</v>
      </c>
      <c r="F162" s="34">
        <f>'[1]GMR Working Copy'!F170</f>
        <v>10619.38</v>
      </c>
      <c r="G162" s="34">
        <f>'[1]GMR Working Copy'!G170</f>
        <v>29808.72</v>
      </c>
      <c r="H162" s="34">
        <f>'[1]GMR Working Copy'!H170</f>
        <v>13552</v>
      </c>
      <c r="I162" s="34">
        <f>'[1]GMR Working Copy'!I170</f>
        <v>84507.75</v>
      </c>
      <c r="J162" s="34">
        <f>'[1]GMR Working Copy'!J170</f>
        <v>5849</v>
      </c>
      <c r="K162" s="34">
        <f>'[1]GMR Working Copy'!K170</f>
        <v>63005</v>
      </c>
      <c r="L162" s="34">
        <f>'[1]GMR Working Copy'!L170</f>
        <v>19321</v>
      </c>
      <c r="M162" s="34">
        <f>'[1]GMR Working Copy'!M170</f>
        <v>72295</v>
      </c>
      <c r="N162" s="34">
        <f>'[1]GMR Working Copy'!N170</f>
        <v>6553.39</v>
      </c>
      <c r="O162" s="34">
        <f>'[1]GMR Working Copy'!O170</f>
        <v>147872.24</v>
      </c>
      <c r="P162" s="34">
        <f>'[1]GMR Working Copy'!P170</f>
        <v>74213.25</v>
      </c>
      <c r="Q162" s="34">
        <f>'[1]GMR Working Copy'!Q170</f>
        <v>64000</v>
      </c>
      <c r="R162" s="34">
        <f>'[1]GMR Working Copy'!R170</f>
        <v>0</v>
      </c>
      <c r="S162" s="34">
        <f>'[1]GMR Working Copy'!S170</f>
        <v>18267</v>
      </c>
      <c r="T162" s="34">
        <f>'[1]GMR Working Copy'!T170</f>
        <v>62201</v>
      </c>
      <c r="U162" s="34">
        <f>'[1]GMR Working Copy'!U170</f>
        <v>28774.88</v>
      </c>
      <c r="V162" s="34">
        <f>'[1]GMR Working Copy'!V170</f>
        <v>866277.14</v>
      </c>
    </row>
    <row r="163" spans="2:22" ht="11.25">
      <c r="B163" s="22"/>
      <c r="C163" s="21"/>
      <c r="D163" s="21"/>
      <c r="E163" s="21"/>
      <c r="F163" s="21"/>
      <c r="G163" s="21"/>
      <c r="H163" s="22"/>
      <c r="I163" s="3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1"/>
    </row>
    <row r="164" spans="1:22" ht="11.25">
      <c r="A164" s="20" t="s">
        <v>58</v>
      </c>
      <c r="B164" s="22">
        <f>SUM(B153:B162)</f>
        <v>1659446.5999999999</v>
      </c>
      <c r="C164" s="22">
        <f>SUM(C153:C162)</f>
        <v>53334.799999999996</v>
      </c>
      <c r="D164" s="22">
        <f aca="true" t="shared" si="6" ref="D164:V164">SUM(D153:D162)</f>
        <v>1819014.42</v>
      </c>
      <c r="E164" s="22">
        <f t="shared" si="6"/>
        <v>3182631</v>
      </c>
      <c r="F164" s="22">
        <f t="shared" si="6"/>
        <v>467606.86</v>
      </c>
      <c r="G164" s="22">
        <f t="shared" si="6"/>
        <v>894659.0599999999</v>
      </c>
      <c r="H164" s="22">
        <f t="shared" si="6"/>
        <v>405974</v>
      </c>
      <c r="I164" s="22">
        <f t="shared" si="6"/>
        <v>2059008.37</v>
      </c>
      <c r="J164" s="22">
        <f t="shared" si="6"/>
        <v>285964.32</v>
      </c>
      <c r="K164" s="22">
        <f t="shared" si="6"/>
        <v>1784366</v>
      </c>
      <c r="L164" s="22">
        <f t="shared" si="6"/>
        <v>468358.48</v>
      </c>
      <c r="M164" s="22">
        <f t="shared" si="6"/>
        <v>3439621</v>
      </c>
      <c r="N164" s="22">
        <f t="shared" si="6"/>
        <v>324712.95</v>
      </c>
      <c r="O164" s="22">
        <f t="shared" si="6"/>
        <v>7875578.529999999</v>
      </c>
      <c r="P164" s="22">
        <f t="shared" si="6"/>
        <v>2838297.0700000003</v>
      </c>
      <c r="Q164" s="22">
        <f t="shared" si="6"/>
        <v>1702292</v>
      </c>
      <c r="R164" s="22">
        <f t="shared" si="6"/>
        <v>602296.63</v>
      </c>
      <c r="S164" s="22">
        <f t="shared" si="6"/>
        <v>618804</v>
      </c>
      <c r="T164" s="22">
        <f t="shared" si="6"/>
        <v>1743233</v>
      </c>
      <c r="U164" s="22">
        <f t="shared" si="6"/>
        <v>474879.81</v>
      </c>
      <c r="V164" s="21">
        <f t="shared" si="6"/>
        <v>32700078.9</v>
      </c>
    </row>
    <row r="165" spans="2:22" ht="11.25">
      <c r="B165" s="22"/>
      <c r="C165" s="21"/>
      <c r="D165" s="21"/>
      <c r="E165" s="21"/>
      <c r="F165" s="21"/>
      <c r="G165" s="21"/>
      <c r="H165" s="22"/>
      <c r="I165" s="3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1"/>
    </row>
    <row r="166" spans="1:22" ht="12" thickBot="1">
      <c r="A166" s="20" t="s">
        <v>88</v>
      </c>
      <c r="B166" s="38"/>
      <c r="C166" s="39"/>
      <c r="D166" s="39"/>
      <c r="E166" s="39"/>
      <c r="F166" s="39"/>
      <c r="G166" s="39"/>
      <c r="H166" s="38"/>
      <c r="I166" s="40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9">
        <f>'[1]GMR Working Copy'!V175</f>
        <v>9479190.899999999</v>
      </c>
    </row>
    <row r="167" spans="2:22" ht="12" thickTop="1">
      <c r="B167" s="22"/>
      <c r="C167" s="21"/>
      <c r="D167" s="21"/>
      <c r="E167" s="21"/>
      <c r="F167" s="21"/>
      <c r="G167" s="21"/>
      <c r="H167" s="22"/>
      <c r="I167" s="3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1"/>
    </row>
    <row r="168" spans="1:22" ht="11.25">
      <c r="A168" s="2" t="s">
        <v>89</v>
      </c>
      <c r="B168" s="22">
        <f>'[1]GMR Working Copy'!B177</f>
        <v>0</v>
      </c>
      <c r="C168" s="22">
        <f>'[1]GMR Working Copy'!C177</f>
        <v>19255.7</v>
      </c>
      <c r="D168" s="22">
        <f>'[1]GMR Working Copy'!D177</f>
        <v>703916.25</v>
      </c>
      <c r="E168" s="22">
        <f>'[1]GMR Working Copy'!E177</f>
        <v>341013</v>
      </c>
      <c r="F168" s="22">
        <f>'[1]GMR Working Copy'!F177</f>
        <v>77011.74</v>
      </c>
      <c r="G168" s="22">
        <f>'[1]GMR Working Copy'!G177</f>
        <v>232562.43</v>
      </c>
      <c r="H168" s="22">
        <f>'[1]GMR Working Copy'!H177</f>
        <v>80603</v>
      </c>
      <c r="I168" s="22">
        <f>'[1]GMR Working Copy'!I177</f>
        <v>711598.85</v>
      </c>
      <c r="J168" s="22">
        <f>'[1]GMR Working Copy'!J177</f>
        <v>27543.68</v>
      </c>
      <c r="K168" s="22">
        <f>'[1]GMR Working Copy'!K177</f>
        <v>221450</v>
      </c>
      <c r="L168" s="22">
        <f>'[1]GMR Working Copy'!L177</f>
        <v>153516.9</v>
      </c>
      <c r="M168" s="22">
        <f>'[1]GMR Working Copy'!M177</f>
        <v>563505</v>
      </c>
      <c r="N168" s="22">
        <f>'[1]GMR Working Copy'!N177</f>
        <v>75505.78</v>
      </c>
      <c r="O168" s="22">
        <f>'[1]GMR Working Copy'!O177</f>
        <v>1509386.35</v>
      </c>
      <c r="P168" s="22">
        <f>'[1]GMR Working Copy'!P177</f>
        <v>390435.34</v>
      </c>
      <c r="Q168" s="22">
        <f>'[1]GMR Working Copy'!Q177</f>
        <v>358254</v>
      </c>
      <c r="R168" s="22">
        <f>'[1]GMR Working Copy'!R177</f>
        <v>16073.09</v>
      </c>
      <c r="S168" s="22">
        <f>'[1]GMR Working Copy'!S177</f>
        <v>223427</v>
      </c>
      <c r="T168" s="22">
        <f>'[1]GMR Working Copy'!T177</f>
        <v>131563</v>
      </c>
      <c r="U168" s="22">
        <f>'[1]GMR Working Copy'!U177</f>
        <v>354907.06</v>
      </c>
      <c r="V168" s="22">
        <f>'[1]GMR Working Copy'!V177</f>
        <v>6191528.169999999</v>
      </c>
    </row>
    <row r="169" spans="1:22" ht="22.5">
      <c r="A169" s="49" t="s">
        <v>90</v>
      </c>
      <c r="B169" s="22">
        <f>'[1]GMR Working Copy'!B178</f>
        <v>0</v>
      </c>
      <c r="C169" s="22">
        <f>'[1]GMR Working Copy'!C178</f>
        <v>0</v>
      </c>
      <c r="D169" s="22">
        <f>'[1]GMR Working Copy'!D178</f>
        <v>25202</v>
      </c>
      <c r="E169" s="22">
        <f>'[1]GMR Working Copy'!E178</f>
        <v>224146</v>
      </c>
      <c r="F169" s="22">
        <f>'[1]GMR Working Copy'!F178</f>
        <v>0</v>
      </c>
      <c r="G169" s="22">
        <f>'[1]GMR Working Copy'!G178</f>
        <v>0</v>
      </c>
      <c r="H169" s="22">
        <f>'[1]GMR Working Copy'!H178</f>
        <v>74336</v>
      </c>
      <c r="I169" s="22">
        <f>'[1]GMR Working Copy'!I178</f>
        <v>280555.47</v>
      </c>
      <c r="J169" s="22">
        <f>'[1]GMR Working Copy'!J178</f>
        <v>0</v>
      </c>
      <c r="K169" s="22">
        <f>'[1]GMR Working Copy'!K178</f>
        <v>0</v>
      </c>
      <c r="L169" s="22">
        <f>'[1]GMR Working Copy'!L178</f>
        <v>0</v>
      </c>
      <c r="M169" s="22">
        <f>'[1]GMR Working Copy'!M178</f>
        <v>191482</v>
      </c>
      <c r="N169" s="22">
        <f>'[1]GMR Working Copy'!N178</f>
        <v>0</v>
      </c>
      <c r="O169" s="22">
        <f>'[1]GMR Working Copy'!O178</f>
        <v>0</v>
      </c>
      <c r="P169" s="22">
        <f>'[1]GMR Working Copy'!P178</f>
        <v>0</v>
      </c>
      <c r="Q169" s="22">
        <f>'[1]GMR Working Copy'!Q178</f>
        <v>19128</v>
      </c>
      <c r="R169" s="22">
        <f>'[1]GMR Working Copy'!R178</f>
        <v>0</v>
      </c>
      <c r="S169" s="22">
        <f>'[1]GMR Working Copy'!S178</f>
        <v>0</v>
      </c>
      <c r="T169" s="22">
        <f>'[1]GMR Working Copy'!T178</f>
        <v>0</v>
      </c>
      <c r="U169" s="22">
        <f>'[1]GMR Working Copy'!U178</f>
        <v>0</v>
      </c>
      <c r="V169" s="22">
        <f>'[1]GMR Working Copy'!V178</f>
        <v>814849.47</v>
      </c>
    </row>
    <row r="170" spans="1:22" ht="11.25">
      <c r="A170" s="2" t="s">
        <v>80</v>
      </c>
      <c r="B170" s="22"/>
      <c r="C170" s="21"/>
      <c r="D170" s="21"/>
      <c r="E170" s="21"/>
      <c r="F170" s="21"/>
      <c r="G170" s="21"/>
      <c r="H170" s="22"/>
      <c r="I170" s="3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</row>
    <row r="171" spans="1:22" ht="12" thickBot="1">
      <c r="A171" s="20" t="s">
        <v>91</v>
      </c>
      <c r="B171" s="38"/>
      <c r="C171" s="39"/>
      <c r="D171" s="39"/>
      <c r="E171" s="39"/>
      <c r="F171" s="39"/>
      <c r="G171" s="39"/>
      <c r="H171" s="38"/>
      <c r="I171" s="40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>
        <f>'[1]GMR Working Copy'!V180</f>
        <v>2472813.26</v>
      </c>
    </row>
    <row r="172" ht="12" thickTop="1"/>
    <row r="174" spans="2:21" ht="11.25">
      <c r="B174" s="7" t="s">
        <v>5</v>
      </c>
      <c r="C174" s="8" t="s">
        <v>6</v>
      </c>
      <c r="D174" s="8" t="s">
        <v>7</v>
      </c>
      <c r="E174" s="8" t="s">
        <v>8</v>
      </c>
      <c r="F174" s="8" t="s">
        <v>9</v>
      </c>
      <c r="G174" s="8" t="s">
        <v>10</v>
      </c>
      <c r="H174" s="8" t="s">
        <v>11</v>
      </c>
      <c r="I174" s="9" t="s">
        <v>12</v>
      </c>
      <c r="J174" s="10" t="s">
        <v>13</v>
      </c>
      <c r="K174" s="11" t="s">
        <v>14</v>
      </c>
      <c r="L174" s="11" t="s">
        <v>15</v>
      </c>
      <c r="M174" s="7" t="s">
        <v>16</v>
      </c>
      <c r="N174" s="7" t="s">
        <v>17</v>
      </c>
      <c r="O174" s="7" t="s">
        <v>18</v>
      </c>
      <c r="P174" s="7" t="s">
        <v>19</v>
      </c>
      <c r="Q174" s="7" t="s">
        <v>20</v>
      </c>
      <c r="R174" s="7" t="s">
        <v>21</v>
      </c>
      <c r="S174" s="7" t="s">
        <v>22</v>
      </c>
      <c r="T174" s="7" t="s">
        <v>23</v>
      </c>
      <c r="U174" s="7" t="s">
        <v>24</v>
      </c>
    </row>
    <row r="175" spans="2:22" ht="45">
      <c r="B175" s="12" t="s">
        <v>25</v>
      </c>
      <c r="C175" s="13" t="s">
        <v>26</v>
      </c>
      <c r="D175" s="13" t="s">
        <v>27</v>
      </c>
      <c r="E175" s="13" t="s">
        <v>28</v>
      </c>
      <c r="F175" s="14" t="s">
        <v>29</v>
      </c>
      <c r="G175" s="14" t="s">
        <v>30</v>
      </c>
      <c r="H175" s="14" t="s">
        <v>31</v>
      </c>
      <c r="I175" s="15" t="s">
        <v>32</v>
      </c>
      <c r="J175" s="16" t="s">
        <v>33</v>
      </c>
      <c r="K175" s="17" t="s">
        <v>34</v>
      </c>
      <c r="L175" s="17" t="s">
        <v>35</v>
      </c>
      <c r="M175" s="12" t="s">
        <v>36</v>
      </c>
      <c r="N175" s="18" t="s">
        <v>37</v>
      </c>
      <c r="O175" s="12" t="s">
        <v>38</v>
      </c>
      <c r="P175" s="18" t="s">
        <v>39</v>
      </c>
      <c r="Q175" s="18" t="s">
        <v>40</v>
      </c>
      <c r="R175" s="12" t="s">
        <v>41</v>
      </c>
      <c r="S175" s="18" t="s">
        <v>42</v>
      </c>
      <c r="T175" s="18" t="s">
        <v>43</v>
      </c>
      <c r="U175" s="12" t="s">
        <v>44</v>
      </c>
      <c r="V175" s="12" t="s">
        <v>45</v>
      </c>
    </row>
    <row r="176" spans="1:10" ht="11.25">
      <c r="A176" s="50"/>
      <c r="I176" s="51"/>
      <c r="J176" s="52"/>
    </row>
    <row r="177" spans="1:22" ht="11.25">
      <c r="A177" s="20" t="s">
        <v>92</v>
      </c>
      <c r="B177" s="22"/>
      <c r="C177" s="21"/>
      <c r="D177" s="21"/>
      <c r="E177" s="21"/>
      <c r="F177" s="21"/>
      <c r="G177" s="21"/>
      <c r="H177" s="22"/>
      <c r="I177" s="47"/>
      <c r="J177" s="45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>
        <f>V166</f>
        <v>9479190.899999999</v>
      </c>
    </row>
    <row r="178" spans="2:22" ht="11.25">
      <c r="B178" s="22"/>
      <c r="C178" s="21"/>
      <c r="D178" s="21"/>
      <c r="E178" s="21"/>
      <c r="F178" s="21"/>
      <c r="G178" s="21"/>
      <c r="H178" s="22"/>
      <c r="I178" s="47"/>
      <c r="J178" s="45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</row>
    <row r="179" spans="1:22" ht="11.25">
      <c r="A179" s="20" t="s">
        <v>47</v>
      </c>
      <c r="B179" s="22"/>
      <c r="C179" s="21"/>
      <c r="D179" s="21"/>
      <c r="E179" s="21"/>
      <c r="F179" s="21"/>
      <c r="G179" s="21"/>
      <c r="H179" s="22"/>
      <c r="I179" s="47"/>
      <c r="J179" s="45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</row>
    <row r="180" spans="1:22" ht="11.25">
      <c r="A180" s="2" t="s">
        <v>48</v>
      </c>
      <c r="B180" s="22"/>
      <c r="C180" s="21"/>
      <c r="D180" s="21"/>
      <c r="E180" s="21"/>
      <c r="F180" s="21"/>
      <c r="G180" s="21"/>
      <c r="H180" s="22"/>
      <c r="I180" s="3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>
        <f>26048654+6951312</f>
        <v>32999966</v>
      </c>
    </row>
    <row r="181" spans="1:22" ht="11.25">
      <c r="A181" s="2" t="s">
        <v>49</v>
      </c>
      <c r="B181" s="22"/>
      <c r="C181" s="21"/>
      <c r="D181" s="21"/>
      <c r="E181" s="21"/>
      <c r="F181" s="21"/>
      <c r="G181" s="21"/>
      <c r="H181" s="22"/>
      <c r="I181" s="3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>
        <v>1581766.89</v>
      </c>
    </row>
    <row r="182" spans="1:22" ht="11.25">
      <c r="A182" s="2" t="s">
        <v>67</v>
      </c>
      <c r="B182" s="22"/>
      <c r="C182" s="21"/>
      <c r="D182" s="21"/>
      <c r="E182" s="21"/>
      <c r="F182" s="21"/>
      <c r="G182" s="21"/>
      <c r="H182" s="22"/>
      <c r="I182" s="3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>
        <v>527255.62</v>
      </c>
    </row>
    <row r="183" spans="1:22" ht="11.25">
      <c r="A183" s="2" t="s">
        <v>93</v>
      </c>
      <c r="B183" s="22"/>
      <c r="C183" s="21"/>
      <c r="D183" s="21"/>
      <c r="E183" s="21"/>
      <c r="F183" s="21"/>
      <c r="G183" s="21"/>
      <c r="H183" s="22"/>
      <c r="I183" s="3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>
        <v>22190.57</v>
      </c>
    </row>
    <row r="184" spans="1:22" ht="11.25">
      <c r="A184" s="2" t="s">
        <v>84</v>
      </c>
      <c r="B184" s="22"/>
      <c r="C184" s="21"/>
      <c r="D184" s="21"/>
      <c r="E184" s="21"/>
      <c r="F184" s="21"/>
      <c r="G184" s="21"/>
      <c r="H184" s="22"/>
      <c r="I184" s="3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>
        <v>0</v>
      </c>
    </row>
    <row r="185" spans="1:22" ht="11.25">
      <c r="A185" s="2" t="s">
        <v>50</v>
      </c>
      <c r="B185" s="45"/>
      <c r="C185" s="46"/>
      <c r="D185" s="46"/>
      <c r="E185" s="46"/>
      <c r="F185" s="46"/>
      <c r="G185" s="46"/>
      <c r="H185" s="45"/>
      <c r="I185" s="47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>
        <v>87857.58</v>
      </c>
    </row>
    <row r="186" spans="1:22" ht="11.25">
      <c r="A186" s="2" t="s">
        <v>85</v>
      </c>
      <c r="B186" s="28"/>
      <c r="C186" s="34"/>
      <c r="D186" s="34"/>
      <c r="E186" s="34"/>
      <c r="F186" s="34"/>
      <c r="G186" s="34"/>
      <c r="H186" s="28"/>
      <c r="I186" s="35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>
        <v>0</v>
      </c>
    </row>
    <row r="187" spans="1:22" ht="11.25">
      <c r="A187" s="20"/>
      <c r="B187" s="22"/>
      <c r="C187" s="21"/>
      <c r="D187" s="21"/>
      <c r="E187" s="21"/>
      <c r="F187" s="21"/>
      <c r="G187" s="21"/>
      <c r="H187" s="22"/>
      <c r="I187" s="3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1"/>
    </row>
    <row r="188" spans="1:22" ht="11.25">
      <c r="A188" s="20" t="s">
        <v>51</v>
      </c>
      <c r="B188" s="22"/>
      <c r="C188" s="21"/>
      <c r="D188" s="21"/>
      <c r="E188" s="21"/>
      <c r="F188" s="21"/>
      <c r="G188" s="21"/>
      <c r="H188" s="22"/>
      <c r="I188" s="3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1">
        <f>SUM(V180:V186)</f>
        <v>35219036.66</v>
      </c>
    </row>
    <row r="189" spans="2:22" ht="11.25">
      <c r="B189" s="22"/>
      <c r="C189" s="21"/>
      <c r="D189" s="21"/>
      <c r="E189" s="21"/>
      <c r="F189" s="21"/>
      <c r="G189" s="21"/>
      <c r="H189" s="22"/>
      <c r="I189" s="3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1"/>
    </row>
    <row r="190" spans="1:22" ht="11.25">
      <c r="A190" s="20" t="s">
        <v>52</v>
      </c>
      <c r="B190" s="22"/>
      <c r="C190" s="21"/>
      <c r="D190" s="21"/>
      <c r="E190" s="21"/>
      <c r="F190" s="21"/>
      <c r="G190" s="21"/>
      <c r="H190" s="22"/>
      <c r="I190" s="3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1"/>
    </row>
    <row r="191" spans="1:22" ht="11.25">
      <c r="A191" s="2" t="s">
        <v>53</v>
      </c>
      <c r="B191" s="22">
        <f>519225.89+16.95</f>
        <v>519242.84</v>
      </c>
      <c r="C191" s="21"/>
      <c r="D191" s="21"/>
      <c r="E191" s="21"/>
      <c r="F191" s="21"/>
      <c r="G191" s="21"/>
      <c r="H191" s="22"/>
      <c r="I191" s="3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1">
        <f>SUM(B191:U191)</f>
        <v>519242.84</v>
      </c>
    </row>
    <row r="192" spans="1:22" ht="11.25">
      <c r="A192" s="2" t="s">
        <v>68</v>
      </c>
      <c r="B192" s="22">
        <f>249080.72+1.52</f>
        <v>249082.24</v>
      </c>
      <c r="C192" s="21"/>
      <c r="D192" s="21"/>
      <c r="E192" s="21"/>
      <c r="F192" s="21"/>
      <c r="G192" s="21"/>
      <c r="H192" s="22"/>
      <c r="I192" s="3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1">
        <f>SUM(B192:U192)</f>
        <v>249082.24</v>
      </c>
    </row>
    <row r="193" spans="1:22" ht="11.25">
      <c r="A193" s="2" t="s">
        <v>54</v>
      </c>
      <c r="B193" s="22"/>
      <c r="C193" s="21">
        <f>'[1]GMR Working Copy'!C202</f>
        <v>0</v>
      </c>
      <c r="D193" s="21">
        <v>22387.35</v>
      </c>
      <c r="E193" s="21">
        <v>30295</v>
      </c>
      <c r="F193" s="21">
        <v>20829.23</v>
      </c>
      <c r="G193" s="21">
        <v>13275.12</v>
      </c>
      <c r="H193" s="21">
        <v>6435</v>
      </c>
      <c r="I193" s="21">
        <v>26473.22</v>
      </c>
      <c r="J193" s="21">
        <v>4130</v>
      </c>
      <c r="K193" s="21">
        <v>20183</v>
      </c>
      <c r="L193" s="21">
        <v>4225</v>
      </c>
      <c r="M193" s="21">
        <v>2874</v>
      </c>
      <c r="N193" s="21">
        <v>4827.98</v>
      </c>
      <c r="O193" s="21">
        <v>11534.44</v>
      </c>
      <c r="P193" s="21">
        <v>44185</v>
      </c>
      <c r="Q193" s="21">
        <v>66584.7</v>
      </c>
      <c r="R193" s="21">
        <v>1289.29</v>
      </c>
      <c r="S193" s="21">
        <v>36246</v>
      </c>
      <c r="T193" s="21">
        <v>5885</v>
      </c>
      <c r="U193" s="21">
        <v>19007.87</v>
      </c>
      <c r="V193" s="21">
        <f>SUM(D193:U193)</f>
        <v>340667.19999999995</v>
      </c>
    </row>
    <row r="194" spans="1:22" ht="11.25">
      <c r="A194" s="2" t="s">
        <v>94</v>
      </c>
      <c r="B194" s="22"/>
      <c r="C194" s="21"/>
      <c r="D194" s="21">
        <v>35702.33</v>
      </c>
      <c r="E194" s="21">
        <v>34184</v>
      </c>
      <c r="F194" s="21">
        <f>'[1]GMR Working Copy'!F205</f>
        <v>0</v>
      </c>
      <c r="G194" s="21">
        <v>4770.75</v>
      </c>
      <c r="H194" s="21">
        <v>4146</v>
      </c>
      <c r="I194" s="21">
        <v>7553.97</v>
      </c>
      <c r="J194" s="21">
        <v>2683.33</v>
      </c>
      <c r="K194" s="21">
        <v>11130</v>
      </c>
      <c r="L194" s="21">
        <v>2038</v>
      </c>
      <c r="M194" s="21">
        <v>47768</v>
      </c>
      <c r="N194" s="21">
        <v>5827.36</v>
      </c>
      <c r="O194" s="21">
        <v>20562.17</v>
      </c>
      <c r="P194" s="21">
        <v>36545</v>
      </c>
      <c r="Q194" s="21">
        <v>2190</v>
      </c>
      <c r="R194" s="21">
        <v>7146.61</v>
      </c>
      <c r="S194" s="21">
        <f>'[1]GMR Working Copy'!S205</f>
        <v>0</v>
      </c>
      <c r="T194" s="21">
        <v>62496</v>
      </c>
      <c r="U194" s="21">
        <v>6560.82</v>
      </c>
      <c r="V194" s="21">
        <f>SUM(D194:U194)</f>
        <v>291304.33999999997</v>
      </c>
    </row>
    <row r="195" spans="1:22" ht="11.25">
      <c r="A195" s="2" t="s">
        <v>69</v>
      </c>
      <c r="B195" s="22"/>
      <c r="C195" s="21"/>
      <c r="D195" s="21">
        <v>3462.29</v>
      </c>
      <c r="E195" s="21">
        <v>3274.5</v>
      </c>
      <c r="F195" s="21">
        <v>222.82</v>
      </c>
      <c r="G195" s="21">
        <v>3186</v>
      </c>
      <c r="H195" s="21">
        <v>597</v>
      </c>
      <c r="I195" s="21">
        <v>804.05</v>
      </c>
      <c r="J195" s="21">
        <v>1022.52</v>
      </c>
      <c r="K195" s="21">
        <v>5437</v>
      </c>
      <c r="L195" s="21">
        <v>846.58</v>
      </c>
      <c r="M195" s="21">
        <v>2554</v>
      </c>
      <c r="N195" s="21">
        <v>700.59</v>
      </c>
      <c r="O195" s="21">
        <v>10845.77</v>
      </c>
      <c r="P195" s="21">
        <v>6533.59</v>
      </c>
      <c r="Q195" s="21">
        <v>6429</v>
      </c>
      <c r="R195" s="21">
        <f>'[1]GMR Working Copy'!R204</f>
        <v>0</v>
      </c>
      <c r="S195" s="21">
        <v>2901</v>
      </c>
      <c r="T195" s="21">
        <v>4647</v>
      </c>
      <c r="U195" s="21">
        <v>396.34</v>
      </c>
      <c r="V195" s="21">
        <f>SUM(D195:U195)</f>
        <v>53860.05</v>
      </c>
    </row>
    <row r="196" spans="1:22" ht="11.25">
      <c r="A196" s="2" t="s">
        <v>55</v>
      </c>
      <c r="B196" s="22"/>
      <c r="C196" s="21">
        <f>'[1]GMR Working Copy'!C203</f>
        <v>0</v>
      </c>
      <c r="D196" s="21">
        <f>'[1]GMR Working Copy'!D203</f>
        <v>0</v>
      </c>
      <c r="E196" s="21">
        <f>'[1]GMR Working Copy'!E203</f>
        <v>0</v>
      </c>
      <c r="F196" s="21">
        <f>'[1]GMR Working Copy'!F203</f>
        <v>0</v>
      </c>
      <c r="G196" s="21">
        <f>'[1]GMR Working Copy'!G203</f>
        <v>0</v>
      </c>
      <c r="H196" s="21">
        <f>'[1]GMR Working Copy'!H203</f>
        <v>0</v>
      </c>
      <c r="I196" s="21">
        <v>2105.56</v>
      </c>
      <c r="J196" s="21">
        <f>'[1]GMR Working Copy'!J203</f>
        <v>0</v>
      </c>
      <c r="K196" s="21">
        <f>'[1]GMR Working Copy'!K203</f>
        <v>0</v>
      </c>
      <c r="L196" s="21">
        <f>'[1]GMR Working Copy'!L203</f>
        <v>0</v>
      </c>
      <c r="M196" s="21">
        <f>'[1]GMR Working Copy'!M203</f>
        <v>0</v>
      </c>
      <c r="N196" s="21">
        <f>'[1]GMR Working Copy'!N203</f>
        <v>0</v>
      </c>
      <c r="O196" s="21">
        <f>'[1]GMR Working Copy'!O203</f>
        <v>0</v>
      </c>
      <c r="P196" s="21">
        <v>2034</v>
      </c>
      <c r="Q196" s="21">
        <f>'[1]GMR Working Copy'!Q203</f>
        <v>0</v>
      </c>
      <c r="R196" s="21">
        <v>1837.18</v>
      </c>
      <c r="S196" s="21">
        <f>'[1]GMR Working Copy'!S203</f>
        <v>0</v>
      </c>
      <c r="T196" s="21">
        <f>'[1]GMR Working Copy'!T203</f>
        <v>0</v>
      </c>
      <c r="U196" s="21">
        <f>861.78+695.69</f>
        <v>1557.47</v>
      </c>
      <c r="V196" s="21">
        <f>SUM(D196:U196)</f>
        <v>7534.21</v>
      </c>
    </row>
    <row r="197" spans="1:22" ht="11.25">
      <c r="A197" s="2" t="s">
        <v>95</v>
      </c>
      <c r="B197" s="22"/>
      <c r="C197" s="21"/>
      <c r="D197" s="21"/>
      <c r="E197" s="21">
        <v>10272</v>
      </c>
      <c r="F197" s="21"/>
      <c r="G197" s="21"/>
      <c r="H197" s="21">
        <v>7723</v>
      </c>
      <c r="I197" s="21"/>
      <c r="J197" s="21"/>
      <c r="K197" s="21"/>
      <c r="L197" s="21"/>
      <c r="M197" s="21">
        <v>7890</v>
      </c>
      <c r="N197" s="21"/>
      <c r="O197" s="21"/>
      <c r="P197" s="21"/>
      <c r="Q197" s="21">
        <v>80</v>
      </c>
      <c r="R197" s="21"/>
      <c r="S197" s="21"/>
      <c r="T197" s="21"/>
      <c r="U197" s="21"/>
      <c r="V197" s="21">
        <f>SUM(D197:U197)</f>
        <v>25965</v>
      </c>
    </row>
    <row r="198" spans="1:22" ht="11.25">
      <c r="A198" s="2" t="s">
        <v>56</v>
      </c>
      <c r="B198" s="22">
        <f>'[1]GMR Working Copy'!B206</f>
        <v>0</v>
      </c>
      <c r="C198" s="21">
        <f>67500+15000+3130.62+21901.25</f>
        <v>107531.87</v>
      </c>
      <c r="D198" s="21">
        <v>15137.81</v>
      </c>
      <c r="E198" s="21">
        <v>15191</v>
      </c>
      <c r="F198" s="21">
        <f>'[1]GMR Working Copy'!F206</f>
        <v>0</v>
      </c>
      <c r="G198" s="21">
        <f>'[1]GMR Working Copy'!G206</f>
        <v>0</v>
      </c>
      <c r="H198" s="21">
        <f>'[1]GMR Working Copy'!H206</f>
        <v>0</v>
      </c>
      <c r="I198" s="21">
        <v>23365.46</v>
      </c>
      <c r="J198" s="21">
        <f>'[1]GMR Working Copy'!J206</f>
        <v>0</v>
      </c>
      <c r="K198" s="21">
        <f>'[1]GMR Working Copy'!K206</f>
        <v>0</v>
      </c>
      <c r="L198" s="21">
        <v>1220</v>
      </c>
      <c r="M198" s="21">
        <v>10096</v>
      </c>
      <c r="N198" s="21">
        <f>'[1]GMR Working Copy'!N206</f>
        <v>0</v>
      </c>
      <c r="O198" s="21">
        <v>57432.07</v>
      </c>
      <c r="P198" s="21">
        <v>5100</v>
      </c>
      <c r="Q198" s="21">
        <v>35015</v>
      </c>
      <c r="R198" s="21">
        <v>7308.77</v>
      </c>
      <c r="S198" s="21">
        <v>54894</v>
      </c>
      <c r="T198" s="21">
        <f>'[1]GMR Working Copy'!T206</f>
        <v>0</v>
      </c>
      <c r="U198" s="21">
        <f>2957.07+9914.5</f>
        <v>12871.57</v>
      </c>
      <c r="V198" s="21">
        <f>SUM(C198:U198)</f>
        <v>345163.55</v>
      </c>
    </row>
    <row r="199" spans="1:22" ht="11.25">
      <c r="A199" s="2" t="s">
        <v>57</v>
      </c>
      <c r="B199" s="22"/>
      <c r="C199" s="21"/>
      <c r="D199" s="21">
        <v>545876.01</v>
      </c>
      <c r="E199" s="21">
        <v>433682</v>
      </c>
      <c r="F199" s="21">
        <v>96818.39</v>
      </c>
      <c r="G199" s="21">
        <v>135827.61</v>
      </c>
      <c r="H199" s="21">
        <v>82279</v>
      </c>
      <c r="I199" s="21">
        <v>553568.96</v>
      </c>
      <c r="J199" s="21">
        <v>29359.35</v>
      </c>
      <c r="K199" s="21">
        <v>247655</v>
      </c>
      <c r="L199" s="21">
        <v>168031.73</v>
      </c>
      <c r="M199" s="21">
        <v>329491</v>
      </c>
      <c r="N199" s="21">
        <v>44729.27</v>
      </c>
      <c r="O199" s="21">
        <v>1156783.14</v>
      </c>
      <c r="P199" s="21">
        <v>268155</v>
      </c>
      <c r="Q199" s="21">
        <v>274233.3</v>
      </c>
      <c r="R199" s="21">
        <v>5637.85</v>
      </c>
      <c r="S199" s="21">
        <v>186353</v>
      </c>
      <c r="T199" s="21">
        <v>126513</v>
      </c>
      <c r="U199" s="21">
        <v>210012.43</v>
      </c>
      <c r="V199" s="21">
        <f>SUM(D199:U199)</f>
        <v>4895006.039999999</v>
      </c>
    </row>
    <row r="200" spans="1:22" ht="11.25">
      <c r="A200" s="2" t="s">
        <v>96</v>
      </c>
      <c r="B200" s="22"/>
      <c r="C200" s="21"/>
      <c r="D200" s="21">
        <v>333278.04</v>
      </c>
      <c r="E200" s="21">
        <v>451732</v>
      </c>
      <c r="F200" s="21">
        <v>44792.57</v>
      </c>
      <c r="G200" s="21">
        <v>74131.79</v>
      </c>
      <c r="H200" s="21">
        <v>37597</v>
      </c>
      <c r="I200" s="21">
        <v>133540.03</v>
      </c>
      <c r="J200" s="21">
        <v>17984.52</v>
      </c>
      <c r="K200" s="21">
        <v>170461</v>
      </c>
      <c r="L200" s="21">
        <v>49078</v>
      </c>
      <c r="M200" s="21">
        <v>551288</v>
      </c>
      <c r="N200" s="21">
        <v>27291.42</v>
      </c>
      <c r="O200" s="21">
        <v>244492.89</v>
      </c>
      <c r="P200" s="21">
        <v>717748</v>
      </c>
      <c r="Q200" s="21">
        <v>289989</v>
      </c>
      <c r="R200" s="21">
        <v>160106.06</v>
      </c>
      <c r="S200" s="21">
        <v>48918</v>
      </c>
      <c r="T200" s="21">
        <v>256254</v>
      </c>
      <c r="U200" s="21">
        <v>70364.52</v>
      </c>
      <c r="V200" s="21">
        <f>SUM(D200:U200)</f>
        <v>3679046.84</v>
      </c>
    </row>
    <row r="201" spans="1:22" ht="11.25">
      <c r="A201" s="2" t="s">
        <v>97</v>
      </c>
      <c r="B201" s="22"/>
      <c r="C201" s="21"/>
      <c r="D201" s="21">
        <v>25202</v>
      </c>
      <c r="E201" s="21">
        <v>213874</v>
      </c>
      <c r="F201" s="21"/>
      <c r="G201" s="21"/>
      <c r="H201" s="21">
        <v>66613</v>
      </c>
      <c r="I201" s="21">
        <v>247763.37</v>
      </c>
      <c r="J201" s="21"/>
      <c r="K201" s="21"/>
      <c r="L201" s="21"/>
      <c r="M201" s="21">
        <v>183592</v>
      </c>
      <c r="N201" s="21"/>
      <c r="O201" s="21"/>
      <c r="P201" s="21"/>
      <c r="Q201" s="21">
        <v>19000</v>
      </c>
      <c r="R201" s="21"/>
      <c r="S201" s="21"/>
      <c r="T201" s="21"/>
      <c r="U201" s="21"/>
      <c r="V201" s="21">
        <f>SUM(D201:U201)</f>
        <v>756044.37</v>
      </c>
    </row>
    <row r="202" spans="1:22" ht="11.25">
      <c r="A202" s="2" t="s">
        <v>70</v>
      </c>
      <c r="B202" s="28"/>
      <c r="C202" s="34"/>
      <c r="D202" s="34">
        <v>26720.08</v>
      </c>
      <c r="E202" s="34">
        <v>55549.5</v>
      </c>
      <c r="F202" s="34">
        <v>3132.12</v>
      </c>
      <c r="G202" s="34">
        <v>9836.37</v>
      </c>
      <c r="H202" s="34">
        <v>7469</v>
      </c>
      <c r="I202" s="34">
        <v>27075.9</v>
      </c>
      <c r="J202" s="34">
        <v>7505.24</v>
      </c>
      <c r="K202" s="34">
        <v>25950</v>
      </c>
      <c r="L202" s="34">
        <v>16345.7</v>
      </c>
      <c r="M202" s="34">
        <v>38323</v>
      </c>
      <c r="N202" s="34">
        <v>3308.56</v>
      </c>
      <c r="O202" s="34">
        <v>105695.92</v>
      </c>
      <c r="P202" s="34">
        <v>58778</v>
      </c>
      <c r="Q202" s="34">
        <v>31105</v>
      </c>
      <c r="R202" s="34">
        <f>'[1]GMR Working Copy'!R208</f>
        <v>0</v>
      </c>
      <c r="S202" s="34">
        <v>32221</v>
      </c>
      <c r="T202" s="34">
        <v>34343</v>
      </c>
      <c r="U202" s="34">
        <v>3455.95</v>
      </c>
      <c r="V202" s="34">
        <f>SUM(D202:U202)</f>
        <v>486814.34</v>
      </c>
    </row>
    <row r="203" spans="2:22" ht="11.25">
      <c r="B203" s="22"/>
      <c r="C203" s="21"/>
      <c r="D203" s="21"/>
      <c r="E203" s="21"/>
      <c r="F203" s="21"/>
      <c r="G203" s="21"/>
      <c r="H203" s="22"/>
      <c r="I203" s="3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1"/>
    </row>
    <row r="204" spans="1:22" ht="11.25">
      <c r="A204" s="20" t="s">
        <v>58</v>
      </c>
      <c r="B204" s="22">
        <f>SUM(B191:B202)</f>
        <v>768325.0800000001</v>
      </c>
      <c r="C204" s="22">
        <f>SUM(C191:C202)</f>
        <v>107531.87</v>
      </c>
      <c r="D204" s="22">
        <f aca="true" t="shared" si="7" ref="D204:V204">SUM(D191:D202)</f>
        <v>1007765.91</v>
      </c>
      <c r="E204" s="22">
        <f t="shared" si="7"/>
        <v>1248054</v>
      </c>
      <c r="F204" s="22">
        <f t="shared" si="7"/>
        <v>165795.13</v>
      </c>
      <c r="G204" s="22">
        <f t="shared" si="7"/>
        <v>241027.63999999996</v>
      </c>
      <c r="H204" s="22">
        <f t="shared" si="7"/>
        <v>212859</v>
      </c>
      <c r="I204" s="22">
        <f t="shared" si="7"/>
        <v>1022250.52</v>
      </c>
      <c r="J204" s="22">
        <f t="shared" si="7"/>
        <v>62684.96</v>
      </c>
      <c r="K204" s="22">
        <f t="shared" si="7"/>
        <v>480816</v>
      </c>
      <c r="L204" s="22">
        <f t="shared" si="7"/>
        <v>241785.01</v>
      </c>
      <c r="M204" s="22">
        <f t="shared" si="7"/>
        <v>1173876</v>
      </c>
      <c r="N204" s="22">
        <f t="shared" si="7"/>
        <v>86685.18</v>
      </c>
      <c r="O204" s="22">
        <f t="shared" si="7"/>
        <v>1607346.4</v>
      </c>
      <c r="P204" s="22">
        <f t="shared" si="7"/>
        <v>1139078.5899999999</v>
      </c>
      <c r="Q204" s="22">
        <f t="shared" si="7"/>
        <v>724626</v>
      </c>
      <c r="R204" s="22">
        <f t="shared" si="7"/>
        <v>183325.76</v>
      </c>
      <c r="S204" s="22">
        <f t="shared" si="7"/>
        <v>361533</v>
      </c>
      <c r="T204" s="22">
        <f t="shared" si="7"/>
        <v>490138</v>
      </c>
      <c r="U204" s="22">
        <f t="shared" si="7"/>
        <v>324226.97000000003</v>
      </c>
      <c r="V204" s="21">
        <f t="shared" si="7"/>
        <v>11649731.019999998</v>
      </c>
    </row>
    <row r="205" spans="2:22" ht="11.25">
      <c r="B205" s="22"/>
      <c r="C205" s="21"/>
      <c r="D205" s="21"/>
      <c r="E205" s="21"/>
      <c r="F205" s="21"/>
      <c r="G205" s="21"/>
      <c r="H205" s="22"/>
      <c r="I205" s="3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1"/>
    </row>
    <row r="206" spans="1:22" ht="12" thickBot="1">
      <c r="A206" s="20" t="s">
        <v>98</v>
      </c>
      <c r="B206" s="38"/>
      <c r="C206" s="39"/>
      <c r="D206" s="39"/>
      <c r="E206" s="39"/>
      <c r="F206" s="39"/>
      <c r="G206" s="39"/>
      <c r="H206" s="38"/>
      <c r="I206" s="40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9">
        <f>V177+V188-V204</f>
        <v>33048496.54</v>
      </c>
    </row>
    <row r="207" spans="2:22" ht="12" thickTop="1">
      <c r="B207" s="22"/>
      <c r="C207" s="21"/>
      <c r="D207" s="21"/>
      <c r="E207" s="21"/>
      <c r="F207" s="21"/>
      <c r="G207" s="21"/>
      <c r="H207" s="22"/>
      <c r="I207" s="3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1"/>
    </row>
    <row r="208" spans="1:22" ht="11.25">
      <c r="A208" s="2" t="s">
        <v>99</v>
      </c>
      <c r="B208" s="22">
        <v>49350.82</v>
      </c>
      <c r="C208" s="22">
        <f>16125.08</f>
        <v>16125.08</v>
      </c>
      <c r="D208" s="22">
        <f>7793.12+2094.01+32788.58+4445.85+102383.36+10470.43+18520.69+3064.85+878.09+17+30.64+60055.76+2607+7000+2000+141367.83+71882.77+45954.7+2000+9835.79+500+13584.08+8890.56+7064.44+5000</f>
        <v>560229.55</v>
      </c>
      <c r="E208" s="22">
        <f>21052+23983+2307+20305+162638+47491+8500+186103+122832+59500+161209+77957+15521+18206</f>
        <v>927604</v>
      </c>
      <c r="F208" s="22">
        <f>36520.28+17654.28+39935.05+89068.47+12757.57+2641.88+2500+3000+2526.01+3325+0.49</f>
        <v>209929.03000000003</v>
      </c>
      <c r="G208" s="22">
        <f>11562+37251.45+87445.16+52239.01+18371.46+141442.43+74943.16+20694+4257+12083.65+9014.25</f>
        <v>469303.57000000007</v>
      </c>
      <c r="H208" s="22">
        <f>3200+12157+23124+45077+71855+2588+5527+5283+714+1756</f>
        <v>171281</v>
      </c>
      <c r="I208" s="22">
        <f>21151.25+130924.89+4564.76+2255+14909.64+7057.06+39999.74+87936.57+40000+184421.86+159890.02+82581.26+74671.26+2770.67+9394.53+18419.01</f>
        <v>880947.5200000001</v>
      </c>
      <c r="J208" s="22">
        <f>16321.97+20335.67+10993.54+27558.43+24639.45+26510.85+10752.21+12000+1022.84+1283.97+3574.03+1006.76</f>
        <v>155999.72</v>
      </c>
      <c r="K208" s="22">
        <f>13074+73128+116263+14960+346467+150952+7412+40305+2095</f>
        <v>764656</v>
      </c>
      <c r="L208" s="22">
        <f>3927+632+38510+5500+30000+644+79160+31301+26833+5072.66+1500+5066+1900</f>
        <v>230045.66</v>
      </c>
      <c r="M208" s="22">
        <f>57741+257984+30855+7102+2697+89904+39706+72122+277560+157376+168723+24240+58692+7136+17549+6879+68663</f>
        <v>1344929</v>
      </c>
      <c r="N208" s="22">
        <f>3172.35+18643.44+4974.48+130.09+11083.27+13561.74+31897.23+57348.22+242.61+3043.85+816.02+2645.32</f>
        <v>147558.62</v>
      </c>
      <c r="O208" s="22">
        <f>125981.2+527019.85+6657.31+2750+24750+391201.43+1328035.11+2802.94+875562.66+6205.04+134968+34240.19</f>
        <v>3460173.7300000004</v>
      </c>
      <c r="P208" s="22">
        <f>224+27060+131763+20110+14422+6488+70061+139245+50000+50000+152547+21246+83398+3875+13176+6813.75+449</f>
        <v>790877.75</v>
      </c>
      <c r="Q208" s="22">
        <f>61689+25047+8724+568+78965+3034+3290+100576+150762+48+2402+4514+24838</f>
        <v>464457</v>
      </c>
      <c r="R208" s="22">
        <f>75068.37+61291+3788.43+50000+333191.25</f>
        <v>523339.05</v>
      </c>
      <c r="S208" s="22">
        <f>15289+19001+217+3145+59612+52718+15124+32699+7198+16890+15457+20268+33732+60387+3315+1516+844+1782</f>
        <v>359194</v>
      </c>
      <c r="T208" s="22">
        <f>23712+122237+57994+25000+25000+2335+25000+142239+104881+5678+22315+25000+6146+14190+12649</f>
        <v>614376</v>
      </c>
      <c r="U208" s="22">
        <f>7964.06+34415.85+11304.9+7911.81+2241.55+1351.77+9550+6496.86+56527.56+35928.69+1130.93+116542.58+13820.52+51252.09+2620.76+7052.67+6943</f>
        <v>373055.60000000003</v>
      </c>
      <c r="V208" s="22">
        <f>SUM(B208:U208)</f>
        <v>12513432.700000001</v>
      </c>
    </row>
    <row r="209" spans="1:22" ht="11.25">
      <c r="A209" s="2" t="s">
        <v>80</v>
      </c>
      <c r="B209" s="22"/>
      <c r="C209" s="21"/>
      <c r="D209" s="21"/>
      <c r="E209" s="21"/>
      <c r="F209" s="21"/>
      <c r="G209" s="21"/>
      <c r="H209" s="22"/>
      <c r="I209" s="3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</row>
    <row r="210" spans="1:22" ht="12" thickBot="1">
      <c r="A210" s="20" t="s">
        <v>100</v>
      </c>
      <c r="B210" s="38"/>
      <c r="C210" s="39"/>
      <c r="D210" s="39"/>
      <c r="E210" s="39"/>
      <c r="F210" s="39"/>
      <c r="G210" s="39"/>
      <c r="H210" s="38"/>
      <c r="I210" s="40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>
        <f>V206-V208</f>
        <v>20535063.839999996</v>
      </c>
    </row>
    <row r="211" ht="12" thickTop="1"/>
  </sheetData>
  <sheetProtection/>
  <mergeCells count="4">
    <mergeCell ref="A1:V1"/>
    <mergeCell ref="A2:V2"/>
    <mergeCell ref="A3:V3"/>
    <mergeCell ref="A4:V4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12-31-2019 Document Recording Fee, Emergency Housing Account</dc:title>
  <dc:subject/>
  <dc:creator>Angelia Sousa</dc:creator>
  <cp:keywords>12-31-2019 Document Recording Fee, Emergency Housing Account</cp:keywords>
  <dc:description/>
  <cp:lastModifiedBy>Angelia Sousa</cp:lastModifiedBy>
  <dcterms:created xsi:type="dcterms:W3CDTF">2020-03-10T14:44:38Z</dcterms:created>
  <dcterms:modified xsi:type="dcterms:W3CDTF">2020-03-10T14:45:41Z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Loca">
    <vt:lpwstr>en</vt:lpwstr>
  </property>
  <property fmtid="{D5CDD505-2E9C-101B-9397-08002B2CF9AE}" pid="4" name="CopyToStateL">
    <vt:lpwstr>0</vt:lpwstr>
  </property>
  <property fmtid="{D5CDD505-2E9C-101B-9397-08002B2CF9AE}" pid="5" name="Metada">
    <vt:lpwstr>12-31-2019 Document Recording Fee, Emergency Housing Account</vt:lpwstr>
  </property>
  <property fmtid="{D5CDD505-2E9C-101B-9397-08002B2CF9AE}" pid="6" name="RoutingRuleDescripti">
    <vt:lpwstr>12-31-2019 Document Recording Fee, Emergency Housing Account</vt:lpwstr>
  </property>
</Properties>
</file>